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65" windowWidth="11340" windowHeight="8775" tabRatio="964"/>
  </bookViews>
  <sheets>
    <sheet name="ФАКТИЧЕСКАЯ СЕБЕСТ. СТОКИ 2017" sheetId="104" r:id="rId1"/>
    <sheet name="ПОЛНАЯ СЕБЕСТОИМОСТЬ СТОКИ 2017" sheetId="103" state="hidden" r:id="rId2"/>
    <sheet name="ФАКТИЧЕСКАЯ СЕБЕСТ ВОДА 2017" sheetId="102" r:id="rId3"/>
    <sheet name="ПОЛНАЯ СЕБЕСТОИМОСТЬ ВОДА 2017" sheetId="101" state="hidden" r:id="rId4"/>
    <sheet name="Текущий ремонт" sheetId="100" state="hidden" r:id="rId5"/>
    <sheet name="Чистая прибыль" sheetId="99" state="hidden" r:id="rId6"/>
    <sheet name="Прил. 1 План ФХД табл 1" sheetId="98" state="hidden" r:id="rId7"/>
    <sheet name="Прил. 1 План ФХД стоки табл 2" sheetId="96" state="hidden" r:id="rId8"/>
    <sheet name="Прил. 1 План ФХД вода табл. 2" sheetId="95" state="hidden" r:id="rId9"/>
    <sheet name="Произв. прогр. Стоки (СВОД)" sheetId="94" state="hidden" r:id="rId10"/>
    <sheet name="Произв. прогр. Стоки" sheetId="93" state="hidden" r:id="rId11"/>
    <sheet name="Произв. прогр. Вода (СВОД)" sheetId="92" state="hidden" r:id="rId12"/>
    <sheet name="Произв. прогр. Вода" sheetId="91" state="hidden" r:id="rId13"/>
    <sheet name="Тариф тех.вода 2016-2017 ПЛАН" sheetId="86" state="hidden" r:id="rId14"/>
    <sheet name="Тариф вода 2016-2017 ПЛАН" sheetId="85" state="hidden" r:id="rId15"/>
    <sheet name="ВОДА (СВОД) 2016-2017" sheetId="89" state="hidden" r:id="rId16"/>
    <sheet name="Тариф очистка 2016-2017 ПЛАН" sheetId="88" state="hidden" r:id="rId17"/>
    <sheet name="Тариф стоки 2016-2017 ПЛАН" sheetId="87" state="hidden" r:id="rId18"/>
    <sheet name="СТОКИ (СВОД) 2016-2017" sheetId="90" state="hidden" r:id="rId19"/>
    <sheet name="объемы" sheetId="3" state="hidden" r:id="rId20"/>
    <sheet name="объемы черн" sheetId="59" state="hidden" r:id="rId21"/>
    <sheet name="вода" sheetId="7" state="hidden" r:id="rId22"/>
    <sheet name="стоки" sheetId="8" state="hidden" r:id="rId23"/>
    <sheet name="электр 2017-2018" sheetId="72" state="hidden" r:id="rId24"/>
    <sheet name="электр" sheetId="9" state="hidden" r:id="rId25"/>
    <sheet name="ХР" sheetId="11" state="hidden" r:id="rId26"/>
    <sheet name="Аморт" sheetId="10" state="hidden" r:id="rId27"/>
    <sheet name="ЗП" sheetId="17" state="hidden" r:id="rId28"/>
    <sheet name="ЗП с факт 3 кв. 2015" sheetId="71" state="hidden" r:id="rId29"/>
    <sheet name="ЗП среднемес" sheetId="68" state="hidden" r:id="rId30"/>
    <sheet name="цех вода" sheetId="5" state="hidden" r:id="rId31"/>
    <sheet name="цех стоки" sheetId="6" state="hidden" r:id="rId32"/>
    <sheet name="ОХР " sheetId="19" state="hidden" r:id="rId33"/>
    <sheet name=" текРемвода 2016" sheetId="57" state="hidden" r:id="rId34"/>
    <sheet name="  текРемстоки 2016" sheetId="58" state="hidden" r:id="rId35"/>
    <sheet name="Кап Рем" sheetId="62" state="hidden" r:id="rId36"/>
    <sheet name="кап влож" sheetId="70" state="hidden" r:id="rId37"/>
    <sheet name="Ремонт вода 2016" sheetId="52" state="hidden" r:id="rId38"/>
    <sheet name="Ремонт стоки 2016" sheetId="54" state="hidden" r:id="rId39"/>
    <sheet name="Резерв ДЗ" sheetId="63" state="hidden" r:id="rId40"/>
    <sheet name="Выпадающ15-16" sheetId="36" state="hidden" r:id="rId41"/>
    <sheet name="транс" sheetId="69" state="hidden" r:id="rId42"/>
    <sheet name="вод.налог" sheetId="32" state="hidden" r:id="rId43"/>
    <sheet name="налог на имущ" sheetId="67" state="hidden" r:id="rId44"/>
    <sheet name="Тариф вода 2016-2018" sheetId="61" state="hidden" r:id="rId45"/>
    <sheet name="Тариф тех вода 2016-2018" sheetId="64" state="hidden" r:id="rId46"/>
    <sheet name="Тариф стоки 2016-2018" sheetId="65" state="hidden" r:id="rId47"/>
    <sheet name="Тариф очистка 2016-2018" sheetId="66" state="hidden" r:id="rId48"/>
    <sheet name="расчет тарифов " sheetId="56" state="hidden" r:id="rId49"/>
    <sheet name="Лист2" sheetId="33" state="hidden" r:id="rId50"/>
    <sheet name="Выпадающ" sheetId="60" state="hidden" r:id="rId51"/>
    <sheet name="Ремонт вода 2015" sheetId="34" state="hidden" r:id="rId52"/>
    <sheet name="Ремонт стоки 2015" sheetId="35" state="hidden" r:id="rId53"/>
    <sheet name="платежка с ИП" sheetId="21" state="hidden" r:id="rId54"/>
    <sheet name="Лист1" sheetId="73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4Excel_BuiltIn_Print_Area_59_67_1" localSheetId="28">#REF!</definedName>
    <definedName name="_4Excel_BuiltIn_Print_Area_59_67_1" localSheetId="6">#REF!</definedName>
    <definedName name="_4Excel_BuiltIn_Print_Area_59_67_1" localSheetId="18">#REF!</definedName>
    <definedName name="_4Excel_BuiltIn_Print_Area_59_67_1" localSheetId="14">#REF!</definedName>
    <definedName name="_4Excel_BuiltIn_Print_Area_59_67_1" localSheetId="47">#REF!</definedName>
    <definedName name="_4Excel_BuiltIn_Print_Area_59_67_1" localSheetId="46">#REF!</definedName>
    <definedName name="_4Excel_BuiltIn_Print_Area_59_67_1" localSheetId="45">#REF!</definedName>
    <definedName name="_4Excel_BuiltIn_Print_Area_59_67_1" localSheetId="23">#REF!</definedName>
    <definedName name="_4Excel_BuiltIn_Print_Area_59_67_1">#REF!</definedName>
    <definedName name="_8Excel_BuiltIn_Print_Area_59_74_1" localSheetId="28">#REF!</definedName>
    <definedName name="_8Excel_BuiltIn_Print_Area_59_74_1" localSheetId="6">#REF!</definedName>
    <definedName name="_8Excel_BuiltIn_Print_Area_59_74_1" localSheetId="18">#REF!</definedName>
    <definedName name="_8Excel_BuiltIn_Print_Area_59_74_1" localSheetId="14">#REF!</definedName>
    <definedName name="_8Excel_BuiltIn_Print_Area_59_74_1" localSheetId="47">#REF!</definedName>
    <definedName name="_8Excel_BuiltIn_Print_Area_59_74_1" localSheetId="46">#REF!</definedName>
    <definedName name="_8Excel_BuiltIn_Print_Area_59_74_1" localSheetId="45">#REF!</definedName>
    <definedName name="_8Excel_BuiltIn_Print_Area_59_74_1" localSheetId="23">#REF!</definedName>
    <definedName name="_8Excel_BuiltIn_Print_Area_59_74_1">#REF!</definedName>
    <definedName name="_Pi1" localSheetId="28">'ЗП с факт 3 кв. 2015'!_Pi1</definedName>
    <definedName name="_Pi1" localSheetId="3">#N/A</definedName>
    <definedName name="_Pi1" localSheetId="1">#N/A</definedName>
    <definedName name="_Pi1" localSheetId="8">#N/A</definedName>
    <definedName name="_Pi1" localSheetId="7">#N/A</definedName>
    <definedName name="_Pi1" localSheetId="6">#N/A</definedName>
    <definedName name="_Pi1" localSheetId="12">#N/A</definedName>
    <definedName name="_Pi1" localSheetId="11">#N/A</definedName>
    <definedName name="_Pi1" localSheetId="10">#N/A</definedName>
    <definedName name="_Pi1" localSheetId="9">#N/A</definedName>
    <definedName name="_Pi1" localSheetId="2">#N/A</definedName>
    <definedName name="_Pi1" localSheetId="0">#N/A</definedName>
    <definedName name="_Pi1">'ЗП с факт 3 кв. 2015'!_Pi1</definedName>
    <definedName name="_Pi2" localSheetId="28">'ЗП с факт 3 кв. 2015'!_Pi2</definedName>
    <definedName name="_Pi2" localSheetId="3">#N/A</definedName>
    <definedName name="_Pi2" localSheetId="1">#N/A</definedName>
    <definedName name="_Pi2" localSheetId="8">#N/A</definedName>
    <definedName name="_Pi2" localSheetId="7">#N/A</definedName>
    <definedName name="_Pi2" localSheetId="6">#N/A</definedName>
    <definedName name="_Pi2" localSheetId="12">#N/A</definedName>
    <definedName name="_Pi2" localSheetId="11">#N/A</definedName>
    <definedName name="_Pi2" localSheetId="10">#N/A</definedName>
    <definedName name="_Pi2" localSheetId="9">#N/A</definedName>
    <definedName name="_Pi2" localSheetId="2">#N/A</definedName>
    <definedName name="_Pi2" localSheetId="0">#N/A</definedName>
    <definedName name="_Pi2">'ЗП с факт 3 кв. 2015'!_Pi2</definedName>
    <definedName name="_Pi3" localSheetId="28">'ЗП с факт 3 кв. 2015'!_Pi3</definedName>
    <definedName name="_Pi3" localSheetId="3">#N/A</definedName>
    <definedName name="_Pi3" localSheetId="1">#N/A</definedName>
    <definedName name="_Pi3" localSheetId="8">#N/A</definedName>
    <definedName name="_Pi3" localSheetId="7">#N/A</definedName>
    <definedName name="_Pi3" localSheetId="6">#N/A</definedName>
    <definedName name="_Pi3" localSheetId="12">#N/A</definedName>
    <definedName name="_Pi3" localSheetId="11">#N/A</definedName>
    <definedName name="_Pi3" localSheetId="10">#N/A</definedName>
    <definedName name="_Pi3" localSheetId="9">#N/A</definedName>
    <definedName name="_Pi3" localSheetId="2">#N/A</definedName>
    <definedName name="_Pi3" localSheetId="0">#N/A</definedName>
    <definedName name="_Pi3">'ЗП с факт 3 кв. 2015'!_Pi3</definedName>
    <definedName name="_Pi4" localSheetId="28">'ЗП с факт 3 кв. 2015'!_Pi4</definedName>
    <definedName name="_Pi4" localSheetId="3">#N/A</definedName>
    <definedName name="_Pi4" localSheetId="1">#N/A</definedName>
    <definedName name="_Pi4" localSheetId="8">#N/A</definedName>
    <definedName name="_Pi4" localSheetId="7">#N/A</definedName>
    <definedName name="_Pi4" localSheetId="6">#N/A</definedName>
    <definedName name="_Pi4" localSheetId="12">#N/A</definedName>
    <definedName name="_Pi4" localSheetId="11">#N/A</definedName>
    <definedName name="_Pi4" localSheetId="10">#N/A</definedName>
    <definedName name="_Pi4" localSheetId="9">#N/A</definedName>
    <definedName name="_Pi4" localSheetId="2">#N/A</definedName>
    <definedName name="_Pi4" localSheetId="0">#N/A</definedName>
    <definedName name="_Pi4">'ЗП с факт 3 кв. 2015'!_Pi4</definedName>
    <definedName name="_Pi5" localSheetId="28">'ЗП с факт 3 кв. 2015'!_Pi5</definedName>
    <definedName name="_Pi5" localSheetId="3">#N/A</definedName>
    <definedName name="_Pi5" localSheetId="1">#N/A</definedName>
    <definedName name="_Pi5" localSheetId="8">#N/A</definedName>
    <definedName name="_Pi5" localSheetId="7">#N/A</definedName>
    <definedName name="_Pi5" localSheetId="6">#N/A</definedName>
    <definedName name="_Pi5" localSheetId="12">#N/A</definedName>
    <definedName name="_Pi5" localSheetId="11">#N/A</definedName>
    <definedName name="_Pi5" localSheetId="10">#N/A</definedName>
    <definedName name="_Pi5" localSheetId="9">#N/A</definedName>
    <definedName name="_Pi5" localSheetId="2">#N/A</definedName>
    <definedName name="_Pi5" localSheetId="0">#N/A</definedName>
    <definedName name="_Pi5">'ЗП с факт 3 кв. 2015'!_Pi5</definedName>
    <definedName name="asds" localSheetId="28">'ЗП с факт 3 кв. 2015'!asds</definedName>
    <definedName name="asds" localSheetId="3">#N/A</definedName>
    <definedName name="asds" localSheetId="1">#N/A</definedName>
    <definedName name="asds" localSheetId="8">#N/A</definedName>
    <definedName name="asds" localSheetId="7">#N/A</definedName>
    <definedName name="asds" localSheetId="6">#N/A</definedName>
    <definedName name="asds" localSheetId="12">#N/A</definedName>
    <definedName name="asds" localSheetId="11">#N/A</definedName>
    <definedName name="asds" localSheetId="10">#N/A</definedName>
    <definedName name="asds" localSheetId="9">#N/A</definedName>
    <definedName name="asds" localSheetId="2">#N/A</definedName>
    <definedName name="asds" localSheetId="0">#N/A</definedName>
    <definedName name="asds">'ЗП с факт 3 кв. 2015'!asds</definedName>
    <definedName name="asds_10" localSheetId="28">'ЗП с факт 3 кв. 2015'!asds</definedName>
    <definedName name="asds_10" localSheetId="3">'ПОЛНАЯ СЕБЕСТОИМОСТЬ ВОДА 2017'!asds</definedName>
    <definedName name="asds_10" localSheetId="1">'ПОЛНАЯ СЕБЕСТОИМОСТЬ СТОКИ 2017'!asds</definedName>
    <definedName name="asds_10" localSheetId="8">'Прил. 1 План ФХД вода табл. 2'!asds</definedName>
    <definedName name="asds_10" localSheetId="7">'Прил. 1 План ФХД стоки табл 2'!asds</definedName>
    <definedName name="asds_10" localSheetId="6">'Прил. 1 План ФХД табл 1'!asds</definedName>
    <definedName name="asds_10" localSheetId="12">'Произв. прогр. Вода'!asds</definedName>
    <definedName name="asds_10" localSheetId="11">'Произв. прогр. Вода (СВОД)'!asds</definedName>
    <definedName name="asds_10" localSheetId="10">'Произв. прогр. Стоки'!asds</definedName>
    <definedName name="asds_10" localSheetId="9">'Произв. прогр. Стоки (СВОД)'!asds</definedName>
    <definedName name="asds_10" localSheetId="2">'ФАКТИЧЕСКАЯ СЕБЕСТ ВОДА 2017'!asds</definedName>
    <definedName name="asds_10" localSheetId="0">'ФАКТИЧЕСКАЯ СЕБЕСТ. СТОКИ 2017'!asds</definedName>
    <definedName name="asds_10">[0]!asds</definedName>
    <definedName name="asds_14" localSheetId="28">'ЗП с факт 3 кв. 2015'!asds</definedName>
    <definedName name="asds_14" localSheetId="3">'ПОЛНАЯ СЕБЕСТОИМОСТЬ ВОДА 2017'!asds</definedName>
    <definedName name="asds_14" localSheetId="1">'ПОЛНАЯ СЕБЕСТОИМОСТЬ СТОКИ 2017'!asds</definedName>
    <definedName name="asds_14" localSheetId="8">'Прил. 1 План ФХД вода табл. 2'!asds</definedName>
    <definedName name="asds_14" localSheetId="7">'Прил. 1 План ФХД стоки табл 2'!asds</definedName>
    <definedName name="asds_14" localSheetId="6">'Прил. 1 План ФХД табл 1'!asds</definedName>
    <definedName name="asds_14" localSheetId="12">'Произв. прогр. Вода'!asds</definedName>
    <definedName name="asds_14" localSheetId="11">'Произв. прогр. Вода (СВОД)'!asds</definedName>
    <definedName name="asds_14" localSheetId="10">'Произв. прогр. Стоки'!asds</definedName>
    <definedName name="asds_14" localSheetId="9">'Произв. прогр. Стоки (СВОД)'!asds</definedName>
    <definedName name="asds_14" localSheetId="2">'ФАКТИЧЕСКАЯ СЕБЕСТ ВОДА 2017'!asds</definedName>
    <definedName name="asds_14" localSheetId="0">'ФАКТИЧЕСКАЯ СЕБЕСТ. СТОКИ 2017'!asds</definedName>
    <definedName name="asds_14">[0]!asds</definedName>
    <definedName name="asds_15" localSheetId="28">'ЗП с факт 3 кв. 2015'!asds</definedName>
    <definedName name="asds_15" localSheetId="3">'ПОЛНАЯ СЕБЕСТОИМОСТЬ ВОДА 2017'!asds</definedName>
    <definedName name="asds_15" localSheetId="1">'ПОЛНАЯ СЕБЕСТОИМОСТЬ СТОКИ 2017'!asds</definedName>
    <definedName name="asds_15" localSheetId="8">'Прил. 1 План ФХД вода табл. 2'!asds</definedName>
    <definedName name="asds_15" localSheetId="7">'Прил. 1 План ФХД стоки табл 2'!asds</definedName>
    <definedName name="asds_15" localSheetId="6">'Прил. 1 План ФХД табл 1'!asds</definedName>
    <definedName name="asds_15" localSheetId="12">'Произв. прогр. Вода'!asds</definedName>
    <definedName name="asds_15" localSheetId="11">'Произв. прогр. Вода (СВОД)'!asds</definedName>
    <definedName name="asds_15" localSheetId="10">'Произв. прогр. Стоки'!asds</definedName>
    <definedName name="asds_15" localSheetId="9">'Произв. прогр. Стоки (СВОД)'!asds</definedName>
    <definedName name="asds_15" localSheetId="2">'ФАКТИЧЕСКАЯ СЕБЕСТ ВОДА 2017'!asds</definedName>
    <definedName name="asds_15" localSheetId="0">'ФАКТИЧЕСКАЯ СЕБЕСТ. СТОКИ 2017'!asds</definedName>
    <definedName name="asds_15">[0]!asds</definedName>
    <definedName name="asds_16" localSheetId="28">'ЗП с факт 3 кв. 2015'!asds</definedName>
    <definedName name="asds_16" localSheetId="3">'ПОЛНАЯ СЕБЕСТОИМОСТЬ ВОДА 2017'!asds</definedName>
    <definedName name="asds_16" localSheetId="1">'ПОЛНАЯ СЕБЕСТОИМОСТЬ СТОКИ 2017'!asds</definedName>
    <definedName name="asds_16" localSheetId="8">'Прил. 1 План ФХД вода табл. 2'!asds</definedName>
    <definedName name="asds_16" localSheetId="7">'Прил. 1 План ФХД стоки табл 2'!asds</definedName>
    <definedName name="asds_16" localSheetId="6">'Прил. 1 План ФХД табл 1'!asds</definedName>
    <definedName name="asds_16" localSheetId="12">'Произв. прогр. Вода'!asds</definedName>
    <definedName name="asds_16" localSheetId="11">'Произв. прогр. Вода (СВОД)'!asds</definedName>
    <definedName name="asds_16" localSheetId="10">'Произв. прогр. Стоки'!asds</definedName>
    <definedName name="asds_16" localSheetId="9">'Произв. прогр. Стоки (СВОД)'!asds</definedName>
    <definedName name="asds_16" localSheetId="2">'ФАКТИЧЕСКАЯ СЕБЕСТ ВОДА 2017'!asds</definedName>
    <definedName name="asds_16" localSheetId="0">'ФАКТИЧЕСКАЯ СЕБЕСТ. СТОКИ 2017'!asds</definedName>
    <definedName name="asds_16">[0]!asds</definedName>
    <definedName name="asds_2" localSheetId="28">'ЗП с факт 3 кв. 2015'!asds</definedName>
    <definedName name="asds_2" localSheetId="3">'ПОЛНАЯ СЕБЕСТОИМОСТЬ ВОДА 2017'!asds</definedName>
    <definedName name="asds_2" localSheetId="1">'ПОЛНАЯ СЕБЕСТОИМОСТЬ СТОКИ 2017'!asds</definedName>
    <definedName name="asds_2" localSheetId="8">'Прил. 1 План ФХД вода табл. 2'!asds</definedName>
    <definedName name="asds_2" localSheetId="7">'Прил. 1 План ФХД стоки табл 2'!asds</definedName>
    <definedName name="asds_2" localSheetId="6">'Прил. 1 План ФХД табл 1'!asds</definedName>
    <definedName name="asds_2" localSheetId="12">'Произв. прогр. Вода'!asds</definedName>
    <definedName name="asds_2" localSheetId="11">'Произв. прогр. Вода (СВОД)'!asds</definedName>
    <definedName name="asds_2" localSheetId="10">'Произв. прогр. Стоки'!asds</definedName>
    <definedName name="asds_2" localSheetId="9">'Произв. прогр. Стоки (СВОД)'!asds</definedName>
    <definedName name="asds_2" localSheetId="2">'ФАКТИЧЕСКАЯ СЕБЕСТ ВОДА 2017'!asds</definedName>
    <definedName name="asds_2" localSheetId="0">'ФАКТИЧЕСКАЯ СЕБЕСТ. СТОКИ 2017'!asds</definedName>
    <definedName name="asds_2">[0]!asds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>[3]Список!$J$2</definedName>
    <definedName name="CY_75">[3]Список!$J$2</definedName>
    <definedName name="dfhf">[3]Список!$J$2</definedName>
    <definedName name="end_chart" localSheetId="28">'ЗП с факт 3 кв. 2015'!end_chart</definedName>
    <definedName name="end_chart" localSheetId="3">#N/A</definedName>
    <definedName name="end_chart" localSheetId="1">#N/A</definedName>
    <definedName name="end_chart" localSheetId="8">#N/A</definedName>
    <definedName name="end_chart" localSheetId="7">#N/A</definedName>
    <definedName name="end_chart" localSheetId="6">#N/A</definedName>
    <definedName name="end_chart" localSheetId="12">#N/A</definedName>
    <definedName name="end_chart" localSheetId="11">#N/A</definedName>
    <definedName name="end_chart" localSheetId="10">#N/A</definedName>
    <definedName name="end_chart" localSheetId="9">#N/A</definedName>
    <definedName name="end_chart" localSheetId="2">#N/A</definedName>
    <definedName name="end_chart" localSheetId="0">#N/A</definedName>
    <definedName name="end_chart">'ЗП с факт 3 кв. 2015'!end_chart</definedName>
    <definedName name="end_chart_10" localSheetId="28">'ЗП с факт 3 кв. 2015'!end_chart</definedName>
    <definedName name="end_chart_10" localSheetId="3">'ПОЛНАЯ СЕБЕСТОИМОСТЬ ВОДА 2017'!end_chart</definedName>
    <definedName name="end_chart_10" localSheetId="1">'ПОЛНАЯ СЕБЕСТОИМОСТЬ СТОКИ 2017'!end_chart</definedName>
    <definedName name="end_chart_10" localSheetId="8">'Прил. 1 План ФХД вода табл. 2'!end_chart</definedName>
    <definedName name="end_chart_10" localSheetId="7">'Прил. 1 План ФХД стоки табл 2'!end_chart</definedName>
    <definedName name="end_chart_10" localSheetId="6">'Прил. 1 План ФХД табл 1'!end_chart</definedName>
    <definedName name="end_chart_10" localSheetId="12">'Произв. прогр. Вода'!end_chart</definedName>
    <definedName name="end_chart_10" localSheetId="11">'Произв. прогр. Вода (СВОД)'!end_chart</definedName>
    <definedName name="end_chart_10" localSheetId="10">'Произв. прогр. Стоки'!end_chart</definedName>
    <definedName name="end_chart_10" localSheetId="9">'Произв. прогр. Стоки (СВОД)'!end_chart</definedName>
    <definedName name="end_chart_10" localSheetId="2">'ФАКТИЧЕСКАЯ СЕБЕСТ ВОДА 2017'!end_chart</definedName>
    <definedName name="end_chart_10" localSheetId="0">'ФАКТИЧЕСКАЯ СЕБЕСТ. СТОКИ 2017'!end_chart</definedName>
    <definedName name="end_chart_10">[0]!end_chart</definedName>
    <definedName name="end_chart_14" localSheetId="28">'ЗП с факт 3 кв. 2015'!end_chart</definedName>
    <definedName name="end_chart_14" localSheetId="3">'ПОЛНАЯ СЕБЕСТОИМОСТЬ ВОДА 2017'!end_chart</definedName>
    <definedName name="end_chart_14" localSheetId="1">'ПОЛНАЯ СЕБЕСТОИМОСТЬ СТОКИ 2017'!end_chart</definedName>
    <definedName name="end_chart_14" localSheetId="8">'Прил. 1 План ФХД вода табл. 2'!end_chart</definedName>
    <definedName name="end_chart_14" localSheetId="7">'Прил. 1 План ФХД стоки табл 2'!end_chart</definedName>
    <definedName name="end_chart_14" localSheetId="6">'Прил. 1 План ФХД табл 1'!end_chart</definedName>
    <definedName name="end_chart_14" localSheetId="12">'Произв. прогр. Вода'!end_chart</definedName>
    <definedName name="end_chart_14" localSheetId="11">'Произв. прогр. Вода (СВОД)'!end_chart</definedName>
    <definedName name="end_chart_14" localSheetId="10">'Произв. прогр. Стоки'!end_chart</definedName>
    <definedName name="end_chart_14" localSheetId="9">'Произв. прогр. Стоки (СВОД)'!end_chart</definedName>
    <definedName name="end_chart_14" localSheetId="2">'ФАКТИЧЕСКАЯ СЕБЕСТ ВОДА 2017'!end_chart</definedName>
    <definedName name="end_chart_14" localSheetId="0">'ФАКТИЧЕСКАЯ СЕБЕСТ. СТОКИ 2017'!end_chart</definedName>
    <definedName name="end_chart_14">[0]!end_chart</definedName>
    <definedName name="end_chart_15" localSheetId="28">'ЗП с факт 3 кв. 2015'!end_chart</definedName>
    <definedName name="end_chart_15" localSheetId="3">'ПОЛНАЯ СЕБЕСТОИМОСТЬ ВОДА 2017'!end_chart</definedName>
    <definedName name="end_chart_15" localSheetId="1">'ПОЛНАЯ СЕБЕСТОИМОСТЬ СТОКИ 2017'!end_chart</definedName>
    <definedName name="end_chart_15" localSheetId="8">'Прил. 1 План ФХД вода табл. 2'!end_chart</definedName>
    <definedName name="end_chart_15" localSheetId="7">'Прил. 1 План ФХД стоки табл 2'!end_chart</definedName>
    <definedName name="end_chart_15" localSheetId="6">'Прил. 1 План ФХД табл 1'!end_chart</definedName>
    <definedName name="end_chart_15" localSheetId="12">'Произв. прогр. Вода'!end_chart</definedName>
    <definedName name="end_chart_15" localSheetId="11">'Произв. прогр. Вода (СВОД)'!end_chart</definedName>
    <definedName name="end_chart_15" localSheetId="10">'Произв. прогр. Стоки'!end_chart</definedName>
    <definedName name="end_chart_15" localSheetId="9">'Произв. прогр. Стоки (СВОД)'!end_chart</definedName>
    <definedName name="end_chart_15" localSheetId="2">'ФАКТИЧЕСКАЯ СЕБЕСТ ВОДА 2017'!end_chart</definedName>
    <definedName name="end_chart_15" localSheetId="0">'ФАКТИЧЕСКАЯ СЕБЕСТ. СТОКИ 2017'!end_chart</definedName>
    <definedName name="end_chart_15">[0]!end_chart</definedName>
    <definedName name="end_chart_16" localSheetId="28">'ЗП с факт 3 кв. 2015'!end_chart</definedName>
    <definedName name="end_chart_16" localSheetId="3">'ПОЛНАЯ СЕБЕСТОИМОСТЬ ВОДА 2017'!end_chart</definedName>
    <definedName name="end_chart_16" localSheetId="1">'ПОЛНАЯ СЕБЕСТОИМОСТЬ СТОКИ 2017'!end_chart</definedName>
    <definedName name="end_chart_16" localSheetId="8">'Прил. 1 План ФХД вода табл. 2'!end_chart</definedName>
    <definedName name="end_chart_16" localSheetId="7">'Прил. 1 План ФХД стоки табл 2'!end_chart</definedName>
    <definedName name="end_chart_16" localSheetId="6">'Прил. 1 План ФХД табл 1'!end_chart</definedName>
    <definedName name="end_chart_16" localSheetId="12">'Произв. прогр. Вода'!end_chart</definedName>
    <definedName name="end_chart_16" localSheetId="11">'Произв. прогр. Вода (СВОД)'!end_chart</definedName>
    <definedName name="end_chart_16" localSheetId="10">'Произв. прогр. Стоки'!end_chart</definedName>
    <definedName name="end_chart_16" localSheetId="9">'Произв. прогр. Стоки (СВОД)'!end_chart</definedName>
    <definedName name="end_chart_16" localSheetId="2">'ФАКТИЧЕСКАЯ СЕБЕСТ ВОДА 2017'!end_chart</definedName>
    <definedName name="end_chart_16" localSheetId="0">'ФАКТИЧЕСКАЯ СЕБЕСТ. СТОКИ 2017'!end_chart</definedName>
    <definedName name="end_chart_16">[0]!end_chart</definedName>
    <definedName name="end_chart_2" localSheetId="28">'ЗП с факт 3 кв. 2015'!end_chart</definedName>
    <definedName name="end_chart_2" localSheetId="3">'ПОЛНАЯ СЕБЕСТОИМОСТЬ ВОДА 2017'!end_chart</definedName>
    <definedName name="end_chart_2" localSheetId="1">'ПОЛНАЯ СЕБЕСТОИМОСТЬ СТОКИ 2017'!end_chart</definedName>
    <definedName name="end_chart_2" localSheetId="8">'Прил. 1 План ФХД вода табл. 2'!end_chart</definedName>
    <definedName name="end_chart_2" localSheetId="7">'Прил. 1 План ФХД стоки табл 2'!end_chart</definedName>
    <definedName name="end_chart_2" localSheetId="6">'Прил. 1 План ФХД табл 1'!end_chart</definedName>
    <definedName name="end_chart_2" localSheetId="12">'Произв. прогр. Вода'!end_chart</definedName>
    <definedName name="end_chart_2" localSheetId="11">'Произв. прогр. Вода (СВОД)'!end_chart</definedName>
    <definedName name="end_chart_2" localSheetId="10">'Произв. прогр. Стоки'!end_chart</definedName>
    <definedName name="end_chart_2" localSheetId="9">'Произв. прогр. Стоки (СВОД)'!end_chart</definedName>
    <definedName name="end_chart_2" localSheetId="2">'ФАКТИЧЕСКАЯ СЕБЕСТ ВОДА 2017'!end_chart</definedName>
    <definedName name="end_chart_2" localSheetId="0">'ФАКТИЧЕСКАЯ СЕБЕСТ. СТОКИ 2017'!end_chart</definedName>
    <definedName name="end_chart_2">[0]!end_chart</definedName>
    <definedName name="end_tabl" localSheetId="28">'ЗП с факт 3 кв. 2015'!end_tabl</definedName>
    <definedName name="end_tabl" localSheetId="3">#N/A</definedName>
    <definedName name="end_tabl" localSheetId="1">#N/A</definedName>
    <definedName name="end_tabl" localSheetId="8">#N/A</definedName>
    <definedName name="end_tabl" localSheetId="7">#N/A</definedName>
    <definedName name="end_tabl" localSheetId="6">#N/A</definedName>
    <definedName name="end_tabl" localSheetId="12">#N/A</definedName>
    <definedName name="end_tabl" localSheetId="11">#N/A</definedName>
    <definedName name="end_tabl" localSheetId="10">#N/A</definedName>
    <definedName name="end_tabl" localSheetId="9">#N/A</definedName>
    <definedName name="end_tabl" localSheetId="2">#N/A</definedName>
    <definedName name="end_tabl" localSheetId="0">#N/A</definedName>
    <definedName name="end_tabl">'ЗП с факт 3 кв. 2015'!end_tabl</definedName>
    <definedName name="end_tabl_10" localSheetId="28">'ЗП с факт 3 кв. 2015'!end_tabl</definedName>
    <definedName name="end_tabl_10" localSheetId="3">'ПОЛНАЯ СЕБЕСТОИМОСТЬ ВОДА 2017'!end_tabl</definedName>
    <definedName name="end_tabl_10" localSheetId="1">'ПОЛНАЯ СЕБЕСТОИМОСТЬ СТОКИ 2017'!end_tabl</definedName>
    <definedName name="end_tabl_10" localSheetId="8">'Прил. 1 План ФХД вода табл. 2'!end_tabl</definedName>
    <definedName name="end_tabl_10" localSheetId="7">'Прил. 1 План ФХД стоки табл 2'!end_tabl</definedName>
    <definedName name="end_tabl_10" localSheetId="6">'Прил. 1 План ФХД табл 1'!end_tabl</definedName>
    <definedName name="end_tabl_10" localSheetId="12">'Произв. прогр. Вода'!end_tabl</definedName>
    <definedName name="end_tabl_10" localSheetId="11">'Произв. прогр. Вода (СВОД)'!end_tabl</definedName>
    <definedName name="end_tabl_10" localSheetId="10">'Произв. прогр. Стоки'!end_tabl</definedName>
    <definedName name="end_tabl_10" localSheetId="9">'Произв. прогр. Стоки (СВОД)'!end_tabl</definedName>
    <definedName name="end_tabl_10" localSheetId="2">'ФАКТИЧЕСКАЯ СЕБЕСТ ВОДА 2017'!end_tabl</definedName>
    <definedName name="end_tabl_10" localSheetId="0">'ФАКТИЧЕСКАЯ СЕБЕСТ. СТОКИ 2017'!end_tabl</definedName>
    <definedName name="end_tabl_10">[0]!end_tabl</definedName>
    <definedName name="end_tabl_14" localSheetId="28">'ЗП с факт 3 кв. 2015'!end_tabl</definedName>
    <definedName name="end_tabl_14" localSheetId="3">'ПОЛНАЯ СЕБЕСТОИМОСТЬ ВОДА 2017'!end_tabl</definedName>
    <definedName name="end_tabl_14" localSheetId="1">'ПОЛНАЯ СЕБЕСТОИМОСТЬ СТОКИ 2017'!end_tabl</definedName>
    <definedName name="end_tabl_14" localSheetId="8">'Прил. 1 План ФХД вода табл. 2'!end_tabl</definedName>
    <definedName name="end_tabl_14" localSheetId="7">'Прил. 1 План ФХД стоки табл 2'!end_tabl</definedName>
    <definedName name="end_tabl_14" localSheetId="6">'Прил. 1 План ФХД табл 1'!end_tabl</definedName>
    <definedName name="end_tabl_14" localSheetId="12">'Произв. прогр. Вода'!end_tabl</definedName>
    <definedName name="end_tabl_14" localSheetId="11">'Произв. прогр. Вода (СВОД)'!end_tabl</definedName>
    <definedName name="end_tabl_14" localSheetId="10">'Произв. прогр. Стоки'!end_tabl</definedName>
    <definedName name="end_tabl_14" localSheetId="9">'Произв. прогр. Стоки (СВОД)'!end_tabl</definedName>
    <definedName name="end_tabl_14" localSheetId="2">'ФАКТИЧЕСКАЯ СЕБЕСТ ВОДА 2017'!end_tabl</definedName>
    <definedName name="end_tabl_14" localSheetId="0">'ФАКТИЧЕСКАЯ СЕБЕСТ. СТОКИ 2017'!end_tabl</definedName>
    <definedName name="end_tabl_14">[0]!end_tabl</definedName>
    <definedName name="end_tabl_15" localSheetId="28">'ЗП с факт 3 кв. 2015'!end_tabl</definedName>
    <definedName name="end_tabl_15" localSheetId="3">'ПОЛНАЯ СЕБЕСТОИМОСТЬ ВОДА 2017'!end_tabl</definedName>
    <definedName name="end_tabl_15" localSheetId="1">'ПОЛНАЯ СЕБЕСТОИМОСТЬ СТОКИ 2017'!end_tabl</definedName>
    <definedName name="end_tabl_15" localSheetId="8">'Прил. 1 План ФХД вода табл. 2'!end_tabl</definedName>
    <definedName name="end_tabl_15" localSheetId="7">'Прил. 1 План ФХД стоки табл 2'!end_tabl</definedName>
    <definedName name="end_tabl_15" localSheetId="6">'Прил. 1 План ФХД табл 1'!end_tabl</definedName>
    <definedName name="end_tabl_15" localSheetId="12">'Произв. прогр. Вода'!end_tabl</definedName>
    <definedName name="end_tabl_15" localSheetId="11">'Произв. прогр. Вода (СВОД)'!end_tabl</definedName>
    <definedName name="end_tabl_15" localSheetId="10">'Произв. прогр. Стоки'!end_tabl</definedName>
    <definedName name="end_tabl_15" localSheetId="9">'Произв. прогр. Стоки (СВОД)'!end_tabl</definedName>
    <definedName name="end_tabl_15" localSheetId="2">'ФАКТИЧЕСКАЯ СЕБЕСТ ВОДА 2017'!end_tabl</definedName>
    <definedName name="end_tabl_15" localSheetId="0">'ФАКТИЧЕСКАЯ СЕБЕСТ. СТОКИ 2017'!end_tabl</definedName>
    <definedName name="end_tabl_15">[0]!end_tabl</definedName>
    <definedName name="end_tabl_16" localSheetId="28">'ЗП с факт 3 кв. 2015'!end_tabl</definedName>
    <definedName name="end_tabl_16" localSheetId="3">'ПОЛНАЯ СЕБЕСТОИМОСТЬ ВОДА 2017'!end_tabl</definedName>
    <definedName name="end_tabl_16" localSheetId="1">'ПОЛНАЯ СЕБЕСТОИМОСТЬ СТОКИ 2017'!end_tabl</definedName>
    <definedName name="end_tabl_16" localSheetId="8">'Прил. 1 План ФХД вода табл. 2'!end_tabl</definedName>
    <definedName name="end_tabl_16" localSheetId="7">'Прил. 1 План ФХД стоки табл 2'!end_tabl</definedName>
    <definedName name="end_tabl_16" localSheetId="6">'Прил. 1 План ФХД табл 1'!end_tabl</definedName>
    <definedName name="end_tabl_16" localSheetId="12">'Произв. прогр. Вода'!end_tabl</definedName>
    <definedName name="end_tabl_16" localSheetId="11">'Произв. прогр. Вода (СВОД)'!end_tabl</definedName>
    <definedName name="end_tabl_16" localSheetId="10">'Произв. прогр. Стоки'!end_tabl</definedName>
    <definedName name="end_tabl_16" localSheetId="9">'Произв. прогр. Стоки (СВОД)'!end_tabl</definedName>
    <definedName name="end_tabl_16" localSheetId="2">'ФАКТИЧЕСКАЯ СЕБЕСТ ВОДА 2017'!end_tabl</definedName>
    <definedName name="end_tabl_16" localSheetId="0">'ФАКТИЧЕСКАЯ СЕБЕСТ. СТОКИ 2017'!end_tabl</definedName>
    <definedName name="end_tabl_16">[0]!end_tabl</definedName>
    <definedName name="end_tabl_2" localSheetId="28">'ЗП с факт 3 кв. 2015'!end_tabl</definedName>
    <definedName name="end_tabl_2" localSheetId="3">'ПОЛНАЯ СЕБЕСТОИМОСТЬ ВОДА 2017'!end_tabl</definedName>
    <definedName name="end_tabl_2" localSheetId="1">'ПОЛНАЯ СЕБЕСТОИМОСТЬ СТОКИ 2017'!end_tabl</definedName>
    <definedName name="end_tabl_2" localSheetId="8">'Прил. 1 План ФХД вода табл. 2'!end_tabl</definedName>
    <definedName name="end_tabl_2" localSheetId="7">'Прил. 1 План ФХД стоки табл 2'!end_tabl</definedName>
    <definedName name="end_tabl_2" localSheetId="6">'Прил. 1 План ФХД табл 1'!end_tabl</definedName>
    <definedName name="end_tabl_2" localSheetId="12">'Произв. прогр. Вода'!end_tabl</definedName>
    <definedName name="end_tabl_2" localSheetId="11">'Произв. прогр. Вода (СВОД)'!end_tabl</definedName>
    <definedName name="end_tabl_2" localSheetId="10">'Произв. прогр. Стоки'!end_tabl</definedName>
    <definedName name="end_tabl_2" localSheetId="9">'Произв. прогр. Стоки (СВОД)'!end_tabl</definedName>
    <definedName name="end_tabl_2" localSheetId="2">'ФАКТИЧЕСКАЯ СЕБЕСТ ВОДА 2017'!end_tabl</definedName>
    <definedName name="end_tabl_2" localSheetId="0">'ФАКТИЧЕСКАЯ СЕБЕСТ. СТОКИ 2017'!end_tabl</definedName>
    <definedName name="end_tabl_2">[0]!end_tabl</definedName>
    <definedName name="Excel_BuiltIn__FilterDatabase" localSheetId="28">#REF!</definedName>
    <definedName name="Excel_BuiltIn__FilterDatabase" localSheetId="6">#REF!</definedName>
    <definedName name="Excel_BuiltIn__FilterDatabase" localSheetId="18">#REF!</definedName>
    <definedName name="Excel_BuiltIn__FilterDatabase" localSheetId="14">#REF!</definedName>
    <definedName name="Excel_BuiltIn__FilterDatabase" localSheetId="47">#REF!</definedName>
    <definedName name="Excel_BuiltIn__FilterDatabase" localSheetId="46">#REF!</definedName>
    <definedName name="Excel_BuiltIn__FilterDatabase" localSheetId="45">#REF!</definedName>
    <definedName name="Excel_BuiltIn__FilterDatabase" localSheetId="23">#REF!</definedName>
    <definedName name="Excel_BuiltIn__FilterDatabase">#REF!</definedName>
    <definedName name="Excel_BuiltIn_Print_Area_15" localSheetId="28">'[4]распределение январь по бухг.'!#REF!</definedName>
    <definedName name="Excel_BuiltIn_Print_Area_15" localSheetId="6">'[4]распределение январь по бухг.'!#REF!</definedName>
    <definedName name="Excel_BuiltIn_Print_Area_15" localSheetId="18">'[4]распределение январь по бухг.'!#REF!</definedName>
    <definedName name="Excel_BuiltIn_Print_Area_15" localSheetId="14">'[4]распределение январь по бухг.'!#REF!</definedName>
    <definedName name="Excel_BuiltIn_Print_Area_15" localSheetId="47">'[4]распределение январь по бухг.'!#REF!</definedName>
    <definedName name="Excel_BuiltIn_Print_Area_15" localSheetId="46">'[4]распределение январь по бухг.'!#REF!</definedName>
    <definedName name="Excel_BuiltIn_Print_Area_15" localSheetId="45">'[4]распределение январь по бухг.'!#REF!</definedName>
    <definedName name="Excel_BuiltIn_Print_Area_15" localSheetId="23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28">[4]расшифровка!#REF!</definedName>
    <definedName name="Excel_BuiltIn_Print_Area_21" localSheetId="6">[4]расшифровка!#REF!</definedName>
    <definedName name="Excel_BuiltIn_Print_Area_21" localSheetId="18">[4]расшифровка!#REF!</definedName>
    <definedName name="Excel_BuiltIn_Print_Area_21" localSheetId="14">[4]расшифровка!#REF!</definedName>
    <definedName name="Excel_BuiltIn_Print_Area_21" localSheetId="47">[4]расшифровка!#REF!</definedName>
    <definedName name="Excel_BuiltIn_Print_Area_21" localSheetId="46">[4]расшифровка!#REF!</definedName>
    <definedName name="Excel_BuiltIn_Print_Area_21" localSheetId="45">[4]расшифровка!#REF!</definedName>
    <definedName name="Excel_BuiltIn_Print_Area_21" localSheetId="23">[4]расшифровка!#REF!</definedName>
    <definedName name="Excel_BuiltIn_Print_Area_21">[4]расшифровка!#REF!</definedName>
    <definedName name="Excel_BuiltIn_Print_Area_22" localSheetId="28">'[4]ЗП и резервы'!#REF!</definedName>
    <definedName name="Excel_BuiltIn_Print_Area_22" localSheetId="6">'[4]ЗП и резервы'!#REF!</definedName>
    <definedName name="Excel_BuiltIn_Print_Area_22" localSheetId="18">'[4]ЗП и резервы'!#REF!</definedName>
    <definedName name="Excel_BuiltIn_Print_Area_22" localSheetId="14">'[4]ЗП и резервы'!#REF!</definedName>
    <definedName name="Excel_BuiltIn_Print_Area_22" localSheetId="47">'[4]ЗП и резервы'!#REF!</definedName>
    <definedName name="Excel_BuiltIn_Print_Area_22" localSheetId="46">'[4]ЗП и резервы'!#REF!</definedName>
    <definedName name="Excel_BuiltIn_Print_Area_22" localSheetId="45">'[4]ЗП и резервы'!#REF!</definedName>
    <definedName name="Excel_BuiltIn_Print_Area_22" localSheetId="23">'[4]ЗП и резервы'!#REF!</definedName>
    <definedName name="Excel_BuiltIn_Print_Area_22">'[4]ЗП и резервы'!#REF!</definedName>
    <definedName name="Excel_BuiltIn_Print_Area_4" localSheetId="28">[5]Прибыль1!#REF!</definedName>
    <definedName name="Excel_BuiltIn_Print_Area_4" localSheetId="6">[5]Прибыль1!#REF!</definedName>
    <definedName name="Excel_BuiltIn_Print_Area_4" localSheetId="18">[5]Прибыль1!#REF!</definedName>
    <definedName name="Excel_BuiltIn_Print_Area_4" localSheetId="14">[5]Прибыль1!#REF!</definedName>
    <definedName name="Excel_BuiltIn_Print_Area_4" localSheetId="47">[5]Прибыль1!#REF!</definedName>
    <definedName name="Excel_BuiltIn_Print_Area_4" localSheetId="46">[5]Прибыль1!#REF!</definedName>
    <definedName name="Excel_BuiltIn_Print_Area_4" localSheetId="45">[5]Прибыль1!#REF!</definedName>
    <definedName name="Excel_BuiltIn_Print_Area_4" localSheetId="23">[5]Прибыль1!#REF!</definedName>
    <definedName name="Excel_BuiltIn_Print_Area_4">[5]Прибыль1!#REF!</definedName>
    <definedName name="Excel_BuiltIn_Print_Area_5" localSheetId="28">#REF!</definedName>
    <definedName name="Excel_BuiltIn_Print_Area_5" localSheetId="6">#REF!</definedName>
    <definedName name="Excel_BuiltIn_Print_Area_5" localSheetId="18">#REF!</definedName>
    <definedName name="Excel_BuiltIn_Print_Area_5" localSheetId="14">#REF!</definedName>
    <definedName name="Excel_BuiltIn_Print_Area_5" localSheetId="47">#REF!</definedName>
    <definedName name="Excel_BuiltIn_Print_Area_5" localSheetId="46">#REF!</definedName>
    <definedName name="Excel_BuiltIn_Print_Area_5" localSheetId="45">#REF!</definedName>
    <definedName name="Excel_BuiltIn_Print_Area_5" localSheetId="23">#REF!</definedName>
    <definedName name="Excel_BuiltIn_Print_Area_5">#REF!</definedName>
    <definedName name="Excel_BuiltIn_Print_Area_59" localSheetId="28">#REF!</definedName>
    <definedName name="Excel_BuiltIn_Print_Area_59" localSheetId="6">#REF!</definedName>
    <definedName name="Excel_BuiltIn_Print_Area_59" localSheetId="18">#REF!</definedName>
    <definedName name="Excel_BuiltIn_Print_Area_59" localSheetId="14">#REF!</definedName>
    <definedName name="Excel_BuiltIn_Print_Area_59" localSheetId="47">#REF!</definedName>
    <definedName name="Excel_BuiltIn_Print_Area_59" localSheetId="46">#REF!</definedName>
    <definedName name="Excel_BuiltIn_Print_Area_59" localSheetId="45">#REF!</definedName>
    <definedName name="Excel_BuiltIn_Print_Area_59" localSheetId="23">#REF!</definedName>
    <definedName name="Excel_BuiltIn_Print_Area_59">#REF!</definedName>
    <definedName name="Excel_BuiltIn_Print_Area_59_1" localSheetId="28">#REF!</definedName>
    <definedName name="Excel_BuiltIn_Print_Area_59_1" localSheetId="6">#REF!</definedName>
    <definedName name="Excel_BuiltIn_Print_Area_59_1" localSheetId="18">#REF!</definedName>
    <definedName name="Excel_BuiltIn_Print_Area_59_1" localSheetId="14">#REF!</definedName>
    <definedName name="Excel_BuiltIn_Print_Area_59_1" localSheetId="47">#REF!</definedName>
    <definedName name="Excel_BuiltIn_Print_Area_59_1" localSheetId="46">#REF!</definedName>
    <definedName name="Excel_BuiltIn_Print_Area_59_1" localSheetId="45">#REF!</definedName>
    <definedName name="Excel_BuiltIn_Print_Area_59_1" localSheetId="23">#REF!</definedName>
    <definedName name="Excel_BuiltIn_Print_Area_59_1">#REF!</definedName>
    <definedName name="Excel_BuiltIn_Print_Area_59_10" localSheetId="6">#REF!</definedName>
    <definedName name="Excel_BuiltIn_Print_Area_59_10" localSheetId="18">#REF!</definedName>
    <definedName name="Excel_BuiltIn_Print_Area_59_10" localSheetId="14">#REF!</definedName>
    <definedName name="Excel_BuiltIn_Print_Area_59_10" localSheetId="47">#REF!</definedName>
    <definedName name="Excel_BuiltIn_Print_Area_59_10" localSheetId="46">#REF!</definedName>
    <definedName name="Excel_BuiltIn_Print_Area_59_10" localSheetId="45">#REF!</definedName>
    <definedName name="Excel_BuiltIn_Print_Area_59_10" localSheetId="23">#REF!</definedName>
    <definedName name="Excel_BuiltIn_Print_Area_59_10">#REF!</definedName>
    <definedName name="Excel_BuiltIn_Print_Area_59_11" localSheetId="6">#REF!</definedName>
    <definedName name="Excel_BuiltIn_Print_Area_59_11" localSheetId="18">#REF!</definedName>
    <definedName name="Excel_BuiltIn_Print_Area_59_11" localSheetId="14">#REF!</definedName>
    <definedName name="Excel_BuiltIn_Print_Area_59_11" localSheetId="47">#REF!</definedName>
    <definedName name="Excel_BuiltIn_Print_Area_59_11" localSheetId="46">#REF!</definedName>
    <definedName name="Excel_BuiltIn_Print_Area_59_11" localSheetId="45">#REF!</definedName>
    <definedName name="Excel_BuiltIn_Print_Area_59_11" localSheetId="23">#REF!</definedName>
    <definedName name="Excel_BuiltIn_Print_Area_59_11">#REF!</definedName>
    <definedName name="Excel_BuiltIn_Print_Area_59_13" localSheetId="6">#REF!</definedName>
    <definedName name="Excel_BuiltIn_Print_Area_59_13" localSheetId="18">#REF!</definedName>
    <definedName name="Excel_BuiltIn_Print_Area_59_13" localSheetId="14">#REF!</definedName>
    <definedName name="Excel_BuiltIn_Print_Area_59_13" localSheetId="47">#REF!</definedName>
    <definedName name="Excel_BuiltIn_Print_Area_59_13" localSheetId="46">#REF!</definedName>
    <definedName name="Excel_BuiltIn_Print_Area_59_13" localSheetId="45">#REF!</definedName>
    <definedName name="Excel_BuiltIn_Print_Area_59_13" localSheetId="23">#REF!</definedName>
    <definedName name="Excel_BuiltIn_Print_Area_59_13">#REF!</definedName>
    <definedName name="Excel_BuiltIn_Print_Area_59_14" localSheetId="6">#REF!</definedName>
    <definedName name="Excel_BuiltIn_Print_Area_59_14" localSheetId="18">#REF!</definedName>
    <definedName name="Excel_BuiltIn_Print_Area_59_14" localSheetId="14">#REF!</definedName>
    <definedName name="Excel_BuiltIn_Print_Area_59_14" localSheetId="47">#REF!</definedName>
    <definedName name="Excel_BuiltIn_Print_Area_59_14" localSheetId="46">#REF!</definedName>
    <definedName name="Excel_BuiltIn_Print_Area_59_14" localSheetId="45">#REF!</definedName>
    <definedName name="Excel_BuiltIn_Print_Area_59_14" localSheetId="23">#REF!</definedName>
    <definedName name="Excel_BuiltIn_Print_Area_59_14">#REF!</definedName>
    <definedName name="Excel_BuiltIn_Print_Area_59_15" localSheetId="6">#REF!</definedName>
    <definedName name="Excel_BuiltIn_Print_Area_59_15" localSheetId="18">#REF!</definedName>
    <definedName name="Excel_BuiltIn_Print_Area_59_15" localSheetId="14">#REF!</definedName>
    <definedName name="Excel_BuiltIn_Print_Area_59_15" localSheetId="47">#REF!</definedName>
    <definedName name="Excel_BuiltIn_Print_Area_59_15" localSheetId="46">#REF!</definedName>
    <definedName name="Excel_BuiltIn_Print_Area_59_15" localSheetId="45">#REF!</definedName>
    <definedName name="Excel_BuiltIn_Print_Area_59_15" localSheetId="23">#REF!</definedName>
    <definedName name="Excel_BuiltIn_Print_Area_59_15">#REF!</definedName>
    <definedName name="Excel_BuiltIn_Print_Area_59_16" localSheetId="6">#REF!</definedName>
    <definedName name="Excel_BuiltIn_Print_Area_59_16" localSheetId="18">#REF!</definedName>
    <definedName name="Excel_BuiltIn_Print_Area_59_16" localSheetId="14">#REF!</definedName>
    <definedName name="Excel_BuiltIn_Print_Area_59_16" localSheetId="47">#REF!</definedName>
    <definedName name="Excel_BuiltIn_Print_Area_59_16" localSheetId="46">#REF!</definedName>
    <definedName name="Excel_BuiltIn_Print_Area_59_16" localSheetId="45">#REF!</definedName>
    <definedName name="Excel_BuiltIn_Print_Area_59_16" localSheetId="23">#REF!</definedName>
    <definedName name="Excel_BuiltIn_Print_Area_59_16">#REF!</definedName>
    <definedName name="Excel_BuiltIn_Print_Area_59_2" localSheetId="6">#REF!</definedName>
    <definedName name="Excel_BuiltIn_Print_Area_59_2" localSheetId="18">#REF!</definedName>
    <definedName name="Excel_BuiltIn_Print_Area_59_2" localSheetId="14">#REF!</definedName>
    <definedName name="Excel_BuiltIn_Print_Area_59_2" localSheetId="47">#REF!</definedName>
    <definedName name="Excel_BuiltIn_Print_Area_59_2" localSheetId="46">#REF!</definedName>
    <definedName name="Excel_BuiltIn_Print_Area_59_2" localSheetId="45">#REF!</definedName>
    <definedName name="Excel_BuiltIn_Print_Area_59_2" localSheetId="23">#REF!</definedName>
    <definedName name="Excel_BuiltIn_Print_Area_59_2">#REF!</definedName>
    <definedName name="Excel_BuiltIn_Print_Area_59_22" localSheetId="6">#REF!</definedName>
    <definedName name="Excel_BuiltIn_Print_Area_59_22" localSheetId="18">#REF!</definedName>
    <definedName name="Excel_BuiltIn_Print_Area_59_22" localSheetId="14">#REF!</definedName>
    <definedName name="Excel_BuiltIn_Print_Area_59_22" localSheetId="47">#REF!</definedName>
    <definedName name="Excel_BuiltIn_Print_Area_59_22" localSheetId="46">#REF!</definedName>
    <definedName name="Excel_BuiltIn_Print_Area_59_22" localSheetId="45">#REF!</definedName>
    <definedName name="Excel_BuiltIn_Print_Area_59_22" localSheetId="23">#REF!</definedName>
    <definedName name="Excel_BuiltIn_Print_Area_59_22">#REF!</definedName>
    <definedName name="Excel_BuiltIn_Print_Area_59_25" localSheetId="6">#REF!</definedName>
    <definedName name="Excel_BuiltIn_Print_Area_59_25" localSheetId="18">#REF!</definedName>
    <definedName name="Excel_BuiltIn_Print_Area_59_25" localSheetId="14">#REF!</definedName>
    <definedName name="Excel_BuiltIn_Print_Area_59_25" localSheetId="47">#REF!</definedName>
    <definedName name="Excel_BuiltIn_Print_Area_59_25" localSheetId="46">#REF!</definedName>
    <definedName name="Excel_BuiltIn_Print_Area_59_25" localSheetId="45">#REF!</definedName>
    <definedName name="Excel_BuiltIn_Print_Area_59_25" localSheetId="23">#REF!</definedName>
    <definedName name="Excel_BuiltIn_Print_Area_59_25">#REF!</definedName>
    <definedName name="Excel_BuiltIn_Print_Area_59_3" localSheetId="6">#REF!</definedName>
    <definedName name="Excel_BuiltIn_Print_Area_59_3" localSheetId="18">#REF!</definedName>
    <definedName name="Excel_BuiltIn_Print_Area_59_3" localSheetId="14">#REF!</definedName>
    <definedName name="Excel_BuiltIn_Print_Area_59_3" localSheetId="47">#REF!</definedName>
    <definedName name="Excel_BuiltIn_Print_Area_59_3" localSheetId="46">#REF!</definedName>
    <definedName name="Excel_BuiltIn_Print_Area_59_3" localSheetId="45">#REF!</definedName>
    <definedName name="Excel_BuiltIn_Print_Area_59_3" localSheetId="23">#REF!</definedName>
    <definedName name="Excel_BuiltIn_Print_Area_59_3">#REF!</definedName>
    <definedName name="Excel_BuiltIn_Print_Area_59_4" localSheetId="6">#REF!</definedName>
    <definedName name="Excel_BuiltIn_Print_Area_59_4" localSheetId="18">#REF!</definedName>
    <definedName name="Excel_BuiltIn_Print_Area_59_4" localSheetId="14">#REF!</definedName>
    <definedName name="Excel_BuiltIn_Print_Area_59_4" localSheetId="47">#REF!</definedName>
    <definedName name="Excel_BuiltIn_Print_Area_59_4" localSheetId="46">#REF!</definedName>
    <definedName name="Excel_BuiltIn_Print_Area_59_4" localSheetId="45">#REF!</definedName>
    <definedName name="Excel_BuiltIn_Print_Area_59_4" localSheetId="23">#REF!</definedName>
    <definedName name="Excel_BuiltIn_Print_Area_59_4">#REF!</definedName>
    <definedName name="Excel_BuiltIn_Print_Area_59_56" localSheetId="6">#REF!</definedName>
    <definedName name="Excel_BuiltIn_Print_Area_59_56" localSheetId="18">#REF!</definedName>
    <definedName name="Excel_BuiltIn_Print_Area_59_56" localSheetId="14">#REF!</definedName>
    <definedName name="Excel_BuiltIn_Print_Area_59_56" localSheetId="47">#REF!</definedName>
    <definedName name="Excel_BuiltIn_Print_Area_59_56" localSheetId="46">#REF!</definedName>
    <definedName name="Excel_BuiltIn_Print_Area_59_56" localSheetId="45">#REF!</definedName>
    <definedName name="Excel_BuiltIn_Print_Area_59_56" localSheetId="23">#REF!</definedName>
    <definedName name="Excel_BuiltIn_Print_Area_59_56">#REF!</definedName>
    <definedName name="Excel_BuiltIn_Print_Area_59_6" localSheetId="6">#REF!</definedName>
    <definedName name="Excel_BuiltIn_Print_Area_59_6" localSheetId="18">#REF!</definedName>
    <definedName name="Excel_BuiltIn_Print_Area_59_6" localSheetId="14">#REF!</definedName>
    <definedName name="Excel_BuiltIn_Print_Area_59_6" localSheetId="47">#REF!</definedName>
    <definedName name="Excel_BuiltIn_Print_Area_59_6" localSheetId="46">#REF!</definedName>
    <definedName name="Excel_BuiltIn_Print_Area_59_6" localSheetId="45">#REF!</definedName>
    <definedName name="Excel_BuiltIn_Print_Area_59_6" localSheetId="23">#REF!</definedName>
    <definedName name="Excel_BuiltIn_Print_Area_59_6">#REF!</definedName>
    <definedName name="Excel_BuiltIn_Print_Area_59_66" localSheetId="6">#REF!</definedName>
    <definedName name="Excel_BuiltIn_Print_Area_59_66" localSheetId="18">#REF!</definedName>
    <definedName name="Excel_BuiltIn_Print_Area_59_66" localSheetId="14">#REF!</definedName>
    <definedName name="Excel_BuiltIn_Print_Area_59_66" localSheetId="47">#REF!</definedName>
    <definedName name="Excel_BuiltIn_Print_Area_59_66" localSheetId="46">#REF!</definedName>
    <definedName name="Excel_BuiltIn_Print_Area_59_66" localSheetId="45">#REF!</definedName>
    <definedName name="Excel_BuiltIn_Print_Area_59_66" localSheetId="23">#REF!</definedName>
    <definedName name="Excel_BuiltIn_Print_Area_59_66">#REF!</definedName>
    <definedName name="Excel_BuiltIn_Print_Area_59_67" localSheetId="6">#REF!</definedName>
    <definedName name="Excel_BuiltIn_Print_Area_59_67" localSheetId="18">#REF!</definedName>
    <definedName name="Excel_BuiltIn_Print_Area_59_67" localSheetId="14">#REF!</definedName>
    <definedName name="Excel_BuiltIn_Print_Area_59_67" localSheetId="47">#REF!</definedName>
    <definedName name="Excel_BuiltIn_Print_Area_59_67" localSheetId="46">#REF!</definedName>
    <definedName name="Excel_BuiltIn_Print_Area_59_67" localSheetId="45">#REF!</definedName>
    <definedName name="Excel_BuiltIn_Print_Area_59_67" localSheetId="23">#REF!</definedName>
    <definedName name="Excel_BuiltIn_Print_Area_59_67">#REF!</definedName>
    <definedName name="Excel_BuiltIn_Print_Area_59_67_1" localSheetId="6">#REF!</definedName>
    <definedName name="Excel_BuiltIn_Print_Area_59_67_1" localSheetId="18">#REF!</definedName>
    <definedName name="Excel_BuiltIn_Print_Area_59_67_1" localSheetId="14">#REF!</definedName>
    <definedName name="Excel_BuiltIn_Print_Area_59_67_1" localSheetId="47">#REF!</definedName>
    <definedName name="Excel_BuiltIn_Print_Area_59_67_1" localSheetId="46">#REF!</definedName>
    <definedName name="Excel_BuiltIn_Print_Area_59_67_1" localSheetId="45">#REF!</definedName>
    <definedName name="Excel_BuiltIn_Print_Area_59_67_1" localSheetId="23">#REF!</definedName>
    <definedName name="Excel_BuiltIn_Print_Area_59_67_1">#REF!</definedName>
    <definedName name="Excel_BuiltIn_Print_Area_59_67_10" localSheetId="6">#REF!</definedName>
    <definedName name="Excel_BuiltIn_Print_Area_59_67_10" localSheetId="18">#REF!</definedName>
    <definedName name="Excel_BuiltIn_Print_Area_59_67_10" localSheetId="14">#REF!</definedName>
    <definedName name="Excel_BuiltIn_Print_Area_59_67_10" localSheetId="47">#REF!</definedName>
    <definedName name="Excel_BuiltIn_Print_Area_59_67_10" localSheetId="46">#REF!</definedName>
    <definedName name="Excel_BuiltIn_Print_Area_59_67_10" localSheetId="45">#REF!</definedName>
    <definedName name="Excel_BuiltIn_Print_Area_59_67_10" localSheetId="23">#REF!</definedName>
    <definedName name="Excel_BuiltIn_Print_Area_59_67_10">#REF!</definedName>
    <definedName name="Excel_BuiltIn_Print_Area_59_67_11" localSheetId="6">#REF!</definedName>
    <definedName name="Excel_BuiltIn_Print_Area_59_67_11" localSheetId="18">#REF!</definedName>
    <definedName name="Excel_BuiltIn_Print_Area_59_67_11" localSheetId="14">#REF!</definedName>
    <definedName name="Excel_BuiltIn_Print_Area_59_67_11" localSheetId="47">#REF!</definedName>
    <definedName name="Excel_BuiltIn_Print_Area_59_67_11" localSheetId="46">#REF!</definedName>
    <definedName name="Excel_BuiltIn_Print_Area_59_67_11" localSheetId="45">#REF!</definedName>
    <definedName name="Excel_BuiltIn_Print_Area_59_67_11" localSheetId="23">#REF!</definedName>
    <definedName name="Excel_BuiltIn_Print_Area_59_67_11">#REF!</definedName>
    <definedName name="Excel_BuiltIn_Print_Area_59_67_13" localSheetId="6">#REF!</definedName>
    <definedName name="Excel_BuiltIn_Print_Area_59_67_13" localSheetId="18">#REF!</definedName>
    <definedName name="Excel_BuiltIn_Print_Area_59_67_13" localSheetId="14">#REF!</definedName>
    <definedName name="Excel_BuiltIn_Print_Area_59_67_13" localSheetId="47">#REF!</definedName>
    <definedName name="Excel_BuiltIn_Print_Area_59_67_13" localSheetId="46">#REF!</definedName>
    <definedName name="Excel_BuiltIn_Print_Area_59_67_13" localSheetId="45">#REF!</definedName>
    <definedName name="Excel_BuiltIn_Print_Area_59_67_13" localSheetId="23">#REF!</definedName>
    <definedName name="Excel_BuiltIn_Print_Area_59_67_13">#REF!</definedName>
    <definedName name="Excel_BuiltIn_Print_Area_59_67_14" localSheetId="6">#REF!</definedName>
    <definedName name="Excel_BuiltIn_Print_Area_59_67_14" localSheetId="18">#REF!</definedName>
    <definedName name="Excel_BuiltIn_Print_Area_59_67_14" localSheetId="14">#REF!</definedName>
    <definedName name="Excel_BuiltIn_Print_Area_59_67_14" localSheetId="47">#REF!</definedName>
    <definedName name="Excel_BuiltIn_Print_Area_59_67_14" localSheetId="46">#REF!</definedName>
    <definedName name="Excel_BuiltIn_Print_Area_59_67_14" localSheetId="45">#REF!</definedName>
    <definedName name="Excel_BuiltIn_Print_Area_59_67_14" localSheetId="23">#REF!</definedName>
    <definedName name="Excel_BuiltIn_Print_Area_59_67_14">#REF!</definedName>
    <definedName name="Excel_BuiltIn_Print_Area_59_67_15" localSheetId="6">#REF!</definedName>
    <definedName name="Excel_BuiltIn_Print_Area_59_67_15" localSheetId="18">#REF!</definedName>
    <definedName name="Excel_BuiltIn_Print_Area_59_67_15" localSheetId="14">#REF!</definedName>
    <definedName name="Excel_BuiltIn_Print_Area_59_67_15" localSheetId="47">#REF!</definedName>
    <definedName name="Excel_BuiltIn_Print_Area_59_67_15" localSheetId="46">#REF!</definedName>
    <definedName name="Excel_BuiltIn_Print_Area_59_67_15" localSheetId="45">#REF!</definedName>
    <definedName name="Excel_BuiltIn_Print_Area_59_67_15" localSheetId="23">#REF!</definedName>
    <definedName name="Excel_BuiltIn_Print_Area_59_67_15">#REF!</definedName>
    <definedName name="Excel_BuiltIn_Print_Area_59_67_16" localSheetId="6">#REF!</definedName>
    <definedName name="Excel_BuiltIn_Print_Area_59_67_16" localSheetId="18">#REF!</definedName>
    <definedName name="Excel_BuiltIn_Print_Area_59_67_16" localSheetId="14">#REF!</definedName>
    <definedName name="Excel_BuiltIn_Print_Area_59_67_16" localSheetId="47">#REF!</definedName>
    <definedName name="Excel_BuiltIn_Print_Area_59_67_16" localSheetId="46">#REF!</definedName>
    <definedName name="Excel_BuiltIn_Print_Area_59_67_16" localSheetId="45">#REF!</definedName>
    <definedName name="Excel_BuiltIn_Print_Area_59_67_16" localSheetId="23">#REF!</definedName>
    <definedName name="Excel_BuiltIn_Print_Area_59_67_16">#REF!</definedName>
    <definedName name="Excel_BuiltIn_Print_Area_59_67_2" localSheetId="6">#REF!</definedName>
    <definedName name="Excel_BuiltIn_Print_Area_59_67_2" localSheetId="18">#REF!</definedName>
    <definedName name="Excel_BuiltIn_Print_Area_59_67_2" localSheetId="14">#REF!</definedName>
    <definedName name="Excel_BuiltIn_Print_Area_59_67_2" localSheetId="47">#REF!</definedName>
    <definedName name="Excel_BuiltIn_Print_Area_59_67_2" localSheetId="46">#REF!</definedName>
    <definedName name="Excel_BuiltIn_Print_Area_59_67_2" localSheetId="45">#REF!</definedName>
    <definedName name="Excel_BuiltIn_Print_Area_59_67_2" localSheetId="23">#REF!</definedName>
    <definedName name="Excel_BuiltIn_Print_Area_59_67_2">#REF!</definedName>
    <definedName name="Excel_BuiltIn_Print_Area_59_67_22" localSheetId="6">#REF!</definedName>
    <definedName name="Excel_BuiltIn_Print_Area_59_67_22" localSheetId="18">#REF!</definedName>
    <definedName name="Excel_BuiltIn_Print_Area_59_67_22" localSheetId="14">#REF!</definedName>
    <definedName name="Excel_BuiltIn_Print_Area_59_67_22" localSheetId="47">#REF!</definedName>
    <definedName name="Excel_BuiltIn_Print_Area_59_67_22" localSheetId="46">#REF!</definedName>
    <definedName name="Excel_BuiltIn_Print_Area_59_67_22" localSheetId="45">#REF!</definedName>
    <definedName name="Excel_BuiltIn_Print_Area_59_67_22" localSheetId="23">#REF!</definedName>
    <definedName name="Excel_BuiltIn_Print_Area_59_67_22">#REF!</definedName>
    <definedName name="Excel_BuiltIn_Print_Area_59_67_25" localSheetId="6">#REF!</definedName>
    <definedName name="Excel_BuiltIn_Print_Area_59_67_25" localSheetId="18">#REF!</definedName>
    <definedName name="Excel_BuiltIn_Print_Area_59_67_25" localSheetId="14">#REF!</definedName>
    <definedName name="Excel_BuiltIn_Print_Area_59_67_25" localSheetId="47">#REF!</definedName>
    <definedName name="Excel_BuiltIn_Print_Area_59_67_25" localSheetId="46">#REF!</definedName>
    <definedName name="Excel_BuiltIn_Print_Area_59_67_25" localSheetId="45">#REF!</definedName>
    <definedName name="Excel_BuiltIn_Print_Area_59_67_25" localSheetId="23">#REF!</definedName>
    <definedName name="Excel_BuiltIn_Print_Area_59_67_25">#REF!</definedName>
    <definedName name="Excel_BuiltIn_Print_Area_59_67_3" localSheetId="6">#REF!</definedName>
    <definedName name="Excel_BuiltIn_Print_Area_59_67_3" localSheetId="18">#REF!</definedName>
    <definedName name="Excel_BuiltIn_Print_Area_59_67_3" localSheetId="14">#REF!</definedName>
    <definedName name="Excel_BuiltIn_Print_Area_59_67_3" localSheetId="47">#REF!</definedName>
    <definedName name="Excel_BuiltIn_Print_Area_59_67_3" localSheetId="46">#REF!</definedName>
    <definedName name="Excel_BuiltIn_Print_Area_59_67_3" localSheetId="45">#REF!</definedName>
    <definedName name="Excel_BuiltIn_Print_Area_59_67_3" localSheetId="23">#REF!</definedName>
    <definedName name="Excel_BuiltIn_Print_Area_59_67_3">#REF!</definedName>
    <definedName name="Excel_BuiltIn_Print_Area_59_67_4" localSheetId="6">#REF!</definedName>
    <definedName name="Excel_BuiltIn_Print_Area_59_67_4" localSheetId="18">#REF!</definedName>
    <definedName name="Excel_BuiltIn_Print_Area_59_67_4" localSheetId="14">#REF!</definedName>
    <definedName name="Excel_BuiltIn_Print_Area_59_67_4" localSheetId="47">#REF!</definedName>
    <definedName name="Excel_BuiltIn_Print_Area_59_67_4" localSheetId="46">#REF!</definedName>
    <definedName name="Excel_BuiltIn_Print_Area_59_67_4" localSheetId="45">#REF!</definedName>
    <definedName name="Excel_BuiltIn_Print_Area_59_67_4" localSheetId="23">#REF!</definedName>
    <definedName name="Excel_BuiltIn_Print_Area_59_67_4">#REF!</definedName>
    <definedName name="Excel_BuiltIn_Print_Area_59_67_56" localSheetId="6">#REF!</definedName>
    <definedName name="Excel_BuiltIn_Print_Area_59_67_56" localSheetId="18">#REF!</definedName>
    <definedName name="Excel_BuiltIn_Print_Area_59_67_56" localSheetId="14">#REF!</definedName>
    <definedName name="Excel_BuiltIn_Print_Area_59_67_56" localSheetId="47">#REF!</definedName>
    <definedName name="Excel_BuiltIn_Print_Area_59_67_56" localSheetId="46">#REF!</definedName>
    <definedName name="Excel_BuiltIn_Print_Area_59_67_56" localSheetId="45">#REF!</definedName>
    <definedName name="Excel_BuiltIn_Print_Area_59_67_56" localSheetId="23">#REF!</definedName>
    <definedName name="Excel_BuiltIn_Print_Area_59_67_56">#REF!</definedName>
    <definedName name="Excel_BuiltIn_Print_Area_59_67_6" localSheetId="6">#REF!</definedName>
    <definedName name="Excel_BuiltIn_Print_Area_59_67_6" localSheetId="18">#REF!</definedName>
    <definedName name="Excel_BuiltIn_Print_Area_59_67_6" localSheetId="14">#REF!</definedName>
    <definedName name="Excel_BuiltIn_Print_Area_59_67_6" localSheetId="47">#REF!</definedName>
    <definedName name="Excel_BuiltIn_Print_Area_59_67_6" localSheetId="46">#REF!</definedName>
    <definedName name="Excel_BuiltIn_Print_Area_59_67_6" localSheetId="45">#REF!</definedName>
    <definedName name="Excel_BuiltIn_Print_Area_59_67_6" localSheetId="23">#REF!</definedName>
    <definedName name="Excel_BuiltIn_Print_Area_59_67_6">#REF!</definedName>
    <definedName name="Excel_BuiltIn_Print_Area_59_67_66" localSheetId="6">#REF!</definedName>
    <definedName name="Excel_BuiltIn_Print_Area_59_67_66" localSheetId="18">#REF!</definedName>
    <definedName name="Excel_BuiltIn_Print_Area_59_67_66" localSheetId="14">#REF!</definedName>
    <definedName name="Excel_BuiltIn_Print_Area_59_67_66" localSheetId="47">#REF!</definedName>
    <definedName name="Excel_BuiltIn_Print_Area_59_67_66" localSheetId="46">#REF!</definedName>
    <definedName name="Excel_BuiltIn_Print_Area_59_67_66" localSheetId="45">#REF!</definedName>
    <definedName name="Excel_BuiltIn_Print_Area_59_67_66" localSheetId="23">#REF!</definedName>
    <definedName name="Excel_BuiltIn_Print_Area_59_67_66">#REF!</definedName>
    <definedName name="Excel_BuiltIn_Print_Area_59_67_67" localSheetId="6">#REF!</definedName>
    <definedName name="Excel_BuiltIn_Print_Area_59_67_67" localSheetId="18">#REF!</definedName>
    <definedName name="Excel_BuiltIn_Print_Area_59_67_67" localSheetId="14">#REF!</definedName>
    <definedName name="Excel_BuiltIn_Print_Area_59_67_67" localSheetId="47">#REF!</definedName>
    <definedName name="Excel_BuiltIn_Print_Area_59_67_67" localSheetId="46">#REF!</definedName>
    <definedName name="Excel_BuiltIn_Print_Area_59_67_67" localSheetId="45">#REF!</definedName>
    <definedName name="Excel_BuiltIn_Print_Area_59_67_67" localSheetId="23">#REF!</definedName>
    <definedName name="Excel_BuiltIn_Print_Area_59_67_67">#REF!</definedName>
    <definedName name="Excel_BuiltIn_Print_Area_59_67_70" localSheetId="6">#REF!</definedName>
    <definedName name="Excel_BuiltIn_Print_Area_59_67_70" localSheetId="18">#REF!</definedName>
    <definedName name="Excel_BuiltIn_Print_Area_59_67_70" localSheetId="14">#REF!</definedName>
    <definedName name="Excel_BuiltIn_Print_Area_59_67_70" localSheetId="47">#REF!</definedName>
    <definedName name="Excel_BuiltIn_Print_Area_59_67_70" localSheetId="46">#REF!</definedName>
    <definedName name="Excel_BuiltIn_Print_Area_59_67_70" localSheetId="45">#REF!</definedName>
    <definedName name="Excel_BuiltIn_Print_Area_59_67_70" localSheetId="23">#REF!</definedName>
    <definedName name="Excel_BuiltIn_Print_Area_59_67_70">#REF!</definedName>
    <definedName name="Excel_BuiltIn_Print_Area_59_67_71" localSheetId="6">#REF!</definedName>
    <definedName name="Excel_BuiltIn_Print_Area_59_67_71" localSheetId="18">#REF!</definedName>
    <definedName name="Excel_BuiltIn_Print_Area_59_67_71" localSheetId="14">#REF!</definedName>
    <definedName name="Excel_BuiltIn_Print_Area_59_67_71" localSheetId="47">#REF!</definedName>
    <definedName name="Excel_BuiltIn_Print_Area_59_67_71" localSheetId="46">#REF!</definedName>
    <definedName name="Excel_BuiltIn_Print_Area_59_67_71" localSheetId="45">#REF!</definedName>
    <definedName name="Excel_BuiltIn_Print_Area_59_67_71" localSheetId="23">#REF!</definedName>
    <definedName name="Excel_BuiltIn_Print_Area_59_67_71">#REF!</definedName>
    <definedName name="Excel_BuiltIn_Print_Area_59_67_72" localSheetId="6">#REF!</definedName>
    <definedName name="Excel_BuiltIn_Print_Area_59_67_72" localSheetId="18">#REF!</definedName>
    <definedName name="Excel_BuiltIn_Print_Area_59_67_72" localSheetId="14">#REF!</definedName>
    <definedName name="Excel_BuiltIn_Print_Area_59_67_72" localSheetId="47">#REF!</definedName>
    <definedName name="Excel_BuiltIn_Print_Area_59_67_72" localSheetId="46">#REF!</definedName>
    <definedName name="Excel_BuiltIn_Print_Area_59_67_72" localSheetId="45">#REF!</definedName>
    <definedName name="Excel_BuiltIn_Print_Area_59_67_72" localSheetId="23">#REF!</definedName>
    <definedName name="Excel_BuiltIn_Print_Area_59_67_72">#REF!</definedName>
    <definedName name="Excel_BuiltIn_Print_Area_59_67_74" localSheetId="6">#REF!</definedName>
    <definedName name="Excel_BuiltIn_Print_Area_59_67_74" localSheetId="18">#REF!</definedName>
    <definedName name="Excel_BuiltIn_Print_Area_59_67_74" localSheetId="14">#REF!</definedName>
    <definedName name="Excel_BuiltIn_Print_Area_59_67_74" localSheetId="47">#REF!</definedName>
    <definedName name="Excel_BuiltIn_Print_Area_59_67_74" localSheetId="46">#REF!</definedName>
    <definedName name="Excel_BuiltIn_Print_Area_59_67_74" localSheetId="45">#REF!</definedName>
    <definedName name="Excel_BuiltIn_Print_Area_59_67_74" localSheetId="23">#REF!</definedName>
    <definedName name="Excel_BuiltIn_Print_Area_59_67_74">#REF!</definedName>
    <definedName name="Excel_BuiltIn_Print_Area_59_67_9" localSheetId="6">#REF!</definedName>
    <definedName name="Excel_BuiltIn_Print_Area_59_67_9" localSheetId="18">#REF!</definedName>
    <definedName name="Excel_BuiltIn_Print_Area_59_67_9" localSheetId="14">#REF!</definedName>
    <definedName name="Excel_BuiltIn_Print_Area_59_67_9" localSheetId="47">#REF!</definedName>
    <definedName name="Excel_BuiltIn_Print_Area_59_67_9" localSheetId="46">#REF!</definedName>
    <definedName name="Excel_BuiltIn_Print_Area_59_67_9" localSheetId="45">#REF!</definedName>
    <definedName name="Excel_BuiltIn_Print_Area_59_67_9" localSheetId="23">#REF!</definedName>
    <definedName name="Excel_BuiltIn_Print_Area_59_67_9">#REF!</definedName>
    <definedName name="Excel_BuiltIn_Print_Area_59_70" localSheetId="6">#REF!</definedName>
    <definedName name="Excel_BuiltIn_Print_Area_59_70" localSheetId="18">#REF!</definedName>
    <definedName name="Excel_BuiltIn_Print_Area_59_70" localSheetId="14">#REF!</definedName>
    <definedName name="Excel_BuiltIn_Print_Area_59_70" localSheetId="47">#REF!</definedName>
    <definedName name="Excel_BuiltIn_Print_Area_59_70" localSheetId="46">#REF!</definedName>
    <definedName name="Excel_BuiltIn_Print_Area_59_70" localSheetId="45">#REF!</definedName>
    <definedName name="Excel_BuiltIn_Print_Area_59_70" localSheetId="23">#REF!</definedName>
    <definedName name="Excel_BuiltIn_Print_Area_59_70">#REF!</definedName>
    <definedName name="Excel_BuiltIn_Print_Area_59_71" localSheetId="6">#REF!</definedName>
    <definedName name="Excel_BuiltIn_Print_Area_59_71" localSheetId="18">#REF!</definedName>
    <definedName name="Excel_BuiltIn_Print_Area_59_71" localSheetId="14">#REF!</definedName>
    <definedName name="Excel_BuiltIn_Print_Area_59_71" localSheetId="47">#REF!</definedName>
    <definedName name="Excel_BuiltIn_Print_Area_59_71" localSheetId="46">#REF!</definedName>
    <definedName name="Excel_BuiltIn_Print_Area_59_71" localSheetId="45">#REF!</definedName>
    <definedName name="Excel_BuiltIn_Print_Area_59_71" localSheetId="23">#REF!</definedName>
    <definedName name="Excel_BuiltIn_Print_Area_59_71">#REF!</definedName>
    <definedName name="Excel_BuiltIn_Print_Area_59_72" localSheetId="6">#REF!</definedName>
    <definedName name="Excel_BuiltIn_Print_Area_59_72" localSheetId="18">#REF!</definedName>
    <definedName name="Excel_BuiltIn_Print_Area_59_72" localSheetId="14">#REF!</definedName>
    <definedName name="Excel_BuiltIn_Print_Area_59_72" localSheetId="47">#REF!</definedName>
    <definedName name="Excel_BuiltIn_Print_Area_59_72" localSheetId="46">#REF!</definedName>
    <definedName name="Excel_BuiltIn_Print_Area_59_72" localSheetId="45">#REF!</definedName>
    <definedName name="Excel_BuiltIn_Print_Area_59_72" localSheetId="23">#REF!</definedName>
    <definedName name="Excel_BuiltIn_Print_Area_59_72">#REF!</definedName>
    <definedName name="Excel_BuiltIn_Print_Area_59_74" localSheetId="6">#REF!</definedName>
    <definedName name="Excel_BuiltIn_Print_Area_59_74" localSheetId="18">#REF!</definedName>
    <definedName name="Excel_BuiltIn_Print_Area_59_74" localSheetId="14">#REF!</definedName>
    <definedName name="Excel_BuiltIn_Print_Area_59_74" localSheetId="47">#REF!</definedName>
    <definedName name="Excel_BuiltIn_Print_Area_59_74" localSheetId="46">#REF!</definedName>
    <definedName name="Excel_BuiltIn_Print_Area_59_74" localSheetId="45">#REF!</definedName>
    <definedName name="Excel_BuiltIn_Print_Area_59_74" localSheetId="23">#REF!</definedName>
    <definedName name="Excel_BuiltIn_Print_Area_59_74">#REF!</definedName>
    <definedName name="Excel_BuiltIn_Print_Area_59_74_1" localSheetId="6">#REF!</definedName>
    <definedName name="Excel_BuiltIn_Print_Area_59_74_1" localSheetId="18">#REF!</definedName>
    <definedName name="Excel_BuiltIn_Print_Area_59_74_1" localSheetId="14">#REF!</definedName>
    <definedName name="Excel_BuiltIn_Print_Area_59_74_1" localSheetId="47">#REF!</definedName>
    <definedName name="Excel_BuiltIn_Print_Area_59_74_1" localSheetId="46">#REF!</definedName>
    <definedName name="Excel_BuiltIn_Print_Area_59_74_1" localSheetId="45">#REF!</definedName>
    <definedName name="Excel_BuiltIn_Print_Area_59_74_1" localSheetId="23">#REF!</definedName>
    <definedName name="Excel_BuiltIn_Print_Area_59_74_1">#REF!</definedName>
    <definedName name="Excel_BuiltIn_Print_Area_59_74_10" localSheetId="6">#REF!</definedName>
    <definedName name="Excel_BuiltIn_Print_Area_59_74_10" localSheetId="18">#REF!</definedName>
    <definedName name="Excel_BuiltIn_Print_Area_59_74_10" localSheetId="14">#REF!</definedName>
    <definedName name="Excel_BuiltIn_Print_Area_59_74_10" localSheetId="47">#REF!</definedName>
    <definedName name="Excel_BuiltIn_Print_Area_59_74_10" localSheetId="46">#REF!</definedName>
    <definedName name="Excel_BuiltIn_Print_Area_59_74_10" localSheetId="45">#REF!</definedName>
    <definedName name="Excel_BuiltIn_Print_Area_59_74_10" localSheetId="23">#REF!</definedName>
    <definedName name="Excel_BuiltIn_Print_Area_59_74_10">#REF!</definedName>
    <definedName name="Excel_BuiltIn_Print_Area_59_74_11" localSheetId="6">#REF!</definedName>
    <definedName name="Excel_BuiltIn_Print_Area_59_74_11" localSheetId="18">#REF!</definedName>
    <definedName name="Excel_BuiltIn_Print_Area_59_74_11" localSheetId="14">#REF!</definedName>
    <definedName name="Excel_BuiltIn_Print_Area_59_74_11" localSheetId="47">#REF!</definedName>
    <definedName name="Excel_BuiltIn_Print_Area_59_74_11" localSheetId="46">#REF!</definedName>
    <definedName name="Excel_BuiltIn_Print_Area_59_74_11" localSheetId="45">#REF!</definedName>
    <definedName name="Excel_BuiltIn_Print_Area_59_74_11" localSheetId="23">#REF!</definedName>
    <definedName name="Excel_BuiltIn_Print_Area_59_74_11">#REF!</definedName>
    <definedName name="Excel_BuiltIn_Print_Area_59_74_13" localSheetId="6">#REF!</definedName>
    <definedName name="Excel_BuiltIn_Print_Area_59_74_13" localSheetId="18">#REF!</definedName>
    <definedName name="Excel_BuiltIn_Print_Area_59_74_13" localSheetId="14">#REF!</definedName>
    <definedName name="Excel_BuiltIn_Print_Area_59_74_13" localSheetId="47">#REF!</definedName>
    <definedName name="Excel_BuiltIn_Print_Area_59_74_13" localSheetId="46">#REF!</definedName>
    <definedName name="Excel_BuiltIn_Print_Area_59_74_13" localSheetId="45">#REF!</definedName>
    <definedName name="Excel_BuiltIn_Print_Area_59_74_13" localSheetId="23">#REF!</definedName>
    <definedName name="Excel_BuiltIn_Print_Area_59_74_13">#REF!</definedName>
    <definedName name="Excel_BuiltIn_Print_Area_59_74_14" localSheetId="6">#REF!</definedName>
    <definedName name="Excel_BuiltIn_Print_Area_59_74_14" localSheetId="18">#REF!</definedName>
    <definedName name="Excel_BuiltIn_Print_Area_59_74_14" localSheetId="14">#REF!</definedName>
    <definedName name="Excel_BuiltIn_Print_Area_59_74_14" localSheetId="47">#REF!</definedName>
    <definedName name="Excel_BuiltIn_Print_Area_59_74_14" localSheetId="46">#REF!</definedName>
    <definedName name="Excel_BuiltIn_Print_Area_59_74_14" localSheetId="45">#REF!</definedName>
    <definedName name="Excel_BuiltIn_Print_Area_59_74_14" localSheetId="23">#REF!</definedName>
    <definedName name="Excel_BuiltIn_Print_Area_59_74_14">#REF!</definedName>
    <definedName name="Excel_BuiltIn_Print_Area_59_74_15" localSheetId="6">#REF!</definedName>
    <definedName name="Excel_BuiltIn_Print_Area_59_74_15" localSheetId="18">#REF!</definedName>
    <definedName name="Excel_BuiltIn_Print_Area_59_74_15" localSheetId="14">#REF!</definedName>
    <definedName name="Excel_BuiltIn_Print_Area_59_74_15" localSheetId="47">#REF!</definedName>
    <definedName name="Excel_BuiltIn_Print_Area_59_74_15" localSheetId="46">#REF!</definedName>
    <definedName name="Excel_BuiltIn_Print_Area_59_74_15" localSheetId="45">#REF!</definedName>
    <definedName name="Excel_BuiltIn_Print_Area_59_74_15" localSheetId="23">#REF!</definedName>
    <definedName name="Excel_BuiltIn_Print_Area_59_74_15">#REF!</definedName>
    <definedName name="Excel_BuiltIn_Print_Area_59_74_16" localSheetId="6">#REF!</definedName>
    <definedName name="Excel_BuiltIn_Print_Area_59_74_16" localSheetId="18">#REF!</definedName>
    <definedName name="Excel_BuiltIn_Print_Area_59_74_16" localSheetId="14">#REF!</definedName>
    <definedName name="Excel_BuiltIn_Print_Area_59_74_16" localSheetId="47">#REF!</definedName>
    <definedName name="Excel_BuiltIn_Print_Area_59_74_16" localSheetId="46">#REF!</definedName>
    <definedName name="Excel_BuiltIn_Print_Area_59_74_16" localSheetId="45">#REF!</definedName>
    <definedName name="Excel_BuiltIn_Print_Area_59_74_16" localSheetId="23">#REF!</definedName>
    <definedName name="Excel_BuiltIn_Print_Area_59_74_16">#REF!</definedName>
    <definedName name="Excel_BuiltIn_Print_Area_59_74_2" localSheetId="6">#REF!</definedName>
    <definedName name="Excel_BuiltIn_Print_Area_59_74_2" localSheetId="18">#REF!</definedName>
    <definedName name="Excel_BuiltIn_Print_Area_59_74_2" localSheetId="14">#REF!</definedName>
    <definedName name="Excel_BuiltIn_Print_Area_59_74_2" localSheetId="47">#REF!</definedName>
    <definedName name="Excel_BuiltIn_Print_Area_59_74_2" localSheetId="46">#REF!</definedName>
    <definedName name="Excel_BuiltIn_Print_Area_59_74_2" localSheetId="45">#REF!</definedName>
    <definedName name="Excel_BuiltIn_Print_Area_59_74_2" localSheetId="23">#REF!</definedName>
    <definedName name="Excel_BuiltIn_Print_Area_59_74_2">#REF!</definedName>
    <definedName name="Excel_BuiltIn_Print_Area_59_74_22" localSheetId="6">#REF!</definedName>
    <definedName name="Excel_BuiltIn_Print_Area_59_74_22" localSheetId="18">#REF!</definedName>
    <definedName name="Excel_BuiltIn_Print_Area_59_74_22" localSheetId="14">#REF!</definedName>
    <definedName name="Excel_BuiltIn_Print_Area_59_74_22" localSheetId="47">#REF!</definedName>
    <definedName name="Excel_BuiltIn_Print_Area_59_74_22" localSheetId="46">#REF!</definedName>
    <definedName name="Excel_BuiltIn_Print_Area_59_74_22" localSheetId="45">#REF!</definedName>
    <definedName name="Excel_BuiltIn_Print_Area_59_74_22" localSheetId="23">#REF!</definedName>
    <definedName name="Excel_BuiltIn_Print_Area_59_74_22">#REF!</definedName>
    <definedName name="Excel_BuiltIn_Print_Area_59_74_25" localSheetId="6">#REF!</definedName>
    <definedName name="Excel_BuiltIn_Print_Area_59_74_25" localSheetId="18">#REF!</definedName>
    <definedName name="Excel_BuiltIn_Print_Area_59_74_25" localSheetId="14">#REF!</definedName>
    <definedName name="Excel_BuiltIn_Print_Area_59_74_25" localSheetId="47">#REF!</definedName>
    <definedName name="Excel_BuiltIn_Print_Area_59_74_25" localSheetId="46">#REF!</definedName>
    <definedName name="Excel_BuiltIn_Print_Area_59_74_25" localSheetId="45">#REF!</definedName>
    <definedName name="Excel_BuiltIn_Print_Area_59_74_25" localSheetId="23">#REF!</definedName>
    <definedName name="Excel_BuiltIn_Print_Area_59_74_25">#REF!</definedName>
    <definedName name="Excel_BuiltIn_Print_Area_59_74_3" localSheetId="6">#REF!</definedName>
    <definedName name="Excel_BuiltIn_Print_Area_59_74_3" localSheetId="18">#REF!</definedName>
    <definedName name="Excel_BuiltIn_Print_Area_59_74_3" localSheetId="14">#REF!</definedName>
    <definedName name="Excel_BuiltIn_Print_Area_59_74_3" localSheetId="47">#REF!</definedName>
    <definedName name="Excel_BuiltIn_Print_Area_59_74_3" localSheetId="46">#REF!</definedName>
    <definedName name="Excel_BuiltIn_Print_Area_59_74_3" localSheetId="45">#REF!</definedName>
    <definedName name="Excel_BuiltIn_Print_Area_59_74_3" localSheetId="23">#REF!</definedName>
    <definedName name="Excel_BuiltIn_Print_Area_59_74_3">#REF!</definedName>
    <definedName name="Excel_BuiltIn_Print_Area_59_74_4" localSheetId="6">#REF!</definedName>
    <definedName name="Excel_BuiltIn_Print_Area_59_74_4" localSheetId="18">#REF!</definedName>
    <definedName name="Excel_BuiltIn_Print_Area_59_74_4" localSheetId="14">#REF!</definedName>
    <definedName name="Excel_BuiltIn_Print_Area_59_74_4" localSheetId="47">#REF!</definedName>
    <definedName name="Excel_BuiltIn_Print_Area_59_74_4" localSheetId="46">#REF!</definedName>
    <definedName name="Excel_BuiltIn_Print_Area_59_74_4" localSheetId="45">#REF!</definedName>
    <definedName name="Excel_BuiltIn_Print_Area_59_74_4" localSheetId="23">#REF!</definedName>
    <definedName name="Excel_BuiltIn_Print_Area_59_74_4">#REF!</definedName>
    <definedName name="Excel_BuiltIn_Print_Area_59_74_56" localSheetId="6">#REF!</definedName>
    <definedName name="Excel_BuiltIn_Print_Area_59_74_56" localSheetId="18">#REF!</definedName>
    <definedName name="Excel_BuiltIn_Print_Area_59_74_56" localSheetId="14">#REF!</definedName>
    <definedName name="Excel_BuiltIn_Print_Area_59_74_56" localSheetId="47">#REF!</definedName>
    <definedName name="Excel_BuiltIn_Print_Area_59_74_56" localSheetId="46">#REF!</definedName>
    <definedName name="Excel_BuiltIn_Print_Area_59_74_56" localSheetId="45">#REF!</definedName>
    <definedName name="Excel_BuiltIn_Print_Area_59_74_56" localSheetId="23">#REF!</definedName>
    <definedName name="Excel_BuiltIn_Print_Area_59_74_56">#REF!</definedName>
    <definedName name="Excel_BuiltIn_Print_Area_59_74_6" localSheetId="6">#REF!</definedName>
    <definedName name="Excel_BuiltIn_Print_Area_59_74_6" localSheetId="18">#REF!</definedName>
    <definedName name="Excel_BuiltIn_Print_Area_59_74_6" localSheetId="14">#REF!</definedName>
    <definedName name="Excel_BuiltIn_Print_Area_59_74_6" localSheetId="47">#REF!</definedName>
    <definedName name="Excel_BuiltIn_Print_Area_59_74_6" localSheetId="46">#REF!</definedName>
    <definedName name="Excel_BuiltIn_Print_Area_59_74_6" localSheetId="45">#REF!</definedName>
    <definedName name="Excel_BuiltIn_Print_Area_59_74_6" localSheetId="23">#REF!</definedName>
    <definedName name="Excel_BuiltIn_Print_Area_59_74_6">#REF!</definedName>
    <definedName name="Excel_BuiltIn_Print_Area_59_74_66" localSheetId="6">#REF!</definedName>
    <definedName name="Excel_BuiltIn_Print_Area_59_74_66" localSheetId="18">#REF!</definedName>
    <definedName name="Excel_BuiltIn_Print_Area_59_74_66" localSheetId="14">#REF!</definedName>
    <definedName name="Excel_BuiltIn_Print_Area_59_74_66" localSheetId="47">#REF!</definedName>
    <definedName name="Excel_BuiltIn_Print_Area_59_74_66" localSheetId="46">#REF!</definedName>
    <definedName name="Excel_BuiltIn_Print_Area_59_74_66" localSheetId="45">#REF!</definedName>
    <definedName name="Excel_BuiltIn_Print_Area_59_74_66" localSheetId="23">#REF!</definedName>
    <definedName name="Excel_BuiltIn_Print_Area_59_74_66">#REF!</definedName>
    <definedName name="Excel_BuiltIn_Print_Area_59_74_67" localSheetId="6">#REF!</definedName>
    <definedName name="Excel_BuiltIn_Print_Area_59_74_67" localSheetId="18">#REF!</definedName>
    <definedName name="Excel_BuiltIn_Print_Area_59_74_67" localSheetId="14">#REF!</definedName>
    <definedName name="Excel_BuiltIn_Print_Area_59_74_67" localSheetId="47">#REF!</definedName>
    <definedName name="Excel_BuiltIn_Print_Area_59_74_67" localSheetId="46">#REF!</definedName>
    <definedName name="Excel_BuiltIn_Print_Area_59_74_67" localSheetId="45">#REF!</definedName>
    <definedName name="Excel_BuiltIn_Print_Area_59_74_67" localSheetId="23">#REF!</definedName>
    <definedName name="Excel_BuiltIn_Print_Area_59_74_67">#REF!</definedName>
    <definedName name="Excel_BuiltIn_Print_Area_59_74_70" localSheetId="6">#REF!</definedName>
    <definedName name="Excel_BuiltIn_Print_Area_59_74_70" localSheetId="18">#REF!</definedName>
    <definedName name="Excel_BuiltIn_Print_Area_59_74_70" localSheetId="14">#REF!</definedName>
    <definedName name="Excel_BuiltIn_Print_Area_59_74_70" localSheetId="47">#REF!</definedName>
    <definedName name="Excel_BuiltIn_Print_Area_59_74_70" localSheetId="46">#REF!</definedName>
    <definedName name="Excel_BuiltIn_Print_Area_59_74_70" localSheetId="45">#REF!</definedName>
    <definedName name="Excel_BuiltIn_Print_Area_59_74_70" localSheetId="23">#REF!</definedName>
    <definedName name="Excel_BuiltIn_Print_Area_59_74_70">#REF!</definedName>
    <definedName name="Excel_BuiltIn_Print_Area_59_74_71" localSheetId="6">#REF!</definedName>
    <definedName name="Excel_BuiltIn_Print_Area_59_74_71" localSheetId="18">#REF!</definedName>
    <definedName name="Excel_BuiltIn_Print_Area_59_74_71" localSheetId="14">#REF!</definedName>
    <definedName name="Excel_BuiltIn_Print_Area_59_74_71" localSheetId="47">#REF!</definedName>
    <definedName name="Excel_BuiltIn_Print_Area_59_74_71" localSheetId="46">#REF!</definedName>
    <definedName name="Excel_BuiltIn_Print_Area_59_74_71" localSheetId="45">#REF!</definedName>
    <definedName name="Excel_BuiltIn_Print_Area_59_74_71" localSheetId="23">#REF!</definedName>
    <definedName name="Excel_BuiltIn_Print_Area_59_74_71">#REF!</definedName>
    <definedName name="Excel_BuiltIn_Print_Area_59_74_72" localSheetId="6">#REF!</definedName>
    <definedName name="Excel_BuiltIn_Print_Area_59_74_72" localSheetId="18">#REF!</definedName>
    <definedName name="Excel_BuiltIn_Print_Area_59_74_72" localSheetId="14">#REF!</definedName>
    <definedName name="Excel_BuiltIn_Print_Area_59_74_72" localSheetId="47">#REF!</definedName>
    <definedName name="Excel_BuiltIn_Print_Area_59_74_72" localSheetId="46">#REF!</definedName>
    <definedName name="Excel_BuiltIn_Print_Area_59_74_72" localSheetId="45">#REF!</definedName>
    <definedName name="Excel_BuiltIn_Print_Area_59_74_72" localSheetId="23">#REF!</definedName>
    <definedName name="Excel_BuiltIn_Print_Area_59_74_72">#REF!</definedName>
    <definedName name="Excel_BuiltIn_Print_Area_59_74_74" localSheetId="6">#REF!</definedName>
    <definedName name="Excel_BuiltIn_Print_Area_59_74_74" localSheetId="18">#REF!</definedName>
    <definedName name="Excel_BuiltIn_Print_Area_59_74_74" localSheetId="14">#REF!</definedName>
    <definedName name="Excel_BuiltIn_Print_Area_59_74_74" localSheetId="47">#REF!</definedName>
    <definedName name="Excel_BuiltIn_Print_Area_59_74_74" localSheetId="46">#REF!</definedName>
    <definedName name="Excel_BuiltIn_Print_Area_59_74_74" localSheetId="45">#REF!</definedName>
    <definedName name="Excel_BuiltIn_Print_Area_59_74_74" localSheetId="23">#REF!</definedName>
    <definedName name="Excel_BuiltIn_Print_Area_59_74_74">#REF!</definedName>
    <definedName name="Excel_BuiltIn_Print_Area_59_74_9" localSheetId="6">#REF!</definedName>
    <definedName name="Excel_BuiltIn_Print_Area_59_74_9" localSheetId="18">#REF!</definedName>
    <definedName name="Excel_BuiltIn_Print_Area_59_74_9" localSheetId="14">#REF!</definedName>
    <definedName name="Excel_BuiltIn_Print_Area_59_74_9" localSheetId="47">#REF!</definedName>
    <definedName name="Excel_BuiltIn_Print_Area_59_74_9" localSheetId="46">#REF!</definedName>
    <definedName name="Excel_BuiltIn_Print_Area_59_74_9" localSheetId="45">#REF!</definedName>
    <definedName name="Excel_BuiltIn_Print_Area_59_74_9" localSheetId="23">#REF!</definedName>
    <definedName name="Excel_BuiltIn_Print_Area_59_74_9">#REF!</definedName>
    <definedName name="Excel_BuiltIn_Print_Area_59_9" localSheetId="6">#REF!</definedName>
    <definedName name="Excel_BuiltIn_Print_Area_59_9" localSheetId="18">#REF!</definedName>
    <definedName name="Excel_BuiltIn_Print_Area_59_9" localSheetId="14">#REF!</definedName>
    <definedName name="Excel_BuiltIn_Print_Area_59_9" localSheetId="47">#REF!</definedName>
    <definedName name="Excel_BuiltIn_Print_Area_59_9" localSheetId="46">#REF!</definedName>
    <definedName name="Excel_BuiltIn_Print_Area_59_9" localSheetId="45">#REF!</definedName>
    <definedName name="Excel_BuiltIn_Print_Area_59_9" localSheetId="23">#REF!</definedName>
    <definedName name="Excel_BuiltIn_Print_Area_59_9">#REF!</definedName>
    <definedName name="ff" localSheetId="28">'ЗП с факт 3 кв. 2015'!ff</definedName>
    <definedName name="ff" localSheetId="3">#N/A</definedName>
    <definedName name="ff" localSheetId="1">#N/A</definedName>
    <definedName name="ff" localSheetId="8">#N/A</definedName>
    <definedName name="ff" localSheetId="7">#N/A</definedName>
    <definedName name="ff" localSheetId="6">#N/A</definedName>
    <definedName name="ff" localSheetId="12">#N/A</definedName>
    <definedName name="ff" localSheetId="11">#N/A</definedName>
    <definedName name="ff" localSheetId="10">#N/A</definedName>
    <definedName name="ff" localSheetId="9">#N/A</definedName>
    <definedName name="ff" localSheetId="2">#N/A</definedName>
    <definedName name="ff" localSheetId="0">#N/A</definedName>
    <definedName name="ff">'ЗП с факт 3 кв. 2015'!ff</definedName>
    <definedName name="ff_10" localSheetId="28">'ЗП с факт 3 кв. 2015'!ff</definedName>
    <definedName name="ff_10" localSheetId="3">'ПОЛНАЯ СЕБЕСТОИМОСТЬ ВОДА 2017'!ff</definedName>
    <definedName name="ff_10" localSheetId="1">'ПОЛНАЯ СЕБЕСТОИМОСТЬ СТОКИ 2017'!ff</definedName>
    <definedName name="ff_10" localSheetId="8">'Прил. 1 План ФХД вода табл. 2'!ff</definedName>
    <definedName name="ff_10" localSheetId="7">'Прил. 1 План ФХД стоки табл 2'!ff</definedName>
    <definedName name="ff_10" localSheetId="6">'Прил. 1 План ФХД табл 1'!ff</definedName>
    <definedName name="ff_10" localSheetId="12">'Произв. прогр. Вода'!ff</definedName>
    <definedName name="ff_10" localSheetId="11">'Произв. прогр. Вода (СВОД)'!ff</definedName>
    <definedName name="ff_10" localSheetId="10">'Произв. прогр. Стоки'!ff</definedName>
    <definedName name="ff_10" localSheetId="9">'Произв. прогр. Стоки (СВОД)'!ff</definedName>
    <definedName name="ff_10" localSheetId="2">'ФАКТИЧЕСКАЯ СЕБЕСТ ВОДА 2017'!ff</definedName>
    <definedName name="ff_10" localSheetId="0">'ФАКТИЧЕСКАЯ СЕБЕСТ. СТОКИ 2017'!ff</definedName>
    <definedName name="ff_10">[0]!ff</definedName>
    <definedName name="ff_14" localSheetId="28">'ЗП с факт 3 кв. 2015'!ff</definedName>
    <definedName name="ff_14" localSheetId="3">'ПОЛНАЯ СЕБЕСТОИМОСТЬ ВОДА 2017'!ff</definedName>
    <definedName name="ff_14" localSheetId="1">'ПОЛНАЯ СЕБЕСТОИМОСТЬ СТОКИ 2017'!ff</definedName>
    <definedName name="ff_14" localSheetId="8">'Прил. 1 План ФХД вода табл. 2'!ff</definedName>
    <definedName name="ff_14" localSheetId="7">'Прил. 1 План ФХД стоки табл 2'!ff</definedName>
    <definedName name="ff_14" localSheetId="6">'Прил. 1 План ФХД табл 1'!ff</definedName>
    <definedName name="ff_14" localSheetId="12">'Произв. прогр. Вода'!ff</definedName>
    <definedName name="ff_14" localSheetId="11">'Произв. прогр. Вода (СВОД)'!ff</definedName>
    <definedName name="ff_14" localSheetId="10">'Произв. прогр. Стоки'!ff</definedName>
    <definedName name="ff_14" localSheetId="9">'Произв. прогр. Стоки (СВОД)'!ff</definedName>
    <definedName name="ff_14" localSheetId="2">'ФАКТИЧЕСКАЯ СЕБЕСТ ВОДА 2017'!ff</definedName>
    <definedName name="ff_14" localSheetId="0">'ФАКТИЧЕСКАЯ СЕБЕСТ. СТОКИ 2017'!ff</definedName>
    <definedName name="ff_14">[0]!ff</definedName>
    <definedName name="ff_15" localSheetId="28">'ЗП с факт 3 кв. 2015'!ff</definedName>
    <definedName name="ff_15" localSheetId="3">'ПОЛНАЯ СЕБЕСТОИМОСТЬ ВОДА 2017'!ff</definedName>
    <definedName name="ff_15" localSheetId="1">'ПОЛНАЯ СЕБЕСТОИМОСТЬ СТОКИ 2017'!ff</definedName>
    <definedName name="ff_15" localSheetId="8">'Прил. 1 План ФХД вода табл. 2'!ff</definedName>
    <definedName name="ff_15" localSheetId="7">'Прил. 1 План ФХД стоки табл 2'!ff</definedName>
    <definedName name="ff_15" localSheetId="6">'Прил. 1 План ФХД табл 1'!ff</definedName>
    <definedName name="ff_15" localSheetId="12">'Произв. прогр. Вода'!ff</definedName>
    <definedName name="ff_15" localSheetId="11">'Произв. прогр. Вода (СВОД)'!ff</definedName>
    <definedName name="ff_15" localSheetId="10">'Произв. прогр. Стоки'!ff</definedName>
    <definedName name="ff_15" localSheetId="9">'Произв. прогр. Стоки (СВОД)'!ff</definedName>
    <definedName name="ff_15" localSheetId="2">'ФАКТИЧЕСКАЯ СЕБЕСТ ВОДА 2017'!ff</definedName>
    <definedName name="ff_15" localSheetId="0">'ФАКТИЧЕСКАЯ СЕБЕСТ. СТОКИ 2017'!ff</definedName>
    <definedName name="ff_15">[0]!ff</definedName>
    <definedName name="ff_16" localSheetId="28">'ЗП с факт 3 кв. 2015'!ff</definedName>
    <definedName name="ff_16" localSheetId="3">'ПОЛНАЯ СЕБЕСТОИМОСТЬ ВОДА 2017'!ff</definedName>
    <definedName name="ff_16" localSheetId="1">'ПОЛНАЯ СЕБЕСТОИМОСТЬ СТОКИ 2017'!ff</definedName>
    <definedName name="ff_16" localSheetId="8">'Прил. 1 План ФХД вода табл. 2'!ff</definedName>
    <definedName name="ff_16" localSheetId="7">'Прил. 1 План ФХД стоки табл 2'!ff</definedName>
    <definedName name="ff_16" localSheetId="6">'Прил. 1 План ФХД табл 1'!ff</definedName>
    <definedName name="ff_16" localSheetId="12">'Произв. прогр. Вода'!ff</definedName>
    <definedName name="ff_16" localSheetId="11">'Произв. прогр. Вода (СВОД)'!ff</definedName>
    <definedName name="ff_16" localSheetId="10">'Произв. прогр. Стоки'!ff</definedName>
    <definedName name="ff_16" localSheetId="9">'Произв. прогр. Стоки (СВОД)'!ff</definedName>
    <definedName name="ff_16" localSheetId="2">'ФАКТИЧЕСКАЯ СЕБЕСТ ВОДА 2017'!ff</definedName>
    <definedName name="ff_16" localSheetId="0">'ФАКТИЧЕСКАЯ СЕБЕСТ. СТОКИ 2017'!ff</definedName>
    <definedName name="ff_16">[0]!ff</definedName>
    <definedName name="ff_2" localSheetId="28">'ЗП с факт 3 кв. 2015'!ff</definedName>
    <definedName name="ff_2" localSheetId="3">'ПОЛНАЯ СЕБЕСТОИМОСТЬ ВОДА 2017'!ff</definedName>
    <definedName name="ff_2" localSheetId="1">'ПОЛНАЯ СЕБЕСТОИМОСТЬ СТОКИ 2017'!ff</definedName>
    <definedName name="ff_2" localSheetId="8">'Прил. 1 План ФХД вода табл. 2'!ff</definedName>
    <definedName name="ff_2" localSheetId="7">'Прил. 1 План ФХД стоки табл 2'!ff</definedName>
    <definedName name="ff_2" localSheetId="6">'Прил. 1 План ФХД табл 1'!ff</definedName>
    <definedName name="ff_2" localSheetId="12">'Произв. прогр. Вода'!ff</definedName>
    <definedName name="ff_2" localSheetId="11">'Произв. прогр. Вода (СВОД)'!ff</definedName>
    <definedName name="ff_2" localSheetId="10">'Произв. прогр. Стоки'!ff</definedName>
    <definedName name="ff_2" localSheetId="9">'Произв. прогр. Стоки (СВОД)'!ff</definedName>
    <definedName name="ff_2" localSheetId="2">'ФАКТИЧЕСКАЯ СЕБЕСТ ВОДА 2017'!ff</definedName>
    <definedName name="ff_2" localSheetId="0">'ФАКТИЧЕСКАЯ СЕБЕСТ. СТОКИ 2017'!ff</definedName>
    <definedName name="ff_2">[0]!ff</definedName>
    <definedName name="fsF">[3]Список!$J$2</definedName>
    <definedName name="ggg" localSheetId="28">'ЗП с факт 3 кв. 2015'!ggg</definedName>
    <definedName name="ggg" localSheetId="3">#N/A</definedName>
    <definedName name="ggg" localSheetId="1">#N/A</definedName>
    <definedName name="ggg" localSheetId="8">#N/A</definedName>
    <definedName name="ggg" localSheetId="7">#N/A</definedName>
    <definedName name="ggg" localSheetId="6">#N/A</definedName>
    <definedName name="ggg" localSheetId="12">#N/A</definedName>
    <definedName name="ggg" localSheetId="11">#N/A</definedName>
    <definedName name="ggg" localSheetId="10">#N/A</definedName>
    <definedName name="ggg" localSheetId="9">#N/A</definedName>
    <definedName name="ggg" localSheetId="2">#N/A</definedName>
    <definedName name="ggg" localSheetId="0">#N/A</definedName>
    <definedName name="ggg">'ЗП с факт 3 кв. 2015'!ggg</definedName>
    <definedName name="ggg_10" localSheetId="28">'ЗП с факт 3 кв. 2015'!ggg</definedName>
    <definedName name="ggg_10" localSheetId="3">'ПОЛНАЯ СЕБЕСТОИМОСТЬ ВОДА 2017'!ggg</definedName>
    <definedName name="ggg_10" localSheetId="1">'ПОЛНАЯ СЕБЕСТОИМОСТЬ СТОКИ 2017'!ggg</definedName>
    <definedName name="ggg_10" localSheetId="8">'Прил. 1 План ФХД вода табл. 2'!ggg</definedName>
    <definedName name="ggg_10" localSheetId="7">'Прил. 1 План ФХД стоки табл 2'!ggg</definedName>
    <definedName name="ggg_10" localSheetId="6">'Прил. 1 План ФХД табл 1'!ggg</definedName>
    <definedName name="ggg_10" localSheetId="12">'Произв. прогр. Вода'!ggg</definedName>
    <definedName name="ggg_10" localSheetId="11">'Произв. прогр. Вода (СВОД)'!ggg</definedName>
    <definedName name="ggg_10" localSheetId="10">'Произв. прогр. Стоки'!ggg</definedName>
    <definedName name="ggg_10" localSheetId="9">'Произв. прогр. Стоки (СВОД)'!ggg</definedName>
    <definedName name="ggg_10" localSheetId="2">'ФАКТИЧЕСКАЯ СЕБЕСТ ВОДА 2017'!ggg</definedName>
    <definedName name="ggg_10" localSheetId="0">'ФАКТИЧЕСКАЯ СЕБЕСТ. СТОКИ 2017'!ggg</definedName>
    <definedName name="ggg_10">[0]!ggg</definedName>
    <definedName name="ggg_14" localSheetId="28">'ЗП с факт 3 кв. 2015'!ggg</definedName>
    <definedName name="ggg_14" localSheetId="3">'ПОЛНАЯ СЕБЕСТОИМОСТЬ ВОДА 2017'!ggg</definedName>
    <definedName name="ggg_14" localSheetId="1">'ПОЛНАЯ СЕБЕСТОИМОСТЬ СТОКИ 2017'!ggg</definedName>
    <definedName name="ggg_14" localSheetId="8">'Прил. 1 План ФХД вода табл. 2'!ggg</definedName>
    <definedName name="ggg_14" localSheetId="7">'Прил. 1 План ФХД стоки табл 2'!ggg</definedName>
    <definedName name="ggg_14" localSheetId="6">'Прил. 1 План ФХД табл 1'!ggg</definedName>
    <definedName name="ggg_14" localSheetId="12">'Произв. прогр. Вода'!ggg</definedName>
    <definedName name="ggg_14" localSheetId="11">'Произв. прогр. Вода (СВОД)'!ggg</definedName>
    <definedName name="ggg_14" localSheetId="10">'Произв. прогр. Стоки'!ggg</definedName>
    <definedName name="ggg_14" localSheetId="9">'Произв. прогр. Стоки (СВОД)'!ggg</definedName>
    <definedName name="ggg_14" localSheetId="2">'ФАКТИЧЕСКАЯ СЕБЕСТ ВОДА 2017'!ggg</definedName>
    <definedName name="ggg_14" localSheetId="0">'ФАКТИЧЕСКАЯ СЕБЕСТ. СТОКИ 2017'!ggg</definedName>
    <definedName name="ggg_14">[0]!ggg</definedName>
    <definedName name="ggg_15" localSheetId="28">'ЗП с факт 3 кв. 2015'!ggg</definedName>
    <definedName name="ggg_15" localSheetId="3">'ПОЛНАЯ СЕБЕСТОИМОСТЬ ВОДА 2017'!ggg</definedName>
    <definedName name="ggg_15" localSheetId="1">'ПОЛНАЯ СЕБЕСТОИМОСТЬ СТОКИ 2017'!ggg</definedName>
    <definedName name="ggg_15" localSheetId="8">'Прил. 1 План ФХД вода табл. 2'!ggg</definedName>
    <definedName name="ggg_15" localSheetId="7">'Прил. 1 План ФХД стоки табл 2'!ggg</definedName>
    <definedName name="ggg_15" localSheetId="6">'Прил. 1 План ФХД табл 1'!ggg</definedName>
    <definedName name="ggg_15" localSheetId="12">'Произв. прогр. Вода'!ggg</definedName>
    <definedName name="ggg_15" localSheetId="11">'Произв. прогр. Вода (СВОД)'!ggg</definedName>
    <definedName name="ggg_15" localSheetId="10">'Произв. прогр. Стоки'!ggg</definedName>
    <definedName name="ggg_15" localSheetId="9">'Произв. прогр. Стоки (СВОД)'!ggg</definedName>
    <definedName name="ggg_15" localSheetId="2">'ФАКТИЧЕСКАЯ СЕБЕСТ ВОДА 2017'!ggg</definedName>
    <definedName name="ggg_15" localSheetId="0">'ФАКТИЧЕСКАЯ СЕБЕСТ. СТОКИ 2017'!ggg</definedName>
    <definedName name="ggg_15">[0]!ggg</definedName>
    <definedName name="ggg_16" localSheetId="28">'ЗП с факт 3 кв. 2015'!ggg</definedName>
    <definedName name="ggg_16" localSheetId="3">'ПОЛНАЯ СЕБЕСТОИМОСТЬ ВОДА 2017'!ggg</definedName>
    <definedName name="ggg_16" localSheetId="1">'ПОЛНАЯ СЕБЕСТОИМОСТЬ СТОКИ 2017'!ggg</definedName>
    <definedName name="ggg_16" localSheetId="8">'Прил. 1 План ФХД вода табл. 2'!ggg</definedName>
    <definedName name="ggg_16" localSheetId="7">'Прил. 1 План ФХД стоки табл 2'!ggg</definedName>
    <definedName name="ggg_16" localSheetId="6">'Прил. 1 План ФХД табл 1'!ggg</definedName>
    <definedName name="ggg_16" localSheetId="12">'Произв. прогр. Вода'!ggg</definedName>
    <definedName name="ggg_16" localSheetId="11">'Произв. прогр. Вода (СВОД)'!ggg</definedName>
    <definedName name="ggg_16" localSheetId="10">'Произв. прогр. Стоки'!ggg</definedName>
    <definedName name="ggg_16" localSheetId="9">'Произв. прогр. Стоки (СВОД)'!ggg</definedName>
    <definedName name="ggg_16" localSheetId="2">'ФАКТИЧЕСКАЯ СЕБЕСТ ВОДА 2017'!ggg</definedName>
    <definedName name="ggg_16" localSheetId="0">'ФАКТИЧЕСКАЯ СЕБЕСТ. СТОКИ 2017'!ggg</definedName>
    <definedName name="ggg_16">[0]!ggg</definedName>
    <definedName name="ggg_2" localSheetId="28">'ЗП с факт 3 кв. 2015'!ggg</definedName>
    <definedName name="ggg_2" localSheetId="3">'ПОЛНАЯ СЕБЕСТОИМОСТЬ ВОДА 2017'!ggg</definedName>
    <definedName name="ggg_2" localSheetId="1">'ПОЛНАЯ СЕБЕСТОИМОСТЬ СТОКИ 2017'!ggg</definedName>
    <definedName name="ggg_2" localSheetId="8">'Прил. 1 План ФХД вода табл. 2'!ggg</definedName>
    <definedName name="ggg_2" localSheetId="7">'Прил. 1 План ФХД стоки табл 2'!ggg</definedName>
    <definedName name="ggg_2" localSheetId="6">'Прил. 1 План ФХД табл 1'!ggg</definedName>
    <definedName name="ggg_2" localSheetId="12">'Произв. прогр. Вода'!ggg</definedName>
    <definedName name="ggg_2" localSheetId="11">'Произв. прогр. Вода (СВОД)'!ggg</definedName>
    <definedName name="ggg_2" localSheetId="10">'Произв. прогр. Стоки'!ggg</definedName>
    <definedName name="ggg_2" localSheetId="9">'Произв. прогр. Стоки (СВОД)'!ggg</definedName>
    <definedName name="ggg_2" localSheetId="2">'ФАКТИЧЕСКАЯ СЕБЕСТ ВОДА 2017'!ggg</definedName>
    <definedName name="ggg_2" localSheetId="0">'ФАКТИЧЕСКАЯ СЕБЕСТ. СТОКИ 2017'!ggg</definedName>
    <definedName name="ggg_2">[0]!ggg</definedName>
    <definedName name="kind_of_activity">[6]TEHSHEET!$B$19:$B$23</definedName>
    <definedName name="Pi1_1" localSheetId="28">'ЗП с факт 3 кв. 2015'!_Pi1</definedName>
    <definedName name="Pi1_1" localSheetId="3">'ПОЛНАЯ СЕБЕСТОИМОСТЬ ВОДА 2017'!_Pi1</definedName>
    <definedName name="Pi1_1" localSheetId="1">'ПОЛНАЯ СЕБЕСТОИМОСТЬ СТОКИ 2017'!_Pi1</definedName>
    <definedName name="Pi1_1" localSheetId="8">'Прил. 1 План ФХД вода табл. 2'!_Pi1</definedName>
    <definedName name="Pi1_1" localSheetId="7">'Прил. 1 План ФХД стоки табл 2'!_Pi1</definedName>
    <definedName name="Pi1_1" localSheetId="6">'Прил. 1 План ФХД табл 1'!_Pi1</definedName>
    <definedName name="Pi1_1" localSheetId="12">'Произв. прогр. Вода'!_Pi1</definedName>
    <definedName name="Pi1_1" localSheetId="11">'Произв. прогр. Вода (СВОД)'!_Pi1</definedName>
    <definedName name="Pi1_1" localSheetId="10">'Произв. прогр. Стоки'!_Pi1</definedName>
    <definedName name="Pi1_1" localSheetId="9">'Произв. прогр. Стоки (СВОД)'!_Pi1</definedName>
    <definedName name="Pi1_1" localSheetId="2">'ФАКТИЧЕСКАЯ СЕБЕСТ ВОДА 2017'!_Pi1</definedName>
    <definedName name="Pi1_1" localSheetId="0">'ФАКТИЧЕСКАЯ СЕБЕСТ. СТОКИ 2017'!_Pi1</definedName>
    <definedName name="Pi1_1">[0]!_Pi1</definedName>
    <definedName name="Pi1_10" localSheetId="28">'ЗП с факт 3 кв. 2015'!_Pi1</definedName>
    <definedName name="Pi1_10" localSheetId="3">'ПОЛНАЯ СЕБЕСТОИМОСТЬ ВОДА 2017'!_Pi1</definedName>
    <definedName name="Pi1_10" localSheetId="1">'ПОЛНАЯ СЕБЕСТОИМОСТЬ СТОКИ 2017'!_Pi1</definedName>
    <definedName name="Pi1_10" localSheetId="8">'Прил. 1 План ФХД вода табл. 2'!_Pi1</definedName>
    <definedName name="Pi1_10" localSheetId="7">'Прил. 1 План ФХД стоки табл 2'!_Pi1</definedName>
    <definedName name="Pi1_10" localSheetId="6">'Прил. 1 План ФХД табл 1'!_Pi1</definedName>
    <definedName name="Pi1_10" localSheetId="12">'Произв. прогр. Вода'!_Pi1</definedName>
    <definedName name="Pi1_10" localSheetId="11">'Произв. прогр. Вода (СВОД)'!_Pi1</definedName>
    <definedName name="Pi1_10" localSheetId="10">'Произв. прогр. Стоки'!_Pi1</definedName>
    <definedName name="Pi1_10" localSheetId="9">'Произв. прогр. Стоки (СВОД)'!_Pi1</definedName>
    <definedName name="Pi1_10" localSheetId="2">'ФАКТИЧЕСКАЯ СЕБЕСТ ВОДА 2017'!_Pi1</definedName>
    <definedName name="Pi1_10" localSheetId="0">'ФАКТИЧЕСКАЯ СЕБЕСТ. СТОКИ 2017'!_Pi1</definedName>
    <definedName name="Pi1_10">[0]!_Pi1</definedName>
    <definedName name="Pi1_11" localSheetId="28">'ЗП с факт 3 кв. 2015'!_Pi1</definedName>
    <definedName name="Pi1_11" localSheetId="3">'ПОЛНАЯ СЕБЕСТОИМОСТЬ ВОДА 2017'!_Pi1</definedName>
    <definedName name="Pi1_11" localSheetId="1">'ПОЛНАЯ СЕБЕСТОИМОСТЬ СТОКИ 2017'!_Pi1</definedName>
    <definedName name="Pi1_11" localSheetId="8">'Прил. 1 План ФХД вода табл. 2'!_Pi1</definedName>
    <definedName name="Pi1_11" localSheetId="7">'Прил. 1 План ФХД стоки табл 2'!_Pi1</definedName>
    <definedName name="Pi1_11" localSheetId="6">'Прил. 1 План ФХД табл 1'!_Pi1</definedName>
    <definedName name="Pi1_11" localSheetId="12">'Произв. прогр. Вода'!_Pi1</definedName>
    <definedName name="Pi1_11" localSheetId="11">'Произв. прогр. Вода (СВОД)'!_Pi1</definedName>
    <definedName name="Pi1_11" localSheetId="10">'Произв. прогр. Стоки'!_Pi1</definedName>
    <definedName name="Pi1_11" localSheetId="9">'Произв. прогр. Стоки (СВОД)'!_Pi1</definedName>
    <definedName name="Pi1_11" localSheetId="2">'ФАКТИЧЕСКАЯ СЕБЕСТ ВОДА 2017'!_Pi1</definedName>
    <definedName name="Pi1_11" localSheetId="0">'ФАКТИЧЕСКАЯ СЕБЕСТ. СТОКИ 2017'!_Pi1</definedName>
    <definedName name="Pi1_11">[0]!_Pi1</definedName>
    <definedName name="Pi1_13" localSheetId="28">'ЗП с факт 3 кв. 2015'!_Pi1</definedName>
    <definedName name="Pi1_13" localSheetId="3">'ПОЛНАЯ СЕБЕСТОИМОСТЬ ВОДА 2017'!_Pi1</definedName>
    <definedName name="Pi1_13" localSheetId="1">'ПОЛНАЯ СЕБЕСТОИМОСТЬ СТОКИ 2017'!_Pi1</definedName>
    <definedName name="Pi1_13" localSheetId="8">'Прил. 1 План ФХД вода табл. 2'!_Pi1</definedName>
    <definedName name="Pi1_13" localSheetId="7">'Прил. 1 План ФХД стоки табл 2'!_Pi1</definedName>
    <definedName name="Pi1_13" localSheetId="6">'Прил. 1 План ФХД табл 1'!_Pi1</definedName>
    <definedName name="Pi1_13" localSheetId="12">'Произв. прогр. Вода'!_Pi1</definedName>
    <definedName name="Pi1_13" localSheetId="11">'Произв. прогр. Вода (СВОД)'!_Pi1</definedName>
    <definedName name="Pi1_13" localSheetId="10">'Произв. прогр. Стоки'!_Pi1</definedName>
    <definedName name="Pi1_13" localSheetId="9">'Произв. прогр. Стоки (СВОД)'!_Pi1</definedName>
    <definedName name="Pi1_13" localSheetId="2">'ФАКТИЧЕСКАЯ СЕБЕСТ ВОДА 2017'!_Pi1</definedName>
    <definedName name="Pi1_13" localSheetId="0">'ФАКТИЧЕСКАЯ СЕБЕСТ. СТОКИ 2017'!_Pi1</definedName>
    <definedName name="Pi1_13">[0]!_Pi1</definedName>
    <definedName name="Pi1_14" localSheetId="28">'ЗП с факт 3 кв. 2015'!_Pi1</definedName>
    <definedName name="Pi1_14" localSheetId="3">'ПОЛНАЯ СЕБЕСТОИМОСТЬ ВОДА 2017'!_Pi1</definedName>
    <definedName name="Pi1_14" localSheetId="1">'ПОЛНАЯ СЕБЕСТОИМОСТЬ СТОКИ 2017'!_Pi1</definedName>
    <definedName name="Pi1_14" localSheetId="8">'Прил. 1 План ФХД вода табл. 2'!_Pi1</definedName>
    <definedName name="Pi1_14" localSheetId="7">'Прил. 1 План ФХД стоки табл 2'!_Pi1</definedName>
    <definedName name="Pi1_14" localSheetId="6">'Прил. 1 План ФХД табл 1'!_Pi1</definedName>
    <definedName name="Pi1_14" localSheetId="12">'Произв. прогр. Вода'!_Pi1</definedName>
    <definedName name="Pi1_14" localSheetId="11">'Произв. прогр. Вода (СВОД)'!_Pi1</definedName>
    <definedName name="Pi1_14" localSheetId="10">'Произв. прогр. Стоки'!_Pi1</definedName>
    <definedName name="Pi1_14" localSheetId="9">'Произв. прогр. Стоки (СВОД)'!_Pi1</definedName>
    <definedName name="Pi1_14" localSheetId="2">'ФАКТИЧЕСКАЯ СЕБЕСТ ВОДА 2017'!_Pi1</definedName>
    <definedName name="Pi1_14" localSheetId="0">'ФАКТИЧЕСКАЯ СЕБЕСТ. СТОКИ 2017'!_Pi1</definedName>
    <definedName name="Pi1_14">[0]!_Pi1</definedName>
    <definedName name="Pi1_15" localSheetId="28">'ЗП с факт 3 кв. 2015'!_Pi1</definedName>
    <definedName name="Pi1_15" localSheetId="3">'ПОЛНАЯ СЕБЕСТОИМОСТЬ ВОДА 2017'!_Pi1</definedName>
    <definedName name="Pi1_15" localSheetId="1">'ПОЛНАЯ СЕБЕСТОИМОСТЬ СТОКИ 2017'!_Pi1</definedName>
    <definedName name="Pi1_15" localSheetId="8">'Прил. 1 План ФХД вода табл. 2'!_Pi1</definedName>
    <definedName name="Pi1_15" localSheetId="7">'Прил. 1 План ФХД стоки табл 2'!_Pi1</definedName>
    <definedName name="Pi1_15" localSheetId="6">'Прил. 1 План ФХД табл 1'!_Pi1</definedName>
    <definedName name="Pi1_15" localSheetId="12">'Произв. прогр. Вода'!_Pi1</definedName>
    <definedName name="Pi1_15" localSheetId="11">'Произв. прогр. Вода (СВОД)'!_Pi1</definedName>
    <definedName name="Pi1_15" localSheetId="10">'Произв. прогр. Стоки'!_Pi1</definedName>
    <definedName name="Pi1_15" localSheetId="9">'Произв. прогр. Стоки (СВОД)'!_Pi1</definedName>
    <definedName name="Pi1_15" localSheetId="2">'ФАКТИЧЕСКАЯ СЕБЕСТ ВОДА 2017'!_Pi1</definedName>
    <definedName name="Pi1_15" localSheetId="0">'ФАКТИЧЕСКАЯ СЕБЕСТ. СТОКИ 2017'!_Pi1</definedName>
    <definedName name="Pi1_15">_Pi1</definedName>
    <definedName name="Pi1_16" localSheetId="28">'ЗП с факт 3 кв. 2015'!_Pi1</definedName>
    <definedName name="Pi1_16" localSheetId="3">'ПОЛНАЯ СЕБЕСТОИМОСТЬ ВОДА 2017'!_Pi1</definedName>
    <definedName name="Pi1_16" localSheetId="1">'ПОЛНАЯ СЕБЕСТОИМОСТЬ СТОКИ 2017'!_Pi1</definedName>
    <definedName name="Pi1_16" localSheetId="8">'Прил. 1 План ФХД вода табл. 2'!_Pi1</definedName>
    <definedName name="Pi1_16" localSheetId="7">'Прил. 1 План ФХД стоки табл 2'!_Pi1</definedName>
    <definedName name="Pi1_16" localSheetId="6">'Прил. 1 План ФХД табл 1'!_Pi1</definedName>
    <definedName name="Pi1_16" localSheetId="12">'Произв. прогр. Вода'!_Pi1</definedName>
    <definedName name="Pi1_16" localSheetId="11">'Произв. прогр. Вода (СВОД)'!_Pi1</definedName>
    <definedName name="Pi1_16" localSheetId="10">'Произв. прогр. Стоки'!_Pi1</definedName>
    <definedName name="Pi1_16" localSheetId="9">'Произв. прогр. Стоки (СВОД)'!_Pi1</definedName>
    <definedName name="Pi1_16" localSheetId="2">'ФАКТИЧЕСКАЯ СЕБЕСТ ВОДА 2017'!_Pi1</definedName>
    <definedName name="Pi1_16" localSheetId="0">'ФАКТИЧЕСКАЯ СЕБЕСТ. СТОКИ 2017'!_Pi1</definedName>
    <definedName name="Pi1_16">[0]!_Pi1</definedName>
    <definedName name="Pi1_2" localSheetId="28">'ЗП с факт 3 кв. 2015'!_Pi1</definedName>
    <definedName name="Pi1_2" localSheetId="3">'ПОЛНАЯ СЕБЕСТОИМОСТЬ ВОДА 2017'!_Pi1</definedName>
    <definedName name="Pi1_2" localSheetId="1">'ПОЛНАЯ СЕБЕСТОИМОСТЬ СТОКИ 2017'!_Pi1</definedName>
    <definedName name="Pi1_2" localSheetId="8">'Прил. 1 План ФХД вода табл. 2'!_Pi1</definedName>
    <definedName name="Pi1_2" localSheetId="7">'Прил. 1 План ФХД стоки табл 2'!_Pi1</definedName>
    <definedName name="Pi1_2" localSheetId="6">'Прил. 1 План ФХД табл 1'!_Pi1</definedName>
    <definedName name="Pi1_2" localSheetId="12">'Произв. прогр. Вода'!_Pi1</definedName>
    <definedName name="Pi1_2" localSheetId="11">'Произв. прогр. Вода (СВОД)'!_Pi1</definedName>
    <definedName name="Pi1_2" localSheetId="10">'Произв. прогр. Стоки'!_Pi1</definedName>
    <definedName name="Pi1_2" localSheetId="9">'Произв. прогр. Стоки (СВОД)'!_Pi1</definedName>
    <definedName name="Pi1_2" localSheetId="2">'ФАКТИЧЕСКАЯ СЕБЕСТ ВОДА 2017'!_Pi1</definedName>
    <definedName name="Pi1_2" localSheetId="0">'ФАКТИЧЕСКАЯ СЕБЕСТ. СТОКИ 2017'!_Pi1</definedName>
    <definedName name="Pi1_2">[0]!_Pi1</definedName>
    <definedName name="Pi1_22" localSheetId="28">'ЗП с факт 3 кв. 2015'!_Pi1</definedName>
    <definedName name="Pi1_22" localSheetId="3">'ПОЛНАЯ СЕБЕСТОИМОСТЬ ВОДА 2017'!_Pi1</definedName>
    <definedName name="Pi1_22" localSheetId="1">'ПОЛНАЯ СЕБЕСТОИМОСТЬ СТОКИ 2017'!_Pi1</definedName>
    <definedName name="Pi1_22" localSheetId="8">'Прил. 1 План ФХД вода табл. 2'!_Pi1</definedName>
    <definedName name="Pi1_22" localSheetId="7">'Прил. 1 План ФХД стоки табл 2'!_Pi1</definedName>
    <definedName name="Pi1_22" localSheetId="6">'Прил. 1 План ФХД табл 1'!_Pi1</definedName>
    <definedName name="Pi1_22" localSheetId="12">'Произв. прогр. Вода'!_Pi1</definedName>
    <definedName name="Pi1_22" localSheetId="11">'Произв. прогр. Вода (СВОД)'!_Pi1</definedName>
    <definedName name="Pi1_22" localSheetId="10">'Произв. прогр. Стоки'!_Pi1</definedName>
    <definedName name="Pi1_22" localSheetId="9">'Произв. прогр. Стоки (СВОД)'!_Pi1</definedName>
    <definedName name="Pi1_22" localSheetId="2">'ФАКТИЧЕСКАЯ СЕБЕСТ ВОДА 2017'!_Pi1</definedName>
    <definedName name="Pi1_22" localSheetId="0">'ФАКТИЧЕСКАЯ СЕБЕСТ. СТОКИ 2017'!_Pi1</definedName>
    <definedName name="Pi1_22">_Pi1</definedName>
    <definedName name="Pi1_3" localSheetId="28">'ЗП с факт 3 кв. 2015'!_Pi1</definedName>
    <definedName name="Pi1_3" localSheetId="3">'ПОЛНАЯ СЕБЕСТОИМОСТЬ ВОДА 2017'!_Pi1</definedName>
    <definedName name="Pi1_3" localSheetId="1">'ПОЛНАЯ СЕБЕСТОИМОСТЬ СТОКИ 2017'!_Pi1</definedName>
    <definedName name="Pi1_3" localSheetId="8">'Прил. 1 План ФХД вода табл. 2'!_Pi1</definedName>
    <definedName name="Pi1_3" localSheetId="7">'Прил. 1 План ФХД стоки табл 2'!_Pi1</definedName>
    <definedName name="Pi1_3" localSheetId="6">'Прил. 1 План ФХД табл 1'!_Pi1</definedName>
    <definedName name="Pi1_3" localSheetId="12">'Произв. прогр. Вода'!_Pi1</definedName>
    <definedName name="Pi1_3" localSheetId="11">'Произв. прогр. Вода (СВОД)'!_Pi1</definedName>
    <definedName name="Pi1_3" localSheetId="10">'Произв. прогр. Стоки'!_Pi1</definedName>
    <definedName name="Pi1_3" localSheetId="9">'Произв. прогр. Стоки (СВОД)'!_Pi1</definedName>
    <definedName name="Pi1_3" localSheetId="2">'ФАКТИЧЕСКАЯ СЕБЕСТ ВОДА 2017'!_Pi1</definedName>
    <definedName name="Pi1_3" localSheetId="0">'ФАКТИЧЕСКАЯ СЕБЕСТ. СТОКИ 2017'!_Pi1</definedName>
    <definedName name="Pi1_3">[0]!_Pi1</definedName>
    <definedName name="Pi1_4" localSheetId="28">'ЗП с факт 3 кв. 2015'!_Pi1</definedName>
    <definedName name="Pi1_4" localSheetId="3">'ПОЛНАЯ СЕБЕСТОИМОСТЬ ВОДА 2017'!_Pi1</definedName>
    <definedName name="Pi1_4" localSheetId="1">'ПОЛНАЯ СЕБЕСТОИМОСТЬ СТОКИ 2017'!_Pi1</definedName>
    <definedName name="Pi1_4" localSheetId="8">'Прил. 1 План ФХД вода табл. 2'!_Pi1</definedName>
    <definedName name="Pi1_4" localSheetId="7">'Прил. 1 План ФХД стоки табл 2'!_Pi1</definedName>
    <definedName name="Pi1_4" localSheetId="6">'Прил. 1 План ФХД табл 1'!_Pi1</definedName>
    <definedName name="Pi1_4" localSheetId="12">'Произв. прогр. Вода'!_Pi1</definedName>
    <definedName name="Pi1_4" localSheetId="11">'Произв. прогр. Вода (СВОД)'!_Pi1</definedName>
    <definedName name="Pi1_4" localSheetId="10">'Произв. прогр. Стоки'!_Pi1</definedName>
    <definedName name="Pi1_4" localSheetId="9">'Произв. прогр. Стоки (СВОД)'!_Pi1</definedName>
    <definedName name="Pi1_4" localSheetId="2">'ФАКТИЧЕСКАЯ СЕБЕСТ ВОДА 2017'!_Pi1</definedName>
    <definedName name="Pi1_4" localSheetId="0">'ФАКТИЧЕСКАЯ СЕБЕСТ. СТОКИ 2017'!_Pi1</definedName>
    <definedName name="Pi1_4">_Pi1</definedName>
    <definedName name="Pi1_67" localSheetId="28">'ЗП с факт 3 кв. 2015'!_Pi1</definedName>
    <definedName name="Pi1_67" localSheetId="3">'ПОЛНАЯ СЕБЕСТОИМОСТЬ ВОДА 2017'!_Pi1</definedName>
    <definedName name="Pi1_67" localSheetId="1">'ПОЛНАЯ СЕБЕСТОИМОСТЬ СТОКИ 2017'!_Pi1</definedName>
    <definedName name="Pi1_67" localSheetId="8">'Прил. 1 План ФХД вода табл. 2'!_Pi1</definedName>
    <definedName name="Pi1_67" localSheetId="7">'Прил. 1 План ФХД стоки табл 2'!_Pi1</definedName>
    <definedName name="Pi1_67" localSheetId="6">'Прил. 1 План ФХД табл 1'!_Pi1</definedName>
    <definedName name="Pi1_67" localSheetId="12">'Произв. прогр. Вода'!_Pi1</definedName>
    <definedName name="Pi1_67" localSheetId="11">'Произв. прогр. Вода (СВОД)'!_Pi1</definedName>
    <definedName name="Pi1_67" localSheetId="10">'Произв. прогр. Стоки'!_Pi1</definedName>
    <definedName name="Pi1_67" localSheetId="9">'Произв. прогр. Стоки (СВОД)'!_Pi1</definedName>
    <definedName name="Pi1_67" localSheetId="2">'ФАКТИЧЕСКАЯ СЕБЕСТ ВОДА 2017'!_Pi1</definedName>
    <definedName name="Pi1_67" localSheetId="0">'ФАКТИЧЕСКАЯ СЕБЕСТ. СТОКИ 2017'!_Pi1</definedName>
    <definedName name="Pi1_67">_Pi1</definedName>
    <definedName name="Pi1_70" localSheetId="28">'ЗП с факт 3 кв. 2015'!_Pi1</definedName>
    <definedName name="Pi1_70" localSheetId="3">'ПОЛНАЯ СЕБЕСТОИМОСТЬ ВОДА 2017'!_Pi1</definedName>
    <definedName name="Pi1_70" localSheetId="1">'ПОЛНАЯ СЕБЕСТОИМОСТЬ СТОКИ 2017'!_Pi1</definedName>
    <definedName name="Pi1_70" localSheetId="8">'Прил. 1 План ФХД вода табл. 2'!_Pi1</definedName>
    <definedName name="Pi1_70" localSheetId="7">'Прил. 1 План ФХД стоки табл 2'!_Pi1</definedName>
    <definedName name="Pi1_70" localSheetId="6">'Прил. 1 План ФХД табл 1'!_Pi1</definedName>
    <definedName name="Pi1_70" localSheetId="12">'Произв. прогр. Вода'!_Pi1</definedName>
    <definedName name="Pi1_70" localSheetId="11">'Произв. прогр. Вода (СВОД)'!_Pi1</definedName>
    <definedName name="Pi1_70" localSheetId="10">'Произв. прогр. Стоки'!_Pi1</definedName>
    <definedName name="Pi1_70" localSheetId="9">'Произв. прогр. Стоки (СВОД)'!_Pi1</definedName>
    <definedName name="Pi1_70" localSheetId="2">'ФАКТИЧЕСКАЯ СЕБЕСТ ВОДА 2017'!_Pi1</definedName>
    <definedName name="Pi1_70" localSheetId="0">'ФАКТИЧЕСКАЯ СЕБЕСТ. СТОКИ 2017'!_Pi1</definedName>
    <definedName name="Pi1_70">_Pi1</definedName>
    <definedName name="Pi1_71" localSheetId="28">'ЗП с факт 3 кв. 2015'!_Pi1</definedName>
    <definedName name="Pi1_71" localSheetId="3">'ПОЛНАЯ СЕБЕСТОИМОСТЬ ВОДА 2017'!_Pi1</definedName>
    <definedName name="Pi1_71" localSheetId="1">'ПОЛНАЯ СЕБЕСТОИМОСТЬ СТОКИ 2017'!_Pi1</definedName>
    <definedName name="Pi1_71" localSheetId="8">'Прил. 1 План ФХД вода табл. 2'!_Pi1</definedName>
    <definedName name="Pi1_71" localSheetId="7">'Прил. 1 План ФХД стоки табл 2'!_Pi1</definedName>
    <definedName name="Pi1_71" localSheetId="6">'Прил. 1 План ФХД табл 1'!_Pi1</definedName>
    <definedName name="Pi1_71" localSheetId="12">'Произв. прогр. Вода'!_Pi1</definedName>
    <definedName name="Pi1_71" localSheetId="11">'Произв. прогр. Вода (СВОД)'!_Pi1</definedName>
    <definedName name="Pi1_71" localSheetId="10">'Произв. прогр. Стоки'!_Pi1</definedName>
    <definedName name="Pi1_71" localSheetId="9">'Произв. прогр. Стоки (СВОД)'!_Pi1</definedName>
    <definedName name="Pi1_71" localSheetId="2">'ФАКТИЧЕСКАЯ СЕБЕСТ ВОДА 2017'!_Pi1</definedName>
    <definedName name="Pi1_71" localSheetId="0">'ФАКТИЧЕСКАЯ СЕБЕСТ. СТОКИ 2017'!_Pi1</definedName>
    <definedName name="Pi1_71">_Pi1</definedName>
    <definedName name="Pi1_72" localSheetId="28">'ЗП с факт 3 кв. 2015'!_Pi1</definedName>
    <definedName name="Pi1_72" localSheetId="3">'ПОЛНАЯ СЕБЕСТОИМОСТЬ ВОДА 2017'!_Pi1</definedName>
    <definedName name="Pi1_72" localSheetId="1">'ПОЛНАЯ СЕБЕСТОИМОСТЬ СТОКИ 2017'!_Pi1</definedName>
    <definedName name="Pi1_72" localSheetId="8">'Прил. 1 План ФХД вода табл. 2'!_Pi1</definedName>
    <definedName name="Pi1_72" localSheetId="7">'Прил. 1 План ФХД стоки табл 2'!_Pi1</definedName>
    <definedName name="Pi1_72" localSheetId="6">'Прил. 1 План ФХД табл 1'!_Pi1</definedName>
    <definedName name="Pi1_72" localSheetId="12">'Произв. прогр. Вода'!_Pi1</definedName>
    <definedName name="Pi1_72" localSheetId="11">'Произв. прогр. Вода (СВОД)'!_Pi1</definedName>
    <definedName name="Pi1_72" localSheetId="10">'Произв. прогр. Стоки'!_Pi1</definedName>
    <definedName name="Pi1_72" localSheetId="9">'Произв. прогр. Стоки (СВОД)'!_Pi1</definedName>
    <definedName name="Pi1_72" localSheetId="2">'ФАКТИЧЕСКАЯ СЕБЕСТ ВОДА 2017'!_Pi1</definedName>
    <definedName name="Pi1_72" localSheetId="0">'ФАКТИЧЕСКАЯ СЕБЕСТ. СТОКИ 2017'!_Pi1</definedName>
    <definedName name="Pi1_72">_Pi1</definedName>
    <definedName name="Pi1_74" localSheetId="28">'ЗП с факт 3 кв. 2015'!_Pi1</definedName>
    <definedName name="Pi1_74" localSheetId="3">'ПОЛНАЯ СЕБЕСТОИМОСТЬ ВОДА 2017'!_Pi1</definedName>
    <definedName name="Pi1_74" localSheetId="1">'ПОЛНАЯ СЕБЕСТОИМОСТЬ СТОКИ 2017'!_Pi1</definedName>
    <definedName name="Pi1_74" localSheetId="8">'Прил. 1 План ФХД вода табл. 2'!_Pi1</definedName>
    <definedName name="Pi1_74" localSheetId="7">'Прил. 1 План ФХД стоки табл 2'!_Pi1</definedName>
    <definedName name="Pi1_74" localSheetId="6">'Прил. 1 План ФХД табл 1'!_Pi1</definedName>
    <definedName name="Pi1_74" localSheetId="12">'Произв. прогр. Вода'!_Pi1</definedName>
    <definedName name="Pi1_74" localSheetId="11">'Произв. прогр. Вода (СВОД)'!_Pi1</definedName>
    <definedName name="Pi1_74" localSheetId="10">'Произв. прогр. Стоки'!_Pi1</definedName>
    <definedName name="Pi1_74" localSheetId="9">'Произв. прогр. Стоки (СВОД)'!_Pi1</definedName>
    <definedName name="Pi1_74" localSheetId="2">'ФАКТИЧЕСКАЯ СЕБЕСТ ВОДА 2017'!_Pi1</definedName>
    <definedName name="Pi1_74" localSheetId="0">'ФАКТИЧЕСКАЯ СЕБЕСТ. СТОКИ 2017'!_Pi1</definedName>
    <definedName name="Pi1_74">_Pi1</definedName>
    <definedName name="Pi1_9" localSheetId="28">'ЗП с факт 3 кв. 2015'!_Pi1</definedName>
    <definedName name="Pi1_9" localSheetId="3">'ПОЛНАЯ СЕБЕСТОИМОСТЬ ВОДА 2017'!_Pi1</definedName>
    <definedName name="Pi1_9" localSheetId="1">'ПОЛНАЯ СЕБЕСТОИМОСТЬ СТОКИ 2017'!_Pi1</definedName>
    <definedName name="Pi1_9" localSheetId="8">'Прил. 1 План ФХД вода табл. 2'!_Pi1</definedName>
    <definedName name="Pi1_9" localSheetId="7">'Прил. 1 План ФХД стоки табл 2'!_Pi1</definedName>
    <definedName name="Pi1_9" localSheetId="6">'Прил. 1 План ФХД табл 1'!_Pi1</definedName>
    <definedName name="Pi1_9" localSheetId="12">'Произв. прогр. Вода'!_Pi1</definedName>
    <definedName name="Pi1_9" localSheetId="11">'Произв. прогр. Вода (СВОД)'!_Pi1</definedName>
    <definedName name="Pi1_9" localSheetId="10">'Произв. прогр. Стоки'!_Pi1</definedName>
    <definedName name="Pi1_9" localSheetId="9">'Произв. прогр. Стоки (СВОД)'!_Pi1</definedName>
    <definedName name="Pi1_9" localSheetId="2">'ФАКТИЧЕСКАЯ СЕБЕСТ ВОДА 2017'!_Pi1</definedName>
    <definedName name="Pi1_9" localSheetId="0">'ФАКТИЧЕСКАЯ СЕБЕСТ. СТОКИ 2017'!_Pi1</definedName>
    <definedName name="Pi1_9">_Pi1</definedName>
    <definedName name="Pi2_1" localSheetId="28">'ЗП с факт 3 кв. 2015'!_Pi2</definedName>
    <definedName name="Pi2_1" localSheetId="3">'ПОЛНАЯ СЕБЕСТОИМОСТЬ ВОДА 2017'!_Pi2</definedName>
    <definedName name="Pi2_1" localSheetId="1">'ПОЛНАЯ СЕБЕСТОИМОСТЬ СТОКИ 2017'!_Pi2</definedName>
    <definedName name="Pi2_1" localSheetId="8">'Прил. 1 План ФХД вода табл. 2'!_Pi2</definedName>
    <definedName name="Pi2_1" localSheetId="7">'Прил. 1 План ФХД стоки табл 2'!_Pi2</definedName>
    <definedName name="Pi2_1" localSheetId="6">'Прил. 1 План ФХД табл 1'!_Pi2</definedName>
    <definedName name="Pi2_1" localSheetId="12">'Произв. прогр. Вода'!_Pi2</definedName>
    <definedName name="Pi2_1" localSheetId="11">'Произв. прогр. Вода (СВОД)'!_Pi2</definedName>
    <definedName name="Pi2_1" localSheetId="10">'Произв. прогр. Стоки'!_Pi2</definedName>
    <definedName name="Pi2_1" localSheetId="9">'Произв. прогр. Стоки (СВОД)'!_Pi2</definedName>
    <definedName name="Pi2_1" localSheetId="2">'ФАКТИЧЕСКАЯ СЕБЕСТ ВОДА 2017'!_Pi2</definedName>
    <definedName name="Pi2_1" localSheetId="0">'ФАКТИЧЕСКАЯ СЕБЕСТ. СТОКИ 2017'!_Pi2</definedName>
    <definedName name="Pi2_1">[0]!_Pi2</definedName>
    <definedName name="Pi2_10" localSheetId="28">'ЗП с факт 3 кв. 2015'!_Pi2</definedName>
    <definedName name="Pi2_10" localSheetId="3">'ПОЛНАЯ СЕБЕСТОИМОСТЬ ВОДА 2017'!_Pi2</definedName>
    <definedName name="Pi2_10" localSheetId="1">'ПОЛНАЯ СЕБЕСТОИМОСТЬ СТОКИ 2017'!_Pi2</definedName>
    <definedName name="Pi2_10" localSheetId="8">'Прил. 1 План ФХД вода табл. 2'!_Pi2</definedName>
    <definedName name="Pi2_10" localSheetId="7">'Прил. 1 План ФХД стоки табл 2'!_Pi2</definedName>
    <definedName name="Pi2_10" localSheetId="6">'Прил. 1 План ФХД табл 1'!_Pi2</definedName>
    <definedName name="Pi2_10" localSheetId="12">'Произв. прогр. Вода'!_Pi2</definedName>
    <definedName name="Pi2_10" localSheetId="11">'Произв. прогр. Вода (СВОД)'!_Pi2</definedName>
    <definedName name="Pi2_10" localSheetId="10">'Произв. прогр. Стоки'!_Pi2</definedName>
    <definedName name="Pi2_10" localSheetId="9">'Произв. прогр. Стоки (СВОД)'!_Pi2</definedName>
    <definedName name="Pi2_10" localSheetId="2">'ФАКТИЧЕСКАЯ СЕБЕСТ ВОДА 2017'!_Pi2</definedName>
    <definedName name="Pi2_10" localSheetId="0">'ФАКТИЧЕСКАЯ СЕБЕСТ. СТОКИ 2017'!_Pi2</definedName>
    <definedName name="Pi2_10">[0]!_Pi2</definedName>
    <definedName name="Pi2_11" localSheetId="28">'ЗП с факт 3 кв. 2015'!_Pi2</definedName>
    <definedName name="Pi2_11" localSheetId="3">'ПОЛНАЯ СЕБЕСТОИМОСТЬ ВОДА 2017'!_Pi2</definedName>
    <definedName name="Pi2_11" localSheetId="1">'ПОЛНАЯ СЕБЕСТОИМОСТЬ СТОКИ 2017'!_Pi2</definedName>
    <definedName name="Pi2_11" localSheetId="8">'Прил. 1 План ФХД вода табл. 2'!_Pi2</definedName>
    <definedName name="Pi2_11" localSheetId="7">'Прил. 1 План ФХД стоки табл 2'!_Pi2</definedName>
    <definedName name="Pi2_11" localSheetId="6">'Прил. 1 План ФХД табл 1'!_Pi2</definedName>
    <definedName name="Pi2_11" localSheetId="12">'Произв. прогр. Вода'!_Pi2</definedName>
    <definedName name="Pi2_11" localSheetId="11">'Произв. прогр. Вода (СВОД)'!_Pi2</definedName>
    <definedName name="Pi2_11" localSheetId="10">'Произв. прогр. Стоки'!_Pi2</definedName>
    <definedName name="Pi2_11" localSheetId="9">'Произв. прогр. Стоки (СВОД)'!_Pi2</definedName>
    <definedName name="Pi2_11" localSheetId="2">'ФАКТИЧЕСКАЯ СЕБЕСТ ВОДА 2017'!_Pi2</definedName>
    <definedName name="Pi2_11" localSheetId="0">'ФАКТИЧЕСКАЯ СЕБЕСТ. СТОКИ 2017'!_Pi2</definedName>
    <definedName name="Pi2_11">[0]!_Pi2</definedName>
    <definedName name="Pi2_13" localSheetId="28">'ЗП с факт 3 кв. 2015'!_Pi2</definedName>
    <definedName name="Pi2_13" localSheetId="3">'ПОЛНАЯ СЕБЕСТОИМОСТЬ ВОДА 2017'!_Pi2</definedName>
    <definedName name="Pi2_13" localSheetId="1">'ПОЛНАЯ СЕБЕСТОИМОСТЬ СТОКИ 2017'!_Pi2</definedName>
    <definedName name="Pi2_13" localSheetId="8">'Прил. 1 План ФХД вода табл. 2'!_Pi2</definedName>
    <definedName name="Pi2_13" localSheetId="7">'Прил. 1 План ФХД стоки табл 2'!_Pi2</definedName>
    <definedName name="Pi2_13" localSheetId="6">'Прил. 1 План ФХД табл 1'!_Pi2</definedName>
    <definedName name="Pi2_13" localSheetId="12">'Произв. прогр. Вода'!_Pi2</definedName>
    <definedName name="Pi2_13" localSheetId="11">'Произв. прогр. Вода (СВОД)'!_Pi2</definedName>
    <definedName name="Pi2_13" localSheetId="10">'Произв. прогр. Стоки'!_Pi2</definedName>
    <definedName name="Pi2_13" localSheetId="9">'Произв. прогр. Стоки (СВОД)'!_Pi2</definedName>
    <definedName name="Pi2_13" localSheetId="2">'ФАКТИЧЕСКАЯ СЕБЕСТ ВОДА 2017'!_Pi2</definedName>
    <definedName name="Pi2_13" localSheetId="0">'ФАКТИЧЕСКАЯ СЕБЕСТ. СТОКИ 2017'!_Pi2</definedName>
    <definedName name="Pi2_13">[0]!_Pi2</definedName>
    <definedName name="Pi2_14" localSheetId="28">'ЗП с факт 3 кв. 2015'!_Pi2</definedName>
    <definedName name="Pi2_14" localSheetId="3">'ПОЛНАЯ СЕБЕСТОИМОСТЬ ВОДА 2017'!_Pi2</definedName>
    <definedName name="Pi2_14" localSheetId="1">'ПОЛНАЯ СЕБЕСТОИМОСТЬ СТОКИ 2017'!_Pi2</definedName>
    <definedName name="Pi2_14" localSheetId="8">'Прил. 1 План ФХД вода табл. 2'!_Pi2</definedName>
    <definedName name="Pi2_14" localSheetId="7">'Прил. 1 План ФХД стоки табл 2'!_Pi2</definedName>
    <definedName name="Pi2_14" localSheetId="6">'Прил. 1 План ФХД табл 1'!_Pi2</definedName>
    <definedName name="Pi2_14" localSheetId="12">'Произв. прогр. Вода'!_Pi2</definedName>
    <definedName name="Pi2_14" localSheetId="11">'Произв. прогр. Вода (СВОД)'!_Pi2</definedName>
    <definedName name="Pi2_14" localSheetId="10">'Произв. прогр. Стоки'!_Pi2</definedName>
    <definedName name="Pi2_14" localSheetId="9">'Произв. прогр. Стоки (СВОД)'!_Pi2</definedName>
    <definedName name="Pi2_14" localSheetId="2">'ФАКТИЧЕСКАЯ СЕБЕСТ ВОДА 2017'!_Pi2</definedName>
    <definedName name="Pi2_14" localSheetId="0">'ФАКТИЧЕСКАЯ СЕБЕСТ. СТОКИ 2017'!_Pi2</definedName>
    <definedName name="Pi2_14">[0]!_Pi2</definedName>
    <definedName name="Pi2_15" localSheetId="28">'ЗП с факт 3 кв. 2015'!_Pi2</definedName>
    <definedName name="Pi2_15" localSheetId="3">'ПОЛНАЯ СЕБЕСТОИМОСТЬ ВОДА 2017'!_Pi2</definedName>
    <definedName name="Pi2_15" localSheetId="1">'ПОЛНАЯ СЕБЕСТОИМОСТЬ СТОКИ 2017'!_Pi2</definedName>
    <definedName name="Pi2_15" localSheetId="8">'Прил. 1 План ФХД вода табл. 2'!_Pi2</definedName>
    <definedName name="Pi2_15" localSheetId="7">'Прил. 1 План ФХД стоки табл 2'!_Pi2</definedName>
    <definedName name="Pi2_15" localSheetId="6">'Прил. 1 План ФХД табл 1'!_Pi2</definedName>
    <definedName name="Pi2_15" localSheetId="12">'Произв. прогр. Вода'!_Pi2</definedName>
    <definedName name="Pi2_15" localSheetId="11">'Произв. прогр. Вода (СВОД)'!_Pi2</definedName>
    <definedName name="Pi2_15" localSheetId="10">'Произв. прогр. Стоки'!_Pi2</definedName>
    <definedName name="Pi2_15" localSheetId="9">'Произв. прогр. Стоки (СВОД)'!_Pi2</definedName>
    <definedName name="Pi2_15" localSheetId="2">'ФАКТИЧЕСКАЯ СЕБЕСТ ВОДА 2017'!_Pi2</definedName>
    <definedName name="Pi2_15" localSheetId="0">'ФАКТИЧЕСКАЯ СЕБЕСТ. СТОКИ 2017'!_Pi2</definedName>
    <definedName name="Pi2_15">_Pi2</definedName>
    <definedName name="Pi2_16" localSheetId="28">'ЗП с факт 3 кв. 2015'!_Pi2</definedName>
    <definedName name="Pi2_16" localSheetId="3">'ПОЛНАЯ СЕБЕСТОИМОСТЬ ВОДА 2017'!_Pi2</definedName>
    <definedName name="Pi2_16" localSheetId="1">'ПОЛНАЯ СЕБЕСТОИМОСТЬ СТОКИ 2017'!_Pi2</definedName>
    <definedName name="Pi2_16" localSheetId="8">'Прил. 1 План ФХД вода табл. 2'!_Pi2</definedName>
    <definedName name="Pi2_16" localSheetId="7">'Прил. 1 План ФХД стоки табл 2'!_Pi2</definedName>
    <definedName name="Pi2_16" localSheetId="6">'Прил. 1 План ФХД табл 1'!_Pi2</definedName>
    <definedName name="Pi2_16" localSheetId="12">'Произв. прогр. Вода'!_Pi2</definedName>
    <definedName name="Pi2_16" localSheetId="11">'Произв. прогр. Вода (СВОД)'!_Pi2</definedName>
    <definedName name="Pi2_16" localSheetId="10">'Произв. прогр. Стоки'!_Pi2</definedName>
    <definedName name="Pi2_16" localSheetId="9">'Произв. прогр. Стоки (СВОД)'!_Pi2</definedName>
    <definedName name="Pi2_16" localSheetId="2">'ФАКТИЧЕСКАЯ СЕБЕСТ ВОДА 2017'!_Pi2</definedName>
    <definedName name="Pi2_16" localSheetId="0">'ФАКТИЧЕСКАЯ СЕБЕСТ. СТОКИ 2017'!_Pi2</definedName>
    <definedName name="Pi2_16">[0]!_Pi2</definedName>
    <definedName name="Pi2_2" localSheetId="28">'ЗП с факт 3 кв. 2015'!_Pi2</definedName>
    <definedName name="Pi2_2" localSheetId="3">'ПОЛНАЯ СЕБЕСТОИМОСТЬ ВОДА 2017'!_Pi2</definedName>
    <definedName name="Pi2_2" localSheetId="1">'ПОЛНАЯ СЕБЕСТОИМОСТЬ СТОКИ 2017'!_Pi2</definedName>
    <definedName name="Pi2_2" localSheetId="8">'Прил. 1 План ФХД вода табл. 2'!_Pi2</definedName>
    <definedName name="Pi2_2" localSheetId="7">'Прил. 1 План ФХД стоки табл 2'!_Pi2</definedName>
    <definedName name="Pi2_2" localSheetId="6">'Прил. 1 План ФХД табл 1'!_Pi2</definedName>
    <definedName name="Pi2_2" localSheetId="12">'Произв. прогр. Вода'!_Pi2</definedName>
    <definedName name="Pi2_2" localSheetId="11">'Произв. прогр. Вода (СВОД)'!_Pi2</definedName>
    <definedName name="Pi2_2" localSheetId="10">'Произв. прогр. Стоки'!_Pi2</definedName>
    <definedName name="Pi2_2" localSheetId="9">'Произв. прогр. Стоки (СВОД)'!_Pi2</definedName>
    <definedName name="Pi2_2" localSheetId="2">'ФАКТИЧЕСКАЯ СЕБЕСТ ВОДА 2017'!_Pi2</definedName>
    <definedName name="Pi2_2" localSheetId="0">'ФАКТИЧЕСКАЯ СЕБЕСТ. СТОКИ 2017'!_Pi2</definedName>
    <definedName name="Pi2_2">[0]!_Pi2</definedName>
    <definedName name="Pi2_22" localSheetId="28">'ЗП с факт 3 кв. 2015'!_Pi2</definedName>
    <definedName name="Pi2_22" localSheetId="3">'ПОЛНАЯ СЕБЕСТОИМОСТЬ ВОДА 2017'!_Pi2</definedName>
    <definedName name="Pi2_22" localSheetId="1">'ПОЛНАЯ СЕБЕСТОИМОСТЬ СТОКИ 2017'!_Pi2</definedName>
    <definedName name="Pi2_22" localSheetId="8">'Прил. 1 План ФХД вода табл. 2'!_Pi2</definedName>
    <definedName name="Pi2_22" localSheetId="7">'Прил. 1 План ФХД стоки табл 2'!_Pi2</definedName>
    <definedName name="Pi2_22" localSheetId="6">'Прил. 1 План ФХД табл 1'!_Pi2</definedName>
    <definedName name="Pi2_22" localSheetId="12">'Произв. прогр. Вода'!_Pi2</definedName>
    <definedName name="Pi2_22" localSheetId="11">'Произв. прогр. Вода (СВОД)'!_Pi2</definedName>
    <definedName name="Pi2_22" localSheetId="10">'Произв. прогр. Стоки'!_Pi2</definedName>
    <definedName name="Pi2_22" localSheetId="9">'Произв. прогр. Стоки (СВОД)'!_Pi2</definedName>
    <definedName name="Pi2_22" localSheetId="2">'ФАКТИЧЕСКАЯ СЕБЕСТ ВОДА 2017'!_Pi2</definedName>
    <definedName name="Pi2_22" localSheetId="0">'ФАКТИЧЕСКАЯ СЕБЕСТ. СТОКИ 2017'!_Pi2</definedName>
    <definedName name="Pi2_22">_Pi2</definedName>
    <definedName name="Pi2_3" localSheetId="28">'ЗП с факт 3 кв. 2015'!_Pi2</definedName>
    <definedName name="Pi2_3" localSheetId="3">'ПОЛНАЯ СЕБЕСТОИМОСТЬ ВОДА 2017'!_Pi2</definedName>
    <definedName name="Pi2_3" localSheetId="1">'ПОЛНАЯ СЕБЕСТОИМОСТЬ СТОКИ 2017'!_Pi2</definedName>
    <definedName name="Pi2_3" localSheetId="8">'Прил. 1 План ФХД вода табл. 2'!_Pi2</definedName>
    <definedName name="Pi2_3" localSheetId="7">'Прил. 1 План ФХД стоки табл 2'!_Pi2</definedName>
    <definedName name="Pi2_3" localSheetId="6">'Прил. 1 План ФХД табл 1'!_Pi2</definedName>
    <definedName name="Pi2_3" localSheetId="12">'Произв. прогр. Вода'!_Pi2</definedName>
    <definedName name="Pi2_3" localSheetId="11">'Произв. прогр. Вода (СВОД)'!_Pi2</definedName>
    <definedName name="Pi2_3" localSheetId="10">'Произв. прогр. Стоки'!_Pi2</definedName>
    <definedName name="Pi2_3" localSheetId="9">'Произв. прогр. Стоки (СВОД)'!_Pi2</definedName>
    <definedName name="Pi2_3" localSheetId="2">'ФАКТИЧЕСКАЯ СЕБЕСТ ВОДА 2017'!_Pi2</definedName>
    <definedName name="Pi2_3" localSheetId="0">'ФАКТИЧЕСКАЯ СЕБЕСТ. СТОКИ 2017'!_Pi2</definedName>
    <definedName name="Pi2_3">[0]!_Pi2</definedName>
    <definedName name="Pi2_4" localSheetId="28">'ЗП с факт 3 кв. 2015'!_Pi2</definedName>
    <definedName name="Pi2_4" localSheetId="3">'ПОЛНАЯ СЕБЕСТОИМОСТЬ ВОДА 2017'!_Pi2</definedName>
    <definedName name="Pi2_4" localSheetId="1">'ПОЛНАЯ СЕБЕСТОИМОСТЬ СТОКИ 2017'!_Pi2</definedName>
    <definedName name="Pi2_4" localSheetId="8">'Прил. 1 План ФХД вода табл. 2'!_Pi2</definedName>
    <definedName name="Pi2_4" localSheetId="7">'Прил. 1 План ФХД стоки табл 2'!_Pi2</definedName>
    <definedName name="Pi2_4" localSheetId="6">'Прил. 1 План ФХД табл 1'!_Pi2</definedName>
    <definedName name="Pi2_4" localSheetId="12">'Произв. прогр. Вода'!_Pi2</definedName>
    <definedName name="Pi2_4" localSheetId="11">'Произв. прогр. Вода (СВОД)'!_Pi2</definedName>
    <definedName name="Pi2_4" localSheetId="10">'Произв. прогр. Стоки'!_Pi2</definedName>
    <definedName name="Pi2_4" localSheetId="9">'Произв. прогр. Стоки (СВОД)'!_Pi2</definedName>
    <definedName name="Pi2_4" localSheetId="2">'ФАКТИЧЕСКАЯ СЕБЕСТ ВОДА 2017'!_Pi2</definedName>
    <definedName name="Pi2_4" localSheetId="0">'ФАКТИЧЕСКАЯ СЕБЕСТ. СТОКИ 2017'!_Pi2</definedName>
    <definedName name="Pi2_4">_Pi2</definedName>
    <definedName name="Pi2_67" localSheetId="28">'ЗП с факт 3 кв. 2015'!_Pi2</definedName>
    <definedName name="Pi2_67" localSheetId="3">'ПОЛНАЯ СЕБЕСТОИМОСТЬ ВОДА 2017'!_Pi2</definedName>
    <definedName name="Pi2_67" localSheetId="1">'ПОЛНАЯ СЕБЕСТОИМОСТЬ СТОКИ 2017'!_Pi2</definedName>
    <definedName name="Pi2_67" localSheetId="8">'Прил. 1 План ФХД вода табл. 2'!_Pi2</definedName>
    <definedName name="Pi2_67" localSheetId="7">'Прил. 1 План ФХД стоки табл 2'!_Pi2</definedName>
    <definedName name="Pi2_67" localSheetId="6">'Прил. 1 План ФХД табл 1'!_Pi2</definedName>
    <definedName name="Pi2_67" localSheetId="12">'Произв. прогр. Вода'!_Pi2</definedName>
    <definedName name="Pi2_67" localSheetId="11">'Произв. прогр. Вода (СВОД)'!_Pi2</definedName>
    <definedName name="Pi2_67" localSheetId="10">'Произв. прогр. Стоки'!_Pi2</definedName>
    <definedName name="Pi2_67" localSheetId="9">'Произв. прогр. Стоки (СВОД)'!_Pi2</definedName>
    <definedName name="Pi2_67" localSheetId="2">'ФАКТИЧЕСКАЯ СЕБЕСТ ВОДА 2017'!_Pi2</definedName>
    <definedName name="Pi2_67" localSheetId="0">'ФАКТИЧЕСКАЯ СЕБЕСТ. СТОКИ 2017'!_Pi2</definedName>
    <definedName name="Pi2_67">_Pi2</definedName>
    <definedName name="Pi2_70" localSheetId="28">'ЗП с факт 3 кв. 2015'!_Pi2</definedName>
    <definedName name="Pi2_70" localSheetId="3">'ПОЛНАЯ СЕБЕСТОИМОСТЬ ВОДА 2017'!_Pi2</definedName>
    <definedName name="Pi2_70" localSheetId="1">'ПОЛНАЯ СЕБЕСТОИМОСТЬ СТОКИ 2017'!_Pi2</definedName>
    <definedName name="Pi2_70" localSheetId="8">'Прил. 1 План ФХД вода табл. 2'!_Pi2</definedName>
    <definedName name="Pi2_70" localSheetId="7">'Прил. 1 План ФХД стоки табл 2'!_Pi2</definedName>
    <definedName name="Pi2_70" localSheetId="6">'Прил. 1 План ФХД табл 1'!_Pi2</definedName>
    <definedName name="Pi2_70" localSheetId="12">'Произв. прогр. Вода'!_Pi2</definedName>
    <definedName name="Pi2_70" localSheetId="11">'Произв. прогр. Вода (СВОД)'!_Pi2</definedName>
    <definedName name="Pi2_70" localSheetId="10">'Произв. прогр. Стоки'!_Pi2</definedName>
    <definedName name="Pi2_70" localSheetId="9">'Произв. прогр. Стоки (СВОД)'!_Pi2</definedName>
    <definedName name="Pi2_70" localSheetId="2">'ФАКТИЧЕСКАЯ СЕБЕСТ ВОДА 2017'!_Pi2</definedName>
    <definedName name="Pi2_70" localSheetId="0">'ФАКТИЧЕСКАЯ СЕБЕСТ. СТОКИ 2017'!_Pi2</definedName>
    <definedName name="Pi2_70">_Pi2</definedName>
    <definedName name="Pi2_71" localSheetId="28">'ЗП с факт 3 кв. 2015'!_Pi2</definedName>
    <definedName name="Pi2_71" localSheetId="3">'ПОЛНАЯ СЕБЕСТОИМОСТЬ ВОДА 2017'!_Pi2</definedName>
    <definedName name="Pi2_71" localSheetId="1">'ПОЛНАЯ СЕБЕСТОИМОСТЬ СТОКИ 2017'!_Pi2</definedName>
    <definedName name="Pi2_71" localSheetId="8">'Прил. 1 План ФХД вода табл. 2'!_Pi2</definedName>
    <definedName name="Pi2_71" localSheetId="7">'Прил. 1 План ФХД стоки табл 2'!_Pi2</definedName>
    <definedName name="Pi2_71" localSheetId="6">'Прил. 1 План ФХД табл 1'!_Pi2</definedName>
    <definedName name="Pi2_71" localSheetId="12">'Произв. прогр. Вода'!_Pi2</definedName>
    <definedName name="Pi2_71" localSheetId="11">'Произв. прогр. Вода (СВОД)'!_Pi2</definedName>
    <definedName name="Pi2_71" localSheetId="10">'Произв. прогр. Стоки'!_Pi2</definedName>
    <definedName name="Pi2_71" localSheetId="9">'Произв. прогр. Стоки (СВОД)'!_Pi2</definedName>
    <definedName name="Pi2_71" localSheetId="2">'ФАКТИЧЕСКАЯ СЕБЕСТ ВОДА 2017'!_Pi2</definedName>
    <definedName name="Pi2_71" localSheetId="0">'ФАКТИЧЕСКАЯ СЕБЕСТ. СТОКИ 2017'!_Pi2</definedName>
    <definedName name="Pi2_71">_Pi2</definedName>
    <definedName name="Pi2_72" localSheetId="28">'ЗП с факт 3 кв. 2015'!_Pi2</definedName>
    <definedName name="Pi2_72" localSheetId="3">'ПОЛНАЯ СЕБЕСТОИМОСТЬ ВОДА 2017'!_Pi2</definedName>
    <definedName name="Pi2_72" localSheetId="1">'ПОЛНАЯ СЕБЕСТОИМОСТЬ СТОКИ 2017'!_Pi2</definedName>
    <definedName name="Pi2_72" localSheetId="8">'Прил. 1 План ФХД вода табл. 2'!_Pi2</definedName>
    <definedName name="Pi2_72" localSheetId="7">'Прил. 1 План ФХД стоки табл 2'!_Pi2</definedName>
    <definedName name="Pi2_72" localSheetId="6">'Прил. 1 План ФХД табл 1'!_Pi2</definedName>
    <definedName name="Pi2_72" localSheetId="12">'Произв. прогр. Вода'!_Pi2</definedName>
    <definedName name="Pi2_72" localSheetId="11">'Произв. прогр. Вода (СВОД)'!_Pi2</definedName>
    <definedName name="Pi2_72" localSheetId="10">'Произв. прогр. Стоки'!_Pi2</definedName>
    <definedName name="Pi2_72" localSheetId="9">'Произв. прогр. Стоки (СВОД)'!_Pi2</definedName>
    <definedName name="Pi2_72" localSheetId="2">'ФАКТИЧЕСКАЯ СЕБЕСТ ВОДА 2017'!_Pi2</definedName>
    <definedName name="Pi2_72" localSheetId="0">'ФАКТИЧЕСКАЯ СЕБЕСТ. СТОКИ 2017'!_Pi2</definedName>
    <definedName name="Pi2_72">_Pi2</definedName>
    <definedName name="Pi2_74" localSheetId="28">'ЗП с факт 3 кв. 2015'!_Pi2</definedName>
    <definedName name="Pi2_74" localSheetId="3">'ПОЛНАЯ СЕБЕСТОИМОСТЬ ВОДА 2017'!_Pi2</definedName>
    <definedName name="Pi2_74" localSheetId="1">'ПОЛНАЯ СЕБЕСТОИМОСТЬ СТОКИ 2017'!_Pi2</definedName>
    <definedName name="Pi2_74" localSheetId="8">'Прил. 1 План ФХД вода табл. 2'!_Pi2</definedName>
    <definedName name="Pi2_74" localSheetId="7">'Прил. 1 План ФХД стоки табл 2'!_Pi2</definedName>
    <definedName name="Pi2_74" localSheetId="6">'Прил. 1 План ФХД табл 1'!_Pi2</definedName>
    <definedName name="Pi2_74" localSheetId="12">'Произв. прогр. Вода'!_Pi2</definedName>
    <definedName name="Pi2_74" localSheetId="11">'Произв. прогр. Вода (СВОД)'!_Pi2</definedName>
    <definedName name="Pi2_74" localSheetId="10">'Произв. прогр. Стоки'!_Pi2</definedName>
    <definedName name="Pi2_74" localSheetId="9">'Произв. прогр. Стоки (СВОД)'!_Pi2</definedName>
    <definedName name="Pi2_74" localSheetId="2">'ФАКТИЧЕСКАЯ СЕБЕСТ ВОДА 2017'!_Pi2</definedName>
    <definedName name="Pi2_74" localSheetId="0">'ФАКТИЧЕСКАЯ СЕБЕСТ. СТОКИ 2017'!_Pi2</definedName>
    <definedName name="Pi2_74">_Pi2</definedName>
    <definedName name="Pi2_9" localSheetId="28">'ЗП с факт 3 кв. 2015'!_Pi2</definedName>
    <definedName name="Pi2_9" localSheetId="3">'ПОЛНАЯ СЕБЕСТОИМОСТЬ ВОДА 2017'!_Pi2</definedName>
    <definedName name="Pi2_9" localSheetId="1">'ПОЛНАЯ СЕБЕСТОИМОСТЬ СТОКИ 2017'!_Pi2</definedName>
    <definedName name="Pi2_9" localSheetId="8">'Прил. 1 План ФХД вода табл. 2'!_Pi2</definedName>
    <definedName name="Pi2_9" localSheetId="7">'Прил. 1 План ФХД стоки табл 2'!_Pi2</definedName>
    <definedName name="Pi2_9" localSheetId="6">'Прил. 1 План ФХД табл 1'!_Pi2</definedName>
    <definedName name="Pi2_9" localSheetId="12">'Произв. прогр. Вода'!_Pi2</definedName>
    <definedName name="Pi2_9" localSheetId="11">'Произв. прогр. Вода (СВОД)'!_Pi2</definedName>
    <definedName name="Pi2_9" localSheetId="10">'Произв. прогр. Стоки'!_Pi2</definedName>
    <definedName name="Pi2_9" localSheetId="9">'Произв. прогр. Стоки (СВОД)'!_Pi2</definedName>
    <definedName name="Pi2_9" localSheetId="2">'ФАКТИЧЕСКАЯ СЕБЕСТ ВОДА 2017'!_Pi2</definedName>
    <definedName name="Pi2_9" localSheetId="0">'ФАКТИЧЕСКАЯ СЕБЕСТ. СТОКИ 2017'!_Pi2</definedName>
    <definedName name="Pi2_9">_Pi2</definedName>
    <definedName name="Pi3_1" localSheetId="28">'ЗП с факт 3 кв. 2015'!_Pi3</definedName>
    <definedName name="Pi3_1" localSheetId="3">'ПОЛНАЯ СЕБЕСТОИМОСТЬ ВОДА 2017'!_Pi3</definedName>
    <definedName name="Pi3_1" localSheetId="1">'ПОЛНАЯ СЕБЕСТОИМОСТЬ СТОКИ 2017'!_Pi3</definedName>
    <definedName name="Pi3_1" localSheetId="8">'Прил. 1 План ФХД вода табл. 2'!_Pi3</definedName>
    <definedName name="Pi3_1" localSheetId="7">'Прил. 1 План ФХД стоки табл 2'!_Pi3</definedName>
    <definedName name="Pi3_1" localSheetId="6">'Прил. 1 План ФХД табл 1'!_Pi3</definedName>
    <definedName name="Pi3_1" localSheetId="12">'Произв. прогр. Вода'!_Pi3</definedName>
    <definedName name="Pi3_1" localSheetId="11">'Произв. прогр. Вода (СВОД)'!_Pi3</definedName>
    <definedName name="Pi3_1" localSheetId="10">'Произв. прогр. Стоки'!_Pi3</definedName>
    <definedName name="Pi3_1" localSheetId="9">'Произв. прогр. Стоки (СВОД)'!_Pi3</definedName>
    <definedName name="Pi3_1" localSheetId="2">'ФАКТИЧЕСКАЯ СЕБЕСТ ВОДА 2017'!_Pi3</definedName>
    <definedName name="Pi3_1" localSheetId="0">'ФАКТИЧЕСКАЯ СЕБЕСТ. СТОКИ 2017'!_Pi3</definedName>
    <definedName name="Pi3_1">[0]!_Pi3</definedName>
    <definedName name="Pi3_10" localSheetId="28">'ЗП с факт 3 кв. 2015'!_Pi3</definedName>
    <definedName name="Pi3_10" localSheetId="3">'ПОЛНАЯ СЕБЕСТОИМОСТЬ ВОДА 2017'!_Pi3</definedName>
    <definedName name="Pi3_10" localSheetId="1">'ПОЛНАЯ СЕБЕСТОИМОСТЬ СТОКИ 2017'!_Pi3</definedName>
    <definedName name="Pi3_10" localSheetId="8">'Прил. 1 План ФХД вода табл. 2'!_Pi3</definedName>
    <definedName name="Pi3_10" localSheetId="7">'Прил. 1 План ФХД стоки табл 2'!_Pi3</definedName>
    <definedName name="Pi3_10" localSheetId="6">'Прил. 1 План ФХД табл 1'!_Pi3</definedName>
    <definedName name="Pi3_10" localSheetId="12">'Произв. прогр. Вода'!_Pi3</definedName>
    <definedName name="Pi3_10" localSheetId="11">'Произв. прогр. Вода (СВОД)'!_Pi3</definedName>
    <definedName name="Pi3_10" localSheetId="10">'Произв. прогр. Стоки'!_Pi3</definedName>
    <definedName name="Pi3_10" localSheetId="9">'Произв. прогр. Стоки (СВОД)'!_Pi3</definedName>
    <definedName name="Pi3_10" localSheetId="2">'ФАКТИЧЕСКАЯ СЕБЕСТ ВОДА 2017'!_Pi3</definedName>
    <definedName name="Pi3_10" localSheetId="0">'ФАКТИЧЕСКАЯ СЕБЕСТ. СТОКИ 2017'!_Pi3</definedName>
    <definedName name="Pi3_10">[0]!_Pi3</definedName>
    <definedName name="Pi3_11" localSheetId="28">'ЗП с факт 3 кв. 2015'!_Pi3</definedName>
    <definedName name="Pi3_11" localSheetId="3">'ПОЛНАЯ СЕБЕСТОИМОСТЬ ВОДА 2017'!_Pi3</definedName>
    <definedName name="Pi3_11" localSheetId="1">'ПОЛНАЯ СЕБЕСТОИМОСТЬ СТОКИ 2017'!_Pi3</definedName>
    <definedName name="Pi3_11" localSheetId="8">'Прил. 1 План ФХД вода табл. 2'!_Pi3</definedName>
    <definedName name="Pi3_11" localSheetId="7">'Прил. 1 План ФХД стоки табл 2'!_Pi3</definedName>
    <definedName name="Pi3_11" localSheetId="6">'Прил. 1 План ФХД табл 1'!_Pi3</definedName>
    <definedName name="Pi3_11" localSheetId="12">'Произв. прогр. Вода'!_Pi3</definedName>
    <definedName name="Pi3_11" localSheetId="11">'Произв. прогр. Вода (СВОД)'!_Pi3</definedName>
    <definedName name="Pi3_11" localSheetId="10">'Произв. прогр. Стоки'!_Pi3</definedName>
    <definedName name="Pi3_11" localSheetId="9">'Произв. прогр. Стоки (СВОД)'!_Pi3</definedName>
    <definedName name="Pi3_11" localSheetId="2">'ФАКТИЧЕСКАЯ СЕБЕСТ ВОДА 2017'!_Pi3</definedName>
    <definedName name="Pi3_11" localSheetId="0">'ФАКТИЧЕСКАЯ СЕБЕСТ. СТОКИ 2017'!_Pi3</definedName>
    <definedName name="Pi3_11">[0]!_Pi3</definedName>
    <definedName name="Pi3_13" localSheetId="28">'ЗП с факт 3 кв. 2015'!_Pi3</definedName>
    <definedName name="Pi3_13" localSheetId="3">'ПОЛНАЯ СЕБЕСТОИМОСТЬ ВОДА 2017'!_Pi3</definedName>
    <definedName name="Pi3_13" localSheetId="1">'ПОЛНАЯ СЕБЕСТОИМОСТЬ СТОКИ 2017'!_Pi3</definedName>
    <definedName name="Pi3_13" localSheetId="8">'Прил. 1 План ФХД вода табл. 2'!_Pi3</definedName>
    <definedName name="Pi3_13" localSheetId="7">'Прил. 1 План ФХД стоки табл 2'!_Pi3</definedName>
    <definedName name="Pi3_13" localSheetId="6">'Прил. 1 План ФХД табл 1'!_Pi3</definedName>
    <definedName name="Pi3_13" localSheetId="12">'Произв. прогр. Вода'!_Pi3</definedName>
    <definedName name="Pi3_13" localSheetId="11">'Произв. прогр. Вода (СВОД)'!_Pi3</definedName>
    <definedName name="Pi3_13" localSheetId="10">'Произв. прогр. Стоки'!_Pi3</definedName>
    <definedName name="Pi3_13" localSheetId="9">'Произв. прогр. Стоки (СВОД)'!_Pi3</definedName>
    <definedName name="Pi3_13" localSheetId="2">'ФАКТИЧЕСКАЯ СЕБЕСТ ВОДА 2017'!_Pi3</definedName>
    <definedName name="Pi3_13" localSheetId="0">'ФАКТИЧЕСКАЯ СЕБЕСТ. СТОКИ 2017'!_Pi3</definedName>
    <definedName name="Pi3_13">[0]!_Pi3</definedName>
    <definedName name="Pi3_14" localSheetId="28">'ЗП с факт 3 кв. 2015'!_Pi3</definedName>
    <definedName name="Pi3_14" localSheetId="3">'ПОЛНАЯ СЕБЕСТОИМОСТЬ ВОДА 2017'!_Pi3</definedName>
    <definedName name="Pi3_14" localSheetId="1">'ПОЛНАЯ СЕБЕСТОИМОСТЬ СТОКИ 2017'!_Pi3</definedName>
    <definedName name="Pi3_14" localSheetId="8">'Прил. 1 План ФХД вода табл. 2'!_Pi3</definedName>
    <definedName name="Pi3_14" localSheetId="7">'Прил. 1 План ФХД стоки табл 2'!_Pi3</definedName>
    <definedName name="Pi3_14" localSheetId="6">'Прил. 1 План ФХД табл 1'!_Pi3</definedName>
    <definedName name="Pi3_14" localSheetId="12">'Произв. прогр. Вода'!_Pi3</definedName>
    <definedName name="Pi3_14" localSheetId="11">'Произв. прогр. Вода (СВОД)'!_Pi3</definedName>
    <definedName name="Pi3_14" localSheetId="10">'Произв. прогр. Стоки'!_Pi3</definedName>
    <definedName name="Pi3_14" localSheetId="9">'Произв. прогр. Стоки (СВОД)'!_Pi3</definedName>
    <definedName name="Pi3_14" localSheetId="2">'ФАКТИЧЕСКАЯ СЕБЕСТ ВОДА 2017'!_Pi3</definedName>
    <definedName name="Pi3_14" localSheetId="0">'ФАКТИЧЕСКАЯ СЕБЕСТ. СТОКИ 2017'!_Pi3</definedName>
    <definedName name="Pi3_14">[0]!_Pi3</definedName>
    <definedName name="Pi3_15" localSheetId="28">'ЗП с факт 3 кв. 2015'!_Pi3</definedName>
    <definedName name="Pi3_15" localSheetId="3">'ПОЛНАЯ СЕБЕСТОИМОСТЬ ВОДА 2017'!_Pi3</definedName>
    <definedName name="Pi3_15" localSheetId="1">'ПОЛНАЯ СЕБЕСТОИМОСТЬ СТОКИ 2017'!_Pi3</definedName>
    <definedName name="Pi3_15" localSheetId="8">'Прил. 1 План ФХД вода табл. 2'!_Pi3</definedName>
    <definedName name="Pi3_15" localSheetId="7">'Прил. 1 План ФХД стоки табл 2'!_Pi3</definedName>
    <definedName name="Pi3_15" localSheetId="6">'Прил. 1 План ФХД табл 1'!_Pi3</definedName>
    <definedName name="Pi3_15" localSheetId="12">'Произв. прогр. Вода'!_Pi3</definedName>
    <definedName name="Pi3_15" localSheetId="11">'Произв. прогр. Вода (СВОД)'!_Pi3</definedName>
    <definedName name="Pi3_15" localSheetId="10">'Произв. прогр. Стоки'!_Pi3</definedName>
    <definedName name="Pi3_15" localSheetId="9">'Произв. прогр. Стоки (СВОД)'!_Pi3</definedName>
    <definedName name="Pi3_15" localSheetId="2">'ФАКТИЧЕСКАЯ СЕБЕСТ ВОДА 2017'!_Pi3</definedName>
    <definedName name="Pi3_15" localSheetId="0">'ФАКТИЧЕСКАЯ СЕБЕСТ. СТОКИ 2017'!_Pi3</definedName>
    <definedName name="Pi3_15">_Pi3</definedName>
    <definedName name="Pi3_16" localSheetId="28">'ЗП с факт 3 кв. 2015'!_Pi3</definedName>
    <definedName name="Pi3_16" localSheetId="3">'ПОЛНАЯ СЕБЕСТОИМОСТЬ ВОДА 2017'!_Pi3</definedName>
    <definedName name="Pi3_16" localSheetId="1">'ПОЛНАЯ СЕБЕСТОИМОСТЬ СТОКИ 2017'!_Pi3</definedName>
    <definedName name="Pi3_16" localSheetId="8">'Прил. 1 План ФХД вода табл. 2'!_Pi3</definedName>
    <definedName name="Pi3_16" localSheetId="7">'Прил. 1 План ФХД стоки табл 2'!_Pi3</definedName>
    <definedName name="Pi3_16" localSheetId="6">'Прил. 1 План ФХД табл 1'!_Pi3</definedName>
    <definedName name="Pi3_16" localSheetId="12">'Произв. прогр. Вода'!_Pi3</definedName>
    <definedName name="Pi3_16" localSheetId="11">'Произв. прогр. Вода (СВОД)'!_Pi3</definedName>
    <definedName name="Pi3_16" localSheetId="10">'Произв. прогр. Стоки'!_Pi3</definedName>
    <definedName name="Pi3_16" localSheetId="9">'Произв. прогр. Стоки (СВОД)'!_Pi3</definedName>
    <definedName name="Pi3_16" localSheetId="2">'ФАКТИЧЕСКАЯ СЕБЕСТ ВОДА 2017'!_Pi3</definedName>
    <definedName name="Pi3_16" localSheetId="0">'ФАКТИЧЕСКАЯ СЕБЕСТ. СТОКИ 2017'!_Pi3</definedName>
    <definedName name="Pi3_16">[0]!_Pi3</definedName>
    <definedName name="Pi3_2" localSheetId="28">'ЗП с факт 3 кв. 2015'!_Pi3</definedName>
    <definedName name="Pi3_2" localSheetId="3">'ПОЛНАЯ СЕБЕСТОИМОСТЬ ВОДА 2017'!_Pi3</definedName>
    <definedName name="Pi3_2" localSheetId="1">'ПОЛНАЯ СЕБЕСТОИМОСТЬ СТОКИ 2017'!_Pi3</definedName>
    <definedName name="Pi3_2" localSheetId="8">'Прил. 1 План ФХД вода табл. 2'!_Pi3</definedName>
    <definedName name="Pi3_2" localSheetId="7">'Прил. 1 План ФХД стоки табл 2'!_Pi3</definedName>
    <definedName name="Pi3_2" localSheetId="6">'Прил. 1 План ФХД табл 1'!_Pi3</definedName>
    <definedName name="Pi3_2" localSheetId="12">'Произв. прогр. Вода'!_Pi3</definedName>
    <definedName name="Pi3_2" localSheetId="11">'Произв. прогр. Вода (СВОД)'!_Pi3</definedName>
    <definedName name="Pi3_2" localSheetId="10">'Произв. прогр. Стоки'!_Pi3</definedName>
    <definedName name="Pi3_2" localSheetId="9">'Произв. прогр. Стоки (СВОД)'!_Pi3</definedName>
    <definedName name="Pi3_2" localSheetId="2">'ФАКТИЧЕСКАЯ СЕБЕСТ ВОДА 2017'!_Pi3</definedName>
    <definedName name="Pi3_2" localSheetId="0">'ФАКТИЧЕСКАЯ СЕБЕСТ. СТОКИ 2017'!_Pi3</definedName>
    <definedName name="Pi3_2">[0]!_Pi3</definedName>
    <definedName name="Pi3_22" localSheetId="28">'ЗП с факт 3 кв. 2015'!_Pi3</definedName>
    <definedName name="Pi3_22" localSheetId="3">'ПОЛНАЯ СЕБЕСТОИМОСТЬ ВОДА 2017'!_Pi3</definedName>
    <definedName name="Pi3_22" localSheetId="1">'ПОЛНАЯ СЕБЕСТОИМОСТЬ СТОКИ 2017'!_Pi3</definedName>
    <definedName name="Pi3_22" localSheetId="8">'Прил. 1 План ФХД вода табл. 2'!_Pi3</definedName>
    <definedName name="Pi3_22" localSheetId="7">'Прил. 1 План ФХД стоки табл 2'!_Pi3</definedName>
    <definedName name="Pi3_22" localSheetId="6">'Прил. 1 План ФХД табл 1'!_Pi3</definedName>
    <definedName name="Pi3_22" localSheetId="12">'Произв. прогр. Вода'!_Pi3</definedName>
    <definedName name="Pi3_22" localSheetId="11">'Произв. прогр. Вода (СВОД)'!_Pi3</definedName>
    <definedName name="Pi3_22" localSheetId="10">'Произв. прогр. Стоки'!_Pi3</definedName>
    <definedName name="Pi3_22" localSheetId="9">'Произв. прогр. Стоки (СВОД)'!_Pi3</definedName>
    <definedName name="Pi3_22" localSheetId="2">'ФАКТИЧЕСКАЯ СЕБЕСТ ВОДА 2017'!_Pi3</definedName>
    <definedName name="Pi3_22" localSheetId="0">'ФАКТИЧЕСКАЯ СЕБЕСТ. СТОКИ 2017'!_Pi3</definedName>
    <definedName name="Pi3_22">_Pi3</definedName>
    <definedName name="Pi3_3" localSheetId="28">'ЗП с факт 3 кв. 2015'!_Pi3</definedName>
    <definedName name="Pi3_3" localSheetId="3">'ПОЛНАЯ СЕБЕСТОИМОСТЬ ВОДА 2017'!_Pi3</definedName>
    <definedName name="Pi3_3" localSheetId="1">'ПОЛНАЯ СЕБЕСТОИМОСТЬ СТОКИ 2017'!_Pi3</definedName>
    <definedName name="Pi3_3" localSheetId="8">'Прил. 1 План ФХД вода табл. 2'!_Pi3</definedName>
    <definedName name="Pi3_3" localSheetId="7">'Прил. 1 План ФХД стоки табл 2'!_Pi3</definedName>
    <definedName name="Pi3_3" localSheetId="6">'Прил. 1 План ФХД табл 1'!_Pi3</definedName>
    <definedName name="Pi3_3" localSheetId="12">'Произв. прогр. Вода'!_Pi3</definedName>
    <definedName name="Pi3_3" localSheetId="11">'Произв. прогр. Вода (СВОД)'!_Pi3</definedName>
    <definedName name="Pi3_3" localSheetId="10">'Произв. прогр. Стоки'!_Pi3</definedName>
    <definedName name="Pi3_3" localSheetId="9">'Произв. прогр. Стоки (СВОД)'!_Pi3</definedName>
    <definedName name="Pi3_3" localSheetId="2">'ФАКТИЧЕСКАЯ СЕБЕСТ ВОДА 2017'!_Pi3</definedName>
    <definedName name="Pi3_3" localSheetId="0">'ФАКТИЧЕСКАЯ СЕБЕСТ. СТОКИ 2017'!_Pi3</definedName>
    <definedName name="Pi3_3">[0]!_Pi3</definedName>
    <definedName name="Pi3_4" localSheetId="28">'ЗП с факт 3 кв. 2015'!_Pi3</definedName>
    <definedName name="Pi3_4" localSheetId="3">'ПОЛНАЯ СЕБЕСТОИМОСТЬ ВОДА 2017'!_Pi3</definedName>
    <definedName name="Pi3_4" localSheetId="1">'ПОЛНАЯ СЕБЕСТОИМОСТЬ СТОКИ 2017'!_Pi3</definedName>
    <definedName name="Pi3_4" localSheetId="8">'Прил. 1 План ФХД вода табл. 2'!_Pi3</definedName>
    <definedName name="Pi3_4" localSheetId="7">'Прил. 1 План ФХД стоки табл 2'!_Pi3</definedName>
    <definedName name="Pi3_4" localSheetId="6">'Прил. 1 План ФХД табл 1'!_Pi3</definedName>
    <definedName name="Pi3_4" localSheetId="12">'Произв. прогр. Вода'!_Pi3</definedName>
    <definedName name="Pi3_4" localSheetId="11">'Произв. прогр. Вода (СВОД)'!_Pi3</definedName>
    <definedName name="Pi3_4" localSheetId="10">'Произв. прогр. Стоки'!_Pi3</definedName>
    <definedName name="Pi3_4" localSheetId="9">'Произв. прогр. Стоки (СВОД)'!_Pi3</definedName>
    <definedName name="Pi3_4" localSheetId="2">'ФАКТИЧЕСКАЯ СЕБЕСТ ВОДА 2017'!_Pi3</definedName>
    <definedName name="Pi3_4" localSheetId="0">'ФАКТИЧЕСКАЯ СЕБЕСТ. СТОКИ 2017'!_Pi3</definedName>
    <definedName name="Pi3_4">_Pi3</definedName>
    <definedName name="Pi3_67" localSheetId="28">'ЗП с факт 3 кв. 2015'!_Pi3</definedName>
    <definedName name="Pi3_67" localSheetId="3">'ПОЛНАЯ СЕБЕСТОИМОСТЬ ВОДА 2017'!_Pi3</definedName>
    <definedName name="Pi3_67" localSheetId="1">'ПОЛНАЯ СЕБЕСТОИМОСТЬ СТОКИ 2017'!_Pi3</definedName>
    <definedName name="Pi3_67" localSheetId="8">'Прил. 1 План ФХД вода табл. 2'!_Pi3</definedName>
    <definedName name="Pi3_67" localSheetId="7">'Прил. 1 План ФХД стоки табл 2'!_Pi3</definedName>
    <definedName name="Pi3_67" localSheetId="6">'Прил. 1 План ФХД табл 1'!_Pi3</definedName>
    <definedName name="Pi3_67" localSheetId="12">'Произв. прогр. Вода'!_Pi3</definedName>
    <definedName name="Pi3_67" localSheetId="11">'Произв. прогр. Вода (СВОД)'!_Pi3</definedName>
    <definedName name="Pi3_67" localSheetId="10">'Произв. прогр. Стоки'!_Pi3</definedName>
    <definedName name="Pi3_67" localSheetId="9">'Произв. прогр. Стоки (СВОД)'!_Pi3</definedName>
    <definedName name="Pi3_67" localSheetId="2">'ФАКТИЧЕСКАЯ СЕБЕСТ ВОДА 2017'!_Pi3</definedName>
    <definedName name="Pi3_67" localSheetId="0">'ФАКТИЧЕСКАЯ СЕБЕСТ. СТОКИ 2017'!_Pi3</definedName>
    <definedName name="Pi3_67">_Pi3</definedName>
    <definedName name="Pi3_70" localSheetId="28">'ЗП с факт 3 кв. 2015'!_Pi3</definedName>
    <definedName name="Pi3_70" localSheetId="3">'ПОЛНАЯ СЕБЕСТОИМОСТЬ ВОДА 2017'!_Pi3</definedName>
    <definedName name="Pi3_70" localSheetId="1">'ПОЛНАЯ СЕБЕСТОИМОСТЬ СТОКИ 2017'!_Pi3</definedName>
    <definedName name="Pi3_70" localSheetId="8">'Прил. 1 План ФХД вода табл. 2'!_Pi3</definedName>
    <definedName name="Pi3_70" localSheetId="7">'Прил. 1 План ФХД стоки табл 2'!_Pi3</definedName>
    <definedName name="Pi3_70" localSheetId="6">'Прил. 1 План ФХД табл 1'!_Pi3</definedName>
    <definedName name="Pi3_70" localSheetId="12">'Произв. прогр. Вода'!_Pi3</definedName>
    <definedName name="Pi3_70" localSheetId="11">'Произв. прогр. Вода (СВОД)'!_Pi3</definedName>
    <definedName name="Pi3_70" localSheetId="10">'Произв. прогр. Стоки'!_Pi3</definedName>
    <definedName name="Pi3_70" localSheetId="9">'Произв. прогр. Стоки (СВОД)'!_Pi3</definedName>
    <definedName name="Pi3_70" localSheetId="2">'ФАКТИЧЕСКАЯ СЕБЕСТ ВОДА 2017'!_Pi3</definedName>
    <definedName name="Pi3_70" localSheetId="0">'ФАКТИЧЕСКАЯ СЕБЕСТ. СТОКИ 2017'!_Pi3</definedName>
    <definedName name="Pi3_70">_Pi3</definedName>
    <definedName name="Pi3_71" localSheetId="28">'ЗП с факт 3 кв. 2015'!_Pi3</definedName>
    <definedName name="Pi3_71" localSheetId="3">'ПОЛНАЯ СЕБЕСТОИМОСТЬ ВОДА 2017'!_Pi3</definedName>
    <definedName name="Pi3_71" localSheetId="1">'ПОЛНАЯ СЕБЕСТОИМОСТЬ СТОКИ 2017'!_Pi3</definedName>
    <definedName name="Pi3_71" localSheetId="8">'Прил. 1 План ФХД вода табл. 2'!_Pi3</definedName>
    <definedName name="Pi3_71" localSheetId="7">'Прил. 1 План ФХД стоки табл 2'!_Pi3</definedName>
    <definedName name="Pi3_71" localSheetId="6">'Прил. 1 План ФХД табл 1'!_Pi3</definedName>
    <definedName name="Pi3_71" localSheetId="12">'Произв. прогр. Вода'!_Pi3</definedName>
    <definedName name="Pi3_71" localSheetId="11">'Произв. прогр. Вода (СВОД)'!_Pi3</definedName>
    <definedName name="Pi3_71" localSheetId="10">'Произв. прогр. Стоки'!_Pi3</definedName>
    <definedName name="Pi3_71" localSheetId="9">'Произв. прогр. Стоки (СВОД)'!_Pi3</definedName>
    <definedName name="Pi3_71" localSheetId="2">'ФАКТИЧЕСКАЯ СЕБЕСТ ВОДА 2017'!_Pi3</definedName>
    <definedName name="Pi3_71" localSheetId="0">'ФАКТИЧЕСКАЯ СЕБЕСТ. СТОКИ 2017'!_Pi3</definedName>
    <definedName name="Pi3_71">_Pi3</definedName>
    <definedName name="Pi3_72" localSheetId="28">'ЗП с факт 3 кв. 2015'!_Pi3</definedName>
    <definedName name="Pi3_72" localSheetId="3">'ПОЛНАЯ СЕБЕСТОИМОСТЬ ВОДА 2017'!_Pi3</definedName>
    <definedName name="Pi3_72" localSheetId="1">'ПОЛНАЯ СЕБЕСТОИМОСТЬ СТОКИ 2017'!_Pi3</definedName>
    <definedName name="Pi3_72" localSheetId="8">'Прил. 1 План ФХД вода табл. 2'!_Pi3</definedName>
    <definedName name="Pi3_72" localSheetId="7">'Прил. 1 План ФХД стоки табл 2'!_Pi3</definedName>
    <definedName name="Pi3_72" localSheetId="6">'Прил. 1 План ФХД табл 1'!_Pi3</definedName>
    <definedName name="Pi3_72" localSheetId="12">'Произв. прогр. Вода'!_Pi3</definedName>
    <definedName name="Pi3_72" localSheetId="11">'Произв. прогр. Вода (СВОД)'!_Pi3</definedName>
    <definedName name="Pi3_72" localSheetId="10">'Произв. прогр. Стоки'!_Pi3</definedName>
    <definedName name="Pi3_72" localSheetId="9">'Произв. прогр. Стоки (СВОД)'!_Pi3</definedName>
    <definedName name="Pi3_72" localSheetId="2">'ФАКТИЧЕСКАЯ СЕБЕСТ ВОДА 2017'!_Pi3</definedName>
    <definedName name="Pi3_72" localSheetId="0">'ФАКТИЧЕСКАЯ СЕБЕСТ. СТОКИ 2017'!_Pi3</definedName>
    <definedName name="Pi3_72">_Pi3</definedName>
    <definedName name="Pi3_74" localSheetId="28">'ЗП с факт 3 кв. 2015'!_Pi3</definedName>
    <definedName name="Pi3_74" localSheetId="3">'ПОЛНАЯ СЕБЕСТОИМОСТЬ ВОДА 2017'!_Pi3</definedName>
    <definedName name="Pi3_74" localSheetId="1">'ПОЛНАЯ СЕБЕСТОИМОСТЬ СТОКИ 2017'!_Pi3</definedName>
    <definedName name="Pi3_74" localSheetId="8">'Прил. 1 План ФХД вода табл. 2'!_Pi3</definedName>
    <definedName name="Pi3_74" localSheetId="7">'Прил. 1 План ФХД стоки табл 2'!_Pi3</definedName>
    <definedName name="Pi3_74" localSheetId="6">'Прил. 1 План ФХД табл 1'!_Pi3</definedName>
    <definedName name="Pi3_74" localSheetId="12">'Произв. прогр. Вода'!_Pi3</definedName>
    <definedName name="Pi3_74" localSheetId="11">'Произв. прогр. Вода (СВОД)'!_Pi3</definedName>
    <definedName name="Pi3_74" localSheetId="10">'Произв. прогр. Стоки'!_Pi3</definedName>
    <definedName name="Pi3_74" localSheetId="9">'Произв. прогр. Стоки (СВОД)'!_Pi3</definedName>
    <definedName name="Pi3_74" localSheetId="2">'ФАКТИЧЕСКАЯ СЕБЕСТ ВОДА 2017'!_Pi3</definedName>
    <definedName name="Pi3_74" localSheetId="0">'ФАКТИЧЕСКАЯ СЕБЕСТ. СТОКИ 2017'!_Pi3</definedName>
    <definedName name="Pi3_74">_Pi3</definedName>
    <definedName name="Pi3_9" localSheetId="28">'ЗП с факт 3 кв. 2015'!_Pi3</definedName>
    <definedName name="Pi3_9" localSheetId="3">'ПОЛНАЯ СЕБЕСТОИМОСТЬ ВОДА 2017'!_Pi3</definedName>
    <definedName name="Pi3_9" localSheetId="1">'ПОЛНАЯ СЕБЕСТОИМОСТЬ СТОКИ 2017'!_Pi3</definedName>
    <definedName name="Pi3_9" localSheetId="8">'Прил. 1 План ФХД вода табл. 2'!_Pi3</definedName>
    <definedName name="Pi3_9" localSheetId="7">'Прил. 1 План ФХД стоки табл 2'!_Pi3</definedName>
    <definedName name="Pi3_9" localSheetId="6">'Прил. 1 План ФХД табл 1'!_Pi3</definedName>
    <definedName name="Pi3_9" localSheetId="12">'Произв. прогр. Вода'!_Pi3</definedName>
    <definedName name="Pi3_9" localSheetId="11">'Произв. прогр. Вода (СВОД)'!_Pi3</definedName>
    <definedName name="Pi3_9" localSheetId="10">'Произв. прогр. Стоки'!_Pi3</definedName>
    <definedName name="Pi3_9" localSheetId="9">'Произв. прогр. Стоки (СВОД)'!_Pi3</definedName>
    <definedName name="Pi3_9" localSheetId="2">'ФАКТИЧЕСКАЯ СЕБЕСТ ВОДА 2017'!_Pi3</definedName>
    <definedName name="Pi3_9" localSheetId="0">'ФАКТИЧЕСКАЯ СЕБЕСТ. СТОКИ 2017'!_Pi3</definedName>
    <definedName name="Pi3_9">_Pi3</definedName>
    <definedName name="Pi4_1" localSheetId="28">'ЗП с факт 3 кв. 2015'!_Pi4</definedName>
    <definedName name="Pi4_1" localSheetId="3">'ПОЛНАЯ СЕБЕСТОИМОСТЬ ВОДА 2017'!_Pi4</definedName>
    <definedName name="Pi4_1" localSheetId="1">'ПОЛНАЯ СЕБЕСТОИМОСТЬ СТОКИ 2017'!_Pi4</definedName>
    <definedName name="Pi4_1" localSheetId="8">'Прил. 1 План ФХД вода табл. 2'!_Pi4</definedName>
    <definedName name="Pi4_1" localSheetId="7">'Прил. 1 План ФХД стоки табл 2'!_Pi4</definedName>
    <definedName name="Pi4_1" localSheetId="6">'Прил. 1 План ФХД табл 1'!_Pi4</definedName>
    <definedName name="Pi4_1" localSheetId="12">'Произв. прогр. Вода'!_Pi4</definedName>
    <definedName name="Pi4_1" localSheetId="11">'Произв. прогр. Вода (СВОД)'!_Pi4</definedName>
    <definedName name="Pi4_1" localSheetId="10">'Произв. прогр. Стоки'!_Pi4</definedName>
    <definedName name="Pi4_1" localSheetId="9">'Произв. прогр. Стоки (СВОД)'!_Pi4</definedName>
    <definedName name="Pi4_1" localSheetId="2">'ФАКТИЧЕСКАЯ СЕБЕСТ ВОДА 2017'!_Pi4</definedName>
    <definedName name="Pi4_1" localSheetId="0">'ФАКТИЧЕСКАЯ СЕБЕСТ. СТОКИ 2017'!_Pi4</definedName>
    <definedName name="Pi4_1">[0]!_Pi4</definedName>
    <definedName name="Pi4_10" localSheetId="28">'ЗП с факт 3 кв. 2015'!_Pi4</definedName>
    <definedName name="Pi4_10" localSheetId="3">'ПОЛНАЯ СЕБЕСТОИМОСТЬ ВОДА 2017'!_Pi4</definedName>
    <definedName name="Pi4_10" localSheetId="1">'ПОЛНАЯ СЕБЕСТОИМОСТЬ СТОКИ 2017'!_Pi4</definedName>
    <definedName name="Pi4_10" localSheetId="8">'Прил. 1 План ФХД вода табл. 2'!_Pi4</definedName>
    <definedName name="Pi4_10" localSheetId="7">'Прил. 1 План ФХД стоки табл 2'!_Pi4</definedName>
    <definedName name="Pi4_10" localSheetId="6">'Прил. 1 План ФХД табл 1'!_Pi4</definedName>
    <definedName name="Pi4_10" localSheetId="12">'Произв. прогр. Вода'!_Pi4</definedName>
    <definedName name="Pi4_10" localSheetId="11">'Произв. прогр. Вода (СВОД)'!_Pi4</definedName>
    <definedName name="Pi4_10" localSheetId="10">'Произв. прогр. Стоки'!_Pi4</definedName>
    <definedName name="Pi4_10" localSheetId="9">'Произв. прогр. Стоки (СВОД)'!_Pi4</definedName>
    <definedName name="Pi4_10" localSheetId="2">'ФАКТИЧЕСКАЯ СЕБЕСТ ВОДА 2017'!_Pi4</definedName>
    <definedName name="Pi4_10" localSheetId="0">'ФАКТИЧЕСКАЯ СЕБЕСТ. СТОКИ 2017'!_Pi4</definedName>
    <definedName name="Pi4_10">[0]!_Pi4</definedName>
    <definedName name="Pi4_11" localSheetId="28">'ЗП с факт 3 кв. 2015'!_Pi4</definedName>
    <definedName name="Pi4_11" localSheetId="3">'ПОЛНАЯ СЕБЕСТОИМОСТЬ ВОДА 2017'!_Pi4</definedName>
    <definedName name="Pi4_11" localSheetId="1">'ПОЛНАЯ СЕБЕСТОИМОСТЬ СТОКИ 2017'!_Pi4</definedName>
    <definedName name="Pi4_11" localSheetId="8">'Прил. 1 План ФХД вода табл. 2'!_Pi4</definedName>
    <definedName name="Pi4_11" localSheetId="7">'Прил. 1 План ФХД стоки табл 2'!_Pi4</definedName>
    <definedName name="Pi4_11" localSheetId="6">'Прил. 1 План ФХД табл 1'!_Pi4</definedName>
    <definedName name="Pi4_11" localSheetId="12">'Произв. прогр. Вода'!_Pi4</definedName>
    <definedName name="Pi4_11" localSheetId="11">'Произв. прогр. Вода (СВОД)'!_Pi4</definedName>
    <definedName name="Pi4_11" localSheetId="10">'Произв. прогр. Стоки'!_Pi4</definedName>
    <definedName name="Pi4_11" localSheetId="9">'Произв. прогр. Стоки (СВОД)'!_Pi4</definedName>
    <definedName name="Pi4_11" localSheetId="2">'ФАКТИЧЕСКАЯ СЕБЕСТ ВОДА 2017'!_Pi4</definedName>
    <definedName name="Pi4_11" localSheetId="0">'ФАКТИЧЕСКАЯ СЕБЕСТ. СТОКИ 2017'!_Pi4</definedName>
    <definedName name="Pi4_11">[0]!_Pi4</definedName>
    <definedName name="Pi4_13" localSheetId="28">'ЗП с факт 3 кв. 2015'!_Pi4</definedName>
    <definedName name="Pi4_13" localSheetId="3">'ПОЛНАЯ СЕБЕСТОИМОСТЬ ВОДА 2017'!_Pi4</definedName>
    <definedName name="Pi4_13" localSheetId="1">'ПОЛНАЯ СЕБЕСТОИМОСТЬ СТОКИ 2017'!_Pi4</definedName>
    <definedName name="Pi4_13" localSheetId="8">'Прил. 1 План ФХД вода табл. 2'!_Pi4</definedName>
    <definedName name="Pi4_13" localSheetId="7">'Прил. 1 План ФХД стоки табл 2'!_Pi4</definedName>
    <definedName name="Pi4_13" localSheetId="6">'Прил. 1 План ФХД табл 1'!_Pi4</definedName>
    <definedName name="Pi4_13" localSheetId="12">'Произв. прогр. Вода'!_Pi4</definedName>
    <definedName name="Pi4_13" localSheetId="11">'Произв. прогр. Вода (СВОД)'!_Pi4</definedName>
    <definedName name="Pi4_13" localSheetId="10">'Произв. прогр. Стоки'!_Pi4</definedName>
    <definedName name="Pi4_13" localSheetId="9">'Произв. прогр. Стоки (СВОД)'!_Pi4</definedName>
    <definedName name="Pi4_13" localSheetId="2">'ФАКТИЧЕСКАЯ СЕБЕСТ ВОДА 2017'!_Pi4</definedName>
    <definedName name="Pi4_13" localSheetId="0">'ФАКТИЧЕСКАЯ СЕБЕСТ. СТОКИ 2017'!_Pi4</definedName>
    <definedName name="Pi4_13">[0]!_Pi4</definedName>
    <definedName name="Pi4_14" localSheetId="28">'ЗП с факт 3 кв. 2015'!_Pi4</definedName>
    <definedName name="Pi4_14" localSheetId="3">'ПОЛНАЯ СЕБЕСТОИМОСТЬ ВОДА 2017'!_Pi4</definedName>
    <definedName name="Pi4_14" localSheetId="1">'ПОЛНАЯ СЕБЕСТОИМОСТЬ СТОКИ 2017'!_Pi4</definedName>
    <definedName name="Pi4_14" localSheetId="8">'Прил. 1 План ФХД вода табл. 2'!_Pi4</definedName>
    <definedName name="Pi4_14" localSheetId="7">'Прил. 1 План ФХД стоки табл 2'!_Pi4</definedName>
    <definedName name="Pi4_14" localSheetId="6">'Прил. 1 План ФХД табл 1'!_Pi4</definedName>
    <definedName name="Pi4_14" localSheetId="12">'Произв. прогр. Вода'!_Pi4</definedName>
    <definedName name="Pi4_14" localSheetId="11">'Произв. прогр. Вода (СВОД)'!_Pi4</definedName>
    <definedName name="Pi4_14" localSheetId="10">'Произв. прогр. Стоки'!_Pi4</definedName>
    <definedName name="Pi4_14" localSheetId="9">'Произв. прогр. Стоки (СВОД)'!_Pi4</definedName>
    <definedName name="Pi4_14" localSheetId="2">'ФАКТИЧЕСКАЯ СЕБЕСТ ВОДА 2017'!_Pi4</definedName>
    <definedName name="Pi4_14" localSheetId="0">'ФАКТИЧЕСКАЯ СЕБЕСТ. СТОКИ 2017'!_Pi4</definedName>
    <definedName name="Pi4_14">[0]!_Pi4</definedName>
    <definedName name="Pi4_15" localSheetId="28">'ЗП с факт 3 кв. 2015'!_Pi4</definedName>
    <definedName name="Pi4_15" localSheetId="3">'ПОЛНАЯ СЕБЕСТОИМОСТЬ ВОДА 2017'!_Pi4</definedName>
    <definedName name="Pi4_15" localSheetId="1">'ПОЛНАЯ СЕБЕСТОИМОСТЬ СТОКИ 2017'!_Pi4</definedName>
    <definedName name="Pi4_15" localSheetId="8">'Прил. 1 План ФХД вода табл. 2'!_Pi4</definedName>
    <definedName name="Pi4_15" localSheetId="7">'Прил. 1 План ФХД стоки табл 2'!_Pi4</definedName>
    <definedName name="Pi4_15" localSheetId="6">'Прил. 1 План ФХД табл 1'!_Pi4</definedName>
    <definedName name="Pi4_15" localSheetId="12">'Произв. прогр. Вода'!_Pi4</definedName>
    <definedName name="Pi4_15" localSheetId="11">'Произв. прогр. Вода (СВОД)'!_Pi4</definedName>
    <definedName name="Pi4_15" localSheetId="10">'Произв. прогр. Стоки'!_Pi4</definedName>
    <definedName name="Pi4_15" localSheetId="9">'Произв. прогр. Стоки (СВОД)'!_Pi4</definedName>
    <definedName name="Pi4_15" localSheetId="2">'ФАКТИЧЕСКАЯ СЕБЕСТ ВОДА 2017'!_Pi4</definedName>
    <definedName name="Pi4_15" localSheetId="0">'ФАКТИЧЕСКАЯ СЕБЕСТ. СТОКИ 2017'!_Pi4</definedName>
    <definedName name="Pi4_15">_Pi4</definedName>
    <definedName name="Pi4_16" localSheetId="28">'ЗП с факт 3 кв. 2015'!_Pi4</definedName>
    <definedName name="Pi4_16" localSheetId="3">'ПОЛНАЯ СЕБЕСТОИМОСТЬ ВОДА 2017'!_Pi4</definedName>
    <definedName name="Pi4_16" localSheetId="1">'ПОЛНАЯ СЕБЕСТОИМОСТЬ СТОКИ 2017'!_Pi4</definedName>
    <definedName name="Pi4_16" localSheetId="8">'Прил. 1 План ФХД вода табл. 2'!_Pi4</definedName>
    <definedName name="Pi4_16" localSheetId="7">'Прил. 1 План ФХД стоки табл 2'!_Pi4</definedName>
    <definedName name="Pi4_16" localSheetId="6">'Прил. 1 План ФХД табл 1'!_Pi4</definedName>
    <definedName name="Pi4_16" localSheetId="12">'Произв. прогр. Вода'!_Pi4</definedName>
    <definedName name="Pi4_16" localSheetId="11">'Произв. прогр. Вода (СВОД)'!_Pi4</definedName>
    <definedName name="Pi4_16" localSheetId="10">'Произв. прогр. Стоки'!_Pi4</definedName>
    <definedName name="Pi4_16" localSheetId="9">'Произв. прогр. Стоки (СВОД)'!_Pi4</definedName>
    <definedName name="Pi4_16" localSheetId="2">'ФАКТИЧЕСКАЯ СЕБЕСТ ВОДА 2017'!_Pi4</definedName>
    <definedName name="Pi4_16" localSheetId="0">'ФАКТИЧЕСКАЯ СЕБЕСТ. СТОКИ 2017'!_Pi4</definedName>
    <definedName name="Pi4_16">[0]!_Pi4</definedName>
    <definedName name="Pi4_2" localSheetId="28">'ЗП с факт 3 кв. 2015'!_Pi4</definedName>
    <definedName name="Pi4_2" localSheetId="3">'ПОЛНАЯ СЕБЕСТОИМОСТЬ ВОДА 2017'!_Pi4</definedName>
    <definedName name="Pi4_2" localSheetId="1">'ПОЛНАЯ СЕБЕСТОИМОСТЬ СТОКИ 2017'!_Pi4</definedName>
    <definedName name="Pi4_2" localSheetId="8">'Прил. 1 План ФХД вода табл. 2'!_Pi4</definedName>
    <definedName name="Pi4_2" localSheetId="7">'Прил. 1 План ФХД стоки табл 2'!_Pi4</definedName>
    <definedName name="Pi4_2" localSheetId="6">'Прил. 1 План ФХД табл 1'!_Pi4</definedName>
    <definedName name="Pi4_2" localSheetId="12">'Произв. прогр. Вода'!_Pi4</definedName>
    <definedName name="Pi4_2" localSheetId="11">'Произв. прогр. Вода (СВОД)'!_Pi4</definedName>
    <definedName name="Pi4_2" localSheetId="10">'Произв. прогр. Стоки'!_Pi4</definedName>
    <definedName name="Pi4_2" localSheetId="9">'Произв. прогр. Стоки (СВОД)'!_Pi4</definedName>
    <definedName name="Pi4_2" localSheetId="2">'ФАКТИЧЕСКАЯ СЕБЕСТ ВОДА 2017'!_Pi4</definedName>
    <definedName name="Pi4_2" localSheetId="0">'ФАКТИЧЕСКАЯ СЕБЕСТ. СТОКИ 2017'!_Pi4</definedName>
    <definedName name="Pi4_2">[0]!_Pi4</definedName>
    <definedName name="Pi4_22" localSheetId="28">'ЗП с факт 3 кв. 2015'!_Pi4</definedName>
    <definedName name="Pi4_22" localSheetId="3">'ПОЛНАЯ СЕБЕСТОИМОСТЬ ВОДА 2017'!_Pi4</definedName>
    <definedName name="Pi4_22" localSheetId="1">'ПОЛНАЯ СЕБЕСТОИМОСТЬ СТОКИ 2017'!_Pi4</definedName>
    <definedName name="Pi4_22" localSheetId="8">'Прил. 1 План ФХД вода табл. 2'!_Pi4</definedName>
    <definedName name="Pi4_22" localSheetId="7">'Прил. 1 План ФХД стоки табл 2'!_Pi4</definedName>
    <definedName name="Pi4_22" localSheetId="6">'Прил. 1 План ФХД табл 1'!_Pi4</definedName>
    <definedName name="Pi4_22" localSheetId="12">'Произв. прогр. Вода'!_Pi4</definedName>
    <definedName name="Pi4_22" localSheetId="11">'Произв. прогр. Вода (СВОД)'!_Pi4</definedName>
    <definedName name="Pi4_22" localSheetId="10">'Произв. прогр. Стоки'!_Pi4</definedName>
    <definedName name="Pi4_22" localSheetId="9">'Произв. прогр. Стоки (СВОД)'!_Pi4</definedName>
    <definedName name="Pi4_22" localSheetId="2">'ФАКТИЧЕСКАЯ СЕБЕСТ ВОДА 2017'!_Pi4</definedName>
    <definedName name="Pi4_22" localSheetId="0">'ФАКТИЧЕСКАЯ СЕБЕСТ. СТОКИ 2017'!_Pi4</definedName>
    <definedName name="Pi4_22">_Pi4</definedName>
    <definedName name="Pi4_3" localSheetId="28">'ЗП с факт 3 кв. 2015'!_Pi4</definedName>
    <definedName name="Pi4_3" localSheetId="3">'ПОЛНАЯ СЕБЕСТОИМОСТЬ ВОДА 2017'!_Pi4</definedName>
    <definedName name="Pi4_3" localSheetId="1">'ПОЛНАЯ СЕБЕСТОИМОСТЬ СТОКИ 2017'!_Pi4</definedName>
    <definedName name="Pi4_3" localSheetId="8">'Прил. 1 План ФХД вода табл. 2'!_Pi4</definedName>
    <definedName name="Pi4_3" localSheetId="7">'Прил. 1 План ФХД стоки табл 2'!_Pi4</definedName>
    <definedName name="Pi4_3" localSheetId="6">'Прил. 1 План ФХД табл 1'!_Pi4</definedName>
    <definedName name="Pi4_3" localSheetId="12">'Произв. прогр. Вода'!_Pi4</definedName>
    <definedName name="Pi4_3" localSheetId="11">'Произв. прогр. Вода (СВОД)'!_Pi4</definedName>
    <definedName name="Pi4_3" localSheetId="10">'Произв. прогр. Стоки'!_Pi4</definedName>
    <definedName name="Pi4_3" localSheetId="9">'Произв. прогр. Стоки (СВОД)'!_Pi4</definedName>
    <definedName name="Pi4_3" localSheetId="2">'ФАКТИЧЕСКАЯ СЕБЕСТ ВОДА 2017'!_Pi4</definedName>
    <definedName name="Pi4_3" localSheetId="0">'ФАКТИЧЕСКАЯ СЕБЕСТ. СТОКИ 2017'!_Pi4</definedName>
    <definedName name="Pi4_3">[0]!_Pi4</definedName>
    <definedName name="Pi4_4" localSheetId="28">'ЗП с факт 3 кв. 2015'!_Pi4</definedName>
    <definedName name="Pi4_4" localSheetId="3">'ПОЛНАЯ СЕБЕСТОИМОСТЬ ВОДА 2017'!_Pi4</definedName>
    <definedName name="Pi4_4" localSheetId="1">'ПОЛНАЯ СЕБЕСТОИМОСТЬ СТОКИ 2017'!_Pi4</definedName>
    <definedName name="Pi4_4" localSheetId="8">'Прил. 1 План ФХД вода табл. 2'!_Pi4</definedName>
    <definedName name="Pi4_4" localSheetId="7">'Прил. 1 План ФХД стоки табл 2'!_Pi4</definedName>
    <definedName name="Pi4_4" localSheetId="6">'Прил. 1 План ФХД табл 1'!_Pi4</definedName>
    <definedName name="Pi4_4" localSheetId="12">'Произв. прогр. Вода'!_Pi4</definedName>
    <definedName name="Pi4_4" localSheetId="11">'Произв. прогр. Вода (СВОД)'!_Pi4</definedName>
    <definedName name="Pi4_4" localSheetId="10">'Произв. прогр. Стоки'!_Pi4</definedName>
    <definedName name="Pi4_4" localSheetId="9">'Произв. прогр. Стоки (СВОД)'!_Pi4</definedName>
    <definedName name="Pi4_4" localSheetId="2">'ФАКТИЧЕСКАЯ СЕБЕСТ ВОДА 2017'!_Pi4</definedName>
    <definedName name="Pi4_4" localSheetId="0">'ФАКТИЧЕСКАЯ СЕБЕСТ. СТОКИ 2017'!_Pi4</definedName>
    <definedName name="Pi4_4">_Pi4</definedName>
    <definedName name="Pi4_67" localSheetId="28">'ЗП с факт 3 кв. 2015'!_Pi4</definedName>
    <definedName name="Pi4_67" localSheetId="3">'ПОЛНАЯ СЕБЕСТОИМОСТЬ ВОДА 2017'!_Pi4</definedName>
    <definedName name="Pi4_67" localSheetId="1">'ПОЛНАЯ СЕБЕСТОИМОСТЬ СТОКИ 2017'!_Pi4</definedName>
    <definedName name="Pi4_67" localSheetId="8">'Прил. 1 План ФХД вода табл. 2'!_Pi4</definedName>
    <definedName name="Pi4_67" localSheetId="7">'Прил. 1 План ФХД стоки табл 2'!_Pi4</definedName>
    <definedName name="Pi4_67" localSheetId="6">'Прил. 1 План ФХД табл 1'!_Pi4</definedName>
    <definedName name="Pi4_67" localSheetId="12">'Произв. прогр. Вода'!_Pi4</definedName>
    <definedName name="Pi4_67" localSheetId="11">'Произв. прогр. Вода (СВОД)'!_Pi4</definedName>
    <definedName name="Pi4_67" localSheetId="10">'Произв. прогр. Стоки'!_Pi4</definedName>
    <definedName name="Pi4_67" localSheetId="9">'Произв. прогр. Стоки (СВОД)'!_Pi4</definedName>
    <definedName name="Pi4_67" localSheetId="2">'ФАКТИЧЕСКАЯ СЕБЕСТ ВОДА 2017'!_Pi4</definedName>
    <definedName name="Pi4_67" localSheetId="0">'ФАКТИЧЕСКАЯ СЕБЕСТ. СТОКИ 2017'!_Pi4</definedName>
    <definedName name="Pi4_67">_Pi4</definedName>
    <definedName name="Pi4_70" localSheetId="28">'ЗП с факт 3 кв. 2015'!_Pi4</definedName>
    <definedName name="Pi4_70" localSheetId="3">'ПОЛНАЯ СЕБЕСТОИМОСТЬ ВОДА 2017'!_Pi4</definedName>
    <definedName name="Pi4_70" localSheetId="1">'ПОЛНАЯ СЕБЕСТОИМОСТЬ СТОКИ 2017'!_Pi4</definedName>
    <definedName name="Pi4_70" localSheetId="8">'Прил. 1 План ФХД вода табл. 2'!_Pi4</definedName>
    <definedName name="Pi4_70" localSheetId="7">'Прил. 1 План ФХД стоки табл 2'!_Pi4</definedName>
    <definedName name="Pi4_70" localSheetId="6">'Прил. 1 План ФХД табл 1'!_Pi4</definedName>
    <definedName name="Pi4_70" localSheetId="12">'Произв. прогр. Вода'!_Pi4</definedName>
    <definedName name="Pi4_70" localSheetId="11">'Произв. прогр. Вода (СВОД)'!_Pi4</definedName>
    <definedName name="Pi4_70" localSheetId="10">'Произв. прогр. Стоки'!_Pi4</definedName>
    <definedName name="Pi4_70" localSheetId="9">'Произв. прогр. Стоки (СВОД)'!_Pi4</definedName>
    <definedName name="Pi4_70" localSheetId="2">'ФАКТИЧЕСКАЯ СЕБЕСТ ВОДА 2017'!_Pi4</definedName>
    <definedName name="Pi4_70" localSheetId="0">'ФАКТИЧЕСКАЯ СЕБЕСТ. СТОКИ 2017'!_Pi4</definedName>
    <definedName name="Pi4_70">_Pi4</definedName>
    <definedName name="Pi4_71" localSheetId="28">'ЗП с факт 3 кв. 2015'!_Pi4</definedName>
    <definedName name="Pi4_71" localSheetId="3">'ПОЛНАЯ СЕБЕСТОИМОСТЬ ВОДА 2017'!_Pi4</definedName>
    <definedName name="Pi4_71" localSheetId="1">'ПОЛНАЯ СЕБЕСТОИМОСТЬ СТОКИ 2017'!_Pi4</definedName>
    <definedName name="Pi4_71" localSheetId="8">'Прил. 1 План ФХД вода табл. 2'!_Pi4</definedName>
    <definedName name="Pi4_71" localSheetId="7">'Прил. 1 План ФХД стоки табл 2'!_Pi4</definedName>
    <definedName name="Pi4_71" localSheetId="6">'Прил. 1 План ФХД табл 1'!_Pi4</definedName>
    <definedName name="Pi4_71" localSheetId="12">'Произв. прогр. Вода'!_Pi4</definedName>
    <definedName name="Pi4_71" localSheetId="11">'Произв. прогр. Вода (СВОД)'!_Pi4</definedName>
    <definedName name="Pi4_71" localSheetId="10">'Произв. прогр. Стоки'!_Pi4</definedName>
    <definedName name="Pi4_71" localSheetId="9">'Произв. прогр. Стоки (СВОД)'!_Pi4</definedName>
    <definedName name="Pi4_71" localSheetId="2">'ФАКТИЧЕСКАЯ СЕБЕСТ ВОДА 2017'!_Pi4</definedName>
    <definedName name="Pi4_71" localSheetId="0">'ФАКТИЧЕСКАЯ СЕБЕСТ. СТОКИ 2017'!_Pi4</definedName>
    <definedName name="Pi4_71">_Pi4</definedName>
    <definedName name="Pi4_72" localSheetId="28">'ЗП с факт 3 кв. 2015'!_Pi4</definedName>
    <definedName name="Pi4_72" localSheetId="3">'ПОЛНАЯ СЕБЕСТОИМОСТЬ ВОДА 2017'!_Pi4</definedName>
    <definedName name="Pi4_72" localSheetId="1">'ПОЛНАЯ СЕБЕСТОИМОСТЬ СТОКИ 2017'!_Pi4</definedName>
    <definedName name="Pi4_72" localSheetId="8">'Прил. 1 План ФХД вода табл. 2'!_Pi4</definedName>
    <definedName name="Pi4_72" localSheetId="7">'Прил. 1 План ФХД стоки табл 2'!_Pi4</definedName>
    <definedName name="Pi4_72" localSheetId="6">'Прил. 1 План ФХД табл 1'!_Pi4</definedName>
    <definedName name="Pi4_72" localSheetId="12">'Произв. прогр. Вода'!_Pi4</definedName>
    <definedName name="Pi4_72" localSheetId="11">'Произв. прогр. Вода (СВОД)'!_Pi4</definedName>
    <definedName name="Pi4_72" localSheetId="10">'Произв. прогр. Стоки'!_Pi4</definedName>
    <definedName name="Pi4_72" localSheetId="9">'Произв. прогр. Стоки (СВОД)'!_Pi4</definedName>
    <definedName name="Pi4_72" localSheetId="2">'ФАКТИЧЕСКАЯ СЕБЕСТ ВОДА 2017'!_Pi4</definedName>
    <definedName name="Pi4_72" localSheetId="0">'ФАКТИЧЕСКАЯ СЕБЕСТ. СТОКИ 2017'!_Pi4</definedName>
    <definedName name="Pi4_72">_Pi4</definedName>
    <definedName name="Pi4_74" localSheetId="28">'ЗП с факт 3 кв. 2015'!_Pi4</definedName>
    <definedName name="Pi4_74" localSheetId="3">'ПОЛНАЯ СЕБЕСТОИМОСТЬ ВОДА 2017'!_Pi4</definedName>
    <definedName name="Pi4_74" localSheetId="1">'ПОЛНАЯ СЕБЕСТОИМОСТЬ СТОКИ 2017'!_Pi4</definedName>
    <definedName name="Pi4_74" localSheetId="8">'Прил. 1 План ФХД вода табл. 2'!_Pi4</definedName>
    <definedName name="Pi4_74" localSheetId="7">'Прил. 1 План ФХД стоки табл 2'!_Pi4</definedName>
    <definedName name="Pi4_74" localSheetId="6">'Прил. 1 План ФХД табл 1'!_Pi4</definedName>
    <definedName name="Pi4_74" localSheetId="12">'Произв. прогр. Вода'!_Pi4</definedName>
    <definedName name="Pi4_74" localSheetId="11">'Произв. прогр. Вода (СВОД)'!_Pi4</definedName>
    <definedName name="Pi4_74" localSheetId="10">'Произв. прогр. Стоки'!_Pi4</definedName>
    <definedName name="Pi4_74" localSheetId="9">'Произв. прогр. Стоки (СВОД)'!_Pi4</definedName>
    <definedName name="Pi4_74" localSheetId="2">'ФАКТИЧЕСКАЯ СЕБЕСТ ВОДА 2017'!_Pi4</definedName>
    <definedName name="Pi4_74" localSheetId="0">'ФАКТИЧЕСКАЯ СЕБЕСТ. СТОКИ 2017'!_Pi4</definedName>
    <definedName name="Pi4_74">_Pi4</definedName>
    <definedName name="Pi4_9" localSheetId="28">'ЗП с факт 3 кв. 2015'!_Pi4</definedName>
    <definedName name="Pi4_9" localSheetId="3">'ПОЛНАЯ СЕБЕСТОИМОСТЬ ВОДА 2017'!_Pi4</definedName>
    <definedName name="Pi4_9" localSheetId="1">'ПОЛНАЯ СЕБЕСТОИМОСТЬ СТОКИ 2017'!_Pi4</definedName>
    <definedName name="Pi4_9" localSheetId="8">'Прил. 1 План ФХД вода табл. 2'!_Pi4</definedName>
    <definedName name="Pi4_9" localSheetId="7">'Прил. 1 План ФХД стоки табл 2'!_Pi4</definedName>
    <definedName name="Pi4_9" localSheetId="6">'Прил. 1 План ФХД табл 1'!_Pi4</definedName>
    <definedName name="Pi4_9" localSheetId="12">'Произв. прогр. Вода'!_Pi4</definedName>
    <definedName name="Pi4_9" localSheetId="11">'Произв. прогр. Вода (СВОД)'!_Pi4</definedName>
    <definedName name="Pi4_9" localSheetId="10">'Произв. прогр. Стоки'!_Pi4</definedName>
    <definedName name="Pi4_9" localSheetId="9">'Произв. прогр. Стоки (СВОД)'!_Pi4</definedName>
    <definedName name="Pi4_9" localSheetId="2">'ФАКТИЧЕСКАЯ СЕБЕСТ ВОДА 2017'!_Pi4</definedName>
    <definedName name="Pi4_9" localSheetId="0">'ФАКТИЧЕСКАЯ СЕБЕСТ. СТОКИ 2017'!_Pi4</definedName>
    <definedName name="Pi4_9">_Pi4</definedName>
    <definedName name="Pi5_1" localSheetId="28">'ЗП с факт 3 кв. 2015'!_Pi5</definedName>
    <definedName name="Pi5_1" localSheetId="3">'ПОЛНАЯ СЕБЕСТОИМОСТЬ ВОДА 2017'!_Pi5</definedName>
    <definedName name="Pi5_1" localSheetId="1">'ПОЛНАЯ СЕБЕСТОИМОСТЬ СТОКИ 2017'!_Pi5</definedName>
    <definedName name="Pi5_1" localSheetId="8">'Прил. 1 План ФХД вода табл. 2'!_Pi5</definedName>
    <definedName name="Pi5_1" localSheetId="7">'Прил. 1 План ФХД стоки табл 2'!_Pi5</definedName>
    <definedName name="Pi5_1" localSheetId="6">'Прил. 1 План ФХД табл 1'!_Pi5</definedName>
    <definedName name="Pi5_1" localSheetId="12">'Произв. прогр. Вода'!_Pi5</definedName>
    <definedName name="Pi5_1" localSheetId="11">'Произв. прогр. Вода (СВОД)'!_Pi5</definedName>
    <definedName name="Pi5_1" localSheetId="10">'Произв. прогр. Стоки'!_Pi5</definedName>
    <definedName name="Pi5_1" localSheetId="9">'Произв. прогр. Стоки (СВОД)'!_Pi5</definedName>
    <definedName name="Pi5_1" localSheetId="2">'ФАКТИЧЕСКАЯ СЕБЕСТ ВОДА 2017'!_Pi5</definedName>
    <definedName name="Pi5_1" localSheetId="0">'ФАКТИЧЕСКАЯ СЕБЕСТ. СТОКИ 2017'!_Pi5</definedName>
    <definedName name="Pi5_1">[0]!_Pi5</definedName>
    <definedName name="Pi5_10" localSheetId="28">'ЗП с факт 3 кв. 2015'!_Pi5</definedName>
    <definedName name="Pi5_10" localSheetId="3">'ПОЛНАЯ СЕБЕСТОИМОСТЬ ВОДА 2017'!_Pi5</definedName>
    <definedName name="Pi5_10" localSheetId="1">'ПОЛНАЯ СЕБЕСТОИМОСТЬ СТОКИ 2017'!_Pi5</definedName>
    <definedName name="Pi5_10" localSheetId="8">'Прил. 1 План ФХД вода табл. 2'!_Pi5</definedName>
    <definedName name="Pi5_10" localSheetId="7">'Прил. 1 План ФХД стоки табл 2'!_Pi5</definedName>
    <definedName name="Pi5_10" localSheetId="6">'Прил. 1 План ФХД табл 1'!_Pi5</definedName>
    <definedName name="Pi5_10" localSheetId="12">'Произв. прогр. Вода'!_Pi5</definedName>
    <definedName name="Pi5_10" localSheetId="11">'Произв. прогр. Вода (СВОД)'!_Pi5</definedName>
    <definedName name="Pi5_10" localSheetId="10">'Произв. прогр. Стоки'!_Pi5</definedName>
    <definedName name="Pi5_10" localSheetId="9">'Произв. прогр. Стоки (СВОД)'!_Pi5</definedName>
    <definedName name="Pi5_10" localSheetId="2">'ФАКТИЧЕСКАЯ СЕБЕСТ ВОДА 2017'!_Pi5</definedName>
    <definedName name="Pi5_10" localSheetId="0">'ФАКТИЧЕСКАЯ СЕБЕСТ. СТОКИ 2017'!_Pi5</definedName>
    <definedName name="Pi5_10">[0]!_Pi5</definedName>
    <definedName name="Pi5_11" localSheetId="28">'ЗП с факт 3 кв. 2015'!_Pi5</definedName>
    <definedName name="Pi5_11" localSheetId="3">'ПОЛНАЯ СЕБЕСТОИМОСТЬ ВОДА 2017'!_Pi5</definedName>
    <definedName name="Pi5_11" localSheetId="1">'ПОЛНАЯ СЕБЕСТОИМОСТЬ СТОКИ 2017'!_Pi5</definedName>
    <definedName name="Pi5_11" localSheetId="8">'Прил. 1 План ФХД вода табл. 2'!_Pi5</definedName>
    <definedName name="Pi5_11" localSheetId="7">'Прил. 1 План ФХД стоки табл 2'!_Pi5</definedName>
    <definedName name="Pi5_11" localSheetId="6">'Прил. 1 План ФХД табл 1'!_Pi5</definedName>
    <definedName name="Pi5_11" localSheetId="12">'Произв. прогр. Вода'!_Pi5</definedName>
    <definedName name="Pi5_11" localSheetId="11">'Произв. прогр. Вода (СВОД)'!_Pi5</definedName>
    <definedName name="Pi5_11" localSheetId="10">'Произв. прогр. Стоки'!_Pi5</definedName>
    <definedName name="Pi5_11" localSheetId="9">'Произв. прогр. Стоки (СВОД)'!_Pi5</definedName>
    <definedName name="Pi5_11" localSheetId="2">'ФАКТИЧЕСКАЯ СЕБЕСТ ВОДА 2017'!_Pi5</definedName>
    <definedName name="Pi5_11" localSheetId="0">'ФАКТИЧЕСКАЯ СЕБЕСТ. СТОКИ 2017'!_Pi5</definedName>
    <definedName name="Pi5_11">[0]!_Pi5</definedName>
    <definedName name="Pi5_13" localSheetId="28">'ЗП с факт 3 кв. 2015'!_Pi5</definedName>
    <definedName name="Pi5_13" localSheetId="3">'ПОЛНАЯ СЕБЕСТОИМОСТЬ ВОДА 2017'!_Pi5</definedName>
    <definedName name="Pi5_13" localSheetId="1">'ПОЛНАЯ СЕБЕСТОИМОСТЬ СТОКИ 2017'!_Pi5</definedName>
    <definedName name="Pi5_13" localSheetId="8">'Прил. 1 План ФХД вода табл. 2'!_Pi5</definedName>
    <definedName name="Pi5_13" localSheetId="7">'Прил. 1 План ФХД стоки табл 2'!_Pi5</definedName>
    <definedName name="Pi5_13" localSheetId="6">'Прил. 1 План ФХД табл 1'!_Pi5</definedName>
    <definedName name="Pi5_13" localSheetId="12">'Произв. прогр. Вода'!_Pi5</definedName>
    <definedName name="Pi5_13" localSheetId="11">'Произв. прогр. Вода (СВОД)'!_Pi5</definedName>
    <definedName name="Pi5_13" localSheetId="10">'Произв. прогр. Стоки'!_Pi5</definedName>
    <definedName name="Pi5_13" localSheetId="9">'Произв. прогр. Стоки (СВОД)'!_Pi5</definedName>
    <definedName name="Pi5_13" localSheetId="2">'ФАКТИЧЕСКАЯ СЕБЕСТ ВОДА 2017'!_Pi5</definedName>
    <definedName name="Pi5_13" localSheetId="0">'ФАКТИЧЕСКАЯ СЕБЕСТ. СТОКИ 2017'!_Pi5</definedName>
    <definedName name="Pi5_13">[0]!_Pi5</definedName>
    <definedName name="Pi5_14" localSheetId="28">'ЗП с факт 3 кв. 2015'!_Pi5</definedName>
    <definedName name="Pi5_14" localSheetId="3">'ПОЛНАЯ СЕБЕСТОИМОСТЬ ВОДА 2017'!_Pi5</definedName>
    <definedName name="Pi5_14" localSheetId="1">'ПОЛНАЯ СЕБЕСТОИМОСТЬ СТОКИ 2017'!_Pi5</definedName>
    <definedName name="Pi5_14" localSheetId="8">'Прил. 1 План ФХД вода табл. 2'!_Pi5</definedName>
    <definedName name="Pi5_14" localSheetId="7">'Прил. 1 План ФХД стоки табл 2'!_Pi5</definedName>
    <definedName name="Pi5_14" localSheetId="6">'Прил. 1 План ФХД табл 1'!_Pi5</definedName>
    <definedName name="Pi5_14" localSheetId="12">'Произв. прогр. Вода'!_Pi5</definedName>
    <definedName name="Pi5_14" localSheetId="11">'Произв. прогр. Вода (СВОД)'!_Pi5</definedName>
    <definedName name="Pi5_14" localSheetId="10">'Произв. прогр. Стоки'!_Pi5</definedName>
    <definedName name="Pi5_14" localSheetId="9">'Произв. прогр. Стоки (СВОД)'!_Pi5</definedName>
    <definedName name="Pi5_14" localSheetId="2">'ФАКТИЧЕСКАЯ СЕБЕСТ ВОДА 2017'!_Pi5</definedName>
    <definedName name="Pi5_14" localSheetId="0">'ФАКТИЧЕСКАЯ СЕБЕСТ. СТОКИ 2017'!_Pi5</definedName>
    <definedName name="Pi5_14">[0]!_Pi5</definedName>
    <definedName name="Pi5_15" localSheetId="28">'ЗП с факт 3 кв. 2015'!_Pi5</definedName>
    <definedName name="Pi5_15" localSheetId="3">'ПОЛНАЯ СЕБЕСТОИМОСТЬ ВОДА 2017'!_Pi5</definedName>
    <definedName name="Pi5_15" localSheetId="1">'ПОЛНАЯ СЕБЕСТОИМОСТЬ СТОКИ 2017'!_Pi5</definedName>
    <definedName name="Pi5_15" localSheetId="8">'Прил. 1 План ФХД вода табл. 2'!_Pi5</definedName>
    <definedName name="Pi5_15" localSheetId="7">'Прил. 1 План ФХД стоки табл 2'!_Pi5</definedName>
    <definedName name="Pi5_15" localSheetId="6">'Прил. 1 План ФХД табл 1'!_Pi5</definedName>
    <definedName name="Pi5_15" localSheetId="12">'Произв. прогр. Вода'!_Pi5</definedName>
    <definedName name="Pi5_15" localSheetId="11">'Произв. прогр. Вода (СВОД)'!_Pi5</definedName>
    <definedName name="Pi5_15" localSheetId="10">'Произв. прогр. Стоки'!_Pi5</definedName>
    <definedName name="Pi5_15" localSheetId="9">'Произв. прогр. Стоки (СВОД)'!_Pi5</definedName>
    <definedName name="Pi5_15" localSheetId="2">'ФАКТИЧЕСКАЯ СЕБЕСТ ВОДА 2017'!_Pi5</definedName>
    <definedName name="Pi5_15" localSheetId="0">'ФАКТИЧЕСКАЯ СЕБЕСТ. СТОКИ 2017'!_Pi5</definedName>
    <definedName name="Pi5_15">_Pi5</definedName>
    <definedName name="Pi5_16" localSheetId="28">'ЗП с факт 3 кв. 2015'!_Pi5</definedName>
    <definedName name="Pi5_16" localSheetId="3">'ПОЛНАЯ СЕБЕСТОИМОСТЬ ВОДА 2017'!_Pi5</definedName>
    <definedName name="Pi5_16" localSheetId="1">'ПОЛНАЯ СЕБЕСТОИМОСТЬ СТОКИ 2017'!_Pi5</definedName>
    <definedName name="Pi5_16" localSheetId="8">'Прил. 1 План ФХД вода табл. 2'!_Pi5</definedName>
    <definedName name="Pi5_16" localSheetId="7">'Прил. 1 План ФХД стоки табл 2'!_Pi5</definedName>
    <definedName name="Pi5_16" localSheetId="6">'Прил. 1 План ФХД табл 1'!_Pi5</definedName>
    <definedName name="Pi5_16" localSheetId="12">'Произв. прогр. Вода'!_Pi5</definedName>
    <definedName name="Pi5_16" localSheetId="11">'Произв. прогр. Вода (СВОД)'!_Pi5</definedName>
    <definedName name="Pi5_16" localSheetId="10">'Произв. прогр. Стоки'!_Pi5</definedName>
    <definedName name="Pi5_16" localSheetId="9">'Произв. прогр. Стоки (СВОД)'!_Pi5</definedName>
    <definedName name="Pi5_16" localSheetId="2">'ФАКТИЧЕСКАЯ СЕБЕСТ ВОДА 2017'!_Pi5</definedName>
    <definedName name="Pi5_16" localSheetId="0">'ФАКТИЧЕСКАЯ СЕБЕСТ. СТОКИ 2017'!_Pi5</definedName>
    <definedName name="Pi5_16">[0]!_Pi5</definedName>
    <definedName name="Pi5_2" localSheetId="28">'ЗП с факт 3 кв. 2015'!_Pi5</definedName>
    <definedName name="Pi5_2" localSheetId="3">'ПОЛНАЯ СЕБЕСТОИМОСТЬ ВОДА 2017'!_Pi5</definedName>
    <definedName name="Pi5_2" localSheetId="1">'ПОЛНАЯ СЕБЕСТОИМОСТЬ СТОКИ 2017'!_Pi5</definedName>
    <definedName name="Pi5_2" localSheetId="8">'Прил. 1 План ФХД вода табл. 2'!_Pi5</definedName>
    <definedName name="Pi5_2" localSheetId="7">'Прил. 1 План ФХД стоки табл 2'!_Pi5</definedName>
    <definedName name="Pi5_2" localSheetId="6">'Прил. 1 План ФХД табл 1'!_Pi5</definedName>
    <definedName name="Pi5_2" localSheetId="12">'Произв. прогр. Вода'!_Pi5</definedName>
    <definedName name="Pi5_2" localSheetId="11">'Произв. прогр. Вода (СВОД)'!_Pi5</definedName>
    <definedName name="Pi5_2" localSheetId="10">'Произв. прогр. Стоки'!_Pi5</definedName>
    <definedName name="Pi5_2" localSheetId="9">'Произв. прогр. Стоки (СВОД)'!_Pi5</definedName>
    <definedName name="Pi5_2" localSheetId="2">'ФАКТИЧЕСКАЯ СЕБЕСТ ВОДА 2017'!_Pi5</definedName>
    <definedName name="Pi5_2" localSheetId="0">'ФАКТИЧЕСКАЯ СЕБЕСТ. СТОКИ 2017'!_Pi5</definedName>
    <definedName name="Pi5_2">[0]!_Pi5</definedName>
    <definedName name="Pi5_22" localSheetId="28">'ЗП с факт 3 кв. 2015'!_Pi5</definedName>
    <definedName name="Pi5_22" localSheetId="3">'ПОЛНАЯ СЕБЕСТОИМОСТЬ ВОДА 2017'!_Pi5</definedName>
    <definedName name="Pi5_22" localSheetId="1">'ПОЛНАЯ СЕБЕСТОИМОСТЬ СТОКИ 2017'!_Pi5</definedName>
    <definedName name="Pi5_22" localSheetId="8">'Прил. 1 План ФХД вода табл. 2'!_Pi5</definedName>
    <definedName name="Pi5_22" localSheetId="7">'Прил. 1 План ФХД стоки табл 2'!_Pi5</definedName>
    <definedName name="Pi5_22" localSheetId="6">'Прил. 1 План ФХД табл 1'!_Pi5</definedName>
    <definedName name="Pi5_22" localSheetId="12">'Произв. прогр. Вода'!_Pi5</definedName>
    <definedName name="Pi5_22" localSheetId="11">'Произв. прогр. Вода (СВОД)'!_Pi5</definedName>
    <definedName name="Pi5_22" localSheetId="10">'Произв. прогр. Стоки'!_Pi5</definedName>
    <definedName name="Pi5_22" localSheetId="9">'Произв. прогр. Стоки (СВОД)'!_Pi5</definedName>
    <definedName name="Pi5_22" localSheetId="2">'ФАКТИЧЕСКАЯ СЕБЕСТ ВОДА 2017'!_Pi5</definedName>
    <definedName name="Pi5_22" localSheetId="0">'ФАКТИЧЕСКАЯ СЕБЕСТ. СТОКИ 2017'!_Pi5</definedName>
    <definedName name="Pi5_22">_Pi5</definedName>
    <definedName name="Pi5_3" localSheetId="28">'ЗП с факт 3 кв. 2015'!_Pi5</definedName>
    <definedName name="Pi5_3" localSheetId="3">'ПОЛНАЯ СЕБЕСТОИМОСТЬ ВОДА 2017'!_Pi5</definedName>
    <definedName name="Pi5_3" localSheetId="1">'ПОЛНАЯ СЕБЕСТОИМОСТЬ СТОКИ 2017'!_Pi5</definedName>
    <definedName name="Pi5_3" localSheetId="8">'Прил. 1 План ФХД вода табл. 2'!_Pi5</definedName>
    <definedName name="Pi5_3" localSheetId="7">'Прил. 1 План ФХД стоки табл 2'!_Pi5</definedName>
    <definedName name="Pi5_3" localSheetId="6">'Прил. 1 План ФХД табл 1'!_Pi5</definedName>
    <definedName name="Pi5_3" localSheetId="12">'Произв. прогр. Вода'!_Pi5</definedName>
    <definedName name="Pi5_3" localSheetId="11">'Произв. прогр. Вода (СВОД)'!_Pi5</definedName>
    <definedName name="Pi5_3" localSheetId="10">'Произв. прогр. Стоки'!_Pi5</definedName>
    <definedName name="Pi5_3" localSheetId="9">'Произв. прогр. Стоки (СВОД)'!_Pi5</definedName>
    <definedName name="Pi5_3" localSheetId="2">'ФАКТИЧЕСКАЯ СЕБЕСТ ВОДА 2017'!_Pi5</definedName>
    <definedName name="Pi5_3" localSheetId="0">'ФАКТИЧЕСКАЯ СЕБЕСТ. СТОКИ 2017'!_Pi5</definedName>
    <definedName name="Pi5_3">[0]!_Pi5</definedName>
    <definedName name="Pi5_4" localSheetId="28">'ЗП с факт 3 кв. 2015'!_Pi5</definedName>
    <definedName name="Pi5_4" localSheetId="3">'ПОЛНАЯ СЕБЕСТОИМОСТЬ ВОДА 2017'!_Pi5</definedName>
    <definedName name="Pi5_4" localSheetId="1">'ПОЛНАЯ СЕБЕСТОИМОСТЬ СТОКИ 2017'!_Pi5</definedName>
    <definedName name="Pi5_4" localSheetId="8">'Прил. 1 План ФХД вода табл. 2'!_Pi5</definedName>
    <definedName name="Pi5_4" localSheetId="7">'Прил. 1 План ФХД стоки табл 2'!_Pi5</definedName>
    <definedName name="Pi5_4" localSheetId="6">'Прил. 1 План ФХД табл 1'!_Pi5</definedName>
    <definedName name="Pi5_4" localSheetId="12">'Произв. прогр. Вода'!_Pi5</definedName>
    <definedName name="Pi5_4" localSheetId="11">'Произв. прогр. Вода (СВОД)'!_Pi5</definedName>
    <definedName name="Pi5_4" localSheetId="10">'Произв. прогр. Стоки'!_Pi5</definedName>
    <definedName name="Pi5_4" localSheetId="9">'Произв. прогр. Стоки (СВОД)'!_Pi5</definedName>
    <definedName name="Pi5_4" localSheetId="2">'ФАКТИЧЕСКАЯ СЕБЕСТ ВОДА 2017'!_Pi5</definedName>
    <definedName name="Pi5_4" localSheetId="0">'ФАКТИЧЕСКАЯ СЕБЕСТ. СТОКИ 2017'!_Pi5</definedName>
    <definedName name="Pi5_4">_Pi5</definedName>
    <definedName name="Pi5_67" localSheetId="28">'ЗП с факт 3 кв. 2015'!_Pi5</definedName>
    <definedName name="Pi5_67" localSheetId="3">'ПОЛНАЯ СЕБЕСТОИМОСТЬ ВОДА 2017'!_Pi5</definedName>
    <definedName name="Pi5_67" localSheetId="1">'ПОЛНАЯ СЕБЕСТОИМОСТЬ СТОКИ 2017'!_Pi5</definedName>
    <definedName name="Pi5_67" localSheetId="8">'Прил. 1 План ФХД вода табл. 2'!_Pi5</definedName>
    <definedName name="Pi5_67" localSheetId="7">'Прил. 1 План ФХД стоки табл 2'!_Pi5</definedName>
    <definedName name="Pi5_67" localSheetId="6">'Прил. 1 План ФХД табл 1'!_Pi5</definedName>
    <definedName name="Pi5_67" localSheetId="12">'Произв. прогр. Вода'!_Pi5</definedName>
    <definedName name="Pi5_67" localSheetId="11">'Произв. прогр. Вода (СВОД)'!_Pi5</definedName>
    <definedName name="Pi5_67" localSheetId="10">'Произв. прогр. Стоки'!_Pi5</definedName>
    <definedName name="Pi5_67" localSheetId="9">'Произв. прогр. Стоки (СВОД)'!_Pi5</definedName>
    <definedName name="Pi5_67" localSheetId="2">'ФАКТИЧЕСКАЯ СЕБЕСТ ВОДА 2017'!_Pi5</definedName>
    <definedName name="Pi5_67" localSheetId="0">'ФАКТИЧЕСКАЯ СЕБЕСТ. СТОКИ 2017'!_Pi5</definedName>
    <definedName name="Pi5_67">_Pi5</definedName>
    <definedName name="Pi5_70" localSheetId="28">'ЗП с факт 3 кв. 2015'!_Pi5</definedName>
    <definedName name="Pi5_70" localSheetId="3">'ПОЛНАЯ СЕБЕСТОИМОСТЬ ВОДА 2017'!_Pi5</definedName>
    <definedName name="Pi5_70" localSheetId="1">'ПОЛНАЯ СЕБЕСТОИМОСТЬ СТОКИ 2017'!_Pi5</definedName>
    <definedName name="Pi5_70" localSheetId="8">'Прил. 1 План ФХД вода табл. 2'!_Pi5</definedName>
    <definedName name="Pi5_70" localSheetId="7">'Прил. 1 План ФХД стоки табл 2'!_Pi5</definedName>
    <definedName name="Pi5_70" localSheetId="6">'Прил. 1 План ФХД табл 1'!_Pi5</definedName>
    <definedName name="Pi5_70" localSheetId="12">'Произв. прогр. Вода'!_Pi5</definedName>
    <definedName name="Pi5_70" localSheetId="11">'Произв. прогр. Вода (СВОД)'!_Pi5</definedName>
    <definedName name="Pi5_70" localSheetId="10">'Произв. прогр. Стоки'!_Pi5</definedName>
    <definedName name="Pi5_70" localSheetId="9">'Произв. прогр. Стоки (СВОД)'!_Pi5</definedName>
    <definedName name="Pi5_70" localSheetId="2">'ФАКТИЧЕСКАЯ СЕБЕСТ ВОДА 2017'!_Pi5</definedName>
    <definedName name="Pi5_70" localSheetId="0">'ФАКТИЧЕСКАЯ СЕБЕСТ. СТОКИ 2017'!_Pi5</definedName>
    <definedName name="Pi5_70">_Pi5</definedName>
    <definedName name="Pi5_71" localSheetId="28">'ЗП с факт 3 кв. 2015'!_Pi5</definedName>
    <definedName name="Pi5_71" localSheetId="3">'ПОЛНАЯ СЕБЕСТОИМОСТЬ ВОДА 2017'!_Pi5</definedName>
    <definedName name="Pi5_71" localSheetId="1">'ПОЛНАЯ СЕБЕСТОИМОСТЬ СТОКИ 2017'!_Pi5</definedName>
    <definedName name="Pi5_71" localSheetId="8">'Прил. 1 План ФХД вода табл. 2'!_Pi5</definedName>
    <definedName name="Pi5_71" localSheetId="7">'Прил. 1 План ФХД стоки табл 2'!_Pi5</definedName>
    <definedName name="Pi5_71" localSheetId="6">'Прил. 1 План ФХД табл 1'!_Pi5</definedName>
    <definedName name="Pi5_71" localSheetId="12">'Произв. прогр. Вода'!_Pi5</definedName>
    <definedName name="Pi5_71" localSheetId="11">'Произв. прогр. Вода (СВОД)'!_Pi5</definedName>
    <definedName name="Pi5_71" localSheetId="10">'Произв. прогр. Стоки'!_Pi5</definedName>
    <definedName name="Pi5_71" localSheetId="9">'Произв. прогр. Стоки (СВОД)'!_Pi5</definedName>
    <definedName name="Pi5_71" localSheetId="2">'ФАКТИЧЕСКАЯ СЕБЕСТ ВОДА 2017'!_Pi5</definedName>
    <definedName name="Pi5_71" localSheetId="0">'ФАКТИЧЕСКАЯ СЕБЕСТ. СТОКИ 2017'!_Pi5</definedName>
    <definedName name="Pi5_71">_Pi5</definedName>
    <definedName name="Pi5_72" localSheetId="28">'ЗП с факт 3 кв. 2015'!_Pi5</definedName>
    <definedName name="Pi5_72" localSheetId="3">'ПОЛНАЯ СЕБЕСТОИМОСТЬ ВОДА 2017'!_Pi5</definedName>
    <definedName name="Pi5_72" localSheetId="1">'ПОЛНАЯ СЕБЕСТОИМОСТЬ СТОКИ 2017'!_Pi5</definedName>
    <definedName name="Pi5_72" localSheetId="8">'Прил. 1 План ФХД вода табл. 2'!_Pi5</definedName>
    <definedName name="Pi5_72" localSheetId="7">'Прил. 1 План ФХД стоки табл 2'!_Pi5</definedName>
    <definedName name="Pi5_72" localSheetId="6">'Прил. 1 План ФХД табл 1'!_Pi5</definedName>
    <definedName name="Pi5_72" localSheetId="12">'Произв. прогр. Вода'!_Pi5</definedName>
    <definedName name="Pi5_72" localSheetId="11">'Произв. прогр. Вода (СВОД)'!_Pi5</definedName>
    <definedName name="Pi5_72" localSheetId="10">'Произв. прогр. Стоки'!_Pi5</definedName>
    <definedName name="Pi5_72" localSheetId="9">'Произв. прогр. Стоки (СВОД)'!_Pi5</definedName>
    <definedName name="Pi5_72" localSheetId="2">'ФАКТИЧЕСКАЯ СЕБЕСТ ВОДА 2017'!_Pi5</definedName>
    <definedName name="Pi5_72" localSheetId="0">'ФАКТИЧЕСКАЯ СЕБЕСТ. СТОКИ 2017'!_Pi5</definedName>
    <definedName name="Pi5_72">_Pi5</definedName>
    <definedName name="Pi5_74" localSheetId="28">'ЗП с факт 3 кв. 2015'!_Pi5</definedName>
    <definedName name="Pi5_74" localSheetId="3">'ПОЛНАЯ СЕБЕСТОИМОСТЬ ВОДА 2017'!_Pi5</definedName>
    <definedName name="Pi5_74" localSheetId="1">'ПОЛНАЯ СЕБЕСТОИМОСТЬ СТОКИ 2017'!_Pi5</definedName>
    <definedName name="Pi5_74" localSheetId="8">'Прил. 1 План ФХД вода табл. 2'!_Pi5</definedName>
    <definedName name="Pi5_74" localSheetId="7">'Прил. 1 План ФХД стоки табл 2'!_Pi5</definedName>
    <definedName name="Pi5_74" localSheetId="6">'Прил. 1 План ФХД табл 1'!_Pi5</definedName>
    <definedName name="Pi5_74" localSheetId="12">'Произв. прогр. Вода'!_Pi5</definedName>
    <definedName name="Pi5_74" localSheetId="11">'Произв. прогр. Вода (СВОД)'!_Pi5</definedName>
    <definedName name="Pi5_74" localSheetId="10">'Произв. прогр. Стоки'!_Pi5</definedName>
    <definedName name="Pi5_74" localSheetId="9">'Произв. прогр. Стоки (СВОД)'!_Pi5</definedName>
    <definedName name="Pi5_74" localSheetId="2">'ФАКТИЧЕСКАЯ СЕБЕСТ ВОДА 2017'!_Pi5</definedName>
    <definedName name="Pi5_74" localSheetId="0">'ФАКТИЧЕСКАЯ СЕБЕСТ. СТОКИ 2017'!_Pi5</definedName>
    <definedName name="Pi5_74">_Pi5</definedName>
    <definedName name="Pi5_9" localSheetId="28">'ЗП с факт 3 кв. 2015'!_Pi5</definedName>
    <definedName name="Pi5_9" localSheetId="3">'ПОЛНАЯ СЕБЕСТОИМОСТЬ ВОДА 2017'!_Pi5</definedName>
    <definedName name="Pi5_9" localSheetId="1">'ПОЛНАЯ СЕБЕСТОИМОСТЬ СТОКИ 2017'!_Pi5</definedName>
    <definedName name="Pi5_9" localSheetId="8">'Прил. 1 План ФХД вода табл. 2'!_Pi5</definedName>
    <definedName name="Pi5_9" localSheetId="7">'Прил. 1 План ФХД стоки табл 2'!_Pi5</definedName>
    <definedName name="Pi5_9" localSheetId="6">'Прил. 1 План ФХД табл 1'!_Pi5</definedName>
    <definedName name="Pi5_9" localSheetId="12">'Произв. прогр. Вода'!_Pi5</definedName>
    <definedName name="Pi5_9" localSheetId="11">'Произв. прогр. Вода (СВОД)'!_Pi5</definedName>
    <definedName name="Pi5_9" localSheetId="10">'Произв. прогр. Стоки'!_Pi5</definedName>
    <definedName name="Pi5_9" localSheetId="9">'Произв. прогр. Стоки (СВОД)'!_Pi5</definedName>
    <definedName name="Pi5_9" localSheetId="2">'ФАКТИЧЕСКАЯ СЕБЕСТ ВОДА 2017'!_Pi5</definedName>
    <definedName name="Pi5_9" localSheetId="0">'ФАКТИЧЕСКАЯ СЕБЕСТ. СТОКИ 2017'!_Pi5</definedName>
    <definedName name="Pi5_9">_Pi5</definedName>
    <definedName name="аа" localSheetId="28">'ЗП с факт 3 кв. 2015'!аа</definedName>
    <definedName name="аа" localSheetId="3">#N/A</definedName>
    <definedName name="аа" localSheetId="1">#N/A</definedName>
    <definedName name="аа" localSheetId="8">#N/A</definedName>
    <definedName name="аа" localSheetId="7">#N/A</definedName>
    <definedName name="аа" localSheetId="6">#N/A</definedName>
    <definedName name="аа" localSheetId="12">#N/A</definedName>
    <definedName name="аа" localSheetId="11">#N/A</definedName>
    <definedName name="аа" localSheetId="10">#N/A</definedName>
    <definedName name="аа" localSheetId="9">#N/A</definedName>
    <definedName name="аа" localSheetId="2">#N/A</definedName>
    <definedName name="аа" localSheetId="0">#N/A</definedName>
    <definedName name="аа">'ЗП с факт 3 кв. 2015'!аа</definedName>
    <definedName name="аа_10" localSheetId="28">'ЗП с факт 3 кв. 2015'!аа</definedName>
    <definedName name="аа_10" localSheetId="3">'ПОЛНАЯ СЕБЕСТОИМОСТЬ ВОДА 2017'!аа</definedName>
    <definedName name="аа_10" localSheetId="1">'ПОЛНАЯ СЕБЕСТОИМОСТЬ СТОКИ 2017'!аа</definedName>
    <definedName name="аа_10" localSheetId="8">'Прил. 1 План ФХД вода табл. 2'!аа</definedName>
    <definedName name="аа_10" localSheetId="7">'Прил. 1 План ФХД стоки табл 2'!аа</definedName>
    <definedName name="аа_10" localSheetId="6">'Прил. 1 План ФХД табл 1'!аа</definedName>
    <definedName name="аа_10" localSheetId="12">'Произв. прогр. Вода'!аа</definedName>
    <definedName name="аа_10" localSheetId="11">'Произв. прогр. Вода (СВОД)'!аа</definedName>
    <definedName name="аа_10" localSheetId="10">'Произв. прогр. Стоки'!аа</definedName>
    <definedName name="аа_10" localSheetId="9">'Произв. прогр. Стоки (СВОД)'!аа</definedName>
    <definedName name="аа_10" localSheetId="2">'ФАКТИЧЕСКАЯ СЕБЕСТ ВОДА 2017'!аа</definedName>
    <definedName name="аа_10" localSheetId="0">'ФАКТИЧЕСКАЯ СЕБЕСТ. СТОКИ 2017'!аа</definedName>
    <definedName name="аа_10">[0]!аа</definedName>
    <definedName name="аа_14" localSheetId="28">'ЗП с факт 3 кв. 2015'!аа</definedName>
    <definedName name="аа_14" localSheetId="3">'ПОЛНАЯ СЕБЕСТОИМОСТЬ ВОДА 2017'!аа</definedName>
    <definedName name="аа_14" localSheetId="1">'ПОЛНАЯ СЕБЕСТОИМОСТЬ СТОКИ 2017'!аа</definedName>
    <definedName name="аа_14" localSheetId="8">'Прил. 1 План ФХД вода табл. 2'!аа</definedName>
    <definedName name="аа_14" localSheetId="7">'Прил. 1 План ФХД стоки табл 2'!аа</definedName>
    <definedName name="аа_14" localSheetId="6">'Прил. 1 План ФХД табл 1'!аа</definedName>
    <definedName name="аа_14" localSheetId="12">'Произв. прогр. Вода'!аа</definedName>
    <definedName name="аа_14" localSheetId="11">'Произв. прогр. Вода (СВОД)'!аа</definedName>
    <definedName name="аа_14" localSheetId="10">'Произв. прогр. Стоки'!аа</definedName>
    <definedName name="аа_14" localSheetId="9">'Произв. прогр. Стоки (СВОД)'!аа</definedName>
    <definedName name="аа_14" localSheetId="2">'ФАКТИЧЕСКАЯ СЕБЕСТ ВОДА 2017'!аа</definedName>
    <definedName name="аа_14" localSheetId="0">'ФАКТИЧЕСКАЯ СЕБЕСТ. СТОКИ 2017'!аа</definedName>
    <definedName name="аа_14">[0]!аа</definedName>
    <definedName name="аа_15" localSheetId="28">'ЗП с факт 3 кв. 2015'!аа</definedName>
    <definedName name="аа_15" localSheetId="3">'ПОЛНАЯ СЕБЕСТОИМОСТЬ ВОДА 2017'!аа</definedName>
    <definedName name="аа_15" localSheetId="1">'ПОЛНАЯ СЕБЕСТОИМОСТЬ СТОКИ 2017'!аа</definedName>
    <definedName name="аа_15" localSheetId="8">'Прил. 1 План ФХД вода табл. 2'!аа</definedName>
    <definedName name="аа_15" localSheetId="7">'Прил. 1 План ФХД стоки табл 2'!аа</definedName>
    <definedName name="аа_15" localSheetId="6">'Прил. 1 План ФХД табл 1'!аа</definedName>
    <definedName name="аа_15" localSheetId="12">'Произв. прогр. Вода'!аа</definedName>
    <definedName name="аа_15" localSheetId="11">'Произв. прогр. Вода (СВОД)'!аа</definedName>
    <definedName name="аа_15" localSheetId="10">'Произв. прогр. Стоки'!аа</definedName>
    <definedName name="аа_15" localSheetId="9">'Произв. прогр. Стоки (СВОД)'!аа</definedName>
    <definedName name="аа_15" localSheetId="2">'ФАКТИЧЕСКАЯ СЕБЕСТ ВОДА 2017'!аа</definedName>
    <definedName name="аа_15" localSheetId="0">'ФАКТИЧЕСКАЯ СЕБЕСТ. СТОКИ 2017'!аа</definedName>
    <definedName name="аа_15">[0]!аа</definedName>
    <definedName name="аа_16" localSheetId="28">'ЗП с факт 3 кв. 2015'!аа</definedName>
    <definedName name="аа_16" localSheetId="3">'ПОЛНАЯ СЕБЕСТОИМОСТЬ ВОДА 2017'!аа</definedName>
    <definedName name="аа_16" localSheetId="1">'ПОЛНАЯ СЕБЕСТОИМОСТЬ СТОКИ 2017'!аа</definedName>
    <definedName name="аа_16" localSheetId="8">'Прил. 1 План ФХД вода табл. 2'!аа</definedName>
    <definedName name="аа_16" localSheetId="7">'Прил. 1 План ФХД стоки табл 2'!аа</definedName>
    <definedName name="аа_16" localSheetId="6">'Прил. 1 План ФХД табл 1'!аа</definedName>
    <definedName name="аа_16" localSheetId="12">'Произв. прогр. Вода'!аа</definedName>
    <definedName name="аа_16" localSheetId="11">'Произв. прогр. Вода (СВОД)'!аа</definedName>
    <definedName name="аа_16" localSheetId="10">'Произв. прогр. Стоки'!аа</definedName>
    <definedName name="аа_16" localSheetId="9">'Произв. прогр. Стоки (СВОД)'!аа</definedName>
    <definedName name="аа_16" localSheetId="2">'ФАКТИЧЕСКАЯ СЕБЕСТ ВОДА 2017'!аа</definedName>
    <definedName name="аа_16" localSheetId="0">'ФАКТИЧЕСКАЯ СЕБЕСТ. СТОКИ 2017'!аа</definedName>
    <definedName name="аа_16">[0]!аа</definedName>
    <definedName name="аа_2" localSheetId="28">'ЗП с факт 3 кв. 2015'!аа</definedName>
    <definedName name="аа_2" localSheetId="3">'ПОЛНАЯ СЕБЕСТОИМОСТЬ ВОДА 2017'!аа</definedName>
    <definedName name="аа_2" localSheetId="1">'ПОЛНАЯ СЕБЕСТОИМОСТЬ СТОКИ 2017'!аа</definedName>
    <definedName name="аа_2" localSheetId="8">'Прил. 1 План ФХД вода табл. 2'!аа</definedName>
    <definedName name="аа_2" localSheetId="7">'Прил. 1 План ФХД стоки табл 2'!аа</definedName>
    <definedName name="аа_2" localSheetId="6">'Прил. 1 План ФХД табл 1'!аа</definedName>
    <definedName name="аа_2" localSheetId="12">'Произв. прогр. Вода'!аа</definedName>
    <definedName name="аа_2" localSheetId="11">'Произв. прогр. Вода (СВОД)'!аа</definedName>
    <definedName name="аа_2" localSheetId="10">'Произв. прогр. Стоки'!аа</definedName>
    <definedName name="аа_2" localSheetId="9">'Произв. прогр. Стоки (СВОД)'!аа</definedName>
    <definedName name="аа_2" localSheetId="2">'ФАКТИЧЕСКАЯ СЕБЕСТ ВОДА 2017'!аа</definedName>
    <definedName name="аа_2" localSheetId="0">'ФАКТИЧЕСКАЯ СЕБЕСТ. СТОКИ 2017'!аа</definedName>
    <definedName name="аа_2">[0]!аа</definedName>
    <definedName name="апапа" localSheetId="28">'ЗП с факт 3 кв. 2015'!_Pi4</definedName>
    <definedName name="апапа" localSheetId="3">'ПОЛНАЯ СЕБЕСТОИМОСТЬ ВОДА 2017'!_Pi4</definedName>
    <definedName name="апапа" localSheetId="1">'ПОЛНАЯ СЕБЕСТОИМОСТЬ СТОКИ 2017'!_Pi4</definedName>
    <definedName name="апапа" localSheetId="8">'Прил. 1 План ФХД вода табл. 2'!_Pi4</definedName>
    <definedName name="апапа" localSheetId="7">'Прил. 1 План ФХД стоки табл 2'!_Pi4</definedName>
    <definedName name="апапа" localSheetId="6">'Прил. 1 План ФХД табл 1'!_Pi4</definedName>
    <definedName name="апапа" localSheetId="12">'Произв. прогр. Вода'!_Pi4</definedName>
    <definedName name="апапа" localSheetId="11">'Произв. прогр. Вода (СВОД)'!_Pi4</definedName>
    <definedName name="апапа" localSheetId="10">'Произв. прогр. Стоки'!_Pi4</definedName>
    <definedName name="апапа" localSheetId="9">'Произв. прогр. Стоки (СВОД)'!_Pi4</definedName>
    <definedName name="апапа" localSheetId="2">'ФАКТИЧЕСКАЯ СЕБЕСТ ВОДА 2017'!_Pi4</definedName>
    <definedName name="апапа" localSheetId="0">'ФАКТИЧЕСКАЯ СЕБЕСТ. СТОКИ 2017'!_Pi4</definedName>
    <definedName name="апапа">[0]!_Pi4</definedName>
    <definedName name="апапа_1" localSheetId="28">'ЗП с факт 3 кв. 2015'!_Pi4</definedName>
    <definedName name="апапа_1" localSheetId="3">'ПОЛНАЯ СЕБЕСТОИМОСТЬ ВОДА 2017'!_Pi4</definedName>
    <definedName name="апапа_1" localSheetId="1">'ПОЛНАЯ СЕБЕСТОИМОСТЬ СТОКИ 2017'!_Pi4</definedName>
    <definedName name="апапа_1" localSheetId="8">'Прил. 1 План ФХД вода табл. 2'!_Pi4</definedName>
    <definedName name="апапа_1" localSheetId="7">'Прил. 1 План ФХД стоки табл 2'!_Pi4</definedName>
    <definedName name="апапа_1" localSheetId="6">'Прил. 1 План ФХД табл 1'!_Pi4</definedName>
    <definedName name="апапа_1" localSheetId="12">'Произв. прогр. Вода'!_Pi4</definedName>
    <definedName name="апапа_1" localSheetId="11">'Произв. прогр. Вода (СВОД)'!_Pi4</definedName>
    <definedName name="апапа_1" localSheetId="10">'Произв. прогр. Стоки'!_Pi4</definedName>
    <definedName name="апапа_1" localSheetId="9">'Произв. прогр. Стоки (СВОД)'!_Pi4</definedName>
    <definedName name="апапа_1" localSheetId="2">'ФАКТИЧЕСКАЯ СЕБЕСТ ВОДА 2017'!_Pi4</definedName>
    <definedName name="апапа_1" localSheetId="0">'ФАКТИЧЕСКАЯ СЕБЕСТ. СТОКИ 2017'!_Pi4</definedName>
    <definedName name="апапа_1">[0]!_Pi4</definedName>
    <definedName name="апапа_13" localSheetId="28">'ЗП с факт 3 кв. 2015'!_Pi4</definedName>
    <definedName name="апапа_13" localSheetId="3">'ПОЛНАЯ СЕБЕСТОИМОСТЬ ВОДА 2017'!_Pi4</definedName>
    <definedName name="апапа_13" localSheetId="1">'ПОЛНАЯ СЕБЕСТОИМОСТЬ СТОКИ 2017'!_Pi4</definedName>
    <definedName name="апапа_13" localSheetId="8">'Прил. 1 План ФХД вода табл. 2'!_Pi4</definedName>
    <definedName name="апапа_13" localSheetId="7">'Прил. 1 План ФХД стоки табл 2'!_Pi4</definedName>
    <definedName name="апапа_13" localSheetId="6">'Прил. 1 План ФХД табл 1'!_Pi4</definedName>
    <definedName name="апапа_13" localSheetId="12">'Произв. прогр. Вода'!_Pi4</definedName>
    <definedName name="апапа_13" localSheetId="11">'Произв. прогр. Вода (СВОД)'!_Pi4</definedName>
    <definedName name="апапа_13" localSheetId="10">'Произв. прогр. Стоки'!_Pi4</definedName>
    <definedName name="апапа_13" localSheetId="9">'Произв. прогр. Стоки (СВОД)'!_Pi4</definedName>
    <definedName name="апапа_13" localSheetId="2">'ФАКТИЧЕСКАЯ СЕБЕСТ ВОДА 2017'!_Pi4</definedName>
    <definedName name="апапа_13" localSheetId="0">'ФАКТИЧЕСКАЯ СЕБЕСТ. СТОКИ 2017'!_Pi4</definedName>
    <definedName name="апапа_13">[0]!_Pi4</definedName>
    <definedName name="апапа_2" localSheetId="28">'ЗП с факт 3 кв. 2015'!_Pi4</definedName>
    <definedName name="апапа_2" localSheetId="3">'ПОЛНАЯ СЕБЕСТОИМОСТЬ ВОДА 2017'!_Pi4</definedName>
    <definedName name="апапа_2" localSheetId="1">'ПОЛНАЯ СЕБЕСТОИМОСТЬ СТОКИ 2017'!_Pi4</definedName>
    <definedName name="апапа_2" localSheetId="8">'Прил. 1 План ФХД вода табл. 2'!_Pi4</definedName>
    <definedName name="апапа_2" localSheetId="7">'Прил. 1 План ФХД стоки табл 2'!_Pi4</definedName>
    <definedName name="апапа_2" localSheetId="6">'Прил. 1 План ФХД табл 1'!_Pi4</definedName>
    <definedName name="апапа_2" localSheetId="12">'Произв. прогр. Вода'!_Pi4</definedName>
    <definedName name="апапа_2" localSheetId="11">'Произв. прогр. Вода (СВОД)'!_Pi4</definedName>
    <definedName name="апапа_2" localSheetId="10">'Произв. прогр. Стоки'!_Pi4</definedName>
    <definedName name="апапа_2" localSheetId="9">'Произв. прогр. Стоки (СВОД)'!_Pi4</definedName>
    <definedName name="апапа_2" localSheetId="2">'ФАКТИЧЕСКАЯ СЕБЕСТ ВОДА 2017'!_Pi4</definedName>
    <definedName name="апапа_2" localSheetId="0">'ФАКТИЧЕСКАЯ СЕБЕСТ. СТОКИ 2017'!_Pi4</definedName>
    <definedName name="апапа_2">[0]!_Pi4</definedName>
    <definedName name="апквуцыыыыы">#N/A</definedName>
    <definedName name="б" localSheetId="28">'ЗП с факт 3 кв. 2015'!б</definedName>
    <definedName name="б" localSheetId="3">#N/A</definedName>
    <definedName name="б" localSheetId="1">#N/A</definedName>
    <definedName name="б" localSheetId="8">#N/A</definedName>
    <definedName name="б" localSheetId="7">#N/A</definedName>
    <definedName name="б" localSheetId="6">#N/A</definedName>
    <definedName name="б" localSheetId="12">#N/A</definedName>
    <definedName name="б" localSheetId="11">#N/A</definedName>
    <definedName name="б" localSheetId="10">#N/A</definedName>
    <definedName name="б" localSheetId="9">#N/A</definedName>
    <definedName name="б" localSheetId="2">#N/A</definedName>
    <definedName name="б" localSheetId="0">#N/A</definedName>
    <definedName name="б">'ЗП с факт 3 кв. 2015'!б</definedName>
    <definedName name="б_10" localSheetId="28">'ЗП с факт 3 кв. 2015'!б</definedName>
    <definedName name="б_10" localSheetId="3">'ПОЛНАЯ СЕБЕСТОИМОСТЬ ВОДА 2017'!б</definedName>
    <definedName name="б_10" localSheetId="1">'ПОЛНАЯ СЕБЕСТОИМОСТЬ СТОКИ 2017'!б</definedName>
    <definedName name="б_10" localSheetId="8">'Прил. 1 План ФХД вода табл. 2'!б</definedName>
    <definedName name="б_10" localSheetId="7">'Прил. 1 План ФХД стоки табл 2'!б</definedName>
    <definedName name="б_10" localSheetId="6">'Прил. 1 План ФХД табл 1'!б</definedName>
    <definedName name="б_10" localSheetId="12">'Произв. прогр. Вода'!б</definedName>
    <definedName name="б_10" localSheetId="11">'Произв. прогр. Вода (СВОД)'!б</definedName>
    <definedName name="б_10" localSheetId="10">'Произв. прогр. Стоки'!б</definedName>
    <definedName name="б_10" localSheetId="9">'Произв. прогр. Стоки (СВОД)'!б</definedName>
    <definedName name="б_10" localSheetId="2">'ФАКТИЧЕСКАЯ СЕБЕСТ ВОДА 2017'!б</definedName>
    <definedName name="б_10" localSheetId="0">'ФАКТИЧЕСКАЯ СЕБЕСТ. СТОКИ 2017'!б</definedName>
    <definedName name="б_10">[0]!б</definedName>
    <definedName name="б_14" localSheetId="28">'ЗП с факт 3 кв. 2015'!б</definedName>
    <definedName name="б_14" localSheetId="3">'ПОЛНАЯ СЕБЕСТОИМОСТЬ ВОДА 2017'!б</definedName>
    <definedName name="б_14" localSheetId="1">'ПОЛНАЯ СЕБЕСТОИМОСТЬ СТОКИ 2017'!б</definedName>
    <definedName name="б_14" localSheetId="8">'Прил. 1 План ФХД вода табл. 2'!б</definedName>
    <definedName name="б_14" localSheetId="7">'Прил. 1 План ФХД стоки табл 2'!б</definedName>
    <definedName name="б_14" localSheetId="6">'Прил. 1 План ФХД табл 1'!б</definedName>
    <definedName name="б_14" localSheetId="12">'Произв. прогр. Вода'!б</definedName>
    <definedName name="б_14" localSheetId="11">'Произв. прогр. Вода (СВОД)'!б</definedName>
    <definedName name="б_14" localSheetId="10">'Произв. прогр. Стоки'!б</definedName>
    <definedName name="б_14" localSheetId="9">'Произв. прогр. Стоки (СВОД)'!б</definedName>
    <definedName name="б_14" localSheetId="2">'ФАКТИЧЕСКАЯ СЕБЕСТ ВОДА 2017'!б</definedName>
    <definedName name="б_14" localSheetId="0">'ФАКТИЧЕСКАЯ СЕБЕСТ. СТОКИ 2017'!б</definedName>
    <definedName name="б_14">[0]!б</definedName>
    <definedName name="б_15" localSheetId="28">'ЗП с факт 3 кв. 2015'!б</definedName>
    <definedName name="б_15" localSheetId="3">'ПОЛНАЯ СЕБЕСТОИМОСТЬ ВОДА 2017'!б</definedName>
    <definedName name="б_15" localSheetId="1">'ПОЛНАЯ СЕБЕСТОИМОСТЬ СТОКИ 2017'!б</definedName>
    <definedName name="б_15" localSheetId="8">'Прил. 1 План ФХД вода табл. 2'!б</definedName>
    <definedName name="б_15" localSheetId="7">'Прил. 1 План ФХД стоки табл 2'!б</definedName>
    <definedName name="б_15" localSheetId="6">'Прил. 1 План ФХД табл 1'!б</definedName>
    <definedName name="б_15" localSheetId="12">'Произв. прогр. Вода'!б</definedName>
    <definedName name="б_15" localSheetId="11">'Произв. прогр. Вода (СВОД)'!б</definedName>
    <definedName name="б_15" localSheetId="10">'Произв. прогр. Стоки'!б</definedName>
    <definedName name="б_15" localSheetId="9">'Произв. прогр. Стоки (СВОД)'!б</definedName>
    <definedName name="б_15" localSheetId="2">'ФАКТИЧЕСКАЯ СЕБЕСТ ВОДА 2017'!б</definedName>
    <definedName name="б_15" localSheetId="0">'ФАКТИЧЕСКАЯ СЕБЕСТ. СТОКИ 2017'!б</definedName>
    <definedName name="б_15">[0]!б</definedName>
    <definedName name="б_16" localSheetId="28">'ЗП с факт 3 кв. 2015'!б</definedName>
    <definedName name="б_16" localSheetId="3">'ПОЛНАЯ СЕБЕСТОИМОСТЬ ВОДА 2017'!б</definedName>
    <definedName name="б_16" localSheetId="1">'ПОЛНАЯ СЕБЕСТОИМОСТЬ СТОКИ 2017'!б</definedName>
    <definedName name="б_16" localSheetId="8">'Прил. 1 План ФХД вода табл. 2'!б</definedName>
    <definedName name="б_16" localSheetId="7">'Прил. 1 План ФХД стоки табл 2'!б</definedName>
    <definedName name="б_16" localSheetId="6">'Прил. 1 План ФХД табл 1'!б</definedName>
    <definedName name="б_16" localSheetId="12">'Произв. прогр. Вода'!б</definedName>
    <definedName name="б_16" localSheetId="11">'Произв. прогр. Вода (СВОД)'!б</definedName>
    <definedName name="б_16" localSheetId="10">'Произв. прогр. Стоки'!б</definedName>
    <definedName name="б_16" localSheetId="9">'Произв. прогр. Стоки (СВОД)'!б</definedName>
    <definedName name="б_16" localSheetId="2">'ФАКТИЧЕСКАЯ СЕБЕСТ ВОДА 2017'!б</definedName>
    <definedName name="б_16" localSheetId="0">'ФАКТИЧЕСКАЯ СЕБЕСТ. СТОКИ 2017'!б</definedName>
    <definedName name="б_16">[0]!б</definedName>
    <definedName name="б_2" localSheetId="28">'ЗП с факт 3 кв. 2015'!б</definedName>
    <definedName name="б_2" localSheetId="3">'ПОЛНАЯ СЕБЕСТОИМОСТЬ ВОДА 2017'!б</definedName>
    <definedName name="б_2" localSheetId="1">'ПОЛНАЯ СЕБЕСТОИМОСТЬ СТОКИ 2017'!б</definedName>
    <definedName name="б_2" localSheetId="8">'Прил. 1 План ФХД вода табл. 2'!б</definedName>
    <definedName name="б_2" localSheetId="7">'Прил. 1 План ФХД стоки табл 2'!б</definedName>
    <definedName name="б_2" localSheetId="6">'Прил. 1 План ФХД табл 1'!б</definedName>
    <definedName name="б_2" localSheetId="12">'Произв. прогр. Вода'!б</definedName>
    <definedName name="б_2" localSheetId="11">'Произв. прогр. Вода (СВОД)'!б</definedName>
    <definedName name="б_2" localSheetId="10">'Произв. прогр. Стоки'!б</definedName>
    <definedName name="б_2" localSheetId="9">'Произв. прогр. Стоки (СВОД)'!б</definedName>
    <definedName name="б_2" localSheetId="2">'ФАКТИЧЕСКАЯ СЕБЕСТ ВОДА 2017'!б</definedName>
    <definedName name="б_2" localSheetId="0">'ФАКТИЧЕСКАЯ СЕБЕСТ. СТОКИ 2017'!б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28">'ЗП с факт 3 кв. 2015'!в</definedName>
    <definedName name="в" localSheetId="3">#N/A</definedName>
    <definedName name="в" localSheetId="1">#N/A</definedName>
    <definedName name="в" localSheetId="8">#N/A</definedName>
    <definedName name="в" localSheetId="7">#N/A</definedName>
    <definedName name="в" localSheetId="6">#N/A</definedName>
    <definedName name="в" localSheetId="12">#N/A</definedName>
    <definedName name="в" localSheetId="11">#N/A</definedName>
    <definedName name="в" localSheetId="10">#N/A</definedName>
    <definedName name="в" localSheetId="9">#N/A</definedName>
    <definedName name="в" localSheetId="2">#N/A</definedName>
    <definedName name="в" localSheetId="0">#N/A</definedName>
    <definedName name="в">'ЗП с факт 3 кв. 2015'!в</definedName>
    <definedName name="в_10" localSheetId="28">'ЗП с факт 3 кв. 2015'!в</definedName>
    <definedName name="в_10" localSheetId="3">'ПОЛНАЯ СЕБЕСТОИМОСТЬ ВОДА 2017'!в</definedName>
    <definedName name="в_10" localSheetId="1">'ПОЛНАЯ СЕБЕСТОИМОСТЬ СТОКИ 2017'!в</definedName>
    <definedName name="в_10" localSheetId="8">'Прил. 1 План ФХД вода табл. 2'!в</definedName>
    <definedName name="в_10" localSheetId="7">'Прил. 1 План ФХД стоки табл 2'!в</definedName>
    <definedName name="в_10" localSheetId="6">'Прил. 1 План ФХД табл 1'!в</definedName>
    <definedName name="в_10" localSheetId="12">'Произв. прогр. Вода'!в</definedName>
    <definedName name="в_10" localSheetId="11">'Произв. прогр. Вода (СВОД)'!в</definedName>
    <definedName name="в_10" localSheetId="10">'Произв. прогр. Стоки'!в</definedName>
    <definedName name="в_10" localSheetId="9">'Произв. прогр. Стоки (СВОД)'!в</definedName>
    <definedName name="в_10" localSheetId="2">'ФАКТИЧЕСКАЯ СЕБЕСТ ВОДА 2017'!в</definedName>
    <definedName name="в_10" localSheetId="0">'ФАКТИЧЕСКАЯ СЕБЕСТ. СТОКИ 2017'!в</definedName>
    <definedName name="в_10">[0]!в</definedName>
    <definedName name="в_14" localSheetId="28">'ЗП с факт 3 кв. 2015'!в</definedName>
    <definedName name="в_14" localSheetId="3">'ПОЛНАЯ СЕБЕСТОИМОСТЬ ВОДА 2017'!в</definedName>
    <definedName name="в_14" localSheetId="1">'ПОЛНАЯ СЕБЕСТОИМОСТЬ СТОКИ 2017'!в</definedName>
    <definedName name="в_14" localSheetId="8">'Прил. 1 План ФХД вода табл. 2'!в</definedName>
    <definedName name="в_14" localSheetId="7">'Прил. 1 План ФХД стоки табл 2'!в</definedName>
    <definedName name="в_14" localSheetId="6">'Прил. 1 План ФХД табл 1'!в</definedName>
    <definedName name="в_14" localSheetId="12">'Произв. прогр. Вода'!в</definedName>
    <definedName name="в_14" localSheetId="11">'Произв. прогр. Вода (СВОД)'!в</definedName>
    <definedName name="в_14" localSheetId="10">'Произв. прогр. Стоки'!в</definedName>
    <definedName name="в_14" localSheetId="9">'Произв. прогр. Стоки (СВОД)'!в</definedName>
    <definedName name="в_14" localSheetId="2">'ФАКТИЧЕСКАЯ СЕБЕСТ ВОДА 2017'!в</definedName>
    <definedName name="в_14" localSheetId="0">'ФАКТИЧЕСКАЯ СЕБЕСТ. СТОКИ 2017'!в</definedName>
    <definedName name="в_14">[0]!в</definedName>
    <definedName name="в_15" localSheetId="28">'ЗП с факт 3 кв. 2015'!в</definedName>
    <definedName name="в_15" localSheetId="3">'ПОЛНАЯ СЕБЕСТОИМОСТЬ ВОДА 2017'!в</definedName>
    <definedName name="в_15" localSheetId="1">'ПОЛНАЯ СЕБЕСТОИМОСТЬ СТОКИ 2017'!в</definedName>
    <definedName name="в_15" localSheetId="8">'Прил. 1 План ФХД вода табл. 2'!в</definedName>
    <definedName name="в_15" localSheetId="7">'Прил. 1 План ФХД стоки табл 2'!в</definedName>
    <definedName name="в_15" localSheetId="6">'Прил. 1 План ФХД табл 1'!в</definedName>
    <definedName name="в_15" localSheetId="12">'Произв. прогр. Вода'!в</definedName>
    <definedName name="в_15" localSheetId="11">'Произв. прогр. Вода (СВОД)'!в</definedName>
    <definedName name="в_15" localSheetId="10">'Произв. прогр. Стоки'!в</definedName>
    <definedName name="в_15" localSheetId="9">'Произв. прогр. Стоки (СВОД)'!в</definedName>
    <definedName name="в_15" localSheetId="2">'ФАКТИЧЕСКАЯ СЕБЕСТ ВОДА 2017'!в</definedName>
    <definedName name="в_15" localSheetId="0">'ФАКТИЧЕСКАЯ СЕБЕСТ. СТОКИ 2017'!в</definedName>
    <definedName name="в_15">[0]!в</definedName>
    <definedName name="в_16" localSheetId="28">'ЗП с факт 3 кв. 2015'!в</definedName>
    <definedName name="в_16" localSheetId="3">'ПОЛНАЯ СЕБЕСТОИМОСТЬ ВОДА 2017'!в</definedName>
    <definedName name="в_16" localSheetId="1">'ПОЛНАЯ СЕБЕСТОИМОСТЬ СТОКИ 2017'!в</definedName>
    <definedName name="в_16" localSheetId="8">'Прил. 1 План ФХД вода табл. 2'!в</definedName>
    <definedName name="в_16" localSheetId="7">'Прил. 1 План ФХД стоки табл 2'!в</definedName>
    <definedName name="в_16" localSheetId="6">'Прил. 1 План ФХД табл 1'!в</definedName>
    <definedName name="в_16" localSheetId="12">'Произв. прогр. Вода'!в</definedName>
    <definedName name="в_16" localSheetId="11">'Произв. прогр. Вода (СВОД)'!в</definedName>
    <definedName name="в_16" localSheetId="10">'Произв. прогр. Стоки'!в</definedName>
    <definedName name="в_16" localSheetId="9">'Произв. прогр. Стоки (СВОД)'!в</definedName>
    <definedName name="в_16" localSheetId="2">'ФАКТИЧЕСКАЯ СЕБЕСТ ВОДА 2017'!в</definedName>
    <definedName name="в_16" localSheetId="0">'ФАКТИЧЕСКАЯ СЕБЕСТ. СТОКИ 2017'!в</definedName>
    <definedName name="в_16">[0]!в</definedName>
    <definedName name="в_2" localSheetId="28">'ЗП с факт 3 кв. 2015'!в</definedName>
    <definedName name="в_2" localSheetId="3">'ПОЛНАЯ СЕБЕСТОИМОСТЬ ВОДА 2017'!в</definedName>
    <definedName name="в_2" localSheetId="1">'ПОЛНАЯ СЕБЕСТОИМОСТЬ СТОКИ 2017'!в</definedName>
    <definedName name="в_2" localSheetId="8">'Прил. 1 План ФХД вода табл. 2'!в</definedName>
    <definedName name="в_2" localSheetId="7">'Прил. 1 План ФХД стоки табл 2'!в</definedName>
    <definedName name="в_2" localSheetId="6">'Прил. 1 План ФХД табл 1'!в</definedName>
    <definedName name="в_2" localSheetId="12">'Произв. прогр. Вода'!в</definedName>
    <definedName name="в_2" localSheetId="11">'Произв. прогр. Вода (СВОД)'!в</definedName>
    <definedName name="в_2" localSheetId="10">'Произв. прогр. Стоки'!в</definedName>
    <definedName name="в_2" localSheetId="9">'Произв. прогр. Стоки (СВОД)'!в</definedName>
    <definedName name="в_2" localSheetId="2">'ФАКТИЧЕСКАЯ СЕБЕСТ ВОДА 2017'!в</definedName>
    <definedName name="в_2" localSheetId="0">'ФАКТИЧЕСКАЯ СЕБЕСТ. СТОКИ 2017'!в</definedName>
    <definedName name="в_2">[0]!в</definedName>
    <definedName name="вааитььбблдшщщ">#N/A</definedName>
    <definedName name="вапроолдджюююююю">#N/A</definedName>
    <definedName name="гггггг" localSheetId="28">'[4]распределение январь по бухг.'!#REF!</definedName>
    <definedName name="гггггг" localSheetId="6">'[4]распределение январь по бухг.'!#REF!</definedName>
    <definedName name="гггггг" localSheetId="18">'[4]распределение январь по бухг.'!#REF!</definedName>
    <definedName name="гггггг" localSheetId="14">'[4]распределение январь по бухг.'!#REF!</definedName>
    <definedName name="гггггг" localSheetId="47">'[4]распределение январь по бухг.'!#REF!</definedName>
    <definedName name="гггггг" localSheetId="46">'[4]распределение январь по бухг.'!#REF!</definedName>
    <definedName name="гггггг" localSheetId="45">'[4]распределение январь по бухг.'!#REF!</definedName>
    <definedName name="гггггг" localSheetId="23">'[4]распределение январь по бухг.'!#REF!</definedName>
    <definedName name="гггггг">'[4]распределение январь по бухг.'!#REF!</definedName>
    <definedName name="гггггггггггггггггг" localSheetId="28">[4]расшифровка!#REF!</definedName>
    <definedName name="гггггггггггггггггг" localSheetId="6">[4]расшифровка!#REF!</definedName>
    <definedName name="гггггггггггггггггг" localSheetId="18">[4]расшифровка!#REF!</definedName>
    <definedName name="гггггггггггггггггг" localSheetId="14">[4]расшифровка!#REF!</definedName>
    <definedName name="гггггггггггггггггг" localSheetId="47">[4]расшифровка!#REF!</definedName>
    <definedName name="гггггггггггггггггг" localSheetId="46">[4]расшифровка!#REF!</definedName>
    <definedName name="гггггггггггггггггг" localSheetId="45">[4]расшифровка!#REF!</definedName>
    <definedName name="гггггггггггггггггг" localSheetId="23">[4]расшифровка!#REF!</definedName>
    <definedName name="гггггггггггггггггг">[4]расшифровка!#REF!</definedName>
    <definedName name="дапвеункее">#N/A</definedName>
    <definedName name="дголь" localSheetId="28">'ЗП с факт 3 кв. 2015'!_Pi3</definedName>
    <definedName name="дголь" localSheetId="3">'ПОЛНАЯ СЕБЕСТОИМОСТЬ ВОДА 2017'!_Pi3</definedName>
    <definedName name="дголь" localSheetId="1">'ПОЛНАЯ СЕБЕСТОИМОСТЬ СТОКИ 2017'!_Pi3</definedName>
    <definedName name="дголь" localSheetId="8">'Прил. 1 План ФХД вода табл. 2'!_Pi3</definedName>
    <definedName name="дголь" localSheetId="7">'Прил. 1 План ФХД стоки табл 2'!_Pi3</definedName>
    <definedName name="дголь" localSheetId="6">'Прил. 1 План ФХД табл 1'!_Pi3</definedName>
    <definedName name="дголь" localSheetId="12">'Произв. прогр. Вода'!_Pi3</definedName>
    <definedName name="дголь" localSheetId="11">'Произв. прогр. Вода (СВОД)'!_Pi3</definedName>
    <definedName name="дголь" localSheetId="10">'Произв. прогр. Стоки'!_Pi3</definedName>
    <definedName name="дголь" localSheetId="9">'Произв. прогр. Стоки (СВОД)'!_Pi3</definedName>
    <definedName name="дголь" localSheetId="2">'ФАКТИЧЕСКАЯ СЕБЕСТ ВОДА 2017'!_Pi3</definedName>
    <definedName name="дголь" localSheetId="0">'ФАКТИЧЕСКАЯ СЕБЕСТ. СТОКИ 2017'!_Pi3</definedName>
    <definedName name="дголь">[0]!_Pi3</definedName>
    <definedName name="дголь_13" localSheetId="28">'ЗП с факт 3 кв. 2015'!_Pi3</definedName>
    <definedName name="дголь_13" localSheetId="3">'ПОЛНАЯ СЕБЕСТОИМОСТЬ ВОДА 2017'!_Pi3</definedName>
    <definedName name="дголь_13" localSheetId="1">'ПОЛНАЯ СЕБЕСТОИМОСТЬ СТОКИ 2017'!_Pi3</definedName>
    <definedName name="дголь_13" localSheetId="8">'Прил. 1 План ФХД вода табл. 2'!_Pi3</definedName>
    <definedName name="дголь_13" localSheetId="7">'Прил. 1 План ФХД стоки табл 2'!_Pi3</definedName>
    <definedName name="дголь_13" localSheetId="6">'Прил. 1 План ФХД табл 1'!_Pi3</definedName>
    <definedName name="дголь_13" localSheetId="12">'Произв. прогр. Вода'!_Pi3</definedName>
    <definedName name="дголь_13" localSheetId="11">'Произв. прогр. Вода (СВОД)'!_Pi3</definedName>
    <definedName name="дголь_13" localSheetId="10">'Произв. прогр. Стоки'!_Pi3</definedName>
    <definedName name="дголь_13" localSheetId="9">'Произв. прогр. Стоки (СВОД)'!_Pi3</definedName>
    <definedName name="дголь_13" localSheetId="2">'ФАКТИЧЕСКАЯ СЕБЕСТ ВОДА 2017'!_Pi3</definedName>
    <definedName name="дголь_13" localSheetId="0">'ФАКТИЧЕСКАЯ СЕБЕСТ. СТОКИ 2017'!_Pi3</definedName>
    <definedName name="дголь_13">[0]!_Pi3</definedName>
    <definedName name="ддллоогггггггггггг">#N/A</definedName>
    <definedName name="длгоор" localSheetId="28">'ЗП с факт 3 кв. 2015'!_Pi5</definedName>
    <definedName name="длгоор" localSheetId="3">'ПОЛНАЯ СЕБЕСТОИМОСТЬ ВОДА 2017'!_Pi5</definedName>
    <definedName name="длгоор" localSheetId="1">'ПОЛНАЯ СЕБЕСТОИМОСТЬ СТОКИ 2017'!_Pi5</definedName>
    <definedName name="длгоор" localSheetId="8">'Прил. 1 План ФХД вода табл. 2'!_Pi5</definedName>
    <definedName name="длгоор" localSheetId="7">'Прил. 1 План ФХД стоки табл 2'!_Pi5</definedName>
    <definedName name="длгоор" localSheetId="6">'Прил. 1 План ФХД табл 1'!_Pi5</definedName>
    <definedName name="длгоор" localSheetId="12">'Произв. прогр. Вода'!_Pi5</definedName>
    <definedName name="длгоор" localSheetId="11">'Произв. прогр. Вода (СВОД)'!_Pi5</definedName>
    <definedName name="длгоор" localSheetId="10">'Произв. прогр. Стоки'!_Pi5</definedName>
    <definedName name="длгоор" localSheetId="9">'Произв. прогр. Стоки (СВОД)'!_Pi5</definedName>
    <definedName name="длгоор" localSheetId="2">'ФАКТИЧЕСКАЯ СЕБЕСТ ВОДА 2017'!_Pi5</definedName>
    <definedName name="длгоор" localSheetId="0">'ФАКТИЧЕСКАЯ СЕБЕСТ. СТОКИ 2017'!_Pi5</definedName>
    <definedName name="длгоор">[0]!_Pi5</definedName>
    <definedName name="длгоор_13" localSheetId="28">'ЗП с факт 3 кв. 2015'!_Pi5</definedName>
    <definedName name="длгоор_13" localSheetId="3">'ПОЛНАЯ СЕБЕСТОИМОСТЬ ВОДА 2017'!_Pi5</definedName>
    <definedName name="длгоор_13" localSheetId="1">'ПОЛНАЯ СЕБЕСТОИМОСТЬ СТОКИ 2017'!_Pi5</definedName>
    <definedName name="длгоор_13" localSheetId="8">'Прил. 1 План ФХД вода табл. 2'!_Pi5</definedName>
    <definedName name="длгоор_13" localSheetId="7">'Прил. 1 План ФХД стоки табл 2'!_Pi5</definedName>
    <definedName name="длгоор_13" localSheetId="6">'Прил. 1 План ФХД табл 1'!_Pi5</definedName>
    <definedName name="длгоор_13" localSheetId="12">'Произв. прогр. Вода'!_Pi5</definedName>
    <definedName name="длгоор_13" localSheetId="11">'Произв. прогр. Вода (СВОД)'!_Pi5</definedName>
    <definedName name="длгоор_13" localSheetId="10">'Произв. прогр. Стоки'!_Pi5</definedName>
    <definedName name="длгоор_13" localSheetId="9">'Произв. прогр. Стоки (СВОД)'!_Pi5</definedName>
    <definedName name="длгоор_13" localSheetId="2">'ФАКТИЧЕСКАЯ СЕБЕСТ ВОДА 2017'!_Pi5</definedName>
    <definedName name="длгоор_13" localSheetId="0">'ФАКТИЧЕСКАЯ СЕБЕСТ. СТОКИ 2017'!_Pi5</definedName>
    <definedName name="длгоор_13">[0]!_Pi5</definedName>
    <definedName name="длгоор_2" localSheetId="28">'ЗП с факт 3 кв. 2015'!_Pi5</definedName>
    <definedName name="длгоор_2" localSheetId="3">'ПОЛНАЯ СЕБЕСТОИМОСТЬ ВОДА 2017'!_Pi5</definedName>
    <definedName name="длгоор_2" localSheetId="1">'ПОЛНАЯ СЕБЕСТОИМОСТЬ СТОКИ 2017'!_Pi5</definedName>
    <definedName name="длгоор_2" localSheetId="8">'Прил. 1 План ФХД вода табл. 2'!_Pi5</definedName>
    <definedName name="длгоор_2" localSheetId="7">'Прил. 1 План ФХД стоки табл 2'!_Pi5</definedName>
    <definedName name="длгоор_2" localSheetId="6">'Прил. 1 План ФХД табл 1'!_Pi5</definedName>
    <definedName name="длгоор_2" localSheetId="12">'Произв. прогр. Вода'!_Pi5</definedName>
    <definedName name="длгоор_2" localSheetId="11">'Произв. прогр. Вода (СВОД)'!_Pi5</definedName>
    <definedName name="длгоор_2" localSheetId="10">'Произв. прогр. Стоки'!_Pi5</definedName>
    <definedName name="длгоор_2" localSheetId="9">'Произв. прогр. Стоки (СВОД)'!_Pi5</definedName>
    <definedName name="длгоор_2" localSheetId="2">'ФАКТИЧЕСКАЯ СЕБЕСТ ВОДА 2017'!_Pi5</definedName>
    <definedName name="длгоор_2" localSheetId="0">'ФАКТИЧЕСКАЯ СЕБЕСТ. СТОКИ 2017'!_Pi5</definedName>
    <definedName name="длгоор_2">[0]!_Pi5</definedName>
    <definedName name="дллллл" localSheetId="28">'ЗП с факт 3 кв. 2015'!_Pi3</definedName>
    <definedName name="дллллл" localSheetId="3">'ПОЛНАЯ СЕБЕСТОИМОСТЬ ВОДА 2017'!_Pi3</definedName>
    <definedName name="дллллл" localSheetId="1">'ПОЛНАЯ СЕБЕСТОИМОСТЬ СТОКИ 2017'!_Pi3</definedName>
    <definedName name="дллллл" localSheetId="8">'Прил. 1 План ФХД вода табл. 2'!_Pi3</definedName>
    <definedName name="дллллл" localSheetId="7">'Прил. 1 План ФХД стоки табл 2'!_Pi3</definedName>
    <definedName name="дллллл" localSheetId="6">'Прил. 1 План ФХД табл 1'!_Pi3</definedName>
    <definedName name="дллллл" localSheetId="12">'Произв. прогр. Вода'!_Pi3</definedName>
    <definedName name="дллллл" localSheetId="11">'Произв. прогр. Вода (СВОД)'!_Pi3</definedName>
    <definedName name="дллллл" localSheetId="10">'Произв. прогр. Стоки'!_Pi3</definedName>
    <definedName name="дллллл" localSheetId="9">'Произв. прогр. Стоки (СВОД)'!_Pi3</definedName>
    <definedName name="дллллл" localSheetId="2">'ФАКТИЧЕСКАЯ СЕБЕСТ ВОДА 2017'!_Pi3</definedName>
    <definedName name="дллллл" localSheetId="0">'ФАКТИЧЕСКАЯ СЕБЕСТ. СТОКИ 2017'!_Pi3</definedName>
    <definedName name="дллллл">[0]!_Pi3</definedName>
    <definedName name="дллллл_13" localSheetId="28">'ЗП с факт 3 кв. 2015'!_Pi3</definedName>
    <definedName name="дллллл_13" localSheetId="3">'ПОЛНАЯ СЕБЕСТОИМОСТЬ ВОДА 2017'!_Pi3</definedName>
    <definedName name="дллллл_13" localSheetId="1">'ПОЛНАЯ СЕБЕСТОИМОСТЬ СТОКИ 2017'!_Pi3</definedName>
    <definedName name="дллллл_13" localSheetId="8">'Прил. 1 План ФХД вода табл. 2'!_Pi3</definedName>
    <definedName name="дллллл_13" localSheetId="7">'Прил. 1 План ФХД стоки табл 2'!_Pi3</definedName>
    <definedName name="дллллл_13" localSheetId="6">'Прил. 1 План ФХД табл 1'!_Pi3</definedName>
    <definedName name="дллллл_13" localSheetId="12">'Произв. прогр. Вода'!_Pi3</definedName>
    <definedName name="дллллл_13" localSheetId="11">'Произв. прогр. Вода (СВОД)'!_Pi3</definedName>
    <definedName name="дллллл_13" localSheetId="10">'Произв. прогр. Стоки'!_Pi3</definedName>
    <definedName name="дллллл_13" localSheetId="9">'Произв. прогр. Стоки (СВОД)'!_Pi3</definedName>
    <definedName name="дллллл_13" localSheetId="2">'ФАКТИЧЕСКАЯ СЕБЕСТ ВОДА 2017'!_Pi3</definedName>
    <definedName name="дллллл_13" localSheetId="0">'ФАКТИЧЕСКАЯ СЕБЕСТ. СТОКИ 2017'!_Pi3</definedName>
    <definedName name="дллллл_13">[0]!_Pi3</definedName>
    <definedName name="дллллл_2" localSheetId="28">'ЗП с факт 3 кв. 2015'!_Pi3</definedName>
    <definedName name="дллллл_2" localSheetId="3">'ПОЛНАЯ СЕБЕСТОИМОСТЬ ВОДА 2017'!_Pi3</definedName>
    <definedName name="дллллл_2" localSheetId="1">'ПОЛНАЯ СЕБЕСТОИМОСТЬ СТОКИ 2017'!_Pi3</definedName>
    <definedName name="дллллл_2" localSheetId="8">'Прил. 1 План ФХД вода табл. 2'!_Pi3</definedName>
    <definedName name="дллллл_2" localSheetId="7">'Прил. 1 План ФХД стоки табл 2'!_Pi3</definedName>
    <definedName name="дллллл_2" localSheetId="6">'Прил. 1 План ФХД табл 1'!_Pi3</definedName>
    <definedName name="дллллл_2" localSheetId="12">'Произв. прогр. Вода'!_Pi3</definedName>
    <definedName name="дллллл_2" localSheetId="11">'Произв. прогр. Вода (СВОД)'!_Pi3</definedName>
    <definedName name="дллллл_2" localSheetId="10">'Произв. прогр. Стоки'!_Pi3</definedName>
    <definedName name="дллллл_2" localSheetId="9">'Произв. прогр. Стоки (СВОД)'!_Pi3</definedName>
    <definedName name="дллллл_2" localSheetId="2">'ФАКТИЧЕСКАЯ СЕБЕСТ ВОДА 2017'!_Pi3</definedName>
    <definedName name="дллллл_2" localSheetId="0">'ФАКТИЧЕСКАЯ СЕБЕСТ. СТОКИ 2017'!_Pi3</definedName>
    <definedName name="дллллл_2">[0]!_Pi3</definedName>
    <definedName name="длллоо" localSheetId="28">#REF!</definedName>
    <definedName name="длллоо" localSheetId="6">#REF!</definedName>
    <definedName name="длллоо" localSheetId="18">#REF!</definedName>
    <definedName name="длллоо" localSheetId="14">#REF!</definedName>
    <definedName name="длллоо" localSheetId="47">#REF!</definedName>
    <definedName name="длллоо" localSheetId="46">#REF!</definedName>
    <definedName name="длллоо" localSheetId="45">#REF!</definedName>
    <definedName name="длллоо" localSheetId="23">#REF!</definedName>
    <definedName name="длллоо">#REF!</definedName>
    <definedName name="длллоо_13" localSheetId="28">#REF!</definedName>
    <definedName name="длллоо_13" localSheetId="6">#REF!</definedName>
    <definedName name="длллоо_13" localSheetId="18">#REF!</definedName>
    <definedName name="длллоо_13" localSheetId="14">#REF!</definedName>
    <definedName name="длллоо_13" localSheetId="47">#REF!</definedName>
    <definedName name="длллоо_13" localSheetId="46">#REF!</definedName>
    <definedName name="длллоо_13" localSheetId="45">#REF!</definedName>
    <definedName name="длллоо_13" localSheetId="23">#REF!</definedName>
    <definedName name="длллоо_13">#REF!</definedName>
    <definedName name="_xlnm.Print_Titles" localSheetId="12">'Произв. прогр. Вода'!$9:$10</definedName>
    <definedName name="_xlnm.Print_Titles" localSheetId="10">'Произв. прогр. Стоки'!$10:$11</definedName>
    <definedName name="имя" localSheetId="28">'ЗП с факт 3 кв. 2015'!_Pi2</definedName>
    <definedName name="имя" localSheetId="3">'ПОЛНАЯ СЕБЕСТОИМОСТЬ ВОДА 2017'!_Pi2</definedName>
    <definedName name="имя" localSheetId="1">'ПОЛНАЯ СЕБЕСТОИМОСТЬ СТОКИ 2017'!_Pi2</definedName>
    <definedName name="имя" localSheetId="8">'Прил. 1 План ФХД вода табл. 2'!_Pi2</definedName>
    <definedName name="имя" localSheetId="7">'Прил. 1 План ФХД стоки табл 2'!_Pi2</definedName>
    <definedName name="имя" localSheetId="6">'Прил. 1 План ФХД табл 1'!_Pi2</definedName>
    <definedName name="имя" localSheetId="12">'Произв. прогр. Вода'!_Pi2</definedName>
    <definedName name="имя" localSheetId="11">'Произв. прогр. Вода (СВОД)'!_Pi2</definedName>
    <definedName name="имя" localSheetId="10">'Произв. прогр. Стоки'!_Pi2</definedName>
    <definedName name="имя" localSheetId="9">'Произв. прогр. Стоки (СВОД)'!_Pi2</definedName>
    <definedName name="имя" localSheetId="2">'ФАКТИЧЕСКАЯ СЕБЕСТ ВОДА 2017'!_Pi2</definedName>
    <definedName name="имя" localSheetId="0">'ФАКТИЧЕСКАЯ СЕБЕСТ. СТОКИ 2017'!_Pi2</definedName>
    <definedName name="имя">[0]!_Pi2</definedName>
    <definedName name="имя1" localSheetId="28">'ЗП с факт 3 кв. 2015'!_Pi2</definedName>
    <definedName name="имя1" localSheetId="3">'ПОЛНАЯ СЕБЕСТОИМОСТЬ ВОДА 2017'!_Pi2</definedName>
    <definedName name="имя1" localSheetId="1">'ПОЛНАЯ СЕБЕСТОИМОСТЬ СТОКИ 2017'!_Pi2</definedName>
    <definedName name="имя1" localSheetId="8">'Прил. 1 План ФХД вода табл. 2'!_Pi2</definedName>
    <definedName name="имя1" localSheetId="7">'Прил. 1 План ФХД стоки табл 2'!_Pi2</definedName>
    <definedName name="имя1" localSheetId="6">'Прил. 1 План ФХД табл 1'!_Pi2</definedName>
    <definedName name="имя1" localSheetId="12">'Произв. прогр. Вода'!_Pi2</definedName>
    <definedName name="имя1" localSheetId="11">'Произв. прогр. Вода (СВОД)'!_Pi2</definedName>
    <definedName name="имя1" localSheetId="10">'Произв. прогр. Стоки'!_Pi2</definedName>
    <definedName name="имя1" localSheetId="9">'Произв. прогр. Стоки (СВОД)'!_Pi2</definedName>
    <definedName name="имя1" localSheetId="2">'ФАКТИЧЕСКАЯ СЕБЕСТ ВОДА 2017'!_Pi2</definedName>
    <definedName name="имя1" localSheetId="0">'ФАКТИЧЕСКАЯ СЕБЕСТ. СТОКИ 2017'!_Pi2</definedName>
    <definedName name="имя1">_Pi2</definedName>
    <definedName name="ипрнотьлгггг">#N/A</definedName>
    <definedName name="испаекроггш">#N/A</definedName>
    <definedName name="итроннгггг">[7]Нормат!$J$23</definedName>
    <definedName name="итрооогнгггг" localSheetId="28">#REF!</definedName>
    <definedName name="итрооогнгггг" localSheetId="6">#REF!</definedName>
    <definedName name="итрооогнгггг" localSheetId="18">#REF!</definedName>
    <definedName name="итрооогнгггг" localSheetId="14">#REF!</definedName>
    <definedName name="итрооогнгггг" localSheetId="47">#REF!</definedName>
    <definedName name="итрооогнгггг" localSheetId="46">#REF!</definedName>
    <definedName name="итрооогнгггг" localSheetId="45">#REF!</definedName>
    <definedName name="итрооогнгггг" localSheetId="23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[7]Нормат!$J$12</definedName>
    <definedName name="йцуукен">#N/A</definedName>
    <definedName name="коррект" localSheetId="28">'ЗП с факт 3 кв. 2015'!коррект</definedName>
    <definedName name="коррект" localSheetId="3">#N/A</definedName>
    <definedName name="коррект" localSheetId="1">#N/A</definedName>
    <definedName name="коррект" localSheetId="8">#N/A</definedName>
    <definedName name="коррект" localSheetId="7">#N/A</definedName>
    <definedName name="коррект" localSheetId="6">#N/A</definedName>
    <definedName name="коррект" localSheetId="12">#N/A</definedName>
    <definedName name="коррект" localSheetId="11">#N/A</definedName>
    <definedName name="коррект" localSheetId="10">#N/A</definedName>
    <definedName name="коррект" localSheetId="9">#N/A</definedName>
    <definedName name="коррект" localSheetId="2">#N/A</definedName>
    <definedName name="коррект" localSheetId="0">#N/A</definedName>
    <definedName name="коррект">'ЗП с факт 3 кв. 2015'!коррект</definedName>
    <definedName name="коррект_10" localSheetId="28">'ЗП с факт 3 кв. 2015'!коррект</definedName>
    <definedName name="коррект_10" localSheetId="3">'ПОЛНАЯ СЕБЕСТОИМОСТЬ ВОДА 2017'!коррект</definedName>
    <definedName name="коррект_10" localSheetId="1">'ПОЛНАЯ СЕБЕСТОИМОСТЬ СТОКИ 2017'!коррект</definedName>
    <definedName name="коррект_10" localSheetId="8">'Прил. 1 План ФХД вода табл. 2'!коррект</definedName>
    <definedName name="коррект_10" localSheetId="7">'Прил. 1 План ФХД стоки табл 2'!коррект</definedName>
    <definedName name="коррект_10" localSheetId="6">'Прил. 1 План ФХД табл 1'!коррект</definedName>
    <definedName name="коррект_10" localSheetId="12">'Произв. прогр. Вода'!коррект</definedName>
    <definedName name="коррект_10" localSheetId="11">'Произв. прогр. Вода (СВОД)'!коррект</definedName>
    <definedName name="коррект_10" localSheetId="10">'Произв. прогр. Стоки'!коррект</definedName>
    <definedName name="коррект_10" localSheetId="9">'Произв. прогр. Стоки (СВОД)'!коррект</definedName>
    <definedName name="коррект_10" localSheetId="2">'ФАКТИЧЕСКАЯ СЕБЕСТ ВОДА 2017'!коррект</definedName>
    <definedName name="коррект_10" localSheetId="0">'ФАКТИЧЕСКАЯ СЕБЕСТ. СТОКИ 2017'!коррект</definedName>
    <definedName name="коррект_10">[0]!коррект</definedName>
    <definedName name="коррект_14" localSheetId="28">'ЗП с факт 3 кв. 2015'!коррект</definedName>
    <definedName name="коррект_14" localSheetId="3">'ПОЛНАЯ СЕБЕСТОИМОСТЬ ВОДА 2017'!коррект</definedName>
    <definedName name="коррект_14" localSheetId="1">'ПОЛНАЯ СЕБЕСТОИМОСТЬ СТОКИ 2017'!коррект</definedName>
    <definedName name="коррект_14" localSheetId="8">'Прил. 1 План ФХД вода табл. 2'!коррект</definedName>
    <definedName name="коррект_14" localSheetId="7">'Прил. 1 План ФХД стоки табл 2'!коррект</definedName>
    <definedName name="коррект_14" localSheetId="6">'Прил. 1 План ФХД табл 1'!коррект</definedName>
    <definedName name="коррект_14" localSheetId="12">'Произв. прогр. Вода'!коррект</definedName>
    <definedName name="коррект_14" localSheetId="11">'Произв. прогр. Вода (СВОД)'!коррект</definedName>
    <definedName name="коррект_14" localSheetId="10">'Произв. прогр. Стоки'!коррект</definedName>
    <definedName name="коррект_14" localSheetId="9">'Произв. прогр. Стоки (СВОД)'!коррект</definedName>
    <definedName name="коррект_14" localSheetId="2">'ФАКТИЧЕСКАЯ СЕБЕСТ ВОДА 2017'!коррект</definedName>
    <definedName name="коррект_14" localSheetId="0">'ФАКТИЧЕСКАЯ СЕБЕСТ. СТОКИ 2017'!коррект</definedName>
    <definedName name="коррект_14">[0]!коррект</definedName>
    <definedName name="коррект_15" localSheetId="28">'ЗП с факт 3 кв. 2015'!коррект</definedName>
    <definedName name="коррект_15" localSheetId="3">'ПОЛНАЯ СЕБЕСТОИМОСТЬ ВОДА 2017'!коррект</definedName>
    <definedName name="коррект_15" localSheetId="1">'ПОЛНАЯ СЕБЕСТОИМОСТЬ СТОКИ 2017'!коррект</definedName>
    <definedName name="коррект_15" localSheetId="8">'Прил. 1 План ФХД вода табл. 2'!коррект</definedName>
    <definedName name="коррект_15" localSheetId="7">'Прил. 1 План ФХД стоки табл 2'!коррект</definedName>
    <definedName name="коррект_15" localSheetId="6">'Прил. 1 План ФХД табл 1'!коррект</definedName>
    <definedName name="коррект_15" localSheetId="12">'Произв. прогр. Вода'!коррект</definedName>
    <definedName name="коррект_15" localSheetId="11">'Произв. прогр. Вода (СВОД)'!коррект</definedName>
    <definedName name="коррект_15" localSheetId="10">'Произв. прогр. Стоки'!коррект</definedName>
    <definedName name="коррект_15" localSheetId="9">'Произв. прогр. Стоки (СВОД)'!коррект</definedName>
    <definedName name="коррект_15" localSheetId="2">'ФАКТИЧЕСКАЯ СЕБЕСТ ВОДА 2017'!коррект</definedName>
    <definedName name="коррект_15" localSheetId="0">'ФАКТИЧЕСКАЯ СЕБЕСТ. СТОКИ 2017'!коррект</definedName>
    <definedName name="коррект_15">[0]!коррект</definedName>
    <definedName name="коррект_16" localSheetId="28">'ЗП с факт 3 кв. 2015'!коррект</definedName>
    <definedName name="коррект_16" localSheetId="3">'ПОЛНАЯ СЕБЕСТОИМОСТЬ ВОДА 2017'!коррект</definedName>
    <definedName name="коррект_16" localSheetId="1">'ПОЛНАЯ СЕБЕСТОИМОСТЬ СТОКИ 2017'!коррект</definedName>
    <definedName name="коррект_16" localSheetId="8">'Прил. 1 План ФХД вода табл. 2'!коррект</definedName>
    <definedName name="коррект_16" localSheetId="7">'Прил. 1 План ФХД стоки табл 2'!коррект</definedName>
    <definedName name="коррект_16" localSheetId="6">'Прил. 1 План ФХД табл 1'!коррект</definedName>
    <definedName name="коррект_16" localSheetId="12">'Произв. прогр. Вода'!коррект</definedName>
    <definedName name="коррект_16" localSheetId="11">'Произв. прогр. Вода (СВОД)'!коррект</definedName>
    <definedName name="коррект_16" localSheetId="10">'Произв. прогр. Стоки'!коррект</definedName>
    <definedName name="коррект_16" localSheetId="9">'Произв. прогр. Стоки (СВОД)'!коррект</definedName>
    <definedName name="коррект_16" localSheetId="2">'ФАКТИЧЕСКАЯ СЕБЕСТ ВОДА 2017'!коррект</definedName>
    <definedName name="коррект_16" localSheetId="0">'ФАКТИЧЕСКАЯ СЕБЕСТ. СТОКИ 2017'!коррект</definedName>
    <definedName name="коррект_16">[0]!коррект</definedName>
    <definedName name="коррект_2" localSheetId="28">'ЗП с факт 3 кв. 2015'!коррект</definedName>
    <definedName name="коррект_2" localSheetId="3">'ПОЛНАЯ СЕБЕСТОИМОСТЬ ВОДА 2017'!коррект</definedName>
    <definedName name="коррект_2" localSheetId="1">'ПОЛНАЯ СЕБЕСТОИМОСТЬ СТОКИ 2017'!коррект</definedName>
    <definedName name="коррект_2" localSheetId="8">'Прил. 1 План ФХД вода табл. 2'!коррект</definedName>
    <definedName name="коррект_2" localSheetId="7">'Прил. 1 План ФХД стоки табл 2'!коррект</definedName>
    <definedName name="коррект_2" localSheetId="6">'Прил. 1 План ФХД табл 1'!коррект</definedName>
    <definedName name="коррект_2" localSheetId="12">'Произв. прогр. Вода'!коррект</definedName>
    <definedName name="коррект_2" localSheetId="11">'Произв. прогр. Вода (СВОД)'!коррект</definedName>
    <definedName name="коррект_2" localSheetId="10">'Произв. прогр. Стоки'!коррект</definedName>
    <definedName name="коррект_2" localSheetId="9">'Произв. прогр. Стоки (СВОД)'!коррект</definedName>
    <definedName name="коррект_2" localSheetId="2">'ФАКТИЧЕСКАЯ СЕБЕСТ ВОДА 2017'!коррект</definedName>
    <definedName name="коррект_2" localSheetId="0">'ФАКТИЧЕСКАЯ СЕБЕСТ. СТОКИ 2017'!коррект</definedName>
    <definedName name="коррект_2">[0]!коррект</definedName>
    <definedName name="кууееерототтт">#N/A</definedName>
    <definedName name="лист" localSheetId="28">'ЗП с факт 3 кв. 2015'!лист</definedName>
    <definedName name="лист" localSheetId="3">#N/A</definedName>
    <definedName name="лист" localSheetId="1">#N/A</definedName>
    <definedName name="лист" localSheetId="8">#N/A</definedName>
    <definedName name="лист" localSheetId="7">#N/A</definedName>
    <definedName name="лист" localSheetId="6">#N/A</definedName>
    <definedName name="лист" localSheetId="12">#N/A</definedName>
    <definedName name="лист" localSheetId="11">#N/A</definedName>
    <definedName name="лист" localSheetId="10">#N/A</definedName>
    <definedName name="лист" localSheetId="9">#N/A</definedName>
    <definedName name="лист" localSheetId="2">#N/A</definedName>
    <definedName name="лист" localSheetId="0">#N/A</definedName>
    <definedName name="лист">'ЗП с факт 3 кв. 2015'!лист</definedName>
    <definedName name="лист_10" localSheetId="28">'ЗП с факт 3 кв. 2015'!лист</definedName>
    <definedName name="лист_10" localSheetId="3">'ПОЛНАЯ СЕБЕСТОИМОСТЬ ВОДА 2017'!лист</definedName>
    <definedName name="лист_10" localSheetId="1">'ПОЛНАЯ СЕБЕСТОИМОСТЬ СТОКИ 2017'!лист</definedName>
    <definedName name="лист_10" localSheetId="8">'Прил. 1 План ФХД вода табл. 2'!лист</definedName>
    <definedName name="лист_10" localSheetId="7">'Прил. 1 План ФХД стоки табл 2'!лист</definedName>
    <definedName name="лист_10" localSheetId="6">'Прил. 1 План ФХД табл 1'!лист</definedName>
    <definedName name="лист_10" localSheetId="12">'Произв. прогр. Вода'!лист</definedName>
    <definedName name="лист_10" localSheetId="11">'Произв. прогр. Вода (СВОД)'!лист</definedName>
    <definedName name="лист_10" localSheetId="10">'Произв. прогр. Стоки'!лист</definedName>
    <definedName name="лист_10" localSheetId="9">'Произв. прогр. Стоки (СВОД)'!лист</definedName>
    <definedName name="лист_10" localSheetId="2">'ФАКТИЧЕСКАЯ СЕБЕСТ ВОДА 2017'!лист</definedName>
    <definedName name="лист_10" localSheetId="0">'ФАКТИЧЕСКАЯ СЕБЕСТ. СТОКИ 2017'!лист</definedName>
    <definedName name="лист_10">[0]!лист</definedName>
    <definedName name="лист_14" localSheetId="28">'ЗП с факт 3 кв. 2015'!лист</definedName>
    <definedName name="лист_14" localSheetId="3">'ПОЛНАЯ СЕБЕСТОИМОСТЬ ВОДА 2017'!лист</definedName>
    <definedName name="лист_14" localSheetId="1">'ПОЛНАЯ СЕБЕСТОИМОСТЬ СТОКИ 2017'!лист</definedName>
    <definedName name="лист_14" localSheetId="8">'Прил. 1 План ФХД вода табл. 2'!лист</definedName>
    <definedName name="лист_14" localSheetId="7">'Прил. 1 План ФХД стоки табл 2'!лист</definedName>
    <definedName name="лист_14" localSheetId="6">'Прил. 1 План ФХД табл 1'!лист</definedName>
    <definedName name="лист_14" localSheetId="12">'Произв. прогр. Вода'!лист</definedName>
    <definedName name="лист_14" localSheetId="11">'Произв. прогр. Вода (СВОД)'!лист</definedName>
    <definedName name="лист_14" localSheetId="10">'Произв. прогр. Стоки'!лист</definedName>
    <definedName name="лист_14" localSheetId="9">'Произв. прогр. Стоки (СВОД)'!лист</definedName>
    <definedName name="лист_14" localSheetId="2">'ФАКТИЧЕСКАЯ СЕБЕСТ ВОДА 2017'!лист</definedName>
    <definedName name="лист_14" localSheetId="0">'ФАКТИЧЕСКАЯ СЕБЕСТ. СТОКИ 2017'!лист</definedName>
    <definedName name="лист_14">[0]!лист</definedName>
    <definedName name="лист_15" localSheetId="28">'ЗП с факт 3 кв. 2015'!лист</definedName>
    <definedName name="лист_15" localSheetId="3">'ПОЛНАЯ СЕБЕСТОИМОСТЬ ВОДА 2017'!лист</definedName>
    <definedName name="лист_15" localSheetId="1">'ПОЛНАЯ СЕБЕСТОИМОСТЬ СТОКИ 2017'!лист</definedName>
    <definedName name="лист_15" localSheetId="8">'Прил. 1 План ФХД вода табл. 2'!лист</definedName>
    <definedName name="лист_15" localSheetId="7">'Прил. 1 План ФХД стоки табл 2'!лист</definedName>
    <definedName name="лист_15" localSheetId="6">'Прил. 1 План ФХД табл 1'!лист</definedName>
    <definedName name="лист_15" localSheetId="12">'Произв. прогр. Вода'!лист</definedName>
    <definedName name="лист_15" localSheetId="11">'Произв. прогр. Вода (СВОД)'!лист</definedName>
    <definedName name="лист_15" localSheetId="10">'Произв. прогр. Стоки'!лист</definedName>
    <definedName name="лист_15" localSheetId="9">'Произв. прогр. Стоки (СВОД)'!лист</definedName>
    <definedName name="лист_15" localSheetId="2">'ФАКТИЧЕСКАЯ СЕБЕСТ ВОДА 2017'!лист</definedName>
    <definedName name="лист_15" localSheetId="0">'ФАКТИЧЕСКАЯ СЕБЕСТ. СТОКИ 2017'!лист</definedName>
    <definedName name="лист_15">[0]!лист</definedName>
    <definedName name="лист_16" localSheetId="28">'ЗП с факт 3 кв. 2015'!лист</definedName>
    <definedName name="лист_16" localSheetId="3">'ПОЛНАЯ СЕБЕСТОИМОСТЬ ВОДА 2017'!лист</definedName>
    <definedName name="лист_16" localSheetId="1">'ПОЛНАЯ СЕБЕСТОИМОСТЬ СТОКИ 2017'!лист</definedName>
    <definedName name="лист_16" localSheetId="8">'Прил. 1 План ФХД вода табл. 2'!лист</definedName>
    <definedName name="лист_16" localSheetId="7">'Прил. 1 План ФХД стоки табл 2'!лист</definedName>
    <definedName name="лист_16" localSheetId="6">'Прил. 1 План ФХД табл 1'!лист</definedName>
    <definedName name="лист_16" localSheetId="12">'Произв. прогр. Вода'!лист</definedName>
    <definedName name="лист_16" localSheetId="11">'Произв. прогр. Вода (СВОД)'!лист</definedName>
    <definedName name="лист_16" localSheetId="10">'Произв. прогр. Стоки'!лист</definedName>
    <definedName name="лист_16" localSheetId="9">'Произв. прогр. Стоки (СВОД)'!лист</definedName>
    <definedName name="лист_16" localSheetId="2">'ФАКТИЧЕСКАЯ СЕБЕСТ ВОДА 2017'!лист</definedName>
    <definedName name="лист_16" localSheetId="0">'ФАКТИЧЕСКАЯ СЕБЕСТ. СТОКИ 2017'!лист</definedName>
    <definedName name="лист_16">[0]!лист</definedName>
    <definedName name="лист_2" localSheetId="28">'ЗП с факт 3 кв. 2015'!лист</definedName>
    <definedName name="лист_2" localSheetId="3">'ПОЛНАЯ СЕБЕСТОИМОСТЬ ВОДА 2017'!лист</definedName>
    <definedName name="лист_2" localSheetId="1">'ПОЛНАЯ СЕБЕСТОИМОСТЬ СТОКИ 2017'!лист</definedName>
    <definedName name="лист_2" localSheetId="8">'Прил. 1 План ФХД вода табл. 2'!лист</definedName>
    <definedName name="лист_2" localSheetId="7">'Прил. 1 План ФХД стоки табл 2'!лист</definedName>
    <definedName name="лист_2" localSheetId="6">'Прил. 1 План ФХД табл 1'!лист</definedName>
    <definedName name="лист_2" localSheetId="12">'Произв. прогр. Вода'!лист</definedName>
    <definedName name="лист_2" localSheetId="11">'Произв. прогр. Вода (СВОД)'!лист</definedName>
    <definedName name="лист_2" localSheetId="10">'Произв. прогр. Стоки'!лист</definedName>
    <definedName name="лист_2" localSheetId="9">'Произв. прогр. Стоки (СВОД)'!лист</definedName>
    <definedName name="лист_2" localSheetId="2">'ФАКТИЧЕСКАЯ СЕБЕСТ ВОДА 2017'!лист</definedName>
    <definedName name="лист_2" localSheetId="0">'ФАКТИЧЕСКАЯ СЕБЕСТ. СТОКИ 2017'!лист</definedName>
    <definedName name="лист_2">[0]!лист</definedName>
    <definedName name="лоекнукеущшбь">[8]Нормат!$J$23</definedName>
    <definedName name="лпоапкпвввввв">[9]Нормат!$J$23</definedName>
    <definedName name="мааппенннннннннннн">#N/A</definedName>
    <definedName name="маиттььббллл">#N/A</definedName>
    <definedName name="мапеенроооо" localSheetId="28">#REF!</definedName>
    <definedName name="мапеенроооо" localSheetId="6">#REF!</definedName>
    <definedName name="мапеенроооо" localSheetId="18">#REF!</definedName>
    <definedName name="мапеенроооо" localSheetId="14">#REF!</definedName>
    <definedName name="мапеенроооо" localSheetId="47">#REF!</definedName>
    <definedName name="мапеенроооо" localSheetId="46">#REF!</definedName>
    <definedName name="мапеенроооо" localSheetId="45">#REF!</definedName>
    <definedName name="мапеенроооо" localSheetId="23">#REF!</definedName>
    <definedName name="мапеенроооо">#REF!</definedName>
    <definedName name="мапппппппппп" localSheetId="28">#REF!</definedName>
    <definedName name="мапппппппппп" localSheetId="6">#REF!</definedName>
    <definedName name="мапппппппппп" localSheetId="18">#REF!</definedName>
    <definedName name="мапппппппппп" localSheetId="14">#REF!</definedName>
    <definedName name="мапппппппппп" localSheetId="47">#REF!</definedName>
    <definedName name="мапппппппппп" localSheetId="46">#REF!</definedName>
    <definedName name="мапппппппппп" localSheetId="45">#REF!</definedName>
    <definedName name="мапппппппппп" localSheetId="23">#REF!</definedName>
    <definedName name="мапппппппппп">#REF!</definedName>
    <definedName name="мипакенроггггг">#N/A</definedName>
    <definedName name="НАЛ" localSheetId="28">'ЗП с факт 3 кв. 2015'!НАЛ</definedName>
    <definedName name="НАЛ" localSheetId="3">#N/A</definedName>
    <definedName name="НАЛ" localSheetId="1">#N/A</definedName>
    <definedName name="НАЛ" localSheetId="8">#N/A</definedName>
    <definedName name="НАЛ" localSheetId="7">#N/A</definedName>
    <definedName name="НАЛ" localSheetId="6">#N/A</definedName>
    <definedName name="НАЛ" localSheetId="12">#N/A</definedName>
    <definedName name="НАЛ" localSheetId="11">#N/A</definedName>
    <definedName name="НАЛ" localSheetId="10">#N/A</definedName>
    <definedName name="НАЛ" localSheetId="9">#N/A</definedName>
    <definedName name="НАЛ" localSheetId="2">#N/A</definedName>
    <definedName name="НАЛ" localSheetId="0">#N/A</definedName>
    <definedName name="НАЛ">'ЗП с факт 3 кв. 2015'!НАЛ</definedName>
    <definedName name="НАЛ_10" localSheetId="28">'ЗП с факт 3 кв. 2015'!НАЛ</definedName>
    <definedName name="НАЛ_10" localSheetId="3">'ПОЛНАЯ СЕБЕСТОИМОСТЬ ВОДА 2017'!НАЛ</definedName>
    <definedName name="НАЛ_10" localSheetId="1">'ПОЛНАЯ СЕБЕСТОИМОСТЬ СТОКИ 2017'!НАЛ</definedName>
    <definedName name="НАЛ_10" localSheetId="8">'Прил. 1 План ФХД вода табл. 2'!НАЛ</definedName>
    <definedName name="НАЛ_10" localSheetId="7">'Прил. 1 План ФХД стоки табл 2'!НАЛ</definedName>
    <definedName name="НАЛ_10" localSheetId="6">'Прил. 1 План ФХД табл 1'!НАЛ</definedName>
    <definedName name="НАЛ_10" localSheetId="12">'Произв. прогр. Вода'!НАЛ</definedName>
    <definedName name="НАЛ_10" localSheetId="11">'Произв. прогр. Вода (СВОД)'!НАЛ</definedName>
    <definedName name="НАЛ_10" localSheetId="10">'Произв. прогр. Стоки'!НАЛ</definedName>
    <definedName name="НАЛ_10" localSheetId="9">'Произв. прогр. Стоки (СВОД)'!НАЛ</definedName>
    <definedName name="НАЛ_10" localSheetId="2">'ФАКТИЧЕСКАЯ СЕБЕСТ ВОДА 2017'!НАЛ</definedName>
    <definedName name="НАЛ_10" localSheetId="0">'ФАКТИЧЕСКАЯ СЕБЕСТ. СТОКИ 2017'!НАЛ</definedName>
    <definedName name="НАЛ_10">[0]!НАЛ</definedName>
    <definedName name="НАЛ_14" localSheetId="28">'ЗП с факт 3 кв. 2015'!НАЛ</definedName>
    <definedName name="НАЛ_14" localSheetId="3">'ПОЛНАЯ СЕБЕСТОИМОСТЬ ВОДА 2017'!НАЛ</definedName>
    <definedName name="НАЛ_14" localSheetId="1">'ПОЛНАЯ СЕБЕСТОИМОСТЬ СТОКИ 2017'!НАЛ</definedName>
    <definedName name="НАЛ_14" localSheetId="8">'Прил. 1 План ФХД вода табл. 2'!НАЛ</definedName>
    <definedName name="НАЛ_14" localSheetId="7">'Прил. 1 План ФХД стоки табл 2'!НАЛ</definedName>
    <definedName name="НАЛ_14" localSheetId="6">'Прил. 1 План ФХД табл 1'!НАЛ</definedName>
    <definedName name="НАЛ_14" localSheetId="12">'Произв. прогр. Вода'!НАЛ</definedName>
    <definedName name="НАЛ_14" localSheetId="11">'Произв. прогр. Вода (СВОД)'!НАЛ</definedName>
    <definedName name="НАЛ_14" localSheetId="10">'Произв. прогр. Стоки'!НАЛ</definedName>
    <definedName name="НАЛ_14" localSheetId="9">'Произв. прогр. Стоки (СВОД)'!НАЛ</definedName>
    <definedName name="НАЛ_14" localSheetId="2">'ФАКТИЧЕСКАЯ СЕБЕСТ ВОДА 2017'!НАЛ</definedName>
    <definedName name="НАЛ_14" localSheetId="0">'ФАКТИЧЕСКАЯ СЕБЕСТ. СТОКИ 2017'!НАЛ</definedName>
    <definedName name="НАЛ_14">[0]!НАЛ</definedName>
    <definedName name="НАЛ_15" localSheetId="28">'ЗП с факт 3 кв. 2015'!НАЛ</definedName>
    <definedName name="НАЛ_15" localSheetId="3">'ПОЛНАЯ СЕБЕСТОИМОСТЬ ВОДА 2017'!НАЛ</definedName>
    <definedName name="НАЛ_15" localSheetId="1">'ПОЛНАЯ СЕБЕСТОИМОСТЬ СТОКИ 2017'!НАЛ</definedName>
    <definedName name="НАЛ_15" localSheetId="8">'Прил. 1 План ФХД вода табл. 2'!НАЛ</definedName>
    <definedName name="НАЛ_15" localSheetId="7">'Прил. 1 План ФХД стоки табл 2'!НАЛ</definedName>
    <definedName name="НАЛ_15" localSheetId="6">'Прил. 1 План ФХД табл 1'!НАЛ</definedName>
    <definedName name="НАЛ_15" localSheetId="12">'Произв. прогр. Вода'!НАЛ</definedName>
    <definedName name="НАЛ_15" localSheetId="11">'Произв. прогр. Вода (СВОД)'!НАЛ</definedName>
    <definedName name="НАЛ_15" localSheetId="10">'Произв. прогр. Стоки'!НАЛ</definedName>
    <definedName name="НАЛ_15" localSheetId="9">'Произв. прогр. Стоки (СВОД)'!НАЛ</definedName>
    <definedName name="НАЛ_15" localSheetId="2">'ФАКТИЧЕСКАЯ СЕБЕСТ ВОДА 2017'!НАЛ</definedName>
    <definedName name="НАЛ_15" localSheetId="0">'ФАКТИЧЕСКАЯ СЕБЕСТ. СТОКИ 2017'!НАЛ</definedName>
    <definedName name="НАЛ_15">[0]!НАЛ</definedName>
    <definedName name="НАЛ_16" localSheetId="28">'ЗП с факт 3 кв. 2015'!НАЛ</definedName>
    <definedName name="НАЛ_16" localSheetId="3">'ПОЛНАЯ СЕБЕСТОИМОСТЬ ВОДА 2017'!НАЛ</definedName>
    <definedName name="НАЛ_16" localSheetId="1">'ПОЛНАЯ СЕБЕСТОИМОСТЬ СТОКИ 2017'!НАЛ</definedName>
    <definedName name="НАЛ_16" localSheetId="8">'Прил. 1 План ФХД вода табл. 2'!НАЛ</definedName>
    <definedName name="НАЛ_16" localSheetId="7">'Прил. 1 План ФХД стоки табл 2'!НАЛ</definedName>
    <definedName name="НАЛ_16" localSheetId="6">'Прил. 1 План ФХД табл 1'!НАЛ</definedName>
    <definedName name="НАЛ_16" localSheetId="12">'Произв. прогр. Вода'!НАЛ</definedName>
    <definedName name="НАЛ_16" localSheetId="11">'Произв. прогр. Вода (СВОД)'!НАЛ</definedName>
    <definedName name="НАЛ_16" localSheetId="10">'Произв. прогр. Стоки'!НАЛ</definedName>
    <definedName name="НАЛ_16" localSheetId="9">'Произв. прогр. Стоки (СВОД)'!НАЛ</definedName>
    <definedName name="НАЛ_16" localSheetId="2">'ФАКТИЧЕСКАЯ СЕБЕСТ ВОДА 2017'!НАЛ</definedName>
    <definedName name="НАЛ_16" localSheetId="0">'ФАКТИЧЕСКАЯ СЕБЕСТ. СТОКИ 2017'!НАЛ</definedName>
    <definedName name="НАЛ_16">[0]!НАЛ</definedName>
    <definedName name="НАЛ_2" localSheetId="28">'ЗП с факт 3 кв. 2015'!НАЛ</definedName>
    <definedName name="НАЛ_2" localSheetId="3">'ПОЛНАЯ СЕБЕСТОИМОСТЬ ВОДА 2017'!НАЛ</definedName>
    <definedName name="НАЛ_2" localSheetId="1">'ПОЛНАЯ СЕБЕСТОИМОСТЬ СТОКИ 2017'!НАЛ</definedName>
    <definedName name="НАЛ_2" localSheetId="8">'Прил. 1 План ФХД вода табл. 2'!НАЛ</definedName>
    <definedName name="НАЛ_2" localSheetId="7">'Прил. 1 План ФХД стоки табл 2'!НАЛ</definedName>
    <definedName name="НАЛ_2" localSheetId="6">'Прил. 1 План ФХД табл 1'!НАЛ</definedName>
    <definedName name="НАЛ_2" localSheetId="12">'Произв. прогр. Вода'!НАЛ</definedName>
    <definedName name="НАЛ_2" localSheetId="11">'Произв. прогр. Вода (СВОД)'!НАЛ</definedName>
    <definedName name="НАЛ_2" localSheetId="10">'Произв. прогр. Стоки'!НАЛ</definedName>
    <definedName name="НАЛ_2" localSheetId="9">'Произв. прогр. Стоки (СВОД)'!НАЛ</definedName>
    <definedName name="НАЛ_2" localSheetId="2">'ФАКТИЧЕСКАЯ СЕБЕСТ ВОДА 2017'!НАЛ</definedName>
    <definedName name="НАЛ_2" localSheetId="0">'ФАКТИЧЕСКАЯ СЕБЕСТ. СТОКИ 2017'!НАЛ</definedName>
    <definedName name="НАЛ_2">[0]!НАЛ</definedName>
    <definedName name="НАЛИЧКА" localSheetId="28">'ЗП с факт 3 кв. 2015'!НАЛИЧКА</definedName>
    <definedName name="НАЛИЧКА" localSheetId="3">#N/A</definedName>
    <definedName name="НАЛИЧКА" localSheetId="1">#N/A</definedName>
    <definedName name="НАЛИЧКА" localSheetId="8">#N/A</definedName>
    <definedName name="НАЛИЧКА" localSheetId="7">#N/A</definedName>
    <definedName name="НАЛИЧКА" localSheetId="6">#N/A</definedName>
    <definedName name="НАЛИЧКА" localSheetId="12">#N/A</definedName>
    <definedName name="НАЛИЧКА" localSheetId="11">#N/A</definedName>
    <definedName name="НАЛИЧКА" localSheetId="10">#N/A</definedName>
    <definedName name="НАЛИЧКА" localSheetId="9">#N/A</definedName>
    <definedName name="НАЛИЧКА" localSheetId="2">#N/A</definedName>
    <definedName name="НАЛИЧКА" localSheetId="0">#N/A</definedName>
    <definedName name="НАЛИЧКА">'ЗП с факт 3 кв. 2015'!НАЛИЧКА</definedName>
    <definedName name="НАЛИЧКА_10" localSheetId="28">'ЗП с факт 3 кв. 2015'!НАЛИЧКА</definedName>
    <definedName name="НАЛИЧКА_10" localSheetId="3">'ПОЛНАЯ СЕБЕСТОИМОСТЬ ВОДА 2017'!НАЛИЧКА</definedName>
    <definedName name="НАЛИЧКА_10" localSheetId="1">'ПОЛНАЯ СЕБЕСТОИМОСТЬ СТОКИ 2017'!НАЛИЧКА</definedName>
    <definedName name="НАЛИЧКА_10" localSheetId="8">'Прил. 1 План ФХД вода табл. 2'!НАЛИЧКА</definedName>
    <definedName name="НАЛИЧКА_10" localSheetId="7">'Прил. 1 План ФХД стоки табл 2'!НАЛИЧКА</definedName>
    <definedName name="НАЛИЧКА_10" localSheetId="6">'Прил. 1 План ФХД табл 1'!НАЛИЧКА</definedName>
    <definedName name="НАЛИЧКА_10" localSheetId="12">'Произв. прогр. Вода'!НАЛИЧКА</definedName>
    <definedName name="НАЛИЧКА_10" localSheetId="11">'Произв. прогр. Вода (СВОД)'!НАЛИЧКА</definedName>
    <definedName name="НАЛИЧКА_10" localSheetId="10">'Произв. прогр. Стоки'!НАЛИЧКА</definedName>
    <definedName name="НАЛИЧКА_10" localSheetId="9">'Произв. прогр. Стоки (СВОД)'!НАЛИЧКА</definedName>
    <definedName name="НАЛИЧКА_10" localSheetId="2">'ФАКТИЧЕСКАЯ СЕБЕСТ ВОДА 2017'!НАЛИЧКА</definedName>
    <definedName name="НАЛИЧКА_10" localSheetId="0">'ФАКТИЧЕСКАЯ СЕБЕСТ. СТОКИ 2017'!НАЛИЧКА</definedName>
    <definedName name="НАЛИЧКА_10">[0]!НАЛИЧКА</definedName>
    <definedName name="НАЛИЧКА_14" localSheetId="28">'ЗП с факт 3 кв. 2015'!НАЛИЧКА</definedName>
    <definedName name="НАЛИЧКА_14" localSheetId="3">'ПОЛНАЯ СЕБЕСТОИМОСТЬ ВОДА 2017'!НАЛИЧКА</definedName>
    <definedName name="НАЛИЧКА_14" localSheetId="1">'ПОЛНАЯ СЕБЕСТОИМОСТЬ СТОКИ 2017'!НАЛИЧКА</definedName>
    <definedName name="НАЛИЧКА_14" localSheetId="8">'Прил. 1 План ФХД вода табл. 2'!НАЛИЧКА</definedName>
    <definedName name="НАЛИЧКА_14" localSheetId="7">'Прил. 1 План ФХД стоки табл 2'!НАЛИЧКА</definedName>
    <definedName name="НАЛИЧКА_14" localSheetId="6">'Прил. 1 План ФХД табл 1'!НАЛИЧКА</definedName>
    <definedName name="НАЛИЧКА_14" localSheetId="12">'Произв. прогр. Вода'!НАЛИЧКА</definedName>
    <definedName name="НАЛИЧКА_14" localSheetId="11">'Произв. прогр. Вода (СВОД)'!НАЛИЧКА</definedName>
    <definedName name="НАЛИЧКА_14" localSheetId="10">'Произв. прогр. Стоки'!НАЛИЧКА</definedName>
    <definedName name="НАЛИЧКА_14" localSheetId="9">'Произв. прогр. Стоки (СВОД)'!НАЛИЧКА</definedName>
    <definedName name="НАЛИЧКА_14" localSheetId="2">'ФАКТИЧЕСКАЯ СЕБЕСТ ВОДА 2017'!НАЛИЧКА</definedName>
    <definedName name="НАЛИЧКА_14" localSheetId="0">'ФАКТИЧЕСКАЯ СЕБЕСТ. СТОКИ 2017'!НАЛИЧКА</definedName>
    <definedName name="НАЛИЧКА_14">[0]!НАЛИЧКА</definedName>
    <definedName name="НАЛИЧКА_15" localSheetId="28">'ЗП с факт 3 кв. 2015'!НАЛИЧКА</definedName>
    <definedName name="НАЛИЧКА_15" localSheetId="3">'ПОЛНАЯ СЕБЕСТОИМОСТЬ ВОДА 2017'!НАЛИЧКА</definedName>
    <definedName name="НАЛИЧКА_15" localSheetId="1">'ПОЛНАЯ СЕБЕСТОИМОСТЬ СТОКИ 2017'!НАЛИЧКА</definedName>
    <definedName name="НАЛИЧКА_15" localSheetId="8">'Прил. 1 План ФХД вода табл. 2'!НАЛИЧКА</definedName>
    <definedName name="НАЛИЧКА_15" localSheetId="7">'Прил. 1 План ФХД стоки табл 2'!НАЛИЧКА</definedName>
    <definedName name="НАЛИЧКА_15" localSheetId="6">'Прил. 1 План ФХД табл 1'!НАЛИЧКА</definedName>
    <definedName name="НАЛИЧКА_15" localSheetId="12">'Произв. прогр. Вода'!НАЛИЧКА</definedName>
    <definedName name="НАЛИЧКА_15" localSheetId="11">'Произв. прогр. Вода (СВОД)'!НАЛИЧКА</definedName>
    <definedName name="НАЛИЧКА_15" localSheetId="10">'Произв. прогр. Стоки'!НАЛИЧКА</definedName>
    <definedName name="НАЛИЧКА_15" localSheetId="9">'Произв. прогр. Стоки (СВОД)'!НАЛИЧКА</definedName>
    <definedName name="НАЛИЧКА_15" localSheetId="2">'ФАКТИЧЕСКАЯ СЕБЕСТ ВОДА 2017'!НАЛИЧКА</definedName>
    <definedName name="НАЛИЧКА_15" localSheetId="0">'ФАКТИЧЕСКАЯ СЕБЕСТ. СТОКИ 2017'!НАЛИЧКА</definedName>
    <definedName name="НАЛИЧКА_15">[0]!НАЛИЧКА</definedName>
    <definedName name="НАЛИЧКА_16" localSheetId="28">'ЗП с факт 3 кв. 2015'!НАЛИЧКА</definedName>
    <definedName name="НАЛИЧКА_16" localSheetId="3">'ПОЛНАЯ СЕБЕСТОИМОСТЬ ВОДА 2017'!НАЛИЧКА</definedName>
    <definedName name="НАЛИЧКА_16" localSheetId="1">'ПОЛНАЯ СЕБЕСТОИМОСТЬ СТОКИ 2017'!НАЛИЧКА</definedName>
    <definedName name="НАЛИЧКА_16" localSheetId="8">'Прил. 1 План ФХД вода табл. 2'!НАЛИЧКА</definedName>
    <definedName name="НАЛИЧКА_16" localSheetId="7">'Прил. 1 План ФХД стоки табл 2'!НАЛИЧКА</definedName>
    <definedName name="НАЛИЧКА_16" localSheetId="6">'Прил. 1 План ФХД табл 1'!НАЛИЧКА</definedName>
    <definedName name="НАЛИЧКА_16" localSheetId="12">'Произв. прогр. Вода'!НАЛИЧКА</definedName>
    <definedName name="НАЛИЧКА_16" localSheetId="11">'Произв. прогр. Вода (СВОД)'!НАЛИЧКА</definedName>
    <definedName name="НАЛИЧКА_16" localSheetId="10">'Произв. прогр. Стоки'!НАЛИЧКА</definedName>
    <definedName name="НАЛИЧКА_16" localSheetId="9">'Произв. прогр. Стоки (СВОД)'!НАЛИЧКА</definedName>
    <definedName name="НАЛИЧКА_16" localSheetId="2">'ФАКТИЧЕСКАЯ СЕБЕСТ ВОДА 2017'!НАЛИЧКА</definedName>
    <definedName name="НАЛИЧКА_16" localSheetId="0">'ФАКТИЧЕСКАЯ СЕБЕСТ. СТОКИ 2017'!НАЛИЧКА</definedName>
    <definedName name="НАЛИЧКА_16">[0]!НАЛИЧКА</definedName>
    <definedName name="НАЛИЧКА_2" localSheetId="28">'ЗП с факт 3 кв. 2015'!НАЛИЧКА</definedName>
    <definedName name="НАЛИЧКА_2" localSheetId="3">'ПОЛНАЯ СЕБЕСТОИМОСТЬ ВОДА 2017'!НАЛИЧКА</definedName>
    <definedName name="НАЛИЧКА_2" localSheetId="1">'ПОЛНАЯ СЕБЕСТОИМОСТЬ СТОКИ 2017'!НАЛИЧКА</definedName>
    <definedName name="НАЛИЧКА_2" localSheetId="8">'Прил. 1 План ФХД вода табл. 2'!НАЛИЧКА</definedName>
    <definedName name="НАЛИЧКА_2" localSheetId="7">'Прил. 1 План ФХД стоки табл 2'!НАЛИЧКА</definedName>
    <definedName name="НАЛИЧКА_2" localSheetId="6">'Прил. 1 План ФХД табл 1'!НАЛИЧКА</definedName>
    <definedName name="НАЛИЧКА_2" localSheetId="12">'Произв. прогр. Вода'!НАЛИЧКА</definedName>
    <definedName name="НАЛИЧКА_2" localSheetId="11">'Произв. прогр. Вода (СВОД)'!НАЛИЧКА</definedName>
    <definedName name="НАЛИЧКА_2" localSheetId="10">'Произв. прогр. Стоки'!НАЛИЧКА</definedName>
    <definedName name="НАЛИЧКА_2" localSheetId="9">'Произв. прогр. Стоки (СВОД)'!НАЛИЧКА</definedName>
    <definedName name="НАЛИЧКА_2" localSheetId="2">'ФАКТИЧЕСКАЯ СЕБЕСТ ВОДА 2017'!НАЛИЧКА</definedName>
    <definedName name="НАЛИЧКА_2" localSheetId="0">'ФАКТИЧЕСКАЯ СЕБЕСТ. СТОКИ 2017'!НАЛИЧКА</definedName>
    <definedName name="НАЛИЧКА_2">[0]!НАЛИЧКА</definedName>
    <definedName name="_xlnm.Print_Area" localSheetId="34">'  текРемстоки 2016'!$A$1:$K$92</definedName>
    <definedName name="_xlnm.Print_Area" localSheetId="33">' текРемвода 2016'!$A$1:$L$197</definedName>
    <definedName name="_xlnm.Print_Area" localSheetId="26">Аморт!$A$1:$AI$31</definedName>
    <definedName name="_xlnm.Print_Area" localSheetId="42">вод.налог!$A$1:$J$36</definedName>
    <definedName name="_xlnm.Print_Area" localSheetId="21">вода!$A$1:$CC$128</definedName>
    <definedName name="_xlnm.Print_Area" localSheetId="15">'ВОДА (СВОД) 2016-2017'!$A$1:$N$52</definedName>
    <definedName name="_xlnm.Print_Area" localSheetId="40">'Выпадающ15-16'!$A$1:$M$25</definedName>
    <definedName name="_xlnm.Print_Area" localSheetId="27">ЗП!$A$1:$CT$37</definedName>
    <definedName name="_xlnm.Print_Area" localSheetId="28">'ЗП с факт 3 кв. 2015'!$A$1:$BX$36</definedName>
    <definedName name="_xlnm.Print_Area" localSheetId="29">'ЗП среднемес'!$A$1:$T$35</definedName>
    <definedName name="_xlnm.Print_Area" localSheetId="43">'налог на имущ'!$G$2:$M$10</definedName>
    <definedName name="_xlnm.Print_Area" localSheetId="19">объемы!$A$1:$AF$60</definedName>
    <definedName name="_xlnm.Print_Area" localSheetId="20">'объемы черн'!$A$33:$AG$62</definedName>
    <definedName name="_xlnm.Print_Area" localSheetId="32">'ОХР '!$A$1:$BQ$60</definedName>
    <definedName name="_xlnm.Print_Area" localSheetId="53">'платежка с ИП'!$A$1:$P$32</definedName>
    <definedName name="_xlnm.Print_Area" localSheetId="3">'ПОЛНАЯ СЕБЕСТОИМОСТЬ ВОДА 2017'!$A$218:$V$254</definedName>
    <definedName name="_xlnm.Print_Area" localSheetId="1">'ПОЛНАЯ СЕБЕСТОИМОСТЬ СТОКИ 2017'!$A$182:$V$219</definedName>
    <definedName name="_xlnm.Print_Area" localSheetId="8">'Прил. 1 План ФХД вода табл. 2'!$A$1:$R$68</definedName>
    <definedName name="_xlnm.Print_Area" localSheetId="7">'Прил. 1 План ФХД стоки табл 2'!$A$1:$S$60</definedName>
    <definedName name="_xlnm.Print_Area" localSheetId="6">'Прил. 1 План ФХД табл 1'!$A$1:$I$49</definedName>
    <definedName name="_xlnm.Print_Area" localSheetId="12">'Произв. прогр. Вода'!$A$6:$V$171</definedName>
    <definedName name="_xlnm.Print_Area" localSheetId="11">'Произв. прогр. Вода (СВОД)'!$A$7:$V$125</definedName>
    <definedName name="_xlnm.Print_Area" localSheetId="10">'Произв. прогр. Стоки'!$A$7:$V$145</definedName>
    <definedName name="_xlnm.Print_Area" localSheetId="9">'Произв. прогр. Стоки (СВОД)'!$A$7:$V$113</definedName>
    <definedName name="_xlnm.Print_Area" localSheetId="48">'расчет тарифов '!$A$42:$X$61</definedName>
    <definedName name="_xlnm.Print_Area" localSheetId="39">'Резерв ДЗ'!$A$1:$F$39</definedName>
    <definedName name="_xlnm.Print_Area" localSheetId="37">'Ремонт вода 2016'!$A$163:$L$191</definedName>
    <definedName name="_xlnm.Print_Area" localSheetId="52">'Ремонт стоки 2015'!$A$2:$N$19</definedName>
    <definedName name="_xlnm.Print_Area" localSheetId="38">'Ремонт стоки 2016'!$A$62:$K$88</definedName>
    <definedName name="_xlnm.Print_Area" localSheetId="22">стоки!$A$1:$BX$94</definedName>
    <definedName name="_xlnm.Print_Area" localSheetId="18">'СТОКИ (СВОД) 2016-2017'!$A$1:$N$58</definedName>
    <definedName name="_xlnm.Print_Area" localSheetId="14">'Тариф вода 2016-2017 ПЛАН'!$A$1:$N$41</definedName>
    <definedName name="_xlnm.Print_Area" localSheetId="44">'Тариф вода 2016-2018'!$A$1:$G$41</definedName>
    <definedName name="_xlnm.Print_Area" localSheetId="16">'Тариф очистка 2016-2017 ПЛАН'!$A$1:$N$41</definedName>
    <definedName name="_xlnm.Print_Area" localSheetId="47">'Тариф очистка 2016-2018'!$A$1:$G$41</definedName>
    <definedName name="_xlnm.Print_Area" localSheetId="17">'Тариф стоки 2016-2017 ПЛАН'!$A$1:$N$42</definedName>
    <definedName name="_xlnm.Print_Area" localSheetId="46">'Тариф стоки 2016-2018'!$A$1:$G$41</definedName>
    <definedName name="_xlnm.Print_Area" localSheetId="45">'Тариф тех вода 2016-2018'!$A$1:$G$41</definedName>
    <definedName name="_xlnm.Print_Area" localSheetId="4">'Текущий ремонт'!$A$1:$E$25</definedName>
    <definedName name="_xlnm.Print_Area" localSheetId="41">транс!$A$292:$E$339</definedName>
    <definedName name="_xlnm.Print_Area" localSheetId="2">'ФАКТИЧЕСКАЯ СЕБЕСТ ВОДА 2017'!$A$1:$BA$84</definedName>
    <definedName name="_xlnm.Print_Area" localSheetId="0">'ФАКТИЧЕСКАЯ СЕБЕСТ. СТОКИ 2017'!$A$1:$BA$74</definedName>
    <definedName name="_xlnm.Print_Area" localSheetId="25">ХР!$A$1:$CO$46</definedName>
    <definedName name="_xlnm.Print_Area" localSheetId="30">'цех вода'!$A$59:$AP$137</definedName>
    <definedName name="_xlnm.Print_Area" localSheetId="31">'цех стоки'!$A$193:$AS$258</definedName>
    <definedName name="_xlnm.Print_Area" localSheetId="5">'Чистая прибыль'!$A$1:$T$36</definedName>
    <definedName name="_xlnm.Print_Area" localSheetId="24">электр!$A$40:$CC$62</definedName>
    <definedName name="_xlnm.Print_Area" localSheetId="23">'электр 2017-2018'!$A$40:$CK$62</definedName>
    <definedName name="Объемы2" localSheetId="28">#REF!</definedName>
    <definedName name="Объемы2" localSheetId="6">#REF!</definedName>
    <definedName name="Объемы2" localSheetId="18">#REF!</definedName>
    <definedName name="Объемы2" localSheetId="14">#REF!</definedName>
    <definedName name="Объемы2" localSheetId="47">#REF!</definedName>
    <definedName name="Объемы2" localSheetId="46">#REF!</definedName>
    <definedName name="Объемы2" localSheetId="45">#REF!</definedName>
    <definedName name="Объемы2" localSheetId="23">#REF!</definedName>
    <definedName name="Объемы2">#REF!</definedName>
    <definedName name="Объемы2_13" localSheetId="28">#REF!</definedName>
    <definedName name="Объемы2_13" localSheetId="6">#REF!</definedName>
    <definedName name="Объемы2_13" localSheetId="18">#REF!</definedName>
    <definedName name="Объемы2_13" localSheetId="14">#REF!</definedName>
    <definedName name="Объемы2_13" localSheetId="47">#REF!</definedName>
    <definedName name="Объемы2_13" localSheetId="46">#REF!</definedName>
    <definedName name="Объемы2_13" localSheetId="45">#REF!</definedName>
    <definedName name="Объемы2_13" localSheetId="23">#REF!</definedName>
    <definedName name="Объемы2_13">#REF!</definedName>
    <definedName name="Объемы2_2" localSheetId="28">#REF!</definedName>
    <definedName name="Объемы2_2" localSheetId="6">#REF!</definedName>
    <definedName name="Объемы2_2" localSheetId="18">#REF!</definedName>
    <definedName name="Объемы2_2" localSheetId="14">#REF!</definedName>
    <definedName name="Объемы2_2" localSheetId="47">#REF!</definedName>
    <definedName name="Объемы2_2" localSheetId="46">#REF!</definedName>
    <definedName name="Объемы2_2" localSheetId="45">#REF!</definedName>
    <definedName name="Объемы2_2" localSheetId="23">#REF!</definedName>
    <definedName name="Объемы2_2">#REF!</definedName>
    <definedName name="олггшщзжжхх">#N/A</definedName>
    <definedName name="пае" localSheetId="28">'ЗП с факт 3 кв. 2015'!пае</definedName>
    <definedName name="пае" localSheetId="3">#N/A</definedName>
    <definedName name="пае" localSheetId="1">#N/A</definedName>
    <definedName name="пае" localSheetId="8">#N/A</definedName>
    <definedName name="пае" localSheetId="7">#N/A</definedName>
    <definedName name="пае" localSheetId="6">#N/A</definedName>
    <definedName name="пае" localSheetId="12">#N/A</definedName>
    <definedName name="пае" localSheetId="11">#N/A</definedName>
    <definedName name="пае" localSheetId="10">#N/A</definedName>
    <definedName name="пае" localSheetId="9">#N/A</definedName>
    <definedName name="пае" localSheetId="2">#N/A</definedName>
    <definedName name="пае" localSheetId="0">#N/A</definedName>
    <definedName name="пае">'ЗП с факт 3 кв. 2015'!пае</definedName>
    <definedName name="пае_10" localSheetId="28">'ЗП с факт 3 кв. 2015'!пае</definedName>
    <definedName name="пае_10" localSheetId="3">'ПОЛНАЯ СЕБЕСТОИМОСТЬ ВОДА 2017'!пае</definedName>
    <definedName name="пае_10" localSheetId="1">'ПОЛНАЯ СЕБЕСТОИМОСТЬ СТОКИ 2017'!пае</definedName>
    <definedName name="пае_10" localSheetId="8">'Прил. 1 План ФХД вода табл. 2'!пае</definedName>
    <definedName name="пае_10" localSheetId="7">'Прил. 1 План ФХД стоки табл 2'!пае</definedName>
    <definedName name="пае_10" localSheetId="6">'Прил. 1 План ФХД табл 1'!пае</definedName>
    <definedName name="пае_10" localSheetId="12">'Произв. прогр. Вода'!пае</definedName>
    <definedName name="пае_10" localSheetId="11">'Произв. прогр. Вода (СВОД)'!пае</definedName>
    <definedName name="пае_10" localSheetId="10">'Произв. прогр. Стоки'!пае</definedName>
    <definedName name="пае_10" localSheetId="9">'Произв. прогр. Стоки (СВОД)'!пае</definedName>
    <definedName name="пае_10" localSheetId="2">'ФАКТИЧЕСКАЯ СЕБЕСТ ВОДА 2017'!пае</definedName>
    <definedName name="пае_10" localSheetId="0">'ФАКТИЧЕСКАЯ СЕБЕСТ. СТОКИ 2017'!пае</definedName>
    <definedName name="пае_10">[0]!пае</definedName>
    <definedName name="пае_14" localSheetId="28">'ЗП с факт 3 кв. 2015'!пае</definedName>
    <definedName name="пае_14" localSheetId="3">'ПОЛНАЯ СЕБЕСТОИМОСТЬ ВОДА 2017'!пае</definedName>
    <definedName name="пае_14" localSheetId="1">'ПОЛНАЯ СЕБЕСТОИМОСТЬ СТОКИ 2017'!пае</definedName>
    <definedName name="пае_14" localSheetId="8">'Прил. 1 План ФХД вода табл. 2'!пае</definedName>
    <definedName name="пае_14" localSheetId="7">'Прил. 1 План ФХД стоки табл 2'!пае</definedName>
    <definedName name="пае_14" localSheetId="6">'Прил. 1 План ФХД табл 1'!пае</definedName>
    <definedName name="пае_14" localSheetId="12">'Произв. прогр. Вода'!пае</definedName>
    <definedName name="пае_14" localSheetId="11">'Произв. прогр. Вода (СВОД)'!пае</definedName>
    <definedName name="пае_14" localSheetId="10">'Произв. прогр. Стоки'!пае</definedName>
    <definedName name="пае_14" localSheetId="9">'Произв. прогр. Стоки (СВОД)'!пае</definedName>
    <definedName name="пае_14" localSheetId="2">'ФАКТИЧЕСКАЯ СЕБЕСТ ВОДА 2017'!пае</definedName>
    <definedName name="пае_14" localSheetId="0">'ФАКТИЧЕСКАЯ СЕБЕСТ. СТОКИ 2017'!пае</definedName>
    <definedName name="пае_14">[0]!пае</definedName>
    <definedName name="пае_15" localSheetId="28">'ЗП с факт 3 кв. 2015'!пае</definedName>
    <definedName name="пае_15" localSheetId="3">'ПОЛНАЯ СЕБЕСТОИМОСТЬ ВОДА 2017'!пае</definedName>
    <definedName name="пае_15" localSheetId="1">'ПОЛНАЯ СЕБЕСТОИМОСТЬ СТОКИ 2017'!пае</definedName>
    <definedName name="пае_15" localSheetId="8">'Прил. 1 План ФХД вода табл. 2'!пае</definedName>
    <definedName name="пае_15" localSheetId="7">'Прил. 1 План ФХД стоки табл 2'!пае</definedName>
    <definedName name="пае_15" localSheetId="6">'Прил. 1 План ФХД табл 1'!пае</definedName>
    <definedName name="пае_15" localSheetId="12">'Произв. прогр. Вода'!пае</definedName>
    <definedName name="пае_15" localSheetId="11">'Произв. прогр. Вода (СВОД)'!пае</definedName>
    <definedName name="пае_15" localSheetId="10">'Произв. прогр. Стоки'!пае</definedName>
    <definedName name="пае_15" localSheetId="9">'Произв. прогр. Стоки (СВОД)'!пае</definedName>
    <definedName name="пае_15" localSheetId="2">'ФАКТИЧЕСКАЯ СЕБЕСТ ВОДА 2017'!пае</definedName>
    <definedName name="пае_15" localSheetId="0">'ФАКТИЧЕСКАЯ СЕБЕСТ. СТОКИ 2017'!пае</definedName>
    <definedName name="пае_15">[0]!пае</definedName>
    <definedName name="пае_16" localSheetId="28">'ЗП с факт 3 кв. 2015'!пае</definedName>
    <definedName name="пае_16" localSheetId="3">'ПОЛНАЯ СЕБЕСТОИМОСТЬ ВОДА 2017'!пае</definedName>
    <definedName name="пае_16" localSheetId="1">'ПОЛНАЯ СЕБЕСТОИМОСТЬ СТОКИ 2017'!пае</definedName>
    <definedName name="пае_16" localSheetId="8">'Прил. 1 План ФХД вода табл. 2'!пае</definedName>
    <definedName name="пае_16" localSheetId="7">'Прил. 1 План ФХД стоки табл 2'!пае</definedName>
    <definedName name="пае_16" localSheetId="6">'Прил. 1 План ФХД табл 1'!пае</definedName>
    <definedName name="пае_16" localSheetId="12">'Произв. прогр. Вода'!пае</definedName>
    <definedName name="пае_16" localSheetId="11">'Произв. прогр. Вода (СВОД)'!пае</definedName>
    <definedName name="пае_16" localSheetId="10">'Произв. прогр. Стоки'!пае</definedName>
    <definedName name="пае_16" localSheetId="9">'Произв. прогр. Стоки (СВОД)'!пае</definedName>
    <definedName name="пае_16" localSheetId="2">'ФАКТИЧЕСКАЯ СЕБЕСТ ВОДА 2017'!пае</definedName>
    <definedName name="пае_16" localSheetId="0">'ФАКТИЧЕСКАЯ СЕБЕСТ. СТОКИ 2017'!пае</definedName>
    <definedName name="пае_16">[0]!пае</definedName>
    <definedName name="пае_2" localSheetId="28">'ЗП с факт 3 кв. 2015'!пае</definedName>
    <definedName name="пае_2" localSheetId="3">'ПОЛНАЯ СЕБЕСТОИМОСТЬ ВОДА 2017'!пае</definedName>
    <definedName name="пае_2" localSheetId="1">'ПОЛНАЯ СЕБЕСТОИМОСТЬ СТОКИ 2017'!пае</definedName>
    <definedName name="пае_2" localSheetId="8">'Прил. 1 План ФХД вода табл. 2'!пае</definedName>
    <definedName name="пае_2" localSheetId="7">'Прил. 1 План ФХД стоки табл 2'!пае</definedName>
    <definedName name="пае_2" localSheetId="6">'Прил. 1 План ФХД табл 1'!пае</definedName>
    <definedName name="пае_2" localSheetId="12">'Произв. прогр. Вода'!пае</definedName>
    <definedName name="пае_2" localSheetId="11">'Произв. прогр. Вода (СВОД)'!пае</definedName>
    <definedName name="пае_2" localSheetId="10">'Произв. прогр. Стоки'!пае</definedName>
    <definedName name="пае_2" localSheetId="9">'Произв. прогр. Стоки (СВОД)'!пае</definedName>
    <definedName name="пае_2" localSheetId="2">'ФАКТИЧЕСКАЯ СЕБЕСТ ВОДА 2017'!пае</definedName>
    <definedName name="пае_2" localSheetId="0">'ФАКТИЧЕСКАЯ СЕБЕСТ. СТОКИ 2017'!пае</definedName>
    <definedName name="пае_2">[0]!пае</definedName>
    <definedName name="пимрн" localSheetId="28">'ЗП с факт 3 кв. 2015'!_Pi2</definedName>
    <definedName name="пимрн" localSheetId="3">'ПОЛНАЯ СЕБЕСТОИМОСТЬ ВОДА 2017'!_Pi2</definedName>
    <definedName name="пимрн" localSheetId="1">'ПОЛНАЯ СЕБЕСТОИМОСТЬ СТОКИ 2017'!_Pi2</definedName>
    <definedName name="пимрн" localSheetId="8">'Прил. 1 План ФХД вода табл. 2'!_Pi2</definedName>
    <definedName name="пимрн" localSheetId="7">'Прил. 1 План ФХД стоки табл 2'!_Pi2</definedName>
    <definedName name="пимрн" localSheetId="6">'Прил. 1 План ФХД табл 1'!_Pi2</definedName>
    <definedName name="пимрн" localSheetId="12">'Произв. прогр. Вода'!_Pi2</definedName>
    <definedName name="пимрн" localSheetId="11">'Произв. прогр. Вода (СВОД)'!_Pi2</definedName>
    <definedName name="пимрн" localSheetId="10">'Произв. прогр. Стоки'!_Pi2</definedName>
    <definedName name="пимрн" localSheetId="9">'Произв. прогр. Стоки (СВОД)'!_Pi2</definedName>
    <definedName name="пимрн" localSheetId="2">'ФАКТИЧЕСКАЯ СЕБЕСТ ВОДА 2017'!_Pi2</definedName>
    <definedName name="пимрн" localSheetId="0">'ФАКТИЧЕСКАЯ СЕБЕСТ. СТОКИ 2017'!_Pi2</definedName>
    <definedName name="пимрн">[0]!_Pi2</definedName>
    <definedName name="пимрн_1" localSheetId="28">'ЗП с факт 3 кв. 2015'!_Pi2</definedName>
    <definedName name="пимрн_1" localSheetId="3">'ПОЛНАЯ СЕБЕСТОИМОСТЬ ВОДА 2017'!_Pi2</definedName>
    <definedName name="пимрн_1" localSheetId="1">'ПОЛНАЯ СЕБЕСТОИМОСТЬ СТОКИ 2017'!_Pi2</definedName>
    <definedName name="пимрн_1" localSheetId="8">'Прил. 1 План ФХД вода табл. 2'!_Pi2</definedName>
    <definedName name="пимрн_1" localSheetId="7">'Прил. 1 План ФХД стоки табл 2'!_Pi2</definedName>
    <definedName name="пимрн_1" localSheetId="6">'Прил. 1 План ФХД табл 1'!_Pi2</definedName>
    <definedName name="пимрн_1" localSheetId="12">'Произв. прогр. Вода'!_Pi2</definedName>
    <definedName name="пимрн_1" localSheetId="11">'Произв. прогр. Вода (СВОД)'!_Pi2</definedName>
    <definedName name="пимрн_1" localSheetId="10">'Произв. прогр. Стоки'!_Pi2</definedName>
    <definedName name="пимрн_1" localSheetId="9">'Произв. прогр. Стоки (СВОД)'!_Pi2</definedName>
    <definedName name="пимрн_1" localSheetId="2">'ФАКТИЧЕСКАЯ СЕБЕСТ ВОДА 2017'!_Pi2</definedName>
    <definedName name="пимрн_1" localSheetId="0">'ФАКТИЧЕСКАЯ СЕБЕСТ. СТОКИ 2017'!_Pi2</definedName>
    <definedName name="пимрн_1">[0]!_Pi2</definedName>
    <definedName name="пимрн_13" localSheetId="28">'ЗП с факт 3 кв. 2015'!_Pi2</definedName>
    <definedName name="пимрн_13" localSheetId="3">'ПОЛНАЯ СЕБЕСТОИМОСТЬ ВОДА 2017'!_Pi2</definedName>
    <definedName name="пимрн_13" localSheetId="1">'ПОЛНАЯ СЕБЕСТОИМОСТЬ СТОКИ 2017'!_Pi2</definedName>
    <definedName name="пимрн_13" localSheetId="8">'Прил. 1 План ФХД вода табл. 2'!_Pi2</definedName>
    <definedName name="пимрн_13" localSheetId="7">'Прил. 1 План ФХД стоки табл 2'!_Pi2</definedName>
    <definedName name="пимрн_13" localSheetId="6">'Прил. 1 План ФХД табл 1'!_Pi2</definedName>
    <definedName name="пимрн_13" localSheetId="12">'Произв. прогр. Вода'!_Pi2</definedName>
    <definedName name="пимрн_13" localSheetId="11">'Произв. прогр. Вода (СВОД)'!_Pi2</definedName>
    <definedName name="пимрн_13" localSheetId="10">'Произв. прогр. Стоки'!_Pi2</definedName>
    <definedName name="пимрн_13" localSheetId="9">'Произв. прогр. Стоки (СВОД)'!_Pi2</definedName>
    <definedName name="пимрн_13" localSheetId="2">'ФАКТИЧЕСКАЯ СЕБЕСТ ВОДА 2017'!_Pi2</definedName>
    <definedName name="пимрн_13" localSheetId="0">'ФАКТИЧЕСКАЯ СЕБЕСТ. СТОКИ 2017'!_Pi2</definedName>
    <definedName name="пимрн_13">[0]!_Pi2</definedName>
    <definedName name="пимрн_2" localSheetId="28">'ЗП с факт 3 кв. 2015'!_Pi2</definedName>
    <definedName name="пимрн_2" localSheetId="3">'ПОЛНАЯ СЕБЕСТОИМОСТЬ ВОДА 2017'!_Pi2</definedName>
    <definedName name="пимрн_2" localSheetId="1">'ПОЛНАЯ СЕБЕСТОИМОСТЬ СТОКИ 2017'!_Pi2</definedName>
    <definedName name="пимрн_2" localSheetId="8">'Прил. 1 План ФХД вода табл. 2'!_Pi2</definedName>
    <definedName name="пимрн_2" localSheetId="7">'Прил. 1 План ФХД стоки табл 2'!_Pi2</definedName>
    <definedName name="пимрн_2" localSheetId="6">'Прил. 1 План ФХД табл 1'!_Pi2</definedName>
    <definedName name="пимрн_2" localSheetId="12">'Произв. прогр. Вода'!_Pi2</definedName>
    <definedName name="пимрн_2" localSheetId="11">'Произв. прогр. Вода (СВОД)'!_Pi2</definedName>
    <definedName name="пимрн_2" localSheetId="10">'Произв. прогр. Стоки'!_Pi2</definedName>
    <definedName name="пимрн_2" localSheetId="9">'Произв. прогр. Стоки (СВОД)'!_Pi2</definedName>
    <definedName name="пимрн_2" localSheetId="2">'ФАКТИЧЕСКАЯ СЕБЕСТ ВОДА 2017'!_Pi2</definedName>
    <definedName name="пимрн_2" localSheetId="0">'ФАКТИЧЕСКАЯ СЕБЕСТ. СТОКИ 2017'!_Pi2</definedName>
    <definedName name="пимрн_2">[0]!_Pi2</definedName>
    <definedName name="про" localSheetId="28">'ЗП с факт 3 кв. 2015'!про</definedName>
    <definedName name="про" localSheetId="3">#N/A</definedName>
    <definedName name="про" localSheetId="1">#N/A</definedName>
    <definedName name="про" localSheetId="8">#N/A</definedName>
    <definedName name="про" localSheetId="7">#N/A</definedName>
    <definedName name="про" localSheetId="6">#N/A</definedName>
    <definedName name="про" localSheetId="12">#N/A</definedName>
    <definedName name="про" localSheetId="11">#N/A</definedName>
    <definedName name="про" localSheetId="10">#N/A</definedName>
    <definedName name="про" localSheetId="9">#N/A</definedName>
    <definedName name="про" localSheetId="2">#N/A</definedName>
    <definedName name="про" localSheetId="0">#N/A</definedName>
    <definedName name="про">'ЗП с факт 3 кв. 2015'!про</definedName>
    <definedName name="про_10" localSheetId="28">'ЗП с факт 3 кв. 2015'!про</definedName>
    <definedName name="про_10" localSheetId="3">'ПОЛНАЯ СЕБЕСТОИМОСТЬ ВОДА 2017'!про</definedName>
    <definedName name="про_10" localSheetId="1">'ПОЛНАЯ СЕБЕСТОИМОСТЬ СТОКИ 2017'!про</definedName>
    <definedName name="про_10" localSheetId="8">'Прил. 1 План ФХД вода табл. 2'!про</definedName>
    <definedName name="про_10" localSheetId="7">'Прил. 1 План ФХД стоки табл 2'!про</definedName>
    <definedName name="про_10" localSheetId="6">'Прил. 1 План ФХД табл 1'!про</definedName>
    <definedName name="про_10" localSheetId="12">'Произв. прогр. Вода'!про</definedName>
    <definedName name="про_10" localSheetId="11">'Произв. прогр. Вода (СВОД)'!про</definedName>
    <definedName name="про_10" localSheetId="10">'Произв. прогр. Стоки'!про</definedName>
    <definedName name="про_10" localSheetId="9">'Произв. прогр. Стоки (СВОД)'!про</definedName>
    <definedName name="про_10" localSheetId="2">'ФАКТИЧЕСКАЯ СЕБЕСТ ВОДА 2017'!про</definedName>
    <definedName name="про_10" localSheetId="0">'ФАКТИЧЕСКАЯ СЕБЕСТ. СТОКИ 2017'!про</definedName>
    <definedName name="про_10">[0]!про</definedName>
    <definedName name="про_14" localSheetId="28">'ЗП с факт 3 кв. 2015'!про</definedName>
    <definedName name="про_14" localSheetId="3">'ПОЛНАЯ СЕБЕСТОИМОСТЬ ВОДА 2017'!про</definedName>
    <definedName name="про_14" localSheetId="1">'ПОЛНАЯ СЕБЕСТОИМОСТЬ СТОКИ 2017'!про</definedName>
    <definedName name="про_14" localSheetId="8">'Прил. 1 План ФХД вода табл. 2'!про</definedName>
    <definedName name="про_14" localSheetId="7">'Прил. 1 План ФХД стоки табл 2'!про</definedName>
    <definedName name="про_14" localSheetId="6">'Прил. 1 План ФХД табл 1'!про</definedName>
    <definedName name="про_14" localSheetId="12">'Произв. прогр. Вода'!про</definedName>
    <definedName name="про_14" localSheetId="11">'Произв. прогр. Вода (СВОД)'!про</definedName>
    <definedName name="про_14" localSheetId="10">'Произв. прогр. Стоки'!про</definedName>
    <definedName name="про_14" localSheetId="9">'Произв. прогр. Стоки (СВОД)'!про</definedName>
    <definedName name="про_14" localSheetId="2">'ФАКТИЧЕСКАЯ СЕБЕСТ ВОДА 2017'!про</definedName>
    <definedName name="про_14" localSheetId="0">'ФАКТИЧЕСКАЯ СЕБЕСТ. СТОКИ 2017'!про</definedName>
    <definedName name="про_14">[0]!про</definedName>
    <definedName name="про_15" localSheetId="28">'ЗП с факт 3 кв. 2015'!про</definedName>
    <definedName name="про_15" localSheetId="3">'ПОЛНАЯ СЕБЕСТОИМОСТЬ ВОДА 2017'!про</definedName>
    <definedName name="про_15" localSheetId="1">'ПОЛНАЯ СЕБЕСТОИМОСТЬ СТОКИ 2017'!про</definedName>
    <definedName name="про_15" localSheetId="8">'Прил. 1 План ФХД вода табл. 2'!про</definedName>
    <definedName name="про_15" localSheetId="7">'Прил. 1 План ФХД стоки табл 2'!про</definedName>
    <definedName name="про_15" localSheetId="6">'Прил. 1 План ФХД табл 1'!про</definedName>
    <definedName name="про_15" localSheetId="12">'Произв. прогр. Вода'!про</definedName>
    <definedName name="про_15" localSheetId="11">'Произв. прогр. Вода (СВОД)'!про</definedName>
    <definedName name="про_15" localSheetId="10">'Произв. прогр. Стоки'!про</definedName>
    <definedName name="про_15" localSheetId="9">'Произв. прогр. Стоки (СВОД)'!про</definedName>
    <definedName name="про_15" localSheetId="2">'ФАКТИЧЕСКАЯ СЕБЕСТ ВОДА 2017'!про</definedName>
    <definedName name="про_15" localSheetId="0">'ФАКТИЧЕСКАЯ СЕБЕСТ. СТОКИ 2017'!про</definedName>
    <definedName name="про_15">[0]!про</definedName>
    <definedName name="про_16" localSheetId="28">'ЗП с факт 3 кв. 2015'!про</definedName>
    <definedName name="про_16" localSheetId="3">'ПОЛНАЯ СЕБЕСТОИМОСТЬ ВОДА 2017'!про</definedName>
    <definedName name="про_16" localSheetId="1">'ПОЛНАЯ СЕБЕСТОИМОСТЬ СТОКИ 2017'!про</definedName>
    <definedName name="про_16" localSheetId="8">'Прил. 1 План ФХД вода табл. 2'!про</definedName>
    <definedName name="про_16" localSheetId="7">'Прил. 1 План ФХД стоки табл 2'!про</definedName>
    <definedName name="про_16" localSheetId="6">'Прил. 1 План ФХД табл 1'!про</definedName>
    <definedName name="про_16" localSheetId="12">'Произв. прогр. Вода'!про</definedName>
    <definedName name="про_16" localSheetId="11">'Произв. прогр. Вода (СВОД)'!про</definedName>
    <definedName name="про_16" localSheetId="10">'Произв. прогр. Стоки'!про</definedName>
    <definedName name="про_16" localSheetId="9">'Произв. прогр. Стоки (СВОД)'!про</definedName>
    <definedName name="про_16" localSheetId="2">'ФАКТИЧЕСКАЯ СЕБЕСТ ВОДА 2017'!про</definedName>
    <definedName name="про_16" localSheetId="0">'ФАКТИЧЕСКАЯ СЕБЕСТ. СТОКИ 2017'!про</definedName>
    <definedName name="про_16">[0]!про</definedName>
    <definedName name="про_2" localSheetId="28">'ЗП с факт 3 кв. 2015'!про</definedName>
    <definedName name="про_2" localSheetId="3">'ПОЛНАЯ СЕБЕСТОИМОСТЬ ВОДА 2017'!про</definedName>
    <definedName name="про_2" localSheetId="1">'ПОЛНАЯ СЕБЕСТОИМОСТЬ СТОКИ 2017'!про</definedName>
    <definedName name="про_2" localSheetId="8">'Прил. 1 План ФХД вода табл. 2'!про</definedName>
    <definedName name="про_2" localSheetId="7">'Прил. 1 План ФХД стоки табл 2'!про</definedName>
    <definedName name="про_2" localSheetId="6">'Прил. 1 План ФХД табл 1'!про</definedName>
    <definedName name="про_2" localSheetId="12">'Произв. прогр. Вода'!про</definedName>
    <definedName name="про_2" localSheetId="11">'Произв. прогр. Вода (СВОД)'!про</definedName>
    <definedName name="про_2" localSheetId="10">'Произв. прогр. Стоки'!про</definedName>
    <definedName name="про_2" localSheetId="9">'Произв. прогр. Стоки (СВОД)'!про</definedName>
    <definedName name="про_2" localSheetId="2">'ФАКТИЧЕСКАЯ СЕБЕСТ ВОДА 2017'!про</definedName>
    <definedName name="про_2" localSheetId="0">'ФАКТИЧЕСКАЯ СЕБЕСТ. СТОКИ 2017'!про</definedName>
    <definedName name="про_2">[0]!про</definedName>
    <definedName name="р7" localSheetId="28">'ЗП с факт 3 кв. 2015'!р7</definedName>
    <definedName name="р7" localSheetId="3">#N/A</definedName>
    <definedName name="р7" localSheetId="1">#N/A</definedName>
    <definedName name="р7" localSheetId="8">#N/A</definedName>
    <definedName name="р7" localSheetId="7">#N/A</definedName>
    <definedName name="р7" localSheetId="6">#N/A</definedName>
    <definedName name="р7" localSheetId="12">#N/A</definedName>
    <definedName name="р7" localSheetId="11">#N/A</definedName>
    <definedName name="р7" localSheetId="10">#N/A</definedName>
    <definedName name="р7" localSheetId="9">#N/A</definedName>
    <definedName name="р7" localSheetId="2">#N/A</definedName>
    <definedName name="р7" localSheetId="0">#N/A</definedName>
    <definedName name="р7">'ЗП с факт 3 кв. 2015'!р7</definedName>
    <definedName name="р7_10" localSheetId="28">'ЗП с факт 3 кв. 2015'!р7</definedName>
    <definedName name="р7_10" localSheetId="3">'ПОЛНАЯ СЕБЕСТОИМОСТЬ ВОДА 2017'!р7</definedName>
    <definedName name="р7_10" localSheetId="1">'ПОЛНАЯ СЕБЕСТОИМОСТЬ СТОКИ 2017'!р7</definedName>
    <definedName name="р7_10" localSheetId="8">'Прил. 1 План ФХД вода табл. 2'!р7</definedName>
    <definedName name="р7_10" localSheetId="7">'Прил. 1 План ФХД стоки табл 2'!р7</definedName>
    <definedName name="р7_10" localSheetId="6">'Прил. 1 План ФХД табл 1'!р7</definedName>
    <definedName name="р7_10" localSheetId="12">'Произв. прогр. Вода'!р7</definedName>
    <definedName name="р7_10" localSheetId="11">'Произв. прогр. Вода (СВОД)'!р7</definedName>
    <definedName name="р7_10" localSheetId="10">'Произв. прогр. Стоки'!р7</definedName>
    <definedName name="р7_10" localSheetId="9">'Произв. прогр. Стоки (СВОД)'!р7</definedName>
    <definedName name="р7_10" localSheetId="2">'ФАКТИЧЕСКАЯ СЕБЕСТ ВОДА 2017'!р7</definedName>
    <definedName name="р7_10" localSheetId="0">'ФАКТИЧЕСКАЯ СЕБЕСТ. СТОКИ 2017'!р7</definedName>
    <definedName name="р7_10">[0]!р7</definedName>
    <definedName name="р7_14" localSheetId="28">'ЗП с факт 3 кв. 2015'!р7</definedName>
    <definedName name="р7_14" localSheetId="3">'ПОЛНАЯ СЕБЕСТОИМОСТЬ ВОДА 2017'!р7</definedName>
    <definedName name="р7_14" localSheetId="1">'ПОЛНАЯ СЕБЕСТОИМОСТЬ СТОКИ 2017'!р7</definedName>
    <definedName name="р7_14" localSheetId="8">'Прил. 1 План ФХД вода табл. 2'!р7</definedName>
    <definedName name="р7_14" localSheetId="7">'Прил. 1 План ФХД стоки табл 2'!р7</definedName>
    <definedName name="р7_14" localSheetId="6">'Прил. 1 План ФХД табл 1'!р7</definedName>
    <definedName name="р7_14" localSheetId="12">'Произв. прогр. Вода'!р7</definedName>
    <definedName name="р7_14" localSheetId="11">'Произв. прогр. Вода (СВОД)'!р7</definedName>
    <definedName name="р7_14" localSheetId="10">'Произв. прогр. Стоки'!р7</definedName>
    <definedName name="р7_14" localSheetId="9">'Произв. прогр. Стоки (СВОД)'!р7</definedName>
    <definedName name="р7_14" localSheetId="2">'ФАКТИЧЕСКАЯ СЕБЕСТ ВОДА 2017'!р7</definedName>
    <definedName name="р7_14" localSheetId="0">'ФАКТИЧЕСКАЯ СЕБЕСТ. СТОКИ 2017'!р7</definedName>
    <definedName name="р7_14">[0]!р7</definedName>
    <definedName name="р7_15" localSheetId="28">'ЗП с факт 3 кв. 2015'!р7</definedName>
    <definedName name="р7_15" localSheetId="3">'ПОЛНАЯ СЕБЕСТОИМОСТЬ ВОДА 2017'!р7</definedName>
    <definedName name="р7_15" localSheetId="1">'ПОЛНАЯ СЕБЕСТОИМОСТЬ СТОКИ 2017'!р7</definedName>
    <definedName name="р7_15" localSheetId="8">'Прил. 1 План ФХД вода табл. 2'!р7</definedName>
    <definedName name="р7_15" localSheetId="7">'Прил. 1 План ФХД стоки табл 2'!р7</definedName>
    <definedName name="р7_15" localSheetId="6">'Прил. 1 План ФХД табл 1'!р7</definedName>
    <definedName name="р7_15" localSheetId="12">'Произв. прогр. Вода'!р7</definedName>
    <definedName name="р7_15" localSheetId="11">'Произв. прогр. Вода (СВОД)'!р7</definedName>
    <definedName name="р7_15" localSheetId="10">'Произв. прогр. Стоки'!р7</definedName>
    <definedName name="р7_15" localSheetId="9">'Произв. прогр. Стоки (СВОД)'!р7</definedName>
    <definedName name="р7_15" localSheetId="2">'ФАКТИЧЕСКАЯ СЕБЕСТ ВОДА 2017'!р7</definedName>
    <definedName name="р7_15" localSheetId="0">'ФАКТИЧЕСКАЯ СЕБЕСТ. СТОКИ 2017'!р7</definedName>
    <definedName name="р7_15">[0]!р7</definedName>
    <definedName name="р7_16" localSheetId="28">'ЗП с факт 3 кв. 2015'!р7</definedName>
    <definedName name="р7_16" localSheetId="3">'ПОЛНАЯ СЕБЕСТОИМОСТЬ ВОДА 2017'!р7</definedName>
    <definedName name="р7_16" localSheetId="1">'ПОЛНАЯ СЕБЕСТОИМОСТЬ СТОКИ 2017'!р7</definedName>
    <definedName name="р7_16" localSheetId="8">'Прил. 1 План ФХД вода табл. 2'!р7</definedName>
    <definedName name="р7_16" localSheetId="7">'Прил. 1 План ФХД стоки табл 2'!р7</definedName>
    <definedName name="р7_16" localSheetId="6">'Прил. 1 План ФХД табл 1'!р7</definedName>
    <definedName name="р7_16" localSheetId="12">'Произв. прогр. Вода'!р7</definedName>
    <definedName name="р7_16" localSheetId="11">'Произв. прогр. Вода (СВОД)'!р7</definedName>
    <definedName name="р7_16" localSheetId="10">'Произв. прогр. Стоки'!р7</definedName>
    <definedName name="р7_16" localSheetId="9">'Произв. прогр. Стоки (СВОД)'!р7</definedName>
    <definedName name="р7_16" localSheetId="2">'ФАКТИЧЕСКАЯ СЕБЕСТ ВОДА 2017'!р7</definedName>
    <definedName name="р7_16" localSheetId="0">'ФАКТИЧЕСКАЯ СЕБЕСТ. СТОКИ 2017'!р7</definedName>
    <definedName name="р7_16">[0]!р7</definedName>
    <definedName name="р7_2" localSheetId="28">'ЗП с факт 3 кв. 2015'!р7</definedName>
    <definedName name="р7_2" localSheetId="3">'ПОЛНАЯ СЕБЕСТОИМОСТЬ ВОДА 2017'!р7</definedName>
    <definedName name="р7_2" localSheetId="1">'ПОЛНАЯ СЕБЕСТОИМОСТЬ СТОКИ 2017'!р7</definedName>
    <definedName name="р7_2" localSheetId="8">'Прил. 1 План ФХД вода табл. 2'!р7</definedName>
    <definedName name="р7_2" localSheetId="7">'Прил. 1 План ФХД стоки табл 2'!р7</definedName>
    <definedName name="р7_2" localSheetId="6">'Прил. 1 План ФХД табл 1'!р7</definedName>
    <definedName name="р7_2" localSheetId="12">'Произв. прогр. Вода'!р7</definedName>
    <definedName name="р7_2" localSheetId="11">'Произв. прогр. Вода (СВОД)'!р7</definedName>
    <definedName name="р7_2" localSheetId="10">'Произв. прогр. Стоки'!р7</definedName>
    <definedName name="р7_2" localSheetId="9">'Произв. прогр. Стоки (СВОД)'!р7</definedName>
    <definedName name="р7_2" localSheetId="2">'ФАКТИЧЕСКАЯ СЕБЕСТ ВОДА 2017'!р7</definedName>
    <definedName name="р7_2" localSheetId="0">'ФАКТИЧЕСКАЯ СЕБЕСТ. СТОКИ 2017'!р7</definedName>
    <definedName name="р7_2">[0]!р7</definedName>
    <definedName name="р71" localSheetId="28">'ЗП с факт 3 кв. 2015'!р71</definedName>
    <definedName name="р71" localSheetId="3">#N/A</definedName>
    <definedName name="р71" localSheetId="1">#N/A</definedName>
    <definedName name="р71" localSheetId="8">#N/A</definedName>
    <definedName name="р71" localSheetId="7">#N/A</definedName>
    <definedName name="р71" localSheetId="6">#N/A</definedName>
    <definedName name="р71" localSheetId="12">#N/A</definedName>
    <definedName name="р71" localSheetId="11">#N/A</definedName>
    <definedName name="р71" localSheetId="10">#N/A</definedName>
    <definedName name="р71" localSheetId="9">#N/A</definedName>
    <definedName name="р71" localSheetId="2">#N/A</definedName>
    <definedName name="р71" localSheetId="0">#N/A</definedName>
    <definedName name="р71">'ЗП с факт 3 кв. 2015'!р71</definedName>
    <definedName name="р71_10" localSheetId="28">'ЗП с факт 3 кв. 2015'!р71</definedName>
    <definedName name="р71_10" localSheetId="3">'ПОЛНАЯ СЕБЕСТОИМОСТЬ ВОДА 2017'!р71</definedName>
    <definedName name="р71_10" localSheetId="1">'ПОЛНАЯ СЕБЕСТОИМОСТЬ СТОКИ 2017'!р71</definedName>
    <definedName name="р71_10" localSheetId="8">'Прил. 1 План ФХД вода табл. 2'!р71</definedName>
    <definedName name="р71_10" localSheetId="7">'Прил. 1 План ФХД стоки табл 2'!р71</definedName>
    <definedName name="р71_10" localSheetId="6">'Прил. 1 План ФХД табл 1'!р71</definedName>
    <definedName name="р71_10" localSheetId="12">'Произв. прогр. Вода'!р71</definedName>
    <definedName name="р71_10" localSheetId="11">'Произв. прогр. Вода (СВОД)'!р71</definedName>
    <definedName name="р71_10" localSheetId="10">'Произв. прогр. Стоки'!р71</definedName>
    <definedName name="р71_10" localSheetId="9">'Произв. прогр. Стоки (СВОД)'!р71</definedName>
    <definedName name="р71_10" localSheetId="2">'ФАКТИЧЕСКАЯ СЕБЕСТ ВОДА 2017'!р71</definedName>
    <definedName name="р71_10" localSheetId="0">'ФАКТИЧЕСКАЯ СЕБЕСТ. СТОКИ 2017'!р71</definedName>
    <definedName name="р71_10">[0]!р71</definedName>
    <definedName name="р71_14" localSheetId="28">'ЗП с факт 3 кв. 2015'!р71</definedName>
    <definedName name="р71_14" localSheetId="3">'ПОЛНАЯ СЕБЕСТОИМОСТЬ ВОДА 2017'!р71</definedName>
    <definedName name="р71_14" localSheetId="1">'ПОЛНАЯ СЕБЕСТОИМОСТЬ СТОКИ 2017'!р71</definedName>
    <definedName name="р71_14" localSheetId="8">'Прил. 1 План ФХД вода табл. 2'!р71</definedName>
    <definedName name="р71_14" localSheetId="7">'Прил. 1 План ФХД стоки табл 2'!р71</definedName>
    <definedName name="р71_14" localSheetId="6">'Прил. 1 План ФХД табл 1'!р71</definedName>
    <definedName name="р71_14" localSheetId="12">'Произв. прогр. Вода'!р71</definedName>
    <definedName name="р71_14" localSheetId="11">'Произв. прогр. Вода (СВОД)'!р71</definedName>
    <definedName name="р71_14" localSheetId="10">'Произв. прогр. Стоки'!р71</definedName>
    <definedName name="р71_14" localSheetId="9">'Произв. прогр. Стоки (СВОД)'!р71</definedName>
    <definedName name="р71_14" localSheetId="2">'ФАКТИЧЕСКАЯ СЕБЕСТ ВОДА 2017'!р71</definedName>
    <definedName name="р71_14" localSheetId="0">'ФАКТИЧЕСКАЯ СЕБЕСТ. СТОКИ 2017'!р71</definedName>
    <definedName name="р71_14">[0]!р71</definedName>
    <definedName name="р71_15" localSheetId="28">'ЗП с факт 3 кв. 2015'!р71</definedName>
    <definedName name="р71_15" localSheetId="3">'ПОЛНАЯ СЕБЕСТОИМОСТЬ ВОДА 2017'!р71</definedName>
    <definedName name="р71_15" localSheetId="1">'ПОЛНАЯ СЕБЕСТОИМОСТЬ СТОКИ 2017'!р71</definedName>
    <definedName name="р71_15" localSheetId="8">'Прил. 1 План ФХД вода табл. 2'!р71</definedName>
    <definedName name="р71_15" localSheetId="7">'Прил. 1 План ФХД стоки табл 2'!р71</definedName>
    <definedName name="р71_15" localSheetId="6">'Прил. 1 План ФХД табл 1'!р71</definedName>
    <definedName name="р71_15" localSheetId="12">'Произв. прогр. Вода'!р71</definedName>
    <definedName name="р71_15" localSheetId="11">'Произв. прогр. Вода (СВОД)'!р71</definedName>
    <definedName name="р71_15" localSheetId="10">'Произв. прогр. Стоки'!р71</definedName>
    <definedName name="р71_15" localSheetId="9">'Произв. прогр. Стоки (СВОД)'!р71</definedName>
    <definedName name="р71_15" localSheetId="2">'ФАКТИЧЕСКАЯ СЕБЕСТ ВОДА 2017'!р71</definedName>
    <definedName name="р71_15" localSheetId="0">'ФАКТИЧЕСКАЯ СЕБЕСТ. СТОКИ 2017'!р71</definedName>
    <definedName name="р71_15">[0]!р71</definedName>
    <definedName name="р71_16" localSheetId="28">'ЗП с факт 3 кв. 2015'!р71</definedName>
    <definedName name="р71_16" localSheetId="3">'ПОЛНАЯ СЕБЕСТОИМОСТЬ ВОДА 2017'!р71</definedName>
    <definedName name="р71_16" localSheetId="1">'ПОЛНАЯ СЕБЕСТОИМОСТЬ СТОКИ 2017'!р71</definedName>
    <definedName name="р71_16" localSheetId="8">'Прил. 1 План ФХД вода табл. 2'!р71</definedName>
    <definedName name="р71_16" localSheetId="7">'Прил. 1 План ФХД стоки табл 2'!р71</definedName>
    <definedName name="р71_16" localSheetId="6">'Прил. 1 План ФХД табл 1'!р71</definedName>
    <definedName name="р71_16" localSheetId="12">'Произв. прогр. Вода'!р71</definedName>
    <definedName name="р71_16" localSheetId="11">'Произв. прогр. Вода (СВОД)'!р71</definedName>
    <definedName name="р71_16" localSheetId="10">'Произв. прогр. Стоки'!р71</definedName>
    <definedName name="р71_16" localSheetId="9">'Произв. прогр. Стоки (СВОД)'!р71</definedName>
    <definedName name="р71_16" localSheetId="2">'ФАКТИЧЕСКАЯ СЕБЕСТ ВОДА 2017'!р71</definedName>
    <definedName name="р71_16" localSheetId="0">'ФАКТИЧЕСКАЯ СЕБЕСТ. СТОКИ 2017'!р71</definedName>
    <definedName name="р71_16">[0]!р71</definedName>
    <definedName name="р71_2" localSheetId="28">'ЗП с факт 3 кв. 2015'!р71</definedName>
    <definedName name="р71_2" localSheetId="3">'ПОЛНАЯ СЕБЕСТОИМОСТЬ ВОДА 2017'!р71</definedName>
    <definedName name="р71_2" localSheetId="1">'ПОЛНАЯ СЕБЕСТОИМОСТЬ СТОКИ 2017'!р71</definedName>
    <definedName name="р71_2" localSheetId="8">'Прил. 1 План ФХД вода табл. 2'!р71</definedName>
    <definedName name="р71_2" localSheetId="7">'Прил. 1 План ФХД стоки табл 2'!р71</definedName>
    <definedName name="р71_2" localSheetId="6">'Прил. 1 План ФХД табл 1'!р71</definedName>
    <definedName name="р71_2" localSheetId="12">'Произв. прогр. Вода'!р71</definedName>
    <definedName name="р71_2" localSheetId="11">'Произв. прогр. Вода (СВОД)'!р71</definedName>
    <definedName name="р71_2" localSheetId="10">'Произв. прогр. Стоки'!р71</definedName>
    <definedName name="р71_2" localSheetId="9">'Произв. прогр. Стоки (СВОД)'!р71</definedName>
    <definedName name="р71_2" localSheetId="2">'ФАКТИЧЕСКАЯ СЕБЕСТ ВОДА 2017'!р71</definedName>
    <definedName name="р71_2" localSheetId="0">'ФАКТИЧЕСКАЯ СЕБЕСТ. СТОКИ 2017'!р71</definedName>
    <definedName name="р71_2">[0]!р71</definedName>
    <definedName name="ра71" localSheetId="28">'ЗП с факт 3 кв. 2015'!ра71</definedName>
    <definedName name="ра71" localSheetId="3">#N/A</definedName>
    <definedName name="ра71" localSheetId="1">#N/A</definedName>
    <definedName name="ра71" localSheetId="8">#N/A</definedName>
    <definedName name="ра71" localSheetId="7">#N/A</definedName>
    <definedName name="ра71" localSheetId="6">#N/A</definedName>
    <definedName name="ра71" localSheetId="12">#N/A</definedName>
    <definedName name="ра71" localSheetId="11">#N/A</definedName>
    <definedName name="ра71" localSheetId="10">#N/A</definedName>
    <definedName name="ра71" localSheetId="9">#N/A</definedName>
    <definedName name="ра71" localSheetId="2">#N/A</definedName>
    <definedName name="ра71" localSheetId="0">#N/A</definedName>
    <definedName name="ра71">'ЗП с факт 3 кв. 2015'!ра71</definedName>
    <definedName name="ра71_10" localSheetId="28">'ЗП с факт 3 кв. 2015'!ра71</definedName>
    <definedName name="ра71_10" localSheetId="3">'ПОЛНАЯ СЕБЕСТОИМОСТЬ ВОДА 2017'!ра71</definedName>
    <definedName name="ра71_10" localSheetId="1">'ПОЛНАЯ СЕБЕСТОИМОСТЬ СТОКИ 2017'!ра71</definedName>
    <definedName name="ра71_10" localSheetId="8">'Прил. 1 План ФХД вода табл. 2'!ра71</definedName>
    <definedName name="ра71_10" localSheetId="7">'Прил. 1 План ФХД стоки табл 2'!ра71</definedName>
    <definedName name="ра71_10" localSheetId="6">'Прил. 1 План ФХД табл 1'!ра71</definedName>
    <definedName name="ра71_10" localSheetId="12">'Произв. прогр. Вода'!ра71</definedName>
    <definedName name="ра71_10" localSheetId="11">'Произв. прогр. Вода (СВОД)'!ра71</definedName>
    <definedName name="ра71_10" localSheetId="10">'Произв. прогр. Стоки'!ра71</definedName>
    <definedName name="ра71_10" localSheetId="9">'Произв. прогр. Стоки (СВОД)'!ра71</definedName>
    <definedName name="ра71_10" localSheetId="2">'ФАКТИЧЕСКАЯ СЕБЕСТ ВОДА 2017'!ра71</definedName>
    <definedName name="ра71_10" localSheetId="0">'ФАКТИЧЕСКАЯ СЕБЕСТ. СТОКИ 2017'!ра71</definedName>
    <definedName name="ра71_10">[0]!ра71</definedName>
    <definedName name="ра71_14" localSheetId="28">'ЗП с факт 3 кв. 2015'!ра71</definedName>
    <definedName name="ра71_14" localSheetId="3">'ПОЛНАЯ СЕБЕСТОИМОСТЬ ВОДА 2017'!ра71</definedName>
    <definedName name="ра71_14" localSheetId="1">'ПОЛНАЯ СЕБЕСТОИМОСТЬ СТОКИ 2017'!ра71</definedName>
    <definedName name="ра71_14" localSheetId="8">'Прил. 1 План ФХД вода табл. 2'!ра71</definedName>
    <definedName name="ра71_14" localSheetId="7">'Прил. 1 План ФХД стоки табл 2'!ра71</definedName>
    <definedName name="ра71_14" localSheetId="6">'Прил. 1 План ФХД табл 1'!ра71</definedName>
    <definedName name="ра71_14" localSheetId="12">'Произв. прогр. Вода'!ра71</definedName>
    <definedName name="ра71_14" localSheetId="11">'Произв. прогр. Вода (СВОД)'!ра71</definedName>
    <definedName name="ра71_14" localSheetId="10">'Произв. прогр. Стоки'!ра71</definedName>
    <definedName name="ра71_14" localSheetId="9">'Произв. прогр. Стоки (СВОД)'!ра71</definedName>
    <definedName name="ра71_14" localSheetId="2">'ФАКТИЧЕСКАЯ СЕБЕСТ ВОДА 2017'!ра71</definedName>
    <definedName name="ра71_14" localSheetId="0">'ФАКТИЧЕСКАЯ СЕБЕСТ. СТОКИ 2017'!ра71</definedName>
    <definedName name="ра71_14">[0]!ра71</definedName>
    <definedName name="ра71_15" localSheetId="28">'ЗП с факт 3 кв. 2015'!ра71</definedName>
    <definedName name="ра71_15" localSheetId="3">'ПОЛНАЯ СЕБЕСТОИМОСТЬ ВОДА 2017'!ра71</definedName>
    <definedName name="ра71_15" localSheetId="1">'ПОЛНАЯ СЕБЕСТОИМОСТЬ СТОКИ 2017'!ра71</definedName>
    <definedName name="ра71_15" localSheetId="8">'Прил. 1 План ФХД вода табл. 2'!ра71</definedName>
    <definedName name="ра71_15" localSheetId="7">'Прил. 1 План ФХД стоки табл 2'!ра71</definedName>
    <definedName name="ра71_15" localSheetId="6">'Прил. 1 План ФХД табл 1'!ра71</definedName>
    <definedName name="ра71_15" localSheetId="12">'Произв. прогр. Вода'!ра71</definedName>
    <definedName name="ра71_15" localSheetId="11">'Произв. прогр. Вода (СВОД)'!ра71</definedName>
    <definedName name="ра71_15" localSheetId="10">'Произв. прогр. Стоки'!ра71</definedName>
    <definedName name="ра71_15" localSheetId="9">'Произв. прогр. Стоки (СВОД)'!ра71</definedName>
    <definedName name="ра71_15" localSheetId="2">'ФАКТИЧЕСКАЯ СЕБЕСТ ВОДА 2017'!ра71</definedName>
    <definedName name="ра71_15" localSheetId="0">'ФАКТИЧЕСКАЯ СЕБЕСТ. СТОКИ 2017'!ра71</definedName>
    <definedName name="ра71_15">[0]!ра71</definedName>
    <definedName name="ра71_16" localSheetId="28">'ЗП с факт 3 кв. 2015'!ра71</definedName>
    <definedName name="ра71_16" localSheetId="3">'ПОЛНАЯ СЕБЕСТОИМОСТЬ ВОДА 2017'!ра71</definedName>
    <definedName name="ра71_16" localSheetId="1">'ПОЛНАЯ СЕБЕСТОИМОСТЬ СТОКИ 2017'!ра71</definedName>
    <definedName name="ра71_16" localSheetId="8">'Прил. 1 План ФХД вода табл. 2'!ра71</definedName>
    <definedName name="ра71_16" localSheetId="7">'Прил. 1 План ФХД стоки табл 2'!ра71</definedName>
    <definedName name="ра71_16" localSheetId="6">'Прил. 1 План ФХД табл 1'!ра71</definedName>
    <definedName name="ра71_16" localSheetId="12">'Произв. прогр. Вода'!ра71</definedName>
    <definedName name="ра71_16" localSheetId="11">'Произв. прогр. Вода (СВОД)'!ра71</definedName>
    <definedName name="ра71_16" localSheetId="10">'Произв. прогр. Стоки'!ра71</definedName>
    <definedName name="ра71_16" localSheetId="9">'Произв. прогр. Стоки (СВОД)'!ра71</definedName>
    <definedName name="ра71_16" localSheetId="2">'ФАКТИЧЕСКАЯ СЕБЕСТ ВОДА 2017'!ра71</definedName>
    <definedName name="ра71_16" localSheetId="0">'ФАКТИЧЕСКАЯ СЕБЕСТ. СТОКИ 2017'!ра71</definedName>
    <definedName name="ра71_16">[0]!ра71</definedName>
    <definedName name="ра71_2" localSheetId="28">'ЗП с факт 3 кв. 2015'!ра71</definedName>
    <definedName name="ра71_2" localSheetId="3">'ПОЛНАЯ СЕБЕСТОИМОСТЬ ВОДА 2017'!ра71</definedName>
    <definedName name="ра71_2" localSheetId="1">'ПОЛНАЯ СЕБЕСТОИМОСТЬ СТОКИ 2017'!ра71</definedName>
    <definedName name="ра71_2" localSheetId="8">'Прил. 1 План ФХД вода табл. 2'!ра71</definedName>
    <definedName name="ра71_2" localSheetId="7">'Прил. 1 План ФХД стоки табл 2'!ра71</definedName>
    <definedName name="ра71_2" localSheetId="6">'Прил. 1 План ФХД табл 1'!ра71</definedName>
    <definedName name="ра71_2" localSheetId="12">'Произв. прогр. Вода'!ра71</definedName>
    <definedName name="ра71_2" localSheetId="11">'Произв. прогр. Вода (СВОД)'!ра71</definedName>
    <definedName name="ра71_2" localSheetId="10">'Произв. прогр. Стоки'!ра71</definedName>
    <definedName name="ра71_2" localSheetId="9">'Произв. прогр. Стоки (СВОД)'!ра71</definedName>
    <definedName name="ра71_2" localSheetId="2">'ФАКТИЧЕСКАЯ СЕБЕСТ ВОДА 2017'!ра71</definedName>
    <definedName name="ра71_2" localSheetId="0">'ФАКТИЧЕСКАЯ СЕБЕСТ. СТОКИ 2017'!ра71</definedName>
    <definedName name="ра71_2">[0]!ра71</definedName>
    <definedName name="РТВ">[10]Нормат!$J$12</definedName>
    <definedName name="РТВ_10">[7]Нормат!$J$12</definedName>
    <definedName name="РТВ_12">[11]Нормат!$J$12</definedName>
    <definedName name="РТВ_13">[11]Нормат!$J$12</definedName>
    <definedName name="РТВ_14">[7]Нормат!$J$12</definedName>
    <definedName name="РТВ_15">[7]Нормат!$J$12</definedName>
    <definedName name="РТВ_16">[7]Нормат!$J$12</definedName>
    <definedName name="РТВ_2">[7]Нормат!$J$12</definedName>
    <definedName name="РТВ_201">[10]Нормат!$J$23</definedName>
    <definedName name="РТВ_201_10">[7]Нормат!$J$23</definedName>
    <definedName name="РТВ_201_12">[11]Нормат!$J$23</definedName>
    <definedName name="РТВ_201_13">[11]Нормат!$J$23</definedName>
    <definedName name="РТВ_201_14">[7]Нормат!$J$23</definedName>
    <definedName name="РТВ_201_15">[7]Нормат!$J$23</definedName>
    <definedName name="РТВ_201_16">[7]Нормат!$J$23</definedName>
    <definedName name="РТВ_201_2">[7]Нормат!$J$23</definedName>
    <definedName name="РТВ_201_24">[12]Нормат!$J$23</definedName>
    <definedName name="РТВ_201_25">[13]Нормат!$J$23</definedName>
    <definedName name="РТВ_201_3">[14]Нормат!$J$23</definedName>
    <definedName name="РТВ_201_4">[9]Нормат!$J$23</definedName>
    <definedName name="РТВ_201_5">[8]Нормат!$J$23</definedName>
    <definedName name="РТВ_201_59">[15]Нормат!$J$23</definedName>
    <definedName name="РТВ_201_59_10">[16]Нормат!$J$23</definedName>
    <definedName name="РТВ_201_59_14">[16]Нормат!$J$23</definedName>
    <definedName name="РТВ_201_59_15">[16]Нормат!$J$23</definedName>
    <definedName name="РТВ_201_59_16">[16]Нормат!$J$23</definedName>
    <definedName name="РТВ_201_59_2">[16]Нормат!$J$23</definedName>
    <definedName name="РТВ_201_6">[17]Нормат!$J$23</definedName>
    <definedName name="РТВ_201_60">[15]Нормат!$J$23</definedName>
    <definedName name="РТВ_201_60_10">[16]Нормат!$J$23</definedName>
    <definedName name="РТВ_201_60_14">[16]Нормат!$J$23</definedName>
    <definedName name="РТВ_201_60_15">[16]Нормат!$J$23</definedName>
    <definedName name="РТВ_201_60_16">[16]Нормат!$J$23</definedName>
    <definedName name="РТВ_201_60_2">[16]Нормат!$J$23</definedName>
    <definedName name="РТВ_201_7">[8]Нормат!$J$23</definedName>
    <definedName name="РТВ_201_72">[10]Нормат!$J$23</definedName>
    <definedName name="РТВ_201_72_10">[7]Нормат!$J$23</definedName>
    <definedName name="РТВ_201_72_14">[7]Нормат!$J$23</definedName>
    <definedName name="РТВ_201_72_15">[7]Нормат!$J$23</definedName>
    <definedName name="РТВ_201_72_16">[7]Нормат!$J$23</definedName>
    <definedName name="РТВ_201_72_2">[7]Нормат!$J$23</definedName>
    <definedName name="РТВ_201_8">[8]Нормат!$J$23</definedName>
    <definedName name="РТВ_201_9">[8]Нормат!$J$23</definedName>
    <definedName name="РТВ_24">[12]Нормат!$J$12</definedName>
    <definedName name="РТВ_25">[13]Нормат!$J$12</definedName>
    <definedName name="РТВ_3">[14]Нормат!$J$12</definedName>
    <definedName name="РТВ_4">[9]Нормат!$J$12</definedName>
    <definedName name="РТВ_5">[8]Нормат!$J$12</definedName>
    <definedName name="РТВ_59">[15]Нормат!$J$12</definedName>
    <definedName name="РТВ_59_10">[16]Нормат!$J$12</definedName>
    <definedName name="РТВ_59_14">[16]Нормат!$J$12</definedName>
    <definedName name="РТВ_59_15">[16]Нормат!$J$12</definedName>
    <definedName name="РТВ_59_16">[16]Нормат!$J$12</definedName>
    <definedName name="РТВ_59_2">[16]Нормат!$J$12</definedName>
    <definedName name="РТВ_6">[17]Нормат!$J$12</definedName>
    <definedName name="РТВ_60">[15]Нормат!$J$12</definedName>
    <definedName name="РТВ_60_10">[16]Нормат!$J$12</definedName>
    <definedName name="РТВ_60_14">[16]Нормат!$J$12</definedName>
    <definedName name="РТВ_60_15">[16]Нормат!$J$12</definedName>
    <definedName name="РТВ_60_16">[16]Нормат!$J$12</definedName>
    <definedName name="РТВ_60_2">[16]Нормат!$J$12</definedName>
    <definedName name="РТВ_7">[8]Нормат!$J$12</definedName>
    <definedName name="РТВ_72">[10]Нормат!$J$12</definedName>
    <definedName name="РТВ_72_10">[7]Нормат!$J$12</definedName>
    <definedName name="РТВ_72_14">[7]Нормат!$J$12</definedName>
    <definedName name="РТВ_72_15">[7]Нормат!$J$12</definedName>
    <definedName name="РТВ_72_16">[7]Нормат!$J$12</definedName>
    <definedName name="РТВ_72_2">[7]Нормат!$J$12</definedName>
    <definedName name="РТВ_8">[8]Нормат!$J$12</definedName>
    <definedName name="РТВ_9">[8]Нормат!$J$12</definedName>
    <definedName name="смитронгглллльббб" localSheetId="28">#REF!</definedName>
    <definedName name="смитронгглллльббб" localSheetId="6">#REF!</definedName>
    <definedName name="смитронгглллльббб" localSheetId="18">#REF!</definedName>
    <definedName name="смитронгглллльббб" localSheetId="14">#REF!</definedName>
    <definedName name="смитронгглллльббб" localSheetId="47">#REF!</definedName>
    <definedName name="смитронгглллльббб" localSheetId="46">#REF!</definedName>
    <definedName name="смитронгглллльббб" localSheetId="45">#REF!</definedName>
    <definedName name="смитронгглллльббб" localSheetId="23">#REF!</definedName>
    <definedName name="смитронгглллльббб">#REF!</definedName>
    <definedName name="сммаапеенннннн">#N/A</definedName>
    <definedName name="спсп" localSheetId="28">'ЗП с факт 3 кв. 2015'!_Pi1</definedName>
    <definedName name="спсп" localSheetId="3">'ПОЛНАЯ СЕБЕСТОИМОСТЬ ВОДА 2017'!_Pi1</definedName>
    <definedName name="спсп" localSheetId="1">'ПОЛНАЯ СЕБЕСТОИМОСТЬ СТОКИ 2017'!_Pi1</definedName>
    <definedName name="спсп" localSheetId="8">'Прил. 1 План ФХД вода табл. 2'!_Pi1</definedName>
    <definedName name="спсп" localSheetId="7">'Прил. 1 План ФХД стоки табл 2'!_Pi1</definedName>
    <definedName name="спсп" localSheetId="6">'Прил. 1 План ФХД табл 1'!_Pi1</definedName>
    <definedName name="спсп" localSheetId="12">'Произв. прогр. Вода'!_Pi1</definedName>
    <definedName name="спсп" localSheetId="11">'Произв. прогр. Вода (СВОД)'!_Pi1</definedName>
    <definedName name="спсп" localSheetId="10">'Произв. прогр. Стоки'!_Pi1</definedName>
    <definedName name="спсп" localSheetId="9">'Произв. прогр. Стоки (СВОД)'!_Pi1</definedName>
    <definedName name="спсп" localSheetId="2">'ФАКТИЧЕСКАЯ СЕБЕСТ ВОДА 2017'!_Pi1</definedName>
    <definedName name="спсп" localSheetId="0">'ФАКТИЧЕСКАЯ СЕБЕСТ. СТОКИ 2017'!_Pi1</definedName>
    <definedName name="спсп">[0]!_Pi1</definedName>
    <definedName name="спсп_1" localSheetId="28">'ЗП с факт 3 кв. 2015'!_Pi1</definedName>
    <definedName name="спсп_1" localSheetId="3">'ПОЛНАЯ СЕБЕСТОИМОСТЬ ВОДА 2017'!_Pi1</definedName>
    <definedName name="спсп_1" localSheetId="1">'ПОЛНАЯ СЕБЕСТОИМОСТЬ СТОКИ 2017'!_Pi1</definedName>
    <definedName name="спсп_1" localSheetId="8">'Прил. 1 План ФХД вода табл. 2'!_Pi1</definedName>
    <definedName name="спсп_1" localSheetId="7">'Прил. 1 План ФХД стоки табл 2'!_Pi1</definedName>
    <definedName name="спсп_1" localSheetId="6">'Прил. 1 План ФХД табл 1'!_Pi1</definedName>
    <definedName name="спсп_1" localSheetId="12">'Произв. прогр. Вода'!_Pi1</definedName>
    <definedName name="спсп_1" localSheetId="11">'Произв. прогр. Вода (СВОД)'!_Pi1</definedName>
    <definedName name="спсп_1" localSheetId="10">'Произв. прогр. Стоки'!_Pi1</definedName>
    <definedName name="спсп_1" localSheetId="9">'Произв. прогр. Стоки (СВОД)'!_Pi1</definedName>
    <definedName name="спсп_1" localSheetId="2">'ФАКТИЧЕСКАЯ СЕБЕСТ ВОДА 2017'!_Pi1</definedName>
    <definedName name="спсп_1" localSheetId="0">'ФАКТИЧЕСКАЯ СЕБЕСТ. СТОКИ 2017'!_Pi1</definedName>
    <definedName name="спсп_1">[0]!_Pi1</definedName>
    <definedName name="спсп_13" localSheetId="28">'ЗП с факт 3 кв. 2015'!_Pi1</definedName>
    <definedName name="спсп_13" localSheetId="3">'ПОЛНАЯ СЕБЕСТОИМОСТЬ ВОДА 2017'!_Pi1</definedName>
    <definedName name="спсп_13" localSheetId="1">'ПОЛНАЯ СЕБЕСТОИМОСТЬ СТОКИ 2017'!_Pi1</definedName>
    <definedName name="спсп_13" localSheetId="8">'Прил. 1 План ФХД вода табл. 2'!_Pi1</definedName>
    <definedName name="спсп_13" localSheetId="7">'Прил. 1 План ФХД стоки табл 2'!_Pi1</definedName>
    <definedName name="спсп_13" localSheetId="6">'Прил. 1 План ФХД табл 1'!_Pi1</definedName>
    <definedName name="спсп_13" localSheetId="12">'Произв. прогр. Вода'!_Pi1</definedName>
    <definedName name="спсп_13" localSheetId="11">'Произв. прогр. Вода (СВОД)'!_Pi1</definedName>
    <definedName name="спсп_13" localSheetId="10">'Произв. прогр. Стоки'!_Pi1</definedName>
    <definedName name="спсп_13" localSheetId="9">'Произв. прогр. Стоки (СВОД)'!_Pi1</definedName>
    <definedName name="спсп_13" localSheetId="2">'ФАКТИЧЕСКАЯ СЕБЕСТ ВОДА 2017'!_Pi1</definedName>
    <definedName name="спсп_13" localSheetId="0">'ФАКТИЧЕСКАЯ СЕБЕСТ. СТОКИ 2017'!_Pi1</definedName>
    <definedName name="спсп_13">[0]!_Pi1</definedName>
    <definedName name="спсп_2" localSheetId="28">'ЗП с факт 3 кв. 2015'!_Pi1</definedName>
    <definedName name="спсп_2" localSheetId="3">'ПОЛНАЯ СЕБЕСТОИМОСТЬ ВОДА 2017'!_Pi1</definedName>
    <definedName name="спсп_2" localSheetId="1">'ПОЛНАЯ СЕБЕСТОИМОСТЬ СТОКИ 2017'!_Pi1</definedName>
    <definedName name="спсп_2" localSheetId="8">'Прил. 1 План ФХД вода табл. 2'!_Pi1</definedName>
    <definedName name="спсп_2" localSheetId="7">'Прил. 1 План ФХД стоки табл 2'!_Pi1</definedName>
    <definedName name="спсп_2" localSheetId="6">'Прил. 1 План ФХД табл 1'!_Pi1</definedName>
    <definedName name="спсп_2" localSheetId="12">'Произв. прогр. Вода'!_Pi1</definedName>
    <definedName name="спсп_2" localSheetId="11">'Произв. прогр. Вода (СВОД)'!_Pi1</definedName>
    <definedName name="спсп_2" localSheetId="10">'Произв. прогр. Стоки'!_Pi1</definedName>
    <definedName name="спсп_2" localSheetId="9">'Произв. прогр. Стоки (СВОД)'!_Pi1</definedName>
    <definedName name="спсп_2" localSheetId="2">'ФАКТИЧЕСКАЯ СЕБЕСТ ВОДА 2017'!_Pi1</definedName>
    <definedName name="спсп_2" localSheetId="0">'ФАКТИЧЕСКАЯ СЕБЕСТ. СТОКИ 2017'!_Pi1</definedName>
    <definedName name="спсп_2">[0]!_Pi1</definedName>
    <definedName name="тарифы" localSheetId="28">'ЗП с факт 3 кв. 2015'!_Pi3</definedName>
    <definedName name="тарифы" localSheetId="3">'ПОЛНАЯ СЕБЕСТОИМОСТЬ ВОДА 2017'!_Pi3</definedName>
    <definedName name="тарифы" localSheetId="1">'ПОЛНАЯ СЕБЕСТОИМОСТЬ СТОКИ 2017'!_Pi3</definedName>
    <definedName name="тарифы" localSheetId="8">'Прил. 1 План ФХД вода табл. 2'!_Pi3</definedName>
    <definedName name="тарифы" localSheetId="7">'Прил. 1 План ФХД стоки табл 2'!_Pi3</definedName>
    <definedName name="тарифы" localSheetId="6">'Прил. 1 План ФХД табл 1'!_Pi3</definedName>
    <definedName name="тарифы" localSheetId="12">'Произв. прогр. Вода'!_Pi3</definedName>
    <definedName name="тарифы" localSheetId="11">'Произв. прогр. Вода (СВОД)'!_Pi3</definedName>
    <definedName name="тарифы" localSheetId="10">'Произв. прогр. Стоки'!_Pi3</definedName>
    <definedName name="тарифы" localSheetId="9">'Произв. прогр. Стоки (СВОД)'!_Pi3</definedName>
    <definedName name="тарифы" localSheetId="2">'ФАКТИЧЕСКАЯ СЕБЕСТ ВОДА 2017'!_Pi3</definedName>
    <definedName name="тарифы" localSheetId="0">'ФАКТИЧЕСКАЯ СЕБЕСТ. СТОКИ 2017'!_Pi3</definedName>
    <definedName name="тарифы">[0]!_Pi3</definedName>
    <definedName name="тарифы_1" localSheetId="28">'ЗП с факт 3 кв. 2015'!_Pi3</definedName>
    <definedName name="тарифы_1" localSheetId="3">'ПОЛНАЯ СЕБЕСТОИМОСТЬ ВОДА 2017'!_Pi3</definedName>
    <definedName name="тарифы_1" localSheetId="1">'ПОЛНАЯ СЕБЕСТОИМОСТЬ СТОКИ 2017'!_Pi3</definedName>
    <definedName name="тарифы_1" localSheetId="8">'Прил. 1 План ФХД вода табл. 2'!_Pi3</definedName>
    <definedName name="тарифы_1" localSheetId="7">'Прил. 1 План ФХД стоки табл 2'!_Pi3</definedName>
    <definedName name="тарифы_1" localSheetId="6">'Прил. 1 План ФХД табл 1'!_Pi3</definedName>
    <definedName name="тарифы_1" localSheetId="12">'Произв. прогр. Вода'!_Pi3</definedName>
    <definedName name="тарифы_1" localSheetId="11">'Произв. прогр. Вода (СВОД)'!_Pi3</definedName>
    <definedName name="тарифы_1" localSheetId="10">'Произв. прогр. Стоки'!_Pi3</definedName>
    <definedName name="тарифы_1" localSheetId="9">'Произв. прогр. Стоки (СВОД)'!_Pi3</definedName>
    <definedName name="тарифы_1" localSheetId="2">'ФАКТИЧЕСКАЯ СЕБЕСТ ВОДА 2017'!_Pi3</definedName>
    <definedName name="тарифы_1" localSheetId="0">'ФАКТИЧЕСКАЯ СЕБЕСТ. СТОКИ 2017'!_Pi3</definedName>
    <definedName name="тарифы_1">[0]!_Pi3</definedName>
    <definedName name="тарифы_13" localSheetId="28">'ЗП с факт 3 кв. 2015'!_Pi3</definedName>
    <definedName name="тарифы_13" localSheetId="3">'ПОЛНАЯ СЕБЕСТОИМОСТЬ ВОДА 2017'!_Pi3</definedName>
    <definedName name="тарифы_13" localSheetId="1">'ПОЛНАЯ СЕБЕСТОИМОСТЬ СТОКИ 2017'!_Pi3</definedName>
    <definedName name="тарифы_13" localSheetId="8">'Прил. 1 План ФХД вода табл. 2'!_Pi3</definedName>
    <definedName name="тарифы_13" localSheetId="7">'Прил. 1 План ФХД стоки табл 2'!_Pi3</definedName>
    <definedName name="тарифы_13" localSheetId="6">'Прил. 1 План ФХД табл 1'!_Pi3</definedName>
    <definedName name="тарифы_13" localSheetId="12">'Произв. прогр. Вода'!_Pi3</definedName>
    <definedName name="тарифы_13" localSheetId="11">'Произв. прогр. Вода (СВОД)'!_Pi3</definedName>
    <definedName name="тарифы_13" localSheetId="10">'Произв. прогр. Стоки'!_Pi3</definedName>
    <definedName name="тарифы_13" localSheetId="9">'Произв. прогр. Стоки (СВОД)'!_Pi3</definedName>
    <definedName name="тарифы_13" localSheetId="2">'ФАКТИЧЕСКАЯ СЕБЕСТ ВОДА 2017'!_Pi3</definedName>
    <definedName name="тарифы_13" localSheetId="0">'ФАКТИЧЕСКАЯ СЕБЕСТ. СТОКИ 2017'!_Pi3</definedName>
    <definedName name="тарифы_13">[0]!_Pi3</definedName>
    <definedName name="тарифы_2" localSheetId="28">'ЗП с факт 3 кв. 2015'!_Pi3</definedName>
    <definedName name="тарифы_2" localSheetId="3">'ПОЛНАЯ СЕБЕСТОИМОСТЬ ВОДА 2017'!_Pi3</definedName>
    <definedName name="тарифы_2" localSheetId="1">'ПОЛНАЯ СЕБЕСТОИМОСТЬ СТОКИ 2017'!_Pi3</definedName>
    <definedName name="тарифы_2" localSheetId="8">'Прил. 1 План ФХД вода табл. 2'!_Pi3</definedName>
    <definedName name="тарифы_2" localSheetId="7">'Прил. 1 План ФХД стоки табл 2'!_Pi3</definedName>
    <definedName name="тарифы_2" localSheetId="6">'Прил. 1 План ФХД табл 1'!_Pi3</definedName>
    <definedName name="тарифы_2" localSheetId="12">'Произв. прогр. Вода'!_Pi3</definedName>
    <definedName name="тарифы_2" localSheetId="11">'Произв. прогр. Вода (СВОД)'!_Pi3</definedName>
    <definedName name="тарифы_2" localSheetId="10">'Произв. прогр. Стоки'!_Pi3</definedName>
    <definedName name="тарифы_2" localSheetId="9">'Произв. прогр. Стоки (СВОД)'!_Pi3</definedName>
    <definedName name="тарифы_2" localSheetId="2">'ФАКТИЧЕСКАЯ СЕБЕСТ ВОДА 2017'!_Pi3</definedName>
    <definedName name="тарифы_2" localSheetId="0">'ФАКТИЧЕСКАЯ СЕБЕСТ. СТОКИ 2017'!_Pi3</definedName>
    <definedName name="тарифы_2">[0]!_Pi3</definedName>
    <definedName name="тир" localSheetId="28">'[4]распределение январь по бухг.'!#REF!</definedName>
    <definedName name="тир" localSheetId="3">'[4]распределение январь по бухг.'!#REF!</definedName>
    <definedName name="тир" localSheetId="1">'[4]распределение январь по бухг.'!#REF!</definedName>
    <definedName name="тир" localSheetId="6">'[4]распределение январь по бухг.'!#REF!</definedName>
    <definedName name="тир" localSheetId="18">'[4]распределение январь по бухг.'!#REF!</definedName>
    <definedName name="тир" localSheetId="14">'[4]распределение январь по бухг.'!#REF!</definedName>
    <definedName name="тир" localSheetId="47">'[4]распределение январь по бухг.'!#REF!</definedName>
    <definedName name="тир" localSheetId="46">'[4]распределение январь по бухг.'!#REF!</definedName>
    <definedName name="тир" localSheetId="45">'[4]распределение январь по бухг.'!#REF!</definedName>
    <definedName name="тир" localSheetId="2">'[4]распределение январь по бухг.'!#REF!</definedName>
    <definedName name="тир" localSheetId="0">'[4]распределение январь по бухг.'!#REF!</definedName>
    <definedName name="тир" localSheetId="23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[8]Нормат!$J$23</definedName>
    <definedName name="тпп" localSheetId="28">#REF!</definedName>
    <definedName name="тпп" localSheetId="6">#REF!</definedName>
    <definedName name="тпп" localSheetId="18">#REF!</definedName>
    <definedName name="тпп" localSheetId="14">#REF!</definedName>
    <definedName name="тпп" localSheetId="47">#REF!</definedName>
    <definedName name="тпп" localSheetId="46">#REF!</definedName>
    <definedName name="тпп" localSheetId="45">#REF!</definedName>
    <definedName name="тпп" localSheetId="23">#REF!</definedName>
    <definedName name="тпп">#REF!</definedName>
    <definedName name="тпп_1" localSheetId="28">#REF!</definedName>
    <definedName name="тпп_1" localSheetId="6">#REF!</definedName>
    <definedName name="тпп_1" localSheetId="18">#REF!</definedName>
    <definedName name="тпп_1" localSheetId="14">#REF!</definedName>
    <definedName name="тпп_1" localSheetId="47">#REF!</definedName>
    <definedName name="тпп_1" localSheetId="46">#REF!</definedName>
    <definedName name="тпп_1" localSheetId="45">#REF!</definedName>
    <definedName name="тпп_1" localSheetId="23">#REF!</definedName>
    <definedName name="тпп_1">#REF!</definedName>
    <definedName name="тпп_13" localSheetId="28">#REF!</definedName>
    <definedName name="тпп_13" localSheetId="6">#REF!</definedName>
    <definedName name="тпп_13" localSheetId="18">#REF!</definedName>
    <definedName name="тпп_13" localSheetId="14">#REF!</definedName>
    <definedName name="тпп_13" localSheetId="47">#REF!</definedName>
    <definedName name="тпп_13" localSheetId="46">#REF!</definedName>
    <definedName name="тпп_13" localSheetId="45">#REF!</definedName>
    <definedName name="тпп_13" localSheetId="23">#REF!</definedName>
    <definedName name="тпп_13">#REF!</definedName>
    <definedName name="тпп_2" localSheetId="6">#REF!</definedName>
    <definedName name="тпп_2" localSheetId="18">#REF!</definedName>
    <definedName name="тпп_2" localSheetId="14">#REF!</definedName>
    <definedName name="тпп_2" localSheetId="47">#REF!</definedName>
    <definedName name="тпп_2" localSheetId="46">#REF!</definedName>
    <definedName name="тпп_2" localSheetId="45">#REF!</definedName>
    <definedName name="тпп_2" localSheetId="23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28">'ЗП с факт 3 кв. 2015'!ц</definedName>
    <definedName name="ц" localSheetId="3">#N/A</definedName>
    <definedName name="ц" localSheetId="1">#N/A</definedName>
    <definedName name="ц" localSheetId="8">#N/A</definedName>
    <definedName name="ц" localSheetId="7">#N/A</definedName>
    <definedName name="ц" localSheetId="6">#N/A</definedName>
    <definedName name="ц" localSheetId="12">#N/A</definedName>
    <definedName name="ц" localSheetId="11">#N/A</definedName>
    <definedName name="ц" localSheetId="10">#N/A</definedName>
    <definedName name="ц" localSheetId="9">#N/A</definedName>
    <definedName name="ц" localSheetId="2">#N/A</definedName>
    <definedName name="ц" localSheetId="0">#N/A</definedName>
    <definedName name="ц">'ЗП с факт 3 кв. 2015'!ц</definedName>
    <definedName name="ц_10" localSheetId="28">'ЗП с факт 3 кв. 2015'!ц</definedName>
    <definedName name="ц_10" localSheetId="3">'ПОЛНАЯ СЕБЕСТОИМОСТЬ ВОДА 2017'!ц</definedName>
    <definedName name="ц_10" localSheetId="1">'ПОЛНАЯ СЕБЕСТОИМОСТЬ СТОКИ 2017'!ц</definedName>
    <definedName name="ц_10" localSheetId="8">'Прил. 1 План ФХД вода табл. 2'!ц</definedName>
    <definedName name="ц_10" localSheetId="7">'Прил. 1 План ФХД стоки табл 2'!ц</definedName>
    <definedName name="ц_10" localSheetId="6">'Прил. 1 План ФХД табл 1'!ц</definedName>
    <definedName name="ц_10" localSheetId="12">'Произв. прогр. Вода'!ц</definedName>
    <definedName name="ц_10" localSheetId="11">'Произв. прогр. Вода (СВОД)'!ц</definedName>
    <definedName name="ц_10" localSheetId="10">'Произв. прогр. Стоки'!ц</definedName>
    <definedName name="ц_10" localSheetId="9">'Произв. прогр. Стоки (СВОД)'!ц</definedName>
    <definedName name="ц_10" localSheetId="2">'ФАКТИЧЕСКАЯ СЕБЕСТ ВОДА 2017'!ц</definedName>
    <definedName name="ц_10" localSheetId="0">'ФАКТИЧЕСКАЯ СЕБЕСТ. СТОКИ 2017'!ц</definedName>
    <definedName name="ц_10">[0]!ц</definedName>
    <definedName name="ц_14" localSheetId="28">'ЗП с факт 3 кв. 2015'!ц</definedName>
    <definedName name="ц_14" localSheetId="3">'ПОЛНАЯ СЕБЕСТОИМОСТЬ ВОДА 2017'!ц</definedName>
    <definedName name="ц_14" localSheetId="1">'ПОЛНАЯ СЕБЕСТОИМОСТЬ СТОКИ 2017'!ц</definedName>
    <definedName name="ц_14" localSheetId="8">'Прил. 1 План ФХД вода табл. 2'!ц</definedName>
    <definedName name="ц_14" localSheetId="7">'Прил. 1 План ФХД стоки табл 2'!ц</definedName>
    <definedName name="ц_14" localSheetId="6">'Прил. 1 План ФХД табл 1'!ц</definedName>
    <definedName name="ц_14" localSheetId="12">'Произв. прогр. Вода'!ц</definedName>
    <definedName name="ц_14" localSheetId="11">'Произв. прогр. Вода (СВОД)'!ц</definedName>
    <definedName name="ц_14" localSheetId="10">'Произв. прогр. Стоки'!ц</definedName>
    <definedName name="ц_14" localSheetId="9">'Произв. прогр. Стоки (СВОД)'!ц</definedName>
    <definedName name="ц_14" localSheetId="2">'ФАКТИЧЕСКАЯ СЕБЕСТ ВОДА 2017'!ц</definedName>
    <definedName name="ц_14" localSheetId="0">'ФАКТИЧЕСКАЯ СЕБЕСТ. СТОКИ 2017'!ц</definedName>
    <definedName name="ц_14">[0]!ц</definedName>
    <definedName name="ц_15" localSheetId="28">'ЗП с факт 3 кв. 2015'!ц</definedName>
    <definedName name="ц_15" localSheetId="3">'ПОЛНАЯ СЕБЕСТОИМОСТЬ ВОДА 2017'!ц</definedName>
    <definedName name="ц_15" localSheetId="1">'ПОЛНАЯ СЕБЕСТОИМОСТЬ СТОКИ 2017'!ц</definedName>
    <definedName name="ц_15" localSheetId="8">'Прил. 1 План ФХД вода табл. 2'!ц</definedName>
    <definedName name="ц_15" localSheetId="7">'Прил. 1 План ФХД стоки табл 2'!ц</definedName>
    <definedName name="ц_15" localSheetId="6">'Прил. 1 План ФХД табл 1'!ц</definedName>
    <definedName name="ц_15" localSheetId="12">'Произв. прогр. Вода'!ц</definedName>
    <definedName name="ц_15" localSheetId="11">'Произв. прогр. Вода (СВОД)'!ц</definedName>
    <definedName name="ц_15" localSheetId="10">'Произв. прогр. Стоки'!ц</definedName>
    <definedName name="ц_15" localSheetId="9">'Произв. прогр. Стоки (СВОД)'!ц</definedName>
    <definedName name="ц_15" localSheetId="2">'ФАКТИЧЕСКАЯ СЕБЕСТ ВОДА 2017'!ц</definedName>
    <definedName name="ц_15" localSheetId="0">'ФАКТИЧЕСКАЯ СЕБЕСТ. СТОКИ 2017'!ц</definedName>
    <definedName name="ц_15">[0]!ц</definedName>
    <definedName name="ц_16" localSheetId="28">'ЗП с факт 3 кв. 2015'!ц</definedName>
    <definedName name="ц_16" localSheetId="3">'ПОЛНАЯ СЕБЕСТОИМОСТЬ ВОДА 2017'!ц</definedName>
    <definedName name="ц_16" localSheetId="1">'ПОЛНАЯ СЕБЕСТОИМОСТЬ СТОКИ 2017'!ц</definedName>
    <definedName name="ц_16" localSheetId="8">'Прил. 1 План ФХД вода табл. 2'!ц</definedName>
    <definedName name="ц_16" localSheetId="7">'Прил. 1 План ФХД стоки табл 2'!ц</definedName>
    <definedName name="ц_16" localSheetId="6">'Прил. 1 План ФХД табл 1'!ц</definedName>
    <definedName name="ц_16" localSheetId="12">'Произв. прогр. Вода'!ц</definedName>
    <definedName name="ц_16" localSheetId="11">'Произв. прогр. Вода (СВОД)'!ц</definedName>
    <definedName name="ц_16" localSheetId="10">'Произв. прогр. Стоки'!ц</definedName>
    <definedName name="ц_16" localSheetId="9">'Произв. прогр. Стоки (СВОД)'!ц</definedName>
    <definedName name="ц_16" localSheetId="2">'ФАКТИЧЕСКАЯ СЕБЕСТ ВОДА 2017'!ц</definedName>
    <definedName name="ц_16" localSheetId="0">'ФАКТИЧЕСКАЯ СЕБЕСТ. СТОКИ 2017'!ц</definedName>
    <definedName name="ц_16">[0]!ц</definedName>
    <definedName name="ц_2" localSheetId="28">'ЗП с факт 3 кв. 2015'!ц</definedName>
    <definedName name="ц_2" localSheetId="3">'ПОЛНАЯ СЕБЕСТОИМОСТЬ ВОДА 2017'!ц</definedName>
    <definedName name="ц_2" localSheetId="1">'ПОЛНАЯ СЕБЕСТОИМОСТЬ СТОКИ 2017'!ц</definedName>
    <definedName name="ц_2" localSheetId="8">'Прил. 1 План ФХД вода табл. 2'!ц</definedName>
    <definedName name="ц_2" localSheetId="7">'Прил. 1 План ФХД стоки табл 2'!ц</definedName>
    <definedName name="ц_2" localSheetId="6">'Прил. 1 План ФХД табл 1'!ц</definedName>
    <definedName name="ц_2" localSheetId="12">'Произв. прогр. Вода'!ц</definedName>
    <definedName name="ц_2" localSheetId="11">'Произв. прогр. Вода (СВОД)'!ц</definedName>
    <definedName name="ц_2" localSheetId="10">'Произв. прогр. Стоки'!ц</definedName>
    <definedName name="ц_2" localSheetId="9">'Произв. прогр. Стоки (СВОД)'!ц</definedName>
    <definedName name="ц_2" localSheetId="2">'ФАКТИЧЕСКАЯ СЕБЕСТ ВОДА 2017'!ц</definedName>
    <definedName name="ц_2" localSheetId="0">'ФАКТИЧЕСКАЯ СЕБЕСТ. СТОКИ 2017'!ц</definedName>
    <definedName name="ц_2">[0]!ц</definedName>
    <definedName name="чсваакеппрроо">#N/A</definedName>
    <definedName name="чяыйфцуккееенен" localSheetId="28">[5]Прибыль1!#REF!</definedName>
    <definedName name="чяыйфцуккееенен" localSheetId="6">[5]Прибыль1!#REF!</definedName>
    <definedName name="чяыйфцуккееенен" localSheetId="18">[5]Прибыль1!#REF!</definedName>
    <definedName name="чяыйфцуккееенен" localSheetId="14">[5]Прибыль1!#REF!</definedName>
    <definedName name="чяыйфцуккееенен" localSheetId="47">[5]Прибыль1!#REF!</definedName>
    <definedName name="чяыйфцуккееенен" localSheetId="46">[5]Прибыль1!#REF!</definedName>
    <definedName name="чяыйфцуккееенен" localSheetId="45">[5]Прибыль1!#REF!</definedName>
    <definedName name="чяыйфцуккееенен" localSheetId="23">[5]Прибыль1!#REF!</definedName>
    <definedName name="чяыйфцуккееенен">[5]Прибыль1!#REF!</definedName>
    <definedName name="ш" localSheetId="28">'ЗП с факт 3 кв. 2015'!про</definedName>
    <definedName name="ш" localSheetId="3">'ПОЛНАЯ СЕБЕСТОИМОСТЬ ВОДА 2017'!про</definedName>
    <definedName name="ш" localSheetId="1">'ПОЛНАЯ СЕБЕСТОИМОСТЬ СТОКИ 2017'!про</definedName>
    <definedName name="ш" localSheetId="8">'Прил. 1 План ФХД вода табл. 2'!про</definedName>
    <definedName name="ш" localSheetId="7">'Прил. 1 План ФХД стоки табл 2'!про</definedName>
    <definedName name="ш" localSheetId="6">'Прил. 1 План ФХД табл 1'!про</definedName>
    <definedName name="ш" localSheetId="12">'Произв. прогр. Вода'!про</definedName>
    <definedName name="ш" localSheetId="11">'Произв. прогр. Вода (СВОД)'!про</definedName>
    <definedName name="ш" localSheetId="10">'Произв. прогр. Стоки'!про</definedName>
    <definedName name="ш" localSheetId="9">'Произв. прогр. Стоки (СВОД)'!про</definedName>
    <definedName name="ш" localSheetId="2">'ФАКТИЧЕСКАЯ СЕБЕСТ ВОДА 2017'!про</definedName>
    <definedName name="ш" localSheetId="0">'ФАКТИЧЕСКАЯ СЕБЕСТ. СТОКИ 2017'!про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25725"/>
  <fileRecoveryPr autoRecover="0"/>
</workbook>
</file>

<file path=xl/calcChain.xml><?xml version="1.0" encoding="utf-8"?>
<calcChain xmlns="http://schemas.openxmlformats.org/spreadsheetml/2006/main">
  <c r="AZ8" i="104"/>
  <c r="AY50"/>
  <c r="AY49"/>
  <c r="AT49"/>
  <c r="AT50"/>
  <c r="AY48"/>
  <c r="U113" i="103"/>
  <c r="R55" i="101"/>
  <c r="R40" i="103"/>
  <c r="R56" i="101"/>
  <c r="AH13" i="102"/>
  <c r="AH10"/>
  <c r="L9" i="101"/>
  <c r="Q81"/>
  <c r="Q33" i="103"/>
  <c r="Q96" i="101"/>
  <c r="Q86"/>
  <c r="Q107"/>
  <c r="Q61"/>
  <c r="Q77"/>
  <c r="Q54"/>
  <c r="Q63"/>
  <c r="Q51"/>
  <c r="Q52"/>
  <c r="Q37" i="103"/>
  <c r="Q79"/>
  <c r="Q70"/>
  <c r="Q49"/>
  <c r="Q66"/>
  <c r="Q19"/>
  <c r="Q112" i="101"/>
  <c r="AM27" i="102" l="1"/>
  <c r="Q16" i="101"/>
  <c r="P96" l="1"/>
  <c r="P86"/>
  <c r="P107"/>
  <c r="P81"/>
  <c r="P63"/>
  <c r="P69"/>
  <c r="P54"/>
  <c r="P37" i="103"/>
  <c r="P79"/>
  <c r="P70"/>
  <c r="P65"/>
  <c r="P49"/>
  <c r="P55"/>
  <c r="P113" i="101"/>
  <c r="P55"/>
  <c r="J110" i="103"/>
  <c r="J64"/>
  <c r="J59"/>
  <c r="J43"/>
  <c r="J34"/>
  <c r="AF50" i="104"/>
  <c r="AA50"/>
  <c r="AA49"/>
  <c r="R45"/>
  <c r="I120" i="101"/>
  <c r="I99" i="103"/>
  <c r="I56" i="101"/>
  <c r="I55"/>
  <c r="I67"/>
  <c r="I96"/>
  <c r="I107"/>
  <c r="I102"/>
  <c r="I69"/>
  <c r="I77"/>
  <c r="I63"/>
  <c r="I51"/>
  <c r="I52"/>
  <c r="I54"/>
  <c r="I37" i="103"/>
  <c r="I61"/>
  <c r="I49"/>
  <c r="I36"/>
  <c r="I19"/>
  <c r="I91"/>
  <c r="I67"/>
  <c r="I112" i="101"/>
  <c r="BP67" i="102"/>
  <c r="BP66"/>
  <c r="BK67"/>
  <c r="BK66"/>
  <c r="AW67"/>
  <c r="AW66"/>
  <c r="AR67"/>
  <c r="AR66"/>
  <c r="AD67"/>
  <c r="AD66"/>
  <c r="Y67"/>
  <c r="Y66"/>
  <c r="K67"/>
  <c r="K66"/>
  <c r="O8"/>
  <c r="J10"/>
  <c r="O10"/>
  <c r="E142" i="101"/>
  <c r="E135"/>
  <c r="E130"/>
  <c r="E116"/>
  <c r="E109"/>
  <c r="E92"/>
  <c r="E85"/>
  <c r="E58"/>
  <c r="C75"/>
  <c r="D75"/>
  <c r="E75"/>
  <c r="E49"/>
  <c r="E147"/>
  <c r="E42"/>
  <c r="E33"/>
  <c r="E25"/>
  <c r="BJ52" i="102"/>
  <c r="C79" i="103"/>
  <c r="C96" i="101"/>
  <c r="C77"/>
  <c r="C63"/>
  <c r="C52"/>
  <c r="C69"/>
  <c r="C37" i="103"/>
  <c r="C70"/>
  <c r="C49"/>
  <c r="C39"/>
  <c r="C55"/>
  <c r="C19"/>
  <c r="C91"/>
  <c r="C112" i="101"/>
  <c r="BI54" i="10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F31"/>
  <c r="BF30"/>
  <c r="BF29"/>
  <c r="BF28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AP54"/>
  <c r="AP53"/>
  <c r="AP52"/>
  <c r="AP30"/>
  <c r="AM54"/>
  <c r="AM53"/>
  <c r="AM52"/>
  <c r="AM44"/>
  <c r="AM43"/>
  <c r="AM42"/>
  <c r="AM41"/>
  <c r="AM30"/>
  <c r="AJ54"/>
  <c r="AJ53"/>
  <c r="AJ52"/>
  <c r="P167" i="103"/>
  <c r="AJ51" i="104"/>
  <c r="P166" i="103"/>
  <c r="AJ50" i="104"/>
  <c r="P165" i="103"/>
  <c r="AJ49" i="104"/>
  <c r="P164" i="103"/>
  <c r="AJ48" i="104"/>
  <c r="AJ44"/>
  <c r="AJ43"/>
  <c r="AJ42"/>
  <c r="AJ41"/>
  <c r="AJ30"/>
  <c r="P145" i="103"/>
  <c r="AJ29" i="104"/>
  <c r="P144" i="103"/>
  <c r="AJ28" i="104"/>
  <c r="W54"/>
  <c r="W53"/>
  <c r="W52"/>
  <c r="W30"/>
  <c r="T54"/>
  <c r="T53"/>
  <c r="T52"/>
  <c r="T44"/>
  <c r="T43"/>
  <c r="T42"/>
  <c r="T41"/>
  <c r="T30"/>
  <c r="Q54"/>
  <c r="Q53"/>
  <c r="Q52"/>
  <c r="Q44"/>
  <c r="Q43"/>
  <c r="Q42"/>
  <c r="Q41"/>
  <c r="Q30"/>
  <c r="I54"/>
  <c r="I53"/>
  <c r="I52"/>
  <c r="I44"/>
  <c r="I42"/>
  <c r="I30"/>
  <c r="F54"/>
  <c r="F53"/>
  <c r="F52"/>
  <c r="F44"/>
  <c r="F43"/>
  <c r="F42"/>
  <c r="F41"/>
  <c r="F30"/>
  <c r="C54"/>
  <c r="C53"/>
  <c r="C52"/>
  <c r="C44"/>
  <c r="C43"/>
  <c r="C42"/>
  <c r="C41"/>
  <c r="C30"/>
  <c r="BI12"/>
  <c r="BI11"/>
  <c r="BI10"/>
  <c r="BI9"/>
  <c r="BI8"/>
  <c r="BF12"/>
  <c r="BF11"/>
  <c r="BF10"/>
  <c r="BF9"/>
  <c r="BF8"/>
  <c r="BC12"/>
  <c r="BC11"/>
  <c r="BC10"/>
  <c r="BC9"/>
  <c r="BC8"/>
  <c r="AP12"/>
  <c r="AP11"/>
  <c r="AP10"/>
  <c r="AP8"/>
  <c r="AM12"/>
  <c r="AM11"/>
  <c r="AM10"/>
  <c r="AM8"/>
  <c r="AJ12"/>
  <c r="AJ11"/>
  <c r="AJ10"/>
  <c r="AJ8"/>
  <c r="W12"/>
  <c r="W11"/>
  <c r="W10"/>
  <c r="W8"/>
  <c r="T12"/>
  <c r="T11"/>
  <c r="T10"/>
  <c r="T8"/>
  <c r="Z8"/>
  <c r="Q12"/>
  <c r="Q11"/>
  <c r="Q10"/>
  <c r="Q8"/>
  <c r="I12"/>
  <c r="I11"/>
  <c r="I10"/>
  <c r="I8"/>
  <c r="F12"/>
  <c r="F11"/>
  <c r="F10"/>
  <c r="F8"/>
  <c r="C12"/>
  <c r="C11"/>
  <c r="C10"/>
  <c r="C8"/>
  <c r="AT48"/>
  <c r="AN66"/>
  <c r="AK66"/>
  <c r="AF49"/>
  <c r="AA48"/>
  <c r="AF48"/>
  <c r="U66"/>
  <c r="R66"/>
  <c r="M50"/>
  <c r="M49"/>
  <c r="M48"/>
  <c r="K46"/>
  <c r="D9"/>
  <c r="D8"/>
  <c r="BH64"/>
  <c r="BE64"/>
  <c r="BB64"/>
  <c r="AO64"/>
  <c r="AL64"/>
  <c r="AI64"/>
  <c r="V64"/>
  <c r="S64"/>
  <c r="P64"/>
  <c r="H64"/>
  <c r="E64"/>
  <c r="B64"/>
  <c r="BH63"/>
  <c r="BE63"/>
  <c r="BB63"/>
  <c r="AO63"/>
  <c r="AL63"/>
  <c r="AI63"/>
  <c r="V63"/>
  <c r="S63"/>
  <c r="P63"/>
  <c r="H63"/>
  <c r="E63"/>
  <c r="B63"/>
  <c r="BH59"/>
  <c r="BE59"/>
  <c r="BB59"/>
  <c r="AO59"/>
  <c r="AL59"/>
  <c r="AI59"/>
  <c r="V59"/>
  <c r="S59"/>
  <c r="P59"/>
  <c r="H59"/>
  <c r="E59"/>
  <c r="B59"/>
  <c r="AT56"/>
  <c r="AY56"/>
  <c r="AS56"/>
  <c r="AU56"/>
  <c r="AV56"/>
  <c r="AR56"/>
  <c r="AW56"/>
  <c r="AA56"/>
  <c r="AF56"/>
  <c r="Z56"/>
  <c r="AB56"/>
  <c r="AC56"/>
  <c r="Y56"/>
  <c r="AD56"/>
  <c r="M56"/>
  <c r="L56"/>
  <c r="N56"/>
  <c r="O56"/>
  <c r="K56"/>
  <c r="BM56"/>
  <c r="BL56"/>
  <c r="BN56"/>
  <c r="BO56"/>
  <c r="BK56"/>
  <c r="BH56"/>
  <c r="BE56"/>
  <c r="BB56"/>
  <c r="AO56"/>
  <c r="AL56"/>
  <c r="AI56"/>
  <c r="V56"/>
  <c r="S56"/>
  <c r="P56"/>
  <c r="H56"/>
  <c r="E56"/>
  <c r="B56"/>
  <c r="BH54"/>
  <c r="BH53"/>
  <c r="BH52"/>
  <c r="BE54"/>
  <c r="BE53"/>
  <c r="BE52"/>
  <c r="BB54"/>
  <c r="BB53"/>
  <c r="BB52"/>
  <c r="AO54"/>
  <c r="AO53"/>
  <c r="AO52"/>
  <c r="AL54"/>
  <c r="AL53"/>
  <c r="AL52"/>
  <c r="AI54"/>
  <c r="AI53"/>
  <c r="AI52"/>
  <c r="V54"/>
  <c r="V53"/>
  <c r="V52"/>
  <c r="S54"/>
  <c r="S53"/>
  <c r="S52"/>
  <c r="P54"/>
  <c r="P53"/>
  <c r="P52"/>
  <c r="H54"/>
  <c r="H53"/>
  <c r="H52"/>
  <c r="E54"/>
  <c r="E53"/>
  <c r="E52"/>
  <c r="B54"/>
  <c r="B53"/>
  <c r="B52"/>
  <c r="BH51"/>
  <c r="BE51"/>
  <c r="BB51"/>
  <c r="AO51"/>
  <c r="AL51"/>
  <c r="AI51"/>
  <c r="V51"/>
  <c r="S51"/>
  <c r="P51"/>
  <c r="H51"/>
  <c r="E51"/>
  <c r="AE56"/>
  <c r="AX56"/>
  <c r="BQ56"/>
  <c r="BS56"/>
  <c r="BT56"/>
  <c r="BP56"/>
  <c r="BR56"/>
  <c r="AG56"/>
  <c r="AH56"/>
  <c r="AZ56"/>
  <c r="BA56"/>
  <c r="BH47"/>
  <c r="BH46"/>
  <c r="BH45"/>
  <c r="BH44"/>
  <c r="BH43"/>
  <c r="BH42"/>
  <c r="BH41"/>
  <c r="BE47"/>
  <c r="BE46"/>
  <c r="BE45"/>
  <c r="BE44"/>
  <c r="BE43"/>
  <c r="BE42"/>
  <c r="BE41"/>
  <c r="BB47"/>
  <c r="BB46"/>
  <c r="BB45"/>
  <c r="BB44"/>
  <c r="BB43"/>
  <c r="BB42"/>
  <c r="BB41"/>
  <c r="AO47"/>
  <c r="AO46"/>
  <c r="AO45"/>
  <c r="AO44"/>
  <c r="AO43"/>
  <c r="AO42"/>
  <c r="AO41"/>
  <c r="AL47"/>
  <c r="AL46"/>
  <c r="AL45"/>
  <c r="AL44"/>
  <c r="AL43"/>
  <c r="AL42"/>
  <c r="AL41"/>
  <c r="AI47"/>
  <c r="AI46"/>
  <c r="AI45"/>
  <c r="AI44"/>
  <c r="AI43"/>
  <c r="AI42"/>
  <c r="AI41"/>
  <c r="V47"/>
  <c r="V46"/>
  <c r="V45"/>
  <c r="V44"/>
  <c r="V43"/>
  <c r="V42"/>
  <c r="V41"/>
  <c r="S47"/>
  <c r="S46"/>
  <c r="S45"/>
  <c r="S44"/>
  <c r="S43"/>
  <c r="S42"/>
  <c r="S41"/>
  <c r="P47"/>
  <c r="P46"/>
  <c r="P45"/>
  <c r="P44"/>
  <c r="P43"/>
  <c r="P42"/>
  <c r="P41"/>
  <c r="H47"/>
  <c r="H46"/>
  <c r="H45"/>
  <c r="H44"/>
  <c r="H43"/>
  <c r="H42"/>
  <c r="H41"/>
  <c r="E47"/>
  <c r="E46"/>
  <c r="E45"/>
  <c r="E44"/>
  <c r="E43"/>
  <c r="E42"/>
  <c r="E41"/>
  <c r="B47"/>
  <c r="B46"/>
  <c r="B45"/>
  <c r="B44"/>
  <c r="B43"/>
  <c r="B42"/>
  <c r="B41"/>
  <c r="BH38"/>
  <c r="BH37"/>
  <c r="BH36"/>
  <c r="BH35"/>
  <c r="BH34"/>
  <c r="BH33"/>
  <c r="BH32"/>
  <c r="BH31"/>
  <c r="BH30"/>
  <c r="BH29"/>
  <c r="BH28"/>
  <c r="BE38"/>
  <c r="BE37"/>
  <c r="BE36"/>
  <c r="BE35"/>
  <c r="BE34"/>
  <c r="BE33"/>
  <c r="BE32"/>
  <c r="BE31"/>
  <c r="BE30"/>
  <c r="BE29"/>
  <c r="BE28"/>
  <c r="BB38"/>
  <c r="BB37"/>
  <c r="BB36"/>
  <c r="BB35"/>
  <c r="BB34"/>
  <c r="BB33"/>
  <c r="BB32"/>
  <c r="BB31"/>
  <c r="BB30"/>
  <c r="BB29"/>
  <c r="BB28"/>
  <c r="AO38"/>
  <c r="AO37"/>
  <c r="AO36"/>
  <c r="AO35"/>
  <c r="AO34"/>
  <c r="AO33"/>
  <c r="AO32"/>
  <c r="AO31"/>
  <c r="AO30"/>
  <c r="AO29"/>
  <c r="AO28"/>
  <c r="AL38"/>
  <c r="AL37"/>
  <c r="AL36"/>
  <c r="AL35"/>
  <c r="AL34"/>
  <c r="AL33"/>
  <c r="AL32"/>
  <c r="AL31"/>
  <c r="AL30"/>
  <c r="AL29"/>
  <c r="AL28"/>
  <c r="AI38"/>
  <c r="AI37"/>
  <c r="AI36"/>
  <c r="AI35"/>
  <c r="AI34"/>
  <c r="AI33"/>
  <c r="AI32"/>
  <c r="AI31"/>
  <c r="AI30"/>
  <c r="AI29"/>
  <c r="AI28"/>
  <c r="V38"/>
  <c r="V37"/>
  <c r="V36"/>
  <c r="V35"/>
  <c r="V34"/>
  <c r="V33"/>
  <c r="V32"/>
  <c r="V31"/>
  <c r="V30"/>
  <c r="V29"/>
  <c r="V28"/>
  <c r="S38"/>
  <c r="S37"/>
  <c r="S36"/>
  <c r="S35"/>
  <c r="S34"/>
  <c r="S33"/>
  <c r="S32"/>
  <c r="S31"/>
  <c r="S30"/>
  <c r="S29"/>
  <c r="S28"/>
  <c r="P38"/>
  <c r="P37"/>
  <c r="P36"/>
  <c r="P35"/>
  <c r="P34"/>
  <c r="P33"/>
  <c r="P32"/>
  <c r="P31"/>
  <c r="P30"/>
  <c r="P29"/>
  <c r="P28"/>
  <c r="H38"/>
  <c r="H37"/>
  <c r="H36"/>
  <c r="H35"/>
  <c r="H34"/>
  <c r="H33"/>
  <c r="H32"/>
  <c r="H31"/>
  <c r="H30"/>
  <c r="H29"/>
  <c r="H28"/>
  <c r="E38"/>
  <c r="E37"/>
  <c r="E36"/>
  <c r="E35"/>
  <c r="E34"/>
  <c r="E33"/>
  <c r="E32"/>
  <c r="E31"/>
  <c r="E30"/>
  <c r="E29"/>
  <c r="E28"/>
  <c r="BH39"/>
  <c r="BE39"/>
  <c r="BB39"/>
  <c r="AO39"/>
  <c r="AL39"/>
  <c r="AI39"/>
  <c r="V39"/>
  <c r="S39"/>
  <c r="P39"/>
  <c r="H39"/>
  <c r="E39"/>
  <c r="B39"/>
  <c r="B51"/>
  <c r="B38"/>
  <c r="B37"/>
  <c r="B40"/>
  <c r="B36"/>
  <c r="B35"/>
  <c r="B34"/>
  <c r="B33"/>
  <c r="B32"/>
  <c r="B31"/>
  <c r="B30"/>
  <c r="B29"/>
  <c r="B28"/>
  <c r="BH23"/>
  <c r="BH22"/>
  <c r="BH21"/>
  <c r="BH20"/>
  <c r="BH19"/>
  <c r="BH18"/>
  <c r="BH17"/>
  <c r="BE23"/>
  <c r="BE22"/>
  <c r="BE21"/>
  <c r="BE20"/>
  <c r="BE19"/>
  <c r="BE18"/>
  <c r="BE17"/>
  <c r="BB23"/>
  <c r="BB22"/>
  <c r="BB21"/>
  <c r="BB20"/>
  <c r="BB19"/>
  <c r="BB18"/>
  <c r="BB17"/>
  <c r="AO23"/>
  <c r="AO22"/>
  <c r="AO21"/>
  <c r="AO20"/>
  <c r="AO19"/>
  <c r="AO18"/>
  <c r="AO17"/>
  <c r="AL23"/>
  <c r="AL22"/>
  <c r="AL21"/>
  <c r="AL20"/>
  <c r="AL19"/>
  <c r="AL18"/>
  <c r="AL17"/>
  <c r="AI23"/>
  <c r="AI22"/>
  <c r="AI21"/>
  <c r="AI20"/>
  <c r="AI19"/>
  <c r="AI18"/>
  <c r="AI17"/>
  <c r="V23"/>
  <c r="V22"/>
  <c r="V21"/>
  <c r="V20"/>
  <c r="V19"/>
  <c r="V18"/>
  <c r="V17"/>
  <c r="S23"/>
  <c r="S22"/>
  <c r="S21"/>
  <c r="S20"/>
  <c r="S19"/>
  <c r="S18"/>
  <c r="S17"/>
  <c r="P23"/>
  <c r="P22"/>
  <c r="P21"/>
  <c r="P20"/>
  <c r="P19"/>
  <c r="P18"/>
  <c r="P17"/>
  <c r="H23"/>
  <c r="H22"/>
  <c r="H21"/>
  <c r="H20"/>
  <c r="H19"/>
  <c r="H18"/>
  <c r="H17"/>
  <c r="E23"/>
  <c r="E22"/>
  <c r="E21"/>
  <c r="E20"/>
  <c r="E19"/>
  <c r="E18"/>
  <c r="E17"/>
  <c r="B23"/>
  <c r="B22"/>
  <c r="B21"/>
  <c r="B20"/>
  <c r="B19"/>
  <c r="B18"/>
  <c r="B17"/>
  <c r="AI12"/>
  <c r="AI11"/>
  <c r="AI10"/>
  <c r="AI9"/>
  <c r="AI8"/>
  <c r="BH12"/>
  <c r="BH11"/>
  <c r="BH10"/>
  <c r="BH9"/>
  <c r="BH8"/>
  <c r="BE12"/>
  <c r="BE11"/>
  <c r="BE10"/>
  <c r="BE9"/>
  <c r="BE8"/>
  <c r="BB12"/>
  <c r="BB11"/>
  <c r="BB10"/>
  <c r="BB9"/>
  <c r="BB8"/>
  <c r="AO12"/>
  <c r="AO11"/>
  <c r="AO10"/>
  <c r="AO9"/>
  <c r="AO8"/>
  <c r="AL12"/>
  <c r="AL11"/>
  <c r="AL10"/>
  <c r="AL9"/>
  <c r="AL8"/>
  <c r="V12"/>
  <c r="V11"/>
  <c r="V10"/>
  <c r="V9"/>
  <c r="V8"/>
  <c r="S12"/>
  <c r="S11"/>
  <c r="S10"/>
  <c r="S9"/>
  <c r="S8"/>
  <c r="P12"/>
  <c r="P11"/>
  <c r="P10"/>
  <c r="P9"/>
  <c r="P8"/>
  <c r="H12"/>
  <c r="H11"/>
  <c r="H10"/>
  <c r="H9"/>
  <c r="H8"/>
  <c r="E12"/>
  <c r="E11"/>
  <c r="E10"/>
  <c r="E9"/>
  <c r="E8"/>
  <c r="B12"/>
  <c r="B11"/>
  <c r="B10"/>
  <c r="B9"/>
  <c r="B8"/>
  <c r="W122" i="103"/>
  <c r="O122"/>
  <c r="G122"/>
  <c r="B122"/>
  <c r="W121"/>
  <c r="O121"/>
  <c r="G121"/>
  <c r="B121"/>
  <c r="BI81" i="102"/>
  <c r="BF81"/>
  <c r="BC81"/>
  <c r="W120" i="103"/>
  <c r="O120"/>
  <c r="G120"/>
  <c r="B120"/>
  <c r="W119"/>
  <c r="O119"/>
  <c r="G119"/>
  <c r="B119"/>
  <c r="W118"/>
  <c r="W117"/>
  <c r="O118"/>
  <c r="O117"/>
  <c r="G118"/>
  <c r="G117"/>
  <c r="B118"/>
  <c r="B117"/>
  <c r="W116"/>
  <c r="W112"/>
  <c r="W111"/>
  <c r="O116"/>
  <c r="O112"/>
  <c r="O111"/>
  <c r="G112"/>
  <c r="G111"/>
  <c r="G116"/>
  <c r="B116"/>
  <c r="B112"/>
  <c r="B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W11"/>
  <c r="W10"/>
  <c r="W9"/>
  <c r="W8"/>
  <c r="W7"/>
  <c r="O11"/>
  <c r="O10"/>
  <c r="O9"/>
  <c r="O8"/>
  <c r="O7"/>
  <c r="G11"/>
  <c r="G10"/>
  <c r="G9"/>
  <c r="G8"/>
  <c r="G7"/>
  <c r="B11"/>
  <c r="B10"/>
  <c r="B9"/>
  <c r="B8"/>
  <c r="B7"/>
  <c r="BI80" i="102"/>
  <c r="BI79"/>
  <c r="BI78"/>
  <c r="BF80"/>
  <c r="BF79"/>
  <c r="BF78"/>
  <c r="BC80"/>
  <c r="BC79"/>
  <c r="BC78"/>
  <c r="AP80"/>
  <c r="AP79"/>
  <c r="AP78"/>
  <c r="AM80"/>
  <c r="AM79"/>
  <c r="AM78"/>
  <c r="AJ80"/>
  <c r="AJ79"/>
  <c r="AJ78"/>
  <c r="W80"/>
  <c r="W79"/>
  <c r="W78"/>
  <c r="T80"/>
  <c r="T79"/>
  <c r="T78"/>
  <c r="Q80"/>
  <c r="Q79"/>
  <c r="Q78"/>
  <c r="I80"/>
  <c r="I79"/>
  <c r="I78"/>
  <c r="F80"/>
  <c r="F79"/>
  <c r="F78"/>
  <c r="C80"/>
  <c r="C79"/>
  <c r="C78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AP68"/>
  <c r="AP67"/>
  <c r="AP66"/>
  <c r="AP65"/>
  <c r="AP64"/>
  <c r="AP56"/>
  <c r="AP55"/>
  <c r="AP41"/>
  <c r="AM68"/>
  <c r="AM67"/>
  <c r="AM66"/>
  <c r="AM65"/>
  <c r="AM64"/>
  <c r="AM56"/>
  <c r="AM55"/>
  <c r="AM54"/>
  <c r="AM53"/>
  <c r="AM52"/>
  <c r="AM41"/>
  <c r="AJ68"/>
  <c r="AJ67"/>
  <c r="AJ66"/>
  <c r="AJ65"/>
  <c r="AJ64"/>
  <c r="P204" i="101"/>
  <c r="AJ63" i="102"/>
  <c r="P203" i="101"/>
  <c r="AJ62" i="102"/>
  <c r="P202" i="101"/>
  <c r="AJ61" i="102"/>
  <c r="P201" i="101"/>
  <c r="AJ60" i="102"/>
  <c r="AJ56"/>
  <c r="AJ55"/>
  <c r="AJ54"/>
  <c r="AJ53"/>
  <c r="AJ52"/>
  <c r="AJ41"/>
  <c r="P181" i="101"/>
  <c r="AJ40" i="102"/>
  <c r="P180" i="101"/>
  <c r="AJ39" i="102"/>
  <c r="W68"/>
  <c r="W67"/>
  <c r="W66"/>
  <c r="W65"/>
  <c r="W64"/>
  <c r="W56"/>
  <c r="W55"/>
  <c r="W41"/>
  <c r="T68"/>
  <c r="T67"/>
  <c r="T66"/>
  <c r="T65"/>
  <c r="T64"/>
  <c r="T56"/>
  <c r="T55"/>
  <c r="T54"/>
  <c r="T53"/>
  <c r="T52"/>
  <c r="T41"/>
  <c r="Q68"/>
  <c r="Q67"/>
  <c r="Q66"/>
  <c r="Q65"/>
  <c r="Q64"/>
  <c r="Q56"/>
  <c r="Q55"/>
  <c r="Q54"/>
  <c r="Q53"/>
  <c r="Q52"/>
  <c r="Q41"/>
  <c r="I68"/>
  <c r="I67"/>
  <c r="I66"/>
  <c r="I65"/>
  <c r="I64"/>
  <c r="I56"/>
  <c r="I55"/>
  <c r="I41"/>
  <c r="F68"/>
  <c r="F67"/>
  <c r="F66"/>
  <c r="F65"/>
  <c r="F64"/>
  <c r="F56"/>
  <c r="F55"/>
  <c r="F54"/>
  <c r="F53"/>
  <c r="F52"/>
  <c r="F41"/>
  <c r="C68"/>
  <c r="C67"/>
  <c r="C66"/>
  <c r="C65"/>
  <c r="C64"/>
  <c r="C56"/>
  <c r="C55"/>
  <c r="C54"/>
  <c r="C53"/>
  <c r="C52"/>
  <c r="C41"/>
  <c r="C209" i="101"/>
  <c r="BI20" i="102"/>
  <c r="BI19"/>
  <c r="BI18"/>
  <c r="BI17"/>
  <c r="BI16"/>
  <c r="BI15"/>
  <c r="BI14"/>
  <c r="BI13"/>
  <c r="BI12"/>
  <c r="BI11"/>
  <c r="BI10"/>
  <c r="BI9"/>
  <c r="BI8"/>
  <c r="BF20"/>
  <c r="BF19"/>
  <c r="BF18"/>
  <c r="BF17"/>
  <c r="BF16"/>
  <c r="BF15"/>
  <c r="BF14"/>
  <c r="BF13"/>
  <c r="BF12"/>
  <c r="BF11"/>
  <c r="BF10"/>
  <c r="BF9"/>
  <c r="BF8"/>
  <c r="BC20"/>
  <c r="BC19"/>
  <c r="BC18"/>
  <c r="BC17"/>
  <c r="BC16"/>
  <c r="BC15"/>
  <c r="BC14"/>
  <c r="BC13"/>
  <c r="BC12"/>
  <c r="BC11"/>
  <c r="BC10"/>
  <c r="BC9"/>
  <c r="BC8"/>
  <c r="BM62"/>
  <c r="BR62"/>
  <c r="BM61"/>
  <c r="BR61"/>
  <c r="BM60"/>
  <c r="BR60"/>
  <c r="BJ57"/>
  <c r="AT62"/>
  <c r="AY62"/>
  <c r="AT61"/>
  <c r="AY61"/>
  <c r="AT60"/>
  <c r="AY60"/>
  <c r="AA62"/>
  <c r="AF62"/>
  <c r="AA61"/>
  <c r="AF61"/>
  <c r="AA60"/>
  <c r="AF60"/>
  <c r="M62"/>
  <c r="M61"/>
  <c r="M60"/>
  <c r="G78"/>
  <c r="D29"/>
  <c r="BH75"/>
  <c r="BH72"/>
  <c r="BE75"/>
  <c r="BE72"/>
  <c r="BB75"/>
  <c r="BB72"/>
  <c r="AO75"/>
  <c r="AO72"/>
  <c r="AL75"/>
  <c r="AL72"/>
  <c r="AI75"/>
  <c r="AI72"/>
  <c r="V75"/>
  <c r="V72"/>
  <c r="S75"/>
  <c r="S72"/>
  <c r="P75"/>
  <c r="P72"/>
  <c r="H72"/>
  <c r="H75"/>
  <c r="E75"/>
  <c r="E72"/>
  <c r="B75"/>
  <c r="B72"/>
  <c r="BH68"/>
  <c r="BH67"/>
  <c r="BH66"/>
  <c r="BH65"/>
  <c r="BH64"/>
  <c r="BE68"/>
  <c r="BE67"/>
  <c r="BE66"/>
  <c r="BE65"/>
  <c r="BE64"/>
  <c r="BB68"/>
  <c r="BB67"/>
  <c r="BB66"/>
  <c r="BB65"/>
  <c r="BB64"/>
  <c r="AO68"/>
  <c r="AO67"/>
  <c r="AO66"/>
  <c r="AO65"/>
  <c r="AO64"/>
  <c r="AL68"/>
  <c r="AL67"/>
  <c r="AL66"/>
  <c r="AL65"/>
  <c r="AL64"/>
  <c r="AI68"/>
  <c r="AI67"/>
  <c r="AI66"/>
  <c r="AI65"/>
  <c r="AI64"/>
  <c r="V68"/>
  <c r="V67"/>
  <c r="V66"/>
  <c r="V65"/>
  <c r="V64"/>
  <c r="S68"/>
  <c r="S67"/>
  <c r="S66"/>
  <c r="S65"/>
  <c r="S64"/>
  <c r="P68"/>
  <c r="P67"/>
  <c r="P66"/>
  <c r="P65"/>
  <c r="P64"/>
  <c r="H68"/>
  <c r="H67"/>
  <c r="H66"/>
  <c r="H65"/>
  <c r="H64"/>
  <c r="E68"/>
  <c r="E67"/>
  <c r="E66"/>
  <c r="E65"/>
  <c r="E64"/>
  <c r="B68"/>
  <c r="B67"/>
  <c r="B66"/>
  <c r="B65"/>
  <c r="B64"/>
  <c r="B69"/>
  <c r="B71"/>
  <c r="BH63"/>
  <c r="BE63"/>
  <c r="BB63"/>
  <c r="AO63"/>
  <c r="AL63"/>
  <c r="AI63"/>
  <c r="V63"/>
  <c r="S63"/>
  <c r="P63"/>
  <c r="H63"/>
  <c r="E63"/>
  <c r="B63"/>
  <c r="BH59"/>
  <c r="BH58"/>
  <c r="BH57"/>
  <c r="BH56"/>
  <c r="BH55"/>
  <c r="BH54"/>
  <c r="BH53"/>
  <c r="BH52"/>
  <c r="BE59"/>
  <c r="BE58"/>
  <c r="BE57"/>
  <c r="BE56"/>
  <c r="BE55"/>
  <c r="BE54"/>
  <c r="BE53"/>
  <c r="BE52"/>
  <c r="BB59"/>
  <c r="BB58"/>
  <c r="BB57"/>
  <c r="BB56"/>
  <c r="BB55"/>
  <c r="BB54"/>
  <c r="BB53"/>
  <c r="BB52"/>
  <c r="AO59"/>
  <c r="AO58"/>
  <c r="AO57"/>
  <c r="AO56"/>
  <c r="AO55"/>
  <c r="AO54"/>
  <c r="AO53"/>
  <c r="AO52"/>
  <c r="AL59"/>
  <c r="AL58"/>
  <c r="AL57"/>
  <c r="AL56"/>
  <c r="AL55"/>
  <c r="AL54"/>
  <c r="AL53"/>
  <c r="AL52"/>
  <c r="AI59"/>
  <c r="AI58"/>
  <c r="AI57"/>
  <c r="AI56"/>
  <c r="AI55"/>
  <c r="AI54"/>
  <c r="AI53"/>
  <c r="AI52"/>
  <c r="V59"/>
  <c r="V58"/>
  <c r="V57"/>
  <c r="V56"/>
  <c r="V55"/>
  <c r="V54"/>
  <c r="V53"/>
  <c r="V52"/>
  <c r="S59"/>
  <c r="S58"/>
  <c r="S57"/>
  <c r="S56"/>
  <c r="S55"/>
  <c r="S54"/>
  <c r="S53"/>
  <c r="S52"/>
  <c r="P59"/>
  <c r="P58"/>
  <c r="P57"/>
  <c r="P56"/>
  <c r="P55"/>
  <c r="P54"/>
  <c r="P53"/>
  <c r="P52"/>
  <c r="H59"/>
  <c r="H58"/>
  <c r="H57"/>
  <c r="H56"/>
  <c r="H55"/>
  <c r="H54"/>
  <c r="H53"/>
  <c r="H52"/>
  <c r="E59"/>
  <c r="E58"/>
  <c r="E57"/>
  <c r="E56"/>
  <c r="E55"/>
  <c r="E54"/>
  <c r="E53"/>
  <c r="E52"/>
  <c r="B59"/>
  <c r="B58"/>
  <c r="B57"/>
  <c r="B56"/>
  <c r="B55"/>
  <c r="B54"/>
  <c r="B53"/>
  <c r="B52"/>
  <c r="BH50"/>
  <c r="BE50"/>
  <c r="BB50"/>
  <c r="AO50"/>
  <c r="AL50"/>
  <c r="AI50"/>
  <c r="V50"/>
  <c r="S50"/>
  <c r="P50"/>
  <c r="H50"/>
  <c r="E50"/>
  <c r="B50"/>
  <c r="BH49"/>
  <c r="BH48"/>
  <c r="BH47"/>
  <c r="BH46"/>
  <c r="BH45"/>
  <c r="BH44"/>
  <c r="BH43"/>
  <c r="BH42"/>
  <c r="BH41"/>
  <c r="BH40"/>
  <c r="BH39"/>
  <c r="BE49"/>
  <c r="BE48"/>
  <c r="BE47"/>
  <c r="BE46"/>
  <c r="BE45"/>
  <c r="BE44"/>
  <c r="BE43"/>
  <c r="BE42"/>
  <c r="BE41"/>
  <c r="BE40"/>
  <c r="BE39"/>
  <c r="BB49"/>
  <c r="BB48"/>
  <c r="BB47"/>
  <c r="BB46"/>
  <c r="BB45"/>
  <c r="BB44"/>
  <c r="BB43"/>
  <c r="BB42"/>
  <c r="BB41"/>
  <c r="BB40"/>
  <c r="BB39"/>
  <c r="AO49"/>
  <c r="AO48"/>
  <c r="AO47"/>
  <c r="AO46"/>
  <c r="AO45"/>
  <c r="AO44"/>
  <c r="AO43"/>
  <c r="AO42"/>
  <c r="AO41"/>
  <c r="AO40"/>
  <c r="AO39"/>
  <c r="AL49"/>
  <c r="AL48"/>
  <c r="AL47"/>
  <c r="AL46"/>
  <c r="AL45"/>
  <c r="AL44"/>
  <c r="AL43"/>
  <c r="AL42"/>
  <c r="AL41"/>
  <c r="AL40"/>
  <c r="AL39"/>
  <c r="AI49"/>
  <c r="AI48"/>
  <c r="AI47"/>
  <c r="AI46"/>
  <c r="AI45"/>
  <c r="AI44"/>
  <c r="AI43"/>
  <c r="AI42"/>
  <c r="AI41"/>
  <c r="AI40"/>
  <c r="AI39"/>
  <c r="V49"/>
  <c r="V48"/>
  <c r="V47"/>
  <c r="V46"/>
  <c r="V45"/>
  <c r="V44"/>
  <c r="V43"/>
  <c r="V42"/>
  <c r="V41"/>
  <c r="V40"/>
  <c r="V39"/>
  <c r="S49"/>
  <c r="S48"/>
  <c r="S47"/>
  <c r="S46"/>
  <c r="S45"/>
  <c r="S44"/>
  <c r="S43"/>
  <c r="S42"/>
  <c r="S41"/>
  <c r="S40"/>
  <c r="S39"/>
  <c r="P49"/>
  <c r="P48"/>
  <c r="P47"/>
  <c r="P46"/>
  <c r="P45"/>
  <c r="P44"/>
  <c r="P43"/>
  <c r="P42"/>
  <c r="P41"/>
  <c r="P40"/>
  <c r="P39"/>
  <c r="H49"/>
  <c r="H48"/>
  <c r="H47"/>
  <c r="H46"/>
  <c r="H45"/>
  <c r="H44"/>
  <c r="H43"/>
  <c r="H42"/>
  <c r="H41"/>
  <c r="H40"/>
  <c r="H39"/>
  <c r="E49"/>
  <c r="E48"/>
  <c r="E47"/>
  <c r="E46"/>
  <c r="E45"/>
  <c r="E44"/>
  <c r="E43"/>
  <c r="E42"/>
  <c r="E41"/>
  <c r="E40"/>
  <c r="E39"/>
  <c r="B49"/>
  <c r="B48"/>
  <c r="B47"/>
  <c r="B46"/>
  <c r="B45"/>
  <c r="B44"/>
  <c r="B43"/>
  <c r="B42"/>
  <c r="B41"/>
  <c r="B40"/>
  <c r="B51"/>
  <c r="B70"/>
  <c r="B39"/>
  <c r="AC208" i="101"/>
  <c r="AD208"/>
  <c r="AB208"/>
  <c r="AC207"/>
  <c r="AB207"/>
  <c r="AD207"/>
  <c r="AA208"/>
  <c r="Z208"/>
  <c r="Y208"/>
  <c r="X208"/>
  <c r="W208"/>
  <c r="AA207"/>
  <c r="Z207"/>
  <c r="Y207"/>
  <c r="X207"/>
  <c r="W207"/>
  <c r="U208"/>
  <c r="V208"/>
  <c r="T208"/>
  <c r="U207"/>
  <c r="T207"/>
  <c r="V207"/>
  <c r="S208"/>
  <c r="R208"/>
  <c r="Q208"/>
  <c r="P208"/>
  <c r="O208"/>
  <c r="S207"/>
  <c r="R207"/>
  <c r="Q207"/>
  <c r="P207"/>
  <c r="O207"/>
  <c r="M208"/>
  <c r="N208"/>
  <c r="L208"/>
  <c r="M207"/>
  <c r="L207"/>
  <c r="N207"/>
  <c r="K208"/>
  <c r="J208"/>
  <c r="I208"/>
  <c r="H208"/>
  <c r="K207"/>
  <c r="J207"/>
  <c r="I207"/>
  <c r="H207"/>
  <c r="G208"/>
  <c r="F208"/>
  <c r="E208"/>
  <c r="D208"/>
  <c r="G207"/>
  <c r="F207"/>
  <c r="E207"/>
  <c r="D207"/>
  <c r="C208"/>
  <c r="C207"/>
  <c r="B208"/>
  <c r="B207"/>
  <c r="BH34" i="102"/>
  <c r="BH33"/>
  <c r="BH32"/>
  <c r="BH31"/>
  <c r="BH30"/>
  <c r="BH29"/>
  <c r="BH28"/>
  <c r="BH27"/>
  <c r="BH26"/>
  <c r="BH25"/>
  <c r="BE34"/>
  <c r="BE33"/>
  <c r="BE32"/>
  <c r="BE31"/>
  <c r="BE30"/>
  <c r="BE29"/>
  <c r="BE28"/>
  <c r="BE27"/>
  <c r="BE26"/>
  <c r="BE25"/>
  <c r="BB34"/>
  <c r="BB33"/>
  <c r="BB32"/>
  <c r="BB31"/>
  <c r="BB30"/>
  <c r="BB29"/>
  <c r="BB28"/>
  <c r="BB27"/>
  <c r="BB26"/>
  <c r="BB25"/>
  <c r="AO34"/>
  <c r="AO33"/>
  <c r="AO32"/>
  <c r="AO31"/>
  <c r="AO30"/>
  <c r="AO29"/>
  <c r="AO28"/>
  <c r="AO27"/>
  <c r="AO26"/>
  <c r="AO25"/>
  <c r="AL34"/>
  <c r="AL33"/>
  <c r="AL32"/>
  <c r="AL31"/>
  <c r="AL30"/>
  <c r="AL29"/>
  <c r="AL28"/>
  <c r="AL27"/>
  <c r="AL26"/>
  <c r="AL25"/>
  <c r="AI34"/>
  <c r="AI33"/>
  <c r="AI32"/>
  <c r="AI31"/>
  <c r="AI30"/>
  <c r="AI29"/>
  <c r="AI28"/>
  <c r="AI27"/>
  <c r="AI26"/>
  <c r="AI25"/>
  <c r="V34"/>
  <c r="V33"/>
  <c r="V32"/>
  <c r="V31"/>
  <c r="V30"/>
  <c r="V29"/>
  <c r="V28"/>
  <c r="V27"/>
  <c r="V26"/>
  <c r="V25"/>
  <c r="S34"/>
  <c r="S33"/>
  <c r="S32"/>
  <c r="S31"/>
  <c r="S30"/>
  <c r="S29"/>
  <c r="S28"/>
  <c r="S27"/>
  <c r="S26"/>
  <c r="S25"/>
  <c r="P34"/>
  <c r="P33"/>
  <c r="P32"/>
  <c r="P31"/>
  <c r="P30"/>
  <c r="P29"/>
  <c r="P28"/>
  <c r="P27"/>
  <c r="P26"/>
  <c r="P25"/>
  <c r="H34"/>
  <c r="H33"/>
  <c r="H32"/>
  <c r="H31"/>
  <c r="H30"/>
  <c r="H29"/>
  <c r="H28"/>
  <c r="H27"/>
  <c r="H26"/>
  <c r="H25"/>
  <c r="E34"/>
  <c r="E33"/>
  <c r="E32"/>
  <c r="E31"/>
  <c r="E30"/>
  <c r="E29"/>
  <c r="E28"/>
  <c r="E27"/>
  <c r="E26"/>
  <c r="E25"/>
  <c r="B34"/>
  <c r="B33"/>
  <c r="B32"/>
  <c r="B31"/>
  <c r="B30"/>
  <c r="B29"/>
  <c r="B28"/>
  <c r="B27"/>
  <c r="B26"/>
  <c r="B25"/>
  <c r="BH20"/>
  <c r="BH19"/>
  <c r="BH18"/>
  <c r="BH17"/>
  <c r="BH16"/>
  <c r="BH15"/>
  <c r="BH14"/>
  <c r="BH13"/>
  <c r="BH12"/>
  <c r="BH11"/>
  <c r="BH10"/>
  <c r="BH9"/>
  <c r="BH8"/>
  <c r="BE20"/>
  <c r="BE19"/>
  <c r="BE18"/>
  <c r="BE17"/>
  <c r="BE16"/>
  <c r="BE15"/>
  <c r="BE14"/>
  <c r="BE13"/>
  <c r="BE12"/>
  <c r="BE11"/>
  <c r="BE10"/>
  <c r="BE9"/>
  <c r="BE8"/>
  <c r="BB20"/>
  <c r="BB19"/>
  <c r="BB18"/>
  <c r="BB17"/>
  <c r="BB16"/>
  <c r="BB15"/>
  <c r="BB14"/>
  <c r="BB13"/>
  <c r="BB12"/>
  <c r="BB11"/>
  <c r="BB10"/>
  <c r="BB9"/>
  <c r="BB8"/>
  <c r="AO20"/>
  <c r="AO19"/>
  <c r="AO18"/>
  <c r="AO17"/>
  <c r="AO16"/>
  <c r="AO15"/>
  <c r="AO14"/>
  <c r="AO13"/>
  <c r="AO12"/>
  <c r="AO11"/>
  <c r="AO10"/>
  <c r="AO9"/>
  <c r="AO8"/>
  <c r="AL20"/>
  <c r="AL19"/>
  <c r="AL18"/>
  <c r="AL17"/>
  <c r="AL16"/>
  <c r="AL15"/>
  <c r="AL14"/>
  <c r="AL13"/>
  <c r="AL12"/>
  <c r="AL11"/>
  <c r="AL10"/>
  <c r="AL9"/>
  <c r="AL8"/>
  <c r="AI20"/>
  <c r="AI19"/>
  <c r="AI18"/>
  <c r="AI17"/>
  <c r="AI16"/>
  <c r="AI15"/>
  <c r="AI14"/>
  <c r="AI13"/>
  <c r="AI12"/>
  <c r="AI11"/>
  <c r="AI10"/>
  <c r="AI9"/>
  <c r="AI8"/>
  <c r="V20"/>
  <c r="V19"/>
  <c r="V18"/>
  <c r="V17"/>
  <c r="V16"/>
  <c r="V15"/>
  <c r="V14"/>
  <c r="V13"/>
  <c r="V12"/>
  <c r="V11"/>
  <c r="V10"/>
  <c r="V9"/>
  <c r="V8"/>
  <c r="S20"/>
  <c r="S19"/>
  <c r="S18"/>
  <c r="S17"/>
  <c r="S16"/>
  <c r="S15"/>
  <c r="S14"/>
  <c r="S13"/>
  <c r="S12"/>
  <c r="S11"/>
  <c r="S10"/>
  <c r="S9"/>
  <c r="S8"/>
  <c r="P20"/>
  <c r="P19"/>
  <c r="P18"/>
  <c r="P17"/>
  <c r="P16"/>
  <c r="P15"/>
  <c r="P14"/>
  <c r="P13"/>
  <c r="P12"/>
  <c r="P11"/>
  <c r="P10"/>
  <c r="P9"/>
  <c r="P8"/>
  <c r="H20"/>
  <c r="H19"/>
  <c r="H18"/>
  <c r="H17"/>
  <c r="H16"/>
  <c r="H15"/>
  <c r="H14"/>
  <c r="H13"/>
  <c r="H12"/>
  <c r="H11"/>
  <c r="H10"/>
  <c r="H9"/>
  <c r="H8"/>
  <c r="E20"/>
  <c r="E19"/>
  <c r="E18"/>
  <c r="E17"/>
  <c r="E16"/>
  <c r="E15"/>
  <c r="E14"/>
  <c r="E13"/>
  <c r="E12"/>
  <c r="E11"/>
  <c r="E10"/>
  <c r="E9"/>
  <c r="E8"/>
  <c r="B20"/>
  <c r="B19"/>
  <c r="B18"/>
  <c r="B17"/>
  <c r="B16"/>
  <c r="B15"/>
  <c r="B14"/>
  <c r="B13"/>
  <c r="B12"/>
  <c r="B11"/>
  <c r="B10"/>
  <c r="B9"/>
  <c r="B8"/>
  <c r="AB149" i="101"/>
  <c r="AB148"/>
  <c r="AB147"/>
  <c r="AB146"/>
  <c r="AB145"/>
  <c r="AB144"/>
  <c r="AB143"/>
  <c r="AB142"/>
  <c r="AB141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W149"/>
  <c r="W148"/>
  <c r="W147"/>
  <c r="W146"/>
  <c r="W145"/>
  <c r="W144"/>
  <c r="W143"/>
  <c r="W142"/>
  <c r="W141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T149"/>
  <c r="T148"/>
  <c r="T147"/>
  <c r="T146"/>
  <c r="T145"/>
  <c r="T144"/>
  <c r="V144"/>
  <c r="T143"/>
  <c r="T142"/>
  <c r="T141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O149"/>
  <c r="O148"/>
  <c r="O147"/>
  <c r="O146"/>
  <c r="O145"/>
  <c r="O144"/>
  <c r="O143"/>
  <c r="O142"/>
  <c r="O141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L149"/>
  <c r="L148"/>
  <c r="L147"/>
  <c r="L146"/>
  <c r="L145"/>
  <c r="L144"/>
  <c r="L143"/>
  <c r="L142"/>
  <c r="L141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G149"/>
  <c r="G148"/>
  <c r="G147"/>
  <c r="G146"/>
  <c r="G145"/>
  <c r="G144"/>
  <c r="G143"/>
  <c r="G142"/>
  <c r="G141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B149"/>
  <c r="B148"/>
  <c r="B147"/>
  <c r="B146"/>
  <c r="B145"/>
  <c r="B144"/>
  <c r="B143"/>
  <c r="B142"/>
  <c r="B141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AD145"/>
  <c r="AD144"/>
  <c r="AC145"/>
  <c r="AC144"/>
  <c r="AC143"/>
  <c r="AC142"/>
  <c r="AA145"/>
  <c r="AA144"/>
  <c r="AA143"/>
  <c r="AA142"/>
  <c r="Z142"/>
  <c r="Y142"/>
  <c r="X142"/>
  <c r="V145"/>
  <c r="U142"/>
  <c r="U145"/>
  <c r="U144"/>
  <c r="S145"/>
  <c r="S144"/>
  <c r="S143"/>
  <c r="S142"/>
  <c r="R142"/>
  <c r="Q142"/>
  <c r="P142"/>
  <c r="S146"/>
  <c r="M145"/>
  <c r="M144"/>
  <c r="M142"/>
  <c r="N145"/>
  <c r="K146"/>
  <c r="K145"/>
  <c r="K144"/>
  <c r="K143"/>
  <c r="K142"/>
  <c r="J142"/>
  <c r="I142"/>
  <c r="H142"/>
  <c r="F145"/>
  <c r="F144"/>
  <c r="F142"/>
  <c r="D142"/>
  <c r="C142"/>
  <c r="L8"/>
  <c r="G20"/>
  <c r="G19"/>
  <c r="G18"/>
  <c r="G17"/>
  <c r="G16"/>
  <c r="G15"/>
  <c r="G14"/>
  <c r="G13"/>
  <c r="G12"/>
  <c r="G11"/>
  <c r="G10"/>
  <c r="G9"/>
  <c r="G8"/>
  <c r="B20"/>
  <c r="B19"/>
  <c r="B18"/>
  <c r="B17"/>
  <c r="B16"/>
  <c r="B15"/>
  <c r="B14"/>
  <c r="B13"/>
  <c r="B12"/>
  <c r="B11"/>
  <c r="B10"/>
  <c r="B9"/>
  <c r="B8"/>
  <c r="AB20"/>
  <c r="AB19"/>
  <c r="AB18"/>
  <c r="AB17"/>
  <c r="AB16"/>
  <c r="AB15"/>
  <c r="AB14"/>
  <c r="AB13"/>
  <c r="AB12"/>
  <c r="AB11"/>
  <c r="AB10"/>
  <c r="AB9"/>
  <c r="AB8"/>
  <c r="W20"/>
  <c r="W19"/>
  <c r="W18"/>
  <c r="W17"/>
  <c r="W16"/>
  <c r="W15"/>
  <c r="W14"/>
  <c r="W13"/>
  <c r="W12"/>
  <c r="W11"/>
  <c r="W10"/>
  <c r="W9"/>
  <c r="W8"/>
  <c r="T20"/>
  <c r="T19"/>
  <c r="T18"/>
  <c r="T17"/>
  <c r="T16"/>
  <c r="T15"/>
  <c r="T14"/>
  <c r="T13"/>
  <c r="T12"/>
  <c r="T11"/>
  <c r="T10"/>
  <c r="T9"/>
  <c r="T8"/>
  <c r="O20"/>
  <c r="O19"/>
  <c r="O18"/>
  <c r="O17"/>
  <c r="O16"/>
  <c r="O15"/>
  <c r="O14"/>
  <c r="O13"/>
  <c r="O12"/>
  <c r="O11"/>
  <c r="O10"/>
  <c r="O9"/>
  <c r="O8"/>
  <c r="L20"/>
  <c r="L19"/>
  <c r="L18"/>
  <c r="L17"/>
  <c r="L16"/>
  <c r="L15"/>
  <c r="L14"/>
  <c r="L13"/>
  <c r="L12"/>
  <c r="L11"/>
  <c r="L10"/>
  <c r="N144"/>
  <c r="BM68" i="104"/>
  <c r="BK68"/>
  <c r="AT68"/>
  <c r="AR68"/>
  <c r="AF68"/>
  <c r="AY68"/>
  <c r="BR68"/>
  <c r="AD68"/>
  <c r="AW68"/>
  <c r="BP68"/>
  <c r="AA68"/>
  <c r="Y68"/>
  <c r="Z68"/>
  <c r="AB68"/>
  <c r="AC68"/>
  <c r="M68"/>
  <c r="K68"/>
  <c r="BM67"/>
  <c r="BK67"/>
  <c r="BL67"/>
  <c r="BN67"/>
  <c r="BO67"/>
  <c r="AT67"/>
  <c r="AR67"/>
  <c r="AA67"/>
  <c r="Y67"/>
  <c r="Z67"/>
  <c r="AB67"/>
  <c r="AC67"/>
  <c r="M67"/>
  <c r="K67"/>
  <c r="AD67"/>
  <c r="AW67"/>
  <c r="BP67"/>
  <c r="BJ66"/>
  <c r="BH66"/>
  <c r="BG66"/>
  <c r="BL66"/>
  <c r="BE66"/>
  <c r="BD66"/>
  <c r="BM66"/>
  <c r="BB66"/>
  <c r="BK66"/>
  <c r="AT66"/>
  <c r="AR66"/>
  <c r="AQ66"/>
  <c r="AO66"/>
  <c r="AL66"/>
  <c r="AS66"/>
  <c r="AU66"/>
  <c r="AI66"/>
  <c r="X66"/>
  <c r="AA66"/>
  <c r="V66"/>
  <c r="S66"/>
  <c r="Z66"/>
  <c r="P66"/>
  <c r="Y66"/>
  <c r="J66"/>
  <c r="H66"/>
  <c r="G66"/>
  <c r="E66"/>
  <c r="D66"/>
  <c r="M66"/>
  <c r="B66"/>
  <c r="K66"/>
  <c r="BM63"/>
  <c r="BL63"/>
  <c r="AT63"/>
  <c r="AS63"/>
  <c r="AE63"/>
  <c r="AA63"/>
  <c r="Z63"/>
  <c r="M63"/>
  <c r="AF63"/>
  <c r="AY63"/>
  <c r="BR63"/>
  <c r="L63"/>
  <c r="BS61"/>
  <c r="BT61"/>
  <c r="BL61"/>
  <c r="BN61"/>
  <c r="BO61"/>
  <c r="BH61"/>
  <c r="BM61"/>
  <c r="BE61"/>
  <c r="BB61"/>
  <c r="BA61"/>
  <c r="AZ61"/>
  <c r="AS61"/>
  <c r="AU61"/>
  <c r="AV61"/>
  <c r="AO61"/>
  <c r="AT61"/>
  <c r="AL61"/>
  <c r="AI61"/>
  <c r="AG61"/>
  <c r="AH61"/>
  <c r="V61"/>
  <c r="S61"/>
  <c r="P61"/>
  <c r="L61"/>
  <c r="N61"/>
  <c r="O61"/>
  <c r="H61"/>
  <c r="M61"/>
  <c r="T61"/>
  <c r="E61"/>
  <c r="B61"/>
  <c r="K59"/>
  <c r="BM54"/>
  <c r="BL54"/>
  <c r="BK54"/>
  <c r="AT54"/>
  <c r="AS54"/>
  <c r="AR54"/>
  <c r="AA54"/>
  <c r="Z54"/>
  <c r="Y54"/>
  <c r="M54"/>
  <c r="L54"/>
  <c r="K54"/>
  <c r="BM53"/>
  <c r="BL53"/>
  <c r="BK53"/>
  <c r="AT53"/>
  <c r="AS53"/>
  <c r="AR53"/>
  <c r="AA53"/>
  <c r="Z53"/>
  <c r="Y53"/>
  <c r="M53"/>
  <c r="AF53"/>
  <c r="AY53"/>
  <c r="BR53"/>
  <c r="L53"/>
  <c r="K53"/>
  <c r="BM52"/>
  <c r="BL52"/>
  <c r="BK52"/>
  <c r="AT52"/>
  <c r="AS52"/>
  <c r="AR52"/>
  <c r="AA52"/>
  <c r="Z52"/>
  <c r="Y52"/>
  <c r="M52"/>
  <c r="AF52"/>
  <c r="AY52"/>
  <c r="BR52"/>
  <c r="L52"/>
  <c r="K52"/>
  <c r="BM51"/>
  <c r="BL51"/>
  <c r="BK51"/>
  <c r="AT51"/>
  <c r="AR51"/>
  <c r="AA51"/>
  <c r="Y51"/>
  <c r="M51"/>
  <c r="K51"/>
  <c r="BL50"/>
  <c r="BL48"/>
  <c r="BM47"/>
  <c r="BL47"/>
  <c r="BK47"/>
  <c r="AT47"/>
  <c r="AR47"/>
  <c r="AA47"/>
  <c r="Y47"/>
  <c r="M47"/>
  <c r="K47"/>
  <c r="BM46"/>
  <c r="BL46"/>
  <c r="BK46"/>
  <c r="AT46"/>
  <c r="AR46"/>
  <c r="AA46"/>
  <c r="Y46"/>
  <c r="M46"/>
  <c r="BJ45"/>
  <c r="BG45"/>
  <c r="BD45"/>
  <c r="AQ45"/>
  <c r="AN45"/>
  <c r="AK45"/>
  <c r="X45"/>
  <c r="U45"/>
  <c r="J45"/>
  <c r="G45"/>
  <c r="D45"/>
  <c r="K45"/>
  <c r="BM44"/>
  <c r="BL44"/>
  <c r="BK44"/>
  <c r="AT44"/>
  <c r="AR44"/>
  <c r="AA44"/>
  <c r="Y44"/>
  <c r="M44"/>
  <c r="L44"/>
  <c r="K44"/>
  <c r="BM43"/>
  <c r="BL43"/>
  <c r="BK43"/>
  <c r="AT43"/>
  <c r="AR43"/>
  <c r="AA43"/>
  <c r="Y43"/>
  <c r="M43"/>
  <c r="K43"/>
  <c r="BM42"/>
  <c r="BL42"/>
  <c r="BK42"/>
  <c r="AT42"/>
  <c r="AR42"/>
  <c r="AA42"/>
  <c r="Y42"/>
  <c r="M42"/>
  <c r="L42"/>
  <c r="K42"/>
  <c r="BJ41"/>
  <c r="BG41"/>
  <c r="BD41"/>
  <c r="AQ41"/>
  <c r="AN41"/>
  <c r="AK41"/>
  <c r="X41"/>
  <c r="U41"/>
  <c r="R41"/>
  <c r="J41"/>
  <c r="G41"/>
  <c r="D41"/>
  <c r="BM40"/>
  <c r="AT40"/>
  <c r="AA40"/>
  <c r="M40"/>
  <c r="AF40"/>
  <c r="AY40"/>
  <c r="BM39"/>
  <c r="BL39"/>
  <c r="BK39"/>
  <c r="AT39"/>
  <c r="AR39"/>
  <c r="AA39"/>
  <c r="Y39"/>
  <c r="M39"/>
  <c r="K39"/>
  <c r="BM38"/>
  <c r="BL38"/>
  <c r="AT38"/>
  <c r="AR38"/>
  <c r="AA38"/>
  <c r="M38"/>
  <c r="AF38"/>
  <c r="K38"/>
  <c r="BM37"/>
  <c r="BL37"/>
  <c r="BK37"/>
  <c r="AT37"/>
  <c r="AR37"/>
  <c r="AA37"/>
  <c r="Y37"/>
  <c r="M37"/>
  <c r="K37"/>
  <c r="BJ36"/>
  <c r="BG36"/>
  <c r="BE40"/>
  <c r="BD36"/>
  <c r="BL36"/>
  <c r="AQ36"/>
  <c r="AO40"/>
  <c r="AN36"/>
  <c r="AK36"/>
  <c r="AI40"/>
  <c r="U36"/>
  <c r="U55"/>
  <c r="S40"/>
  <c r="R36"/>
  <c r="J36"/>
  <c r="H40"/>
  <c r="G36"/>
  <c r="D36"/>
  <c r="BJ35"/>
  <c r="BG35"/>
  <c r="BD35"/>
  <c r="AQ35"/>
  <c r="AN35"/>
  <c r="AK35"/>
  <c r="X35"/>
  <c r="U35"/>
  <c r="R35"/>
  <c r="J35"/>
  <c r="G35"/>
  <c r="D35"/>
  <c r="BM34"/>
  <c r="BL34"/>
  <c r="BK34"/>
  <c r="AT34"/>
  <c r="AR34"/>
  <c r="AA34"/>
  <c r="Y34"/>
  <c r="M34"/>
  <c r="K34"/>
  <c r="BM33"/>
  <c r="BL33"/>
  <c r="BK33"/>
  <c r="AT33"/>
  <c r="AR33"/>
  <c r="AA33"/>
  <c r="Y33"/>
  <c r="M33"/>
  <c r="K33"/>
  <c r="BM32"/>
  <c r="BL32"/>
  <c r="BK32"/>
  <c r="AT32"/>
  <c r="AR32"/>
  <c r="AA32"/>
  <c r="Y32"/>
  <c r="M32"/>
  <c r="K32"/>
  <c r="BM31"/>
  <c r="BL31"/>
  <c r="BK31"/>
  <c r="AT31"/>
  <c r="AR31"/>
  <c r="AA31"/>
  <c r="Y31"/>
  <c r="M31"/>
  <c r="K31"/>
  <c r="BM30"/>
  <c r="BL30"/>
  <c r="BK30"/>
  <c r="AT30"/>
  <c r="AS30"/>
  <c r="AR30"/>
  <c r="AA30"/>
  <c r="Z30"/>
  <c r="Y30"/>
  <c r="M30"/>
  <c r="AF30"/>
  <c r="AY30"/>
  <c r="BR30"/>
  <c r="L30"/>
  <c r="K30"/>
  <c r="BM29"/>
  <c r="BL29"/>
  <c r="BK29"/>
  <c r="AT29"/>
  <c r="AR29"/>
  <c r="AA29"/>
  <c r="Y29"/>
  <c r="M29"/>
  <c r="K29"/>
  <c r="BM28"/>
  <c r="BH55"/>
  <c r="BE55"/>
  <c r="BB55"/>
  <c r="AT28"/>
  <c r="AO55"/>
  <c r="AL55"/>
  <c r="AI55"/>
  <c r="AA28"/>
  <c r="V55"/>
  <c r="S55"/>
  <c r="P55"/>
  <c r="M28"/>
  <c r="AF28"/>
  <c r="AY28"/>
  <c r="BR28"/>
  <c r="BM22"/>
  <c r="BL22"/>
  <c r="BK22"/>
  <c r="AT22"/>
  <c r="AS22"/>
  <c r="AR22"/>
  <c r="AE22"/>
  <c r="AA22"/>
  <c r="Z22"/>
  <c r="M22"/>
  <c r="AF22"/>
  <c r="AY22"/>
  <c r="BR22"/>
  <c r="L22"/>
  <c r="K22"/>
  <c r="BJ21"/>
  <c r="BI21"/>
  <c r="BG21"/>
  <c r="BF21"/>
  <c r="BD21"/>
  <c r="BM21"/>
  <c r="BC21"/>
  <c r="BK21"/>
  <c r="AQ21"/>
  <c r="AN21"/>
  <c r="AM21"/>
  <c r="AK21"/>
  <c r="AJ21"/>
  <c r="X21"/>
  <c r="W21"/>
  <c r="U21"/>
  <c r="U59"/>
  <c r="T21"/>
  <c r="R21"/>
  <c r="AA21"/>
  <c r="Q21"/>
  <c r="J21"/>
  <c r="I21"/>
  <c r="G21"/>
  <c r="F21"/>
  <c r="D21"/>
  <c r="M21"/>
  <c r="C21"/>
  <c r="K21"/>
  <c r="BM20"/>
  <c r="BL20"/>
  <c r="BK20"/>
  <c r="AT20"/>
  <c r="AS20"/>
  <c r="AR20"/>
  <c r="AA20"/>
  <c r="Z20"/>
  <c r="Y20"/>
  <c r="M20"/>
  <c r="L20"/>
  <c r="BM19"/>
  <c r="BL19"/>
  <c r="AT19"/>
  <c r="AS19"/>
  <c r="AA19"/>
  <c r="Z19"/>
  <c r="Y19"/>
  <c r="M19"/>
  <c r="AF19"/>
  <c r="AY19"/>
  <c r="BR19"/>
  <c r="L19"/>
  <c r="BM18"/>
  <c r="BL18"/>
  <c r="AT18"/>
  <c r="AS18"/>
  <c r="AA18"/>
  <c r="Z18"/>
  <c r="Y18"/>
  <c r="M18"/>
  <c r="L18"/>
  <c r="BM17"/>
  <c r="BL17"/>
  <c r="AT17"/>
  <c r="AP21"/>
  <c r="AA17"/>
  <c r="Z17"/>
  <c r="M17"/>
  <c r="AF17"/>
  <c r="AY17"/>
  <c r="BR17"/>
  <c r="L17"/>
  <c r="AE17"/>
  <c r="K17"/>
  <c r="BM12"/>
  <c r="BL12"/>
  <c r="BK12"/>
  <c r="AT12"/>
  <c r="AS12"/>
  <c r="AR12"/>
  <c r="AA12"/>
  <c r="Z12"/>
  <c r="Y12"/>
  <c r="M12"/>
  <c r="L12"/>
  <c r="K12"/>
  <c r="BM11"/>
  <c r="BL11"/>
  <c r="BK11"/>
  <c r="AT11"/>
  <c r="AS11"/>
  <c r="AR11"/>
  <c r="AA11"/>
  <c r="Z11"/>
  <c r="Y11"/>
  <c r="M11"/>
  <c r="L11"/>
  <c r="K11"/>
  <c r="BM10"/>
  <c r="BL10"/>
  <c r="BK10"/>
  <c r="AT10"/>
  <c r="AS10"/>
  <c r="AR10"/>
  <c r="AA10"/>
  <c r="Z10"/>
  <c r="Y10"/>
  <c r="M10"/>
  <c r="L10"/>
  <c r="K10"/>
  <c r="BJ9"/>
  <c r="BJ57"/>
  <c r="BI57"/>
  <c r="BH57"/>
  <c r="BG9"/>
  <c r="BG57"/>
  <c r="BF57"/>
  <c r="BE57"/>
  <c r="BD9"/>
  <c r="BC57"/>
  <c r="AQ9"/>
  <c r="AQ57"/>
  <c r="AO57"/>
  <c r="AN9"/>
  <c r="AN57"/>
  <c r="AL57"/>
  <c r="AK9"/>
  <c r="AK57"/>
  <c r="AI57"/>
  <c r="X9"/>
  <c r="X57"/>
  <c r="V57"/>
  <c r="U9"/>
  <c r="U57"/>
  <c r="S57"/>
  <c r="R9"/>
  <c r="J9"/>
  <c r="J57"/>
  <c r="H57"/>
  <c r="G9"/>
  <c r="G57"/>
  <c r="E57"/>
  <c r="BM8"/>
  <c r="BL8"/>
  <c r="BK8"/>
  <c r="AT8"/>
  <c r="AS8"/>
  <c r="AR8"/>
  <c r="AA8"/>
  <c r="Y8"/>
  <c r="M8"/>
  <c r="L8"/>
  <c r="K8"/>
  <c r="Z215" i="103"/>
  <c r="Y215"/>
  <c r="X215"/>
  <c r="R215"/>
  <c r="Q215"/>
  <c r="P215"/>
  <c r="J215"/>
  <c r="I215"/>
  <c r="H215"/>
  <c r="E215"/>
  <c r="D215"/>
  <c r="C215"/>
  <c r="Z214"/>
  <c r="Y214"/>
  <c r="X214"/>
  <c r="R214"/>
  <c r="Q214"/>
  <c r="P214"/>
  <c r="J214"/>
  <c r="I214"/>
  <c r="H214"/>
  <c r="E214"/>
  <c r="D214"/>
  <c r="C214"/>
  <c r="Z213"/>
  <c r="Y213"/>
  <c r="X213"/>
  <c r="R213"/>
  <c r="P213"/>
  <c r="J213"/>
  <c r="I213"/>
  <c r="H213"/>
  <c r="E213"/>
  <c r="D213"/>
  <c r="Z212"/>
  <c r="Y212"/>
  <c r="X212"/>
  <c r="Q212"/>
  <c r="P212"/>
  <c r="J212"/>
  <c r="I212"/>
  <c r="H212"/>
  <c r="E212"/>
  <c r="D212"/>
  <c r="C212"/>
  <c r="Z211"/>
  <c r="Y211"/>
  <c r="X211"/>
  <c r="R211"/>
  <c r="J211"/>
  <c r="I211"/>
  <c r="H211"/>
  <c r="E211"/>
  <c r="D211"/>
  <c r="C211"/>
  <c r="Z209"/>
  <c r="Y209"/>
  <c r="X209"/>
  <c r="R209"/>
  <c r="Q209"/>
  <c r="P209"/>
  <c r="J209"/>
  <c r="I209"/>
  <c r="H209"/>
  <c r="E209"/>
  <c r="D209"/>
  <c r="C209"/>
  <c r="Z208"/>
  <c r="Y208"/>
  <c r="X208"/>
  <c r="R208"/>
  <c r="Q208"/>
  <c r="P208"/>
  <c r="J208"/>
  <c r="I208"/>
  <c r="H208"/>
  <c r="E208"/>
  <c r="D208"/>
  <c r="C208"/>
  <c r="Z207"/>
  <c r="Y207"/>
  <c r="X207"/>
  <c r="Q207"/>
  <c r="J207"/>
  <c r="I207"/>
  <c r="H207"/>
  <c r="D207"/>
  <c r="C207"/>
  <c r="Z206"/>
  <c r="Y206"/>
  <c r="X206"/>
  <c r="R206"/>
  <c r="Q206"/>
  <c r="P206"/>
  <c r="J206"/>
  <c r="I206"/>
  <c r="H206"/>
  <c r="E206"/>
  <c r="D206"/>
  <c r="C206"/>
  <c r="Z204"/>
  <c r="Y204"/>
  <c r="X204"/>
  <c r="R204"/>
  <c r="Q204"/>
  <c r="P204"/>
  <c r="J204"/>
  <c r="I204"/>
  <c r="H204"/>
  <c r="E204"/>
  <c r="D204"/>
  <c r="C204"/>
  <c r="Z203"/>
  <c r="Y203"/>
  <c r="X203"/>
  <c r="R203"/>
  <c r="Q203"/>
  <c r="P203"/>
  <c r="J203"/>
  <c r="I203"/>
  <c r="H203"/>
  <c r="E203"/>
  <c r="D203"/>
  <c r="C203"/>
  <c r="Z202"/>
  <c r="Y202"/>
  <c r="X202"/>
  <c r="R202"/>
  <c r="Q202"/>
  <c r="P202"/>
  <c r="J202"/>
  <c r="I202"/>
  <c r="H202"/>
  <c r="E202"/>
  <c r="D202"/>
  <c r="C202"/>
  <c r="Z201"/>
  <c r="Y201"/>
  <c r="X201"/>
  <c r="R201"/>
  <c r="J201"/>
  <c r="I201"/>
  <c r="H201"/>
  <c r="E201"/>
  <c r="D201"/>
  <c r="C201"/>
  <c r="Z200"/>
  <c r="Y200"/>
  <c r="X200"/>
  <c r="R200"/>
  <c r="Q200"/>
  <c r="P200"/>
  <c r="J200"/>
  <c r="I200"/>
  <c r="H200"/>
  <c r="E200"/>
  <c r="D200"/>
  <c r="C200"/>
  <c r="Z199"/>
  <c r="Y199"/>
  <c r="X199"/>
  <c r="R199"/>
  <c r="Q199"/>
  <c r="P199"/>
  <c r="J199"/>
  <c r="I199"/>
  <c r="H199"/>
  <c r="E199"/>
  <c r="D199"/>
  <c r="C199"/>
  <c r="Z198"/>
  <c r="Y198"/>
  <c r="X198"/>
  <c r="R198"/>
  <c r="Q198"/>
  <c r="P198"/>
  <c r="J198"/>
  <c r="I198"/>
  <c r="H198"/>
  <c r="E198"/>
  <c r="D198"/>
  <c r="C198"/>
  <c r="Z197"/>
  <c r="Y197"/>
  <c r="X197"/>
  <c r="Q197"/>
  <c r="P197"/>
  <c r="J197"/>
  <c r="I197"/>
  <c r="H197"/>
  <c r="E197"/>
  <c r="D197"/>
  <c r="C197"/>
  <c r="Z196"/>
  <c r="Y196"/>
  <c r="X196"/>
  <c r="R196"/>
  <c r="Q196"/>
  <c r="P196"/>
  <c r="J196"/>
  <c r="I196"/>
  <c r="H196"/>
  <c r="E196"/>
  <c r="D196"/>
  <c r="C196"/>
  <c r="Z195"/>
  <c r="Y195"/>
  <c r="X195"/>
  <c r="R195"/>
  <c r="Q195"/>
  <c r="P195"/>
  <c r="J195"/>
  <c r="I195"/>
  <c r="H195"/>
  <c r="E195"/>
  <c r="D195"/>
  <c r="C195"/>
  <c r="Z19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I192"/>
  <c r="H192"/>
  <c r="E192"/>
  <c r="D192"/>
  <c r="C192"/>
  <c r="Z191"/>
  <c r="Y191"/>
  <c r="X191"/>
  <c r="R191"/>
  <c r="Q191"/>
  <c r="P191"/>
  <c r="J191"/>
  <c r="I191"/>
  <c r="H191"/>
  <c r="E191"/>
  <c r="D191"/>
  <c r="C191"/>
  <c r="Z190"/>
  <c r="Y190"/>
  <c r="X190"/>
  <c r="R190"/>
  <c r="Q190"/>
  <c r="P190"/>
  <c r="J190"/>
  <c r="I190"/>
  <c r="H190"/>
  <c r="E190"/>
  <c r="D190"/>
  <c r="C190"/>
  <c r="Z189"/>
  <c r="Y189"/>
  <c r="X189"/>
  <c r="R189"/>
  <c r="P189"/>
  <c r="J189"/>
  <c r="I189"/>
  <c r="H189"/>
  <c r="E189"/>
  <c r="C189"/>
  <c r="Z188"/>
  <c r="Y188"/>
  <c r="X188"/>
  <c r="R188"/>
  <c r="Q188"/>
  <c r="P188"/>
  <c r="J188"/>
  <c r="I188"/>
  <c r="H188"/>
  <c r="E188"/>
  <c r="D188"/>
  <c r="C188"/>
  <c r="Z187"/>
  <c r="Y187"/>
  <c r="X187"/>
  <c r="R187"/>
  <c r="Q187"/>
  <c r="P187"/>
  <c r="J187"/>
  <c r="I187"/>
  <c r="H187"/>
  <c r="E187"/>
  <c r="D187"/>
  <c r="C187"/>
  <c r="Z186"/>
  <c r="Y186"/>
  <c r="X186"/>
  <c r="R186"/>
  <c r="Q186"/>
  <c r="P186"/>
  <c r="J186"/>
  <c r="I186"/>
  <c r="H186"/>
  <c r="E186"/>
  <c r="D186"/>
  <c r="C186"/>
  <c r="Z176"/>
  <c r="Y176"/>
  <c r="X176"/>
  <c r="W176"/>
  <c r="R176"/>
  <c r="Q176"/>
  <c r="P176"/>
  <c r="O176"/>
  <c r="J176"/>
  <c r="I176"/>
  <c r="H176"/>
  <c r="G176"/>
  <c r="E176"/>
  <c r="D176"/>
  <c r="C176"/>
  <c r="B176"/>
  <c r="Z175"/>
  <c r="Y175"/>
  <c r="Y174"/>
  <c r="X175"/>
  <c r="W175"/>
  <c r="W174"/>
  <c r="R175"/>
  <c r="Q175"/>
  <c r="Q174"/>
  <c r="P175"/>
  <c r="O175"/>
  <c r="O174"/>
  <c r="J175"/>
  <c r="I175"/>
  <c r="I174"/>
  <c r="H175"/>
  <c r="G175"/>
  <c r="G174"/>
  <c r="E175"/>
  <c r="E174"/>
  <c r="D175"/>
  <c r="C175"/>
  <c r="C174"/>
  <c r="B175"/>
  <c r="Z174"/>
  <c r="X174"/>
  <c r="R174"/>
  <c r="P174"/>
  <c r="J174"/>
  <c r="H174"/>
  <c r="D174"/>
  <c r="B174"/>
  <c r="Z170"/>
  <c r="Y170"/>
  <c r="X170"/>
  <c r="R170"/>
  <c r="Q170"/>
  <c r="P170"/>
  <c r="J170"/>
  <c r="I170"/>
  <c r="H170"/>
  <c r="E170"/>
  <c r="D170"/>
  <c r="C170"/>
  <c r="Z169"/>
  <c r="Y169"/>
  <c r="X169"/>
  <c r="R169"/>
  <c r="Q169"/>
  <c r="P169"/>
  <c r="J169"/>
  <c r="I169"/>
  <c r="H169"/>
  <c r="E169"/>
  <c r="D169"/>
  <c r="C169"/>
  <c r="Z167"/>
  <c r="Y167"/>
  <c r="X167"/>
  <c r="R167"/>
  <c r="AP51" i="104" s="1"/>
  <c r="Q167" i="103"/>
  <c r="AM51" i="104" s="1"/>
  <c r="J167" i="103"/>
  <c r="W51" i="104"/>
  <c r="I167" i="103"/>
  <c r="T51" i="104"/>
  <c r="H167" i="103"/>
  <c r="Q51" i="104"/>
  <c r="E167" i="103"/>
  <c r="I51" i="104"/>
  <c r="D167" i="103"/>
  <c r="F51" i="104"/>
  <c r="C167" i="103"/>
  <c r="C51" i="104"/>
  <c r="Z166" i="103"/>
  <c r="Y166"/>
  <c r="X166"/>
  <c r="R166"/>
  <c r="AP50" i="104" s="1"/>
  <c r="Q166" i="103"/>
  <c r="AM50" i="104" s="1"/>
  <c r="J166" i="103"/>
  <c r="W50" i="104"/>
  <c r="I166" i="103"/>
  <c r="T50" i="104"/>
  <c r="H166" i="103"/>
  <c r="Q50" i="104"/>
  <c r="E166" i="103"/>
  <c r="I50" i="104"/>
  <c r="D166" i="103"/>
  <c r="F50" i="104"/>
  <c r="C166" i="103"/>
  <c r="C50" i="104"/>
  <c r="Z165" i="103"/>
  <c r="Y165"/>
  <c r="X165"/>
  <c r="R165"/>
  <c r="AP49" i="104" s="1"/>
  <c r="Q165" i="103"/>
  <c r="AM49" i="104" s="1"/>
  <c r="J165" i="103"/>
  <c r="W49" i="104"/>
  <c r="I165" i="103"/>
  <c r="T49" i="104"/>
  <c r="H165" i="103"/>
  <c r="Q49" i="104"/>
  <c r="E165" i="103"/>
  <c r="I49" i="104"/>
  <c r="D165" i="103"/>
  <c r="F49" i="104"/>
  <c r="C165" i="103"/>
  <c r="C49" i="104"/>
  <c r="Z164" i="103"/>
  <c r="Y164"/>
  <c r="X164"/>
  <c r="R164"/>
  <c r="AP48" i="104" s="1"/>
  <c r="Q164" i="103"/>
  <c r="AM48" i="104" s="1"/>
  <c r="J164" i="103"/>
  <c r="W48" i="104"/>
  <c r="I164" i="103"/>
  <c r="T48" i="104"/>
  <c r="H164" i="103"/>
  <c r="Q48" i="104"/>
  <c r="E164" i="103"/>
  <c r="I48" i="104"/>
  <c r="D164" i="103"/>
  <c r="F48" i="104"/>
  <c r="C164" i="103"/>
  <c r="C48" i="104"/>
  <c r="Z163" i="103"/>
  <c r="Y163"/>
  <c r="X163"/>
  <c r="R163"/>
  <c r="AP47" i="104" s="1"/>
  <c r="Q163" i="103"/>
  <c r="AM47" i="104" s="1"/>
  <c r="P163" i="103"/>
  <c r="AJ47" i="104"/>
  <c r="J163" i="103"/>
  <c r="W47" i="104"/>
  <c r="I163" i="103"/>
  <c r="T47" i="104"/>
  <c r="H163" i="103"/>
  <c r="Q47" i="104"/>
  <c r="E163" i="103"/>
  <c r="I47" i="104"/>
  <c r="D163" i="103"/>
  <c r="F47" i="104"/>
  <c r="C163" i="103"/>
  <c r="C47" i="104"/>
  <c r="L47"/>
  <c r="Z162" i="103"/>
  <c r="Y162"/>
  <c r="X162"/>
  <c r="R162"/>
  <c r="AP46" i="104" s="1"/>
  <c r="Q162" i="103"/>
  <c r="AM46" i="104" s="1"/>
  <c r="P162" i="103"/>
  <c r="AJ46" i="104"/>
  <c r="J162" i="103"/>
  <c r="W46" i="104"/>
  <c r="I162" i="103"/>
  <c r="T46" i="104"/>
  <c r="H162" i="103"/>
  <c r="Q46" i="104"/>
  <c r="E162" i="103"/>
  <c r="I46" i="104"/>
  <c r="D162" i="103"/>
  <c r="F46" i="104"/>
  <c r="C162" i="103"/>
  <c r="C46" i="104"/>
  <c r="Z160" i="103"/>
  <c r="Y160"/>
  <c r="X160"/>
  <c r="R160"/>
  <c r="AP44" i="104" s="1"/>
  <c r="AS44" s="1"/>
  <c r="Q160" i="103"/>
  <c r="P160"/>
  <c r="J160"/>
  <c r="W44" i="104"/>
  <c r="Z44"/>
  <c r="I160" i="103"/>
  <c r="H160"/>
  <c r="E160"/>
  <c r="D160"/>
  <c r="C160"/>
  <c r="Z159"/>
  <c r="Y159"/>
  <c r="X159"/>
  <c r="R159"/>
  <c r="AP43" i="104" s="1"/>
  <c r="AS43" s="1"/>
  <c r="Q159" i="103"/>
  <c r="P159"/>
  <c r="J159"/>
  <c r="W43" i="104"/>
  <c r="Z43"/>
  <c r="I159" i="103"/>
  <c r="H159"/>
  <c r="E159"/>
  <c r="I43" i="104"/>
  <c r="L43"/>
  <c r="D159" i="103"/>
  <c r="C159"/>
  <c r="Z158"/>
  <c r="Y158"/>
  <c r="X158"/>
  <c r="R158"/>
  <c r="AP42" i="104" s="1"/>
  <c r="AS42" s="1"/>
  <c r="Q158" i="103"/>
  <c r="P158"/>
  <c r="J158"/>
  <c r="W42" i="104"/>
  <c r="Z42"/>
  <c r="I158" i="103"/>
  <c r="H158"/>
  <c r="E158"/>
  <c r="D158"/>
  <c r="C158"/>
  <c r="Z155"/>
  <c r="Y155"/>
  <c r="X155"/>
  <c r="R155"/>
  <c r="AP39" i="104" s="1"/>
  <c r="J155" i="103"/>
  <c r="W39" i="104"/>
  <c r="I155" i="103"/>
  <c r="T39" i="104"/>
  <c r="H155" i="103"/>
  <c r="Q39" i="104"/>
  <c r="E155" i="103"/>
  <c r="I39" i="104"/>
  <c r="D155" i="103"/>
  <c r="F39" i="104"/>
  <c r="C155" i="103"/>
  <c r="C39" i="104"/>
  <c r="Z154" i="103"/>
  <c r="Y154"/>
  <c r="X154"/>
  <c r="R154"/>
  <c r="AP38" i="104" s="1"/>
  <c r="Q154" i="103"/>
  <c r="AM38" i="104" s="1"/>
  <c r="P154" i="103"/>
  <c r="AJ38" i="104"/>
  <c r="J154" i="103"/>
  <c r="W38" i="104"/>
  <c r="I154" i="103"/>
  <c r="T38" i="104"/>
  <c r="H154" i="103"/>
  <c r="Q38" i="104"/>
  <c r="E154" i="103"/>
  <c r="I38" i="104"/>
  <c r="D154" i="103"/>
  <c r="F38" i="104"/>
  <c r="C154" i="103"/>
  <c r="C38" i="104"/>
  <c r="Z153" i="103"/>
  <c r="Y153"/>
  <c r="X153"/>
  <c r="R153"/>
  <c r="AP37" i="104" s="1"/>
  <c r="Q153" i="103"/>
  <c r="AM37" i="104" s="1"/>
  <c r="P153" i="103"/>
  <c r="AJ37" i="104"/>
  <c r="J153" i="103"/>
  <c r="W37" i="104"/>
  <c r="I153" i="103"/>
  <c r="T37" i="104"/>
  <c r="H153" i="103"/>
  <c r="Q37" i="104"/>
  <c r="E153" i="103"/>
  <c r="I37" i="104"/>
  <c r="D153" i="103"/>
  <c r="F37" i="104"/>
  <c r="C153" i="103"/>
  <c r="C37" i="104"/>
  <c r="Z150" i="103"/>
  <c r="Y150"/>
  <c r="X150"/>
  <c r="R150"/>
  <c r="AP34" i="104" s="1"/>
  <c r="Q150" i="103"/>
  <c r="AM34" i="104" s="1"/>
  <c r="P150" i="103"/>
  <c r="AJ34" i="104"/>
  <c r="J150" i="103"/>
  <c r="W34" i="104"/>
  <c r="I150" i="103"/>
  <c r="T34" i="104"/>
  <c r="H150" i="103"/>
  <c r="Q34" i="104"/>
  <c r="E150" i="103"/>
  <c r="I34" i="104"/>
  <c r="D150" i="103"/>
  <c r="F34" i="104"/>
  <c r="C150" i="103"/>
  <c r="C34" i="104"/>
  <c r="Z149" i="103"/>
  <c r="Y149"/>
  <c r="Y151"/>
  <c r="X149"/>
  <c r="R149"/>
  <c r="AP33" i="104" s="1"/>
  <c r="Q149" i="103"/>
  <c r="AM33" i="104" s="1"/>
  <c r="P149" i="103"/>
  <c r="AJ33" i="104"/>
  <c r="J149" i="103"/>
  <c r="W33" i="104"/>
  <c r="I149" i="103"/>
  <c r="H149"/>
  <c r="Q33" i="104"/>
  <c r="E149" i="103"/>
  <c r="D149"/>
  <c r="F33" i="104"/>
  <c r="C149" i="103"/>
  <c r="C33" i="104"/>
  <c r="Z148" i="103"/>
  <c r="Y148"/>
  <c r="X148"/>
  <c r="J148"/>
  <c r="W32" i="104"/>
  <c r="I148" i="103"/>
  <c r="T32" i="104"/>
  <c r="H148" i="103"/>
  <c r="Q32" i="104"/>
  <c r="Z147" i="103"/>
  <c r="Y147"/>
  <c r="X147"/>
  <c r="R147"/>
  <c r="AP31" i="104" s="1"/>
  <c r="Q147" i="103"/>
  <c r="AM31" i="104" s="1"/>
  <c r="P147" i="103"/>
  <c r="AJ31" i="104"/>
  <c r="J147" i="103"/>
  <c r="W31" i="104"/>
  <c r="I147" i="103"/>
  <c r="T31" i="104"/>
  <c r="H147" i="103"/>
  <c r="Q31" i="104"/>
  <c r="D147" i="103"/>
  <c r="F31" i="104"/>
  <c r="C147" i="103"/>
  <c r="C31" i="104"/>
  <c r="Z146" i="103"/>
  <c r="Y146"/>
  <c r="X146"/>
  <c r="R146"/>
  <c r="Q146"/>
  <c r="P146"/>
  <c r="J146"/>
  <c r="I146"/>
  <c r="H146"/>
  <c r="E146"/>
  <c r="D146"/>
  <c r="C146"/>
  <c r="Z145"/>
  <c r="Y145"/>
  <c r="X145"/>
  <c r="J145"/>
  <c r="W29" i="104"/>
  <c r="I145" i="103"/>
  <c r="T29" i="104"/>
  <c r="H145" i="103"/>
  <c r="Q29" i="104"/>
  <c r="Z144" i="103"/>
  <c r="Y144"/>
  <c r="X144"/>
  <c r="R144"/>
  <c r="AP28" i="104" s="1"/>
  <c r="Q144" i="103"/>
  <c r="AM28" i="104" s="1"/>
  <c r="J144" i="103"/>
  <c r="W28" i="104"/>
  <c r="I144" i="103"/>
  <c r="T28" i="104"/>
  <c r="H144" i="103"/>
  <c r="Q28" i="104"/>
  <c r="E144" i="103"/>
  <c r="I28" i="104"/>
  <c r="D144" i="103"/>
  <c r="F28" i="104"/>
  <c r="C144" i="103"/>
  <c r="C28" i="104"/>
  <c r="Z140" i="103"/>
  <c r="Y140"/>
  <c r="X140"/>
  <c r="Q140"/>
  <c r="P140"/>
  <c r="J140"/>
  <c r="I140"/>
  <c r="H140"/>
  <c r="E140"/>
  <c r="D140"/>
  <c r="C140"/>
  <c r="Z139"/>
  <c r="Y139"/>
  <c r="X139"/>
  <c r="R139"/>
  <c r="Q139"/>
  <c r="P139"/>
  <c r="J139"/>
  <c r="I139"/>
  <c r="H139"/>
  <c r="E139"/>
  <c r="D139"/>
  <c r="C139"/>
  <c r="Z138"/>
  <c r="Y138"/>
  <c r="X138"/>
  <c r="Q138"/>
  <c r="P138"/>
  <c r="J138"/>
  <c r="I138"/>
  <c r="H138"/>
  <c r="E138"/>
  <c r="D138"/>
  <c r="C138"/>
  <c r="AA125"/>
  <c r="AA176"/>
  <c r="S125"/>
  <c r="S176"/>
  <c r="L125"/>
  <c r="L176"/>
  <c r="K125"/>
  <c r="K176"/>
  <c r="F125"/>
  <c r="F176"/>
  <c r="AA124"/>
  <c r="AA175"/>
  <c r="AA174"/>
  <c r="S124"/>
  <c r="S175"/>
  <c r="S174"/>
  <c r="L124"/>
  <c r="L175"/>
  <c r="K124"/>
  <c r="K175"/>
  <c r="K174"/>
  <c r="F124"/>
  <c r="F175"/>
  <c r="Z123"/>
  <c r="Y123"/>
  <c r="X123"/>
  <c r="W123"/>
  <c r="R123"/>
  <c r="Q123"/>
  <c r="P123"/>
  <c r="O123"/>
  <c r="J123"/>
  <c r="I123"/>
  <c r="H123"/>
  <c r="G123"/>
  <c r="F123"/>
  <c r="E123"/>
  <c r="D123"/>
  <c r="C123"/>
  <c r="B123"/>
  <c r="L123"/>
  <c r="T123"/>
  <c r="AB123"/>
  <c r="W126"/>
  <c r="O126"/>
  <c r="O177"/>
  <c r="G126"/>
  <c r="B126"/>
  <c r="B177"/>
  <c r="AA119"/>
  <c r="AA170"/>
  <c r="W170"/>
  <c r="S119"/>
  <c r="S170"/>
  <c r="O170"/>
  <c r="K119"/>
  <c r="K170"/>
  <c r="G170"/>
  <c r="F119"/>
  <c r="F170"/>
  <c r="B170"/>
  <c r="AA118"/>
  <c r="AA169"/>
  <c r="W169"/>
  <c r="S118"/>
  <c r="S169"/>
  <c r="O169"/>
  <c r="K118"/>
  <c r="K169"/>
  <c r="G169"/>
  <c r="F118"/>
  <c r="F169"/>
  <c r="B169"/>
  <c r="Z117"/>
  <c r="Z168"/>
  <c r="Y117"/>
  <c r="Y168"/>
  <c r="X117"/>
  <c r="X168"/>
  <c r="W168"/>
  <c r="S117"/>
  <c r="S168"/>
  <c r="R117"/>
  <c r="R168"/>
  <c r="Q117"/>
  <c r="Q168"/>
  <c r="P117"/>
  <c r="P168"/>
  <c r="O168"/>
  <c r="J117"/>
  <c r="J168"/>
  <c r="I117"/>
  <c r="I168"/>
  <c r="H117"/>
  <c r="H168"/>
  <c r="G168"/>
  <c r="F117"/>
  <c r="F168"/>
  <c r="E117"/>
  <c r="E168"/>
  <c r="D117"/>
  <c r="D168"/>
  <c r="C117"/>
  <c r="C168"/>
  <c r="B168"/>
  <c r="AA116"/>
  <c r="AA167"/>
  <c r="W167"/>
  <c r="S116"/>
  <c r="S167" s="1"/>
  <c r="O167"/>
  <c r="K116"/>
  <c r="K167"/>
  <c r="G167"/>
  <c r="F116"/>
  <c r="F167"/>
  <c r="B167"/>
  <c r="AA115"/>
  <c r="AA166"/>
  <c r="S115"/>
  <c r="S166" s="1"/>
  <c r="K115"/>
  <c r="K166"/>
  <c r="F115"/>
  <c r="F166"/>
  <c r="AA114"/>
  <c r="AA165"/>
  <c r="S114"/>
  <c r="S165" s="1"/>
  <c r="K114"/>
  <c r="K165"/>
  <c r="F114"/>
  <c r="F165"/>
  <c r="AA113"/>
  <c r="AA164"/>
  <c r="S113"/>
  <c r="S164" s="1"/>
  <c r="K113"/>
  <c r="K164"/>
  <c r="F113"/>
  <c r="F164"/>
  <c r="AA112"/>
  <c r="AA163"/>
  <c r="W163"/>
  <c r="S112"/>
  <c r="S163" s="1"/>
  <c r="O163"/>
  <c r="K112"/>
  <c r="K163"/>
  <c r="G163"/>
  <c r="F112"/>
  <c r="F163"/>
  <c r="B163"/>
  <c r="AA111"/>
  <c r="AA162"/>
  <c r="W162"/>
  <c r="S111"/>
  <c r="S162" s="1"/>
  <c r="O162"/>
  <c r="K111"/>
  <c r="K162"/>
  <c r="G162"/>
  <c r="F111"/>
  <c r="F162"/>
  <c r="B162"/>
  <c r="AA110"/>
  <c r="AA161"/>
  <c r="Z110"/>
  <c r="Z161"/>
  <c r="Y110"/>
  <c r="Y161"/>
  <c r="X110"/>
  <c r="X161"/>
  <c r="W161"/>
  <c r="R110"/>
  <c r="R161" s="1"/>
  <c r="AP45" i="104" s="1"/>
  <c r="Q110" i="103"/>
  <c r="Q161" s="1"/>
  <c r="AM45" i="104" s="1"/>
  <c r="P110" i="103"/>
  <c r="P161"/>
  <c r="AJ45" i="104"/>
  <c r="O161" i="103"/>
  <c r="K110"/>
  <c r="K161"/>
  <c r="J161"/>
  <c r="W45" i="104"/>
  <c r="I110" i="103"/>
  <c r="I161"/>
  <c r="T45" i="104"/>
  <c r="H110" i="103"/>
  <c r="H161"/>
  <c r="Q45" i="104"/>
  <c r="G161" i="103"/>
  <c r="E110"/>
  <c r="E161"/>
  <c r="I45" i="104"/>
  <c r="D110" i="103"/>
  <c r="D161"/>
  <c r="F45" i="104"/>
  <c r="C110" i="103"/>
  <c r="C161"/>
  <c r="C45" i="104"/>
  <c r="B161" i="103"/>
  <c r="AA109"/>
  <c r="AA160"/>
  <c r="W160"/>
  <c r="S109"/>
  <c r="S160" s="1"/>
  <c r="O160"/>
  <c r="K109"/>
  <c r="K160"/>
  <c r="G160"/>
  <c r="F109"/>
  <c r="F160"/>
  <c r="B160"/>
  <c r="AA108"/>
  <c r="AA159"/>
  <c r="W159"/>
  <c r="S108"/>
  <c r="S159" s="1"/>
  <c r="O159"/>
  <c r="K108"/>
  <c r="K159"/>
  <c r="G159"/>
  <c r="F108"/>
  <c r="F159"/>
  <c r="B159"/>
  <c r="AA107"/>
  <c r="AA158"/>
  <c r="W158"/>
  <c r="S107"/>
  <c r="S158" s="1"/>
  <c r="O158"/>
  <c r="K107"/>
  <c r="K158"/>
  <c r="G158"/>
  <c r="F107"/>
  <c r="F158"/>
  <c r="B158"/>
  <c r="AA106"/>
  <c r="AA157"/>
  <c r="Z106"/>
  <c r="Z157"/>
  <c r="Y106"/>
  <c r="Y157"/>
  <c r="X106"/>
  <c r="X157"/>
  <c r="W157"/>
  <c r="R106"/>
  <c r="R157" s="1"/>
  <c r="AP41" i="104" s="1"/>
  <c r="AS41" s="1"/>
  <c r="Q106" i="103"/>
  <c r="Q157"/>
  <c r="P106"/>
  <c r="P157"/>
  <c r="O157"/>
  <c r="J106"/>
  <c r="J157"/>
  <c r="W41" i="104"/>
  <c r="I106" i="103"/>
  <c r="I157"/>
  <c r="H106"/>
  <c r="H157"/>
  <c r="G157"/>
  <c r="E106"/>
  <c r="E157"/>
  <c r="I41" i="104"/>
  <c r="D106" i="103"/>
  <c r="D157"/>
  <c r="C106"/>
  <c r="C157"/>
  <c r="B157"/>
  <c r="AA105"/>
  <c r="AA215"/>
  <c r="W215"/>
  <c r="S105"/>
  <c r="S215"/>
  <c r="O215"/>
  <c r="K105"/>
  <c r="K215"/>
  <c r="G215"/>
  <c r="F105"/>
  <c r="F215"/>
  <c r="B215"/>
  <c r="AA104"/>
  <c r="S104"/>
  <c r="K104"/>
  <c r="M104"/>
  <c r="F104"/>
  <c r="F102"/>
  <c r="AA103"/>
  <c r="S103"/>
  <c r="S102" s="1"/>
  <c r="U102" s="1"/>
  <c r="K103"/>
  <c r="M103"/>
  <c r="F103"/>
  <c r="AA102"/>
  <c r="Z102"/>
  <c r="Y102"/>
  <c r="X102"/>
  <c r="R102"/>
  <c r="Q102"/>
  <c r="P102"/>
  <c r="K102"/>
  <c r="M102"/>
  <c r="J102"/>
  <c r="I102"/>
  <c r="H102"/>
  <c r="E102"/>
  <c r="D102"/>
  <c r="C102"/>
  <c r="AA101"/>
  <c r="AA100"/>
  <c r="AA95"/>
  <c r="AA88"/>
  <c r="S101"/>
  <c r="S100" s="1"/>
  <c r="P207"/>
  <c r="K101"/>
  <c r="F101"/>
  <c r="Z100"/>
  <c r="Z95"/>
  <c r="Z88"/>
  <c r="Y100"/>
  <c r="X100"/>
  <c r="X95"/>
  <c r="X88"/>
  <c r="R100"/>
  <c r="Q100"/>
  <c r="Q95" s="1"/>
  <c r="P100"/>
  <c r="P95"/>
  <c r="P88"/>
  <c r="J100"/>
  <c r="J95"/>
  <c r="J88"/>
  <c r="I100"/>
  <c r="H100"/>
  <c r="H95"/>
  <c r="H88"/>
  <c r="F100"/>
  <c r="E100"/>
  <c r="D100"/>
  <c r="C100"/>
  <c r="L100"/>
  <c r="T100"/>
  <c r="AB100"/>
  <c r="AA99"/>
  <c r="Q189"/>
  <c r="K99"/>
  <c r="D189"/>
  <c r="AA98"/>
  <c r="S98"/>
  <c r="K98"/>
  <c r="F98"/>
  <c r="AA97"/>
  <c r="S97"/>
  <c r="K97"/>
  <c r="F97"/>
  <c r="AA96"/>
  <c r="S96"/>
  <c r="K96"/>
  <c r="F96"/>
  <c r="Y95"/>
  <c r="I95"/>
  <c r="I88"/>
  <c r="E95"/>
  <c r="E88"/>
  <c r="C95"/>
  <c r="Z94"/>
  <c r="Y94"/>
  <c r="X94"/>
  <c r="R94"/>
  <c r="Q94"/>
  <c r="P94"/>
  <c r="J94"/>
  <c r="I94"/>
  <c r="H94"/>
  <c r="E94"/>
  <c r="D94"/>
  <c r="C94"/>
  <c r="AA93"/>
  <c r="S93"/>
  <c r="K93"/>
  <c r="F93"/>
  <c r="AA92"/>
  <c r="S92"/>
  <c r="K92"/>
  <c r="F92"/>
  <c r="F94"/>
  <c r="AA91"/>
  <c r="S91"/>
  <c r="K91"/>
  <c r="F91"/>
  <c r="AA90"/>
  <c r="S90"/>
  <c r="K90"/>
  <c r="F90"/>
  <c r="AA89"/>
  <c r="S89"/>
  <c r="K89"/>
  <c r="F89"/>
  <c r="Y88"/>
  <c r="C88"/>
  <c r="AA87"/>
  <c r="S87"/>
  <c r="S86"/>
  <c r="K87"/>
  <c r="M87"/>
  <c r="F87"/>
  <c r="AA86"/>
  <c r="Z86"/>
  <c r="Y86"/>
  <c r="X86"/>
  <c r="R86"/>
  <c r="Q86"/>
  <c r="P86"/>
  <c r="K86"/>
  <c r="M86"/>
  <c r="J86"/>
  <c r="I86"/>
  <c r="H86"/>
  <c r="F86"/>
  <c r="E86"/>
  <c r="D86"/>
  <c r="C86"/>
  <c r="AA85"/>
  <c r="S85"/>
  <c r="K85"/>
  <c r="F85"/>
  <c r="F84"/>
  <c r="AA84"/>
  <c r="Z84"/>
  <c r="Y84"/>
  <c r="X84"/>
  <c r="S84"/>
  <c r="R84"/>
  <c r="Q84"/>
  <c r="P84"/>
  <c r="K84"/>
  <c r="J84"/>
  <c r="I84"/>
  <c r="H84"/>
  <c r="E84"/>
  <c r="D84"/>
  <c r="D75"/>
  <c r="D69"/>
  <c r="C84"/>
  <c r="C75"/>
  <c r="AA83"/>
  <c r="S83"/>
  <c r="S200" s="1"/>
  <c r="U200" s="1"/>
  <c r="K83"/>
  <c r="F83"/>
  <c r="AA82"/>
  <c r="AA203"/>
  <c r="W203"/>
  <c r="S82"/>
  <c r="S203" s="1"/>
  <c r="U203" s="1"/>
  <c r="O203"/>
  <c r="K82"/>
  <c r="K203"/>
  <c r="G203"/>
  <c r="F82"/>
  <c r="F203"/>
  <c r="B203"/>
  <c r="AA81"/>
  <c r="AA202"/>
  <c r="W202"/>
  <c r="S81"/>
  <c r="S202" s="1"/>
  <c r="U202" s="1"/>
  <c r="O202"/>
  <c r="K81"/>
  <c r="K202"/>
  <c r="G202"/>
  <c r="F81"/>
  <c r="F202"/>
  <c r="B202"/>
  <c r="AA80"/>
  <c r="S80"/>
  <c r="K80"/>
  <c r="F80"/>
  <c r="AA79"/>
  <c r="AA201"/>
  <c r="W201"/>
  <c r="Q201"/>
  <c r="O201"/>
  <c r="K79"/>
  <c r="K201"/>
  <c r="G201"/>
  <c r="F79"/>
  <c r="AA78"/>
  <c r="S78"/>
  <c r="K78"/>
  <c r="F78"/>
  <c r="AA77"/>
  <c r="S77"/>
  <c r="K77"/>
  <c r="M77"/>
  <c r="F77"/>
  <c r="AA76"/>
  <c r="S76"/>
  <c r="K76"/>
  <c r="M76"/>
  <c r="F76"/>
  <c r="Z75"/>
  <c r="Z69"/>
  <c r="X75"/>
  <c r="X69"/>
  <c r="R75"/>
  <c r="R69" s="1"/>
  <c r="P75"/>
  <c r="P69"/>
  <c r="J75"/>
  <c r="J69"/>
  <c r="H75"/>
  <c r="H69"/>
  <c r="AA74"/>
  <c r="S74"/>
  <c r="K74"/>
  <c r="F74"/>
  <c r="Z73"/>
  <c r="Y73"/>
  <c r="X73"/>
  <c r="R73"/>
  <c r="Q73"/>
  <c r="P73"/>
  <c r="J73"/>
  <c r="I73"/>
  <c r="H73"/>
  <c r="E73"/>
  <c r="D73"/>
  <c r="C73"/>
  <c r="AA72"/>
  <c r="S72"/>
  <c r="K72"/>
  <c r="F72"/>
  <c r="AA71"/>
  <c r="S71"/>
  <c r="K71"/>
  <c r="F71"/>
  <c r="F73"/>
  <c r="AA70"/>
  <c r="S70"/>
  <c r="K70"/>
  <c r="F70"/>
  <c r="D148"/>
  <c r="F32" i="104"/>
  <c r="AA68" i="103"/>
  <c r="AA214"/>
  <c r="W214"/>
  <c r="S68"/>
  <c r="S214"/>
  <c r="O214"/>
  <c r="K68"/>
  <c r="K214"/>
  <c r="G214"/>
  <c r="F68"/>
  <c r="F214"/>
  <c r="B214"/>
  <c r="AA67"/>
  <c r="AA213"/>
  <c r="W213"/>
  <c r="O213"/>
  <c r="K67"/>
  <c r="K213"/>
  <c r="G213"/>
  <c r="C64"/>
  <c r="B213"/>
  <c r="AA66"/>
  <c r="AA212"/>
  <c r="W212"/>
  <c r="S66"/>
  <c r="S212" s="1"/>
  <c r="U212" s="1"/>
  <c r="R212"/>
  <c r="O212"/>
  <c r="K66"/>
  <c r="K212"/>
  <c r="G212"/>
  <c r="F66"/>
  <c r="F212"/>
  <c r="B212"/>
  <c r="AA65"/>
  <c r="Q211"/>
  <c r="P211"/>
  <c r="K65"/>
  <c r="F65"/>
  <c r="Z64"/>
  <c r="Y64"/>
  <c r="X64"/>
  <c r="R64"/>
  <c r="P64"/>
  <c r="P59"/>
  <c r="P43"/>
  <c r="P34"/>
  <c r="I64"/>
  <c r="H64"/>
  <c r="H43"/>
  <c r="H34"/>
  <c r="E64"/>
  <c r="D64"/>
  <c r="L64"/>
  <c r="T64"/>
  <c r="AB64"/>
  <c r="AA63"/>
  <c r="S63"/>
  <c r="K63"/>
  <c r="F63"/>
  <c r="AA62"/>
  <c r="AA208"/>
  <c r="W208"/>
  <c r="S62"/>
  <c r="S208"/>
  <c r="O208"/>
  <c r="K62"/>
  <c r="K208"/>
  <c r="G208"/>
  <c r="F62"/>
  <c r="F208"/>
  <c r="B208"/>
  <c r="AA61"/>
  <c r="R207"/>
  <c r="K61"/>
  <c r="E207"/>
  <c r="AA60"/>
  <c r="AA206"/>
  <c r="W206"/>
  <c r="S60"/>
  <c r="S206" s="1"/>
  <c r="U206" s="1"/>
  <c r="O206"/>
  <c r="K60"/>
  <c r="K206"/>
  <c r="G206"/>
  <c r="F60"/>
  <c r="F206"/>
  <c r="B206"/>
  <c r="AA59"/>
  <c r="Z59"/>
  <c r="Y59"/>
  <c r="X59"/>
  <c r="Q59"/>
  <c r="K59"/>
  <c r="I59"/>
  <c r="H59"/>
  <c r="E59"/>
  <c r="D59"/>
  <c r="C59"/>
  <c r="AA58"/>
  <c r="AA200"/>
  <c r="W200"/>
  <c r="S58"/>
  <c r="O200"/>
  <c r="K58"/>
  <c r="K200"/>
  <c r="G200"/>
  <c r="F58"/>
  <c r="F200"/>
  <c r="B200"/>
  <c r="AA57"/>
  <c r="AA199"/>
  <c r="W199"/>
  <c r="S57"/>
  <c r="S199" s="1"/>
  <c r="U199" s="1"/>
  <c r="O199"/>
  <c r="K57"/>
  <c r="K199"/>
  <c r="G199"/>
  <c r="F57"/>
  <c r="F199"/>
  <c r="B199"/>
  <c r="AA56"/>
  <c r="AA198"/>
  <c r="W198"/>
  <c r="S56"/>
  <c r="S198" s="1"/>
  <c r="U198" s="1"/>
  <c r="O198"/>
  <c r="K56"/>
  <c r="K198"/>
  <c r="G198"/>
  <c r="F56"/>
  <c r="F198"/>
  <c r="B198"/>
  <c r="AA55"/>
  <c r="AA197"/>
  <c r="W197"/>
  <c r="R197"/>
  <c r="O197"/>
  <c r="K55"/>
  <c r="K197"/>
  <c r="G197"/>
  <c r="F55"/>
  <c r="F197"/>
  <c r="B197"/>
  <c r="AA54"/>
  <c r="AA196"/>
  <c r="W196"/>
  <c r="S54"/>
  <c r="S196" s="1"/>
  <c r="U196" s="1"/>
  <c r="O196"/>
  <c r="K54"/>
  <c r="K196"/>
  <c r="G196"/>
  <c r="F54"/>
  <c r="F196"/>
  <c r="B196"/>
  <c r="AA53"/>
  <c r="AA195"/>
  <c r="W195"/>
  <c r="S53"/>
  <c r="S195" s="1"/>
  <c r="U195" s="1"/>
  <c r="O195"/>
  <c r="K53"/>
  <c r="K195"/>
  <c r="G195"/>
  <c r="F53"/>
  <c r="F195"/>
  <c r="B195"/>
  <c r="AA52"/>
  <c r="AA194"/>
  <c r="W194"/>
  <c r="S52"/>
  <c r="S194" s="1"/>
  <c r="U194" s="1"/>
  <c r="O194"/>
  <c r="K52"/>
  <c r="K194"/>
  <c r="G194"/>
  <c r="F52"/>
  <c r="F194"/>
  <c r="B194"/>
  <c r="AA51"/>
  <c r="AA193"/>
  <c r="W193"/>
  <c r="S51"/>
  <c r="S193"/>
  <c r="O193"/>
  <c r="K51"/>
  <c r="K193"/>
  <c r="G193"/>
  <c r="F51"/>
  <c r="F193"/>
  <c r="B193"/>
  <c r="AA50"/>
  <c r="AA192"/>
  <c r="W192"/>
  <c r="S50"/>
  <c r="S192" s="1"/>
  <c r="U192" s="1"/>
  <c r="O192"/>
  <c r="K50"/>
  <c r="K192"/>
  <c r="G192"/>
  <c r="F50"/>
  <c r="F192"/>
  <c r="B192"/>
  <c r="AA49"/>
  <c r="S49"/>
  <c r="K49"/>
  <c r="F49"/>
  <c r="AA48"/>
  <c r="AA191"/>
  <c r="W191"/>
  <c r="S48"/>
  <c r="S191" s="1"/>
  <c r="U191" s="1"/>
  <c r="O191"/>
  <c r="K48"/>
  <c r="K191"/>
  <c r="G191"/>
  <c r="F48"/>
  <c r="F191"/>
  <c r="B191"/>
  <c r="AA47"/>
  <c r="AA190"/>
  <c r="W190"/>
  <c r="S47"/>
  <c r="S190"/>
  <c r="O190"/>
  <c r="K47"/>
  <c r="K190"/>
  <c r="G190"/>
  <c r="F47"/>
  <c r="F190"/>
  <c r="B190"/>
  <c r="AA46"/>
  <c r="S46"/>
  <c r="K46"/>
  <c r="F46"/>
  <c r="AA45"/>
  <c r="S45"/>
  <c r="K45"/>
  <c r="F45"/>
  <c r="AA44"/>
  <c r="S44"/>
  <c r="K44"/>
  <c r="F44"/>
  <c r="Z43"/>
  <c r="Z34"/>
  <c r="Y43"/>
  <c r="X43"/>
  <c r="X34"/>
  <c r="I43"/>
  <c r="I34"/>
  <c r="D43"/>
  <c r="D34"/>
  <c r="Z42"/>
  <c r="Y42"/>
  <c r="X42"/>
  <c r="R42"/>
  <c r="Q42"/>
  <c r="P42"/>
  <c r="J42"/>
  <c r="I42"/>
  <c r="H42"/>
  <c r="E42"/>
  <c r="D42"/>
  <c r="C42"/>
  <c r="A42"/>
  <c r="A73"/>
  <c r="A94"/>
  <c r="AA41"/>
  <c r="S41"/>
  <c r="K41"/>
  <c r="F41"/>
  <c r="AA40"/>
  <c r="S40"/>
  <c r="S42" s="1"/>
  <c r="K40"/>
  <c r="F40"/>
  <c r="AA39"/>
  <c r="S39"/>
  <c r="K39"/>
  <c r="F39"/>
  <c r="AA38"/>
  <c r="S38"/>
  <c r="K38"/>
  <c r="F38"/>
  <c r="AA37"/>
  <c r="R145"/>
  <c r="AP29" i="104" s="1"/>
  <c r="Q145" i="103"/>
  <c r="AM29" i="104" s="1"/>
  <c r="K37" i="103"/>
  <c r="E145"/>
  <c r="I29" i="104"/>
  <c r="D145" i="103"/>
  <c r="F29" i="104"/>
  <c r="C145" i="103"/>
  <c r="C29" i="104"/>
  <c r="AA36" i="103"/>
  <c r="AA147"/>
  <c r="W147"/>
  <c r="S36"/>
  <c r="S147" s="1"/>
  <c r="O147"/>
  <c r="K36"/>
  <c r="K147"/>
  <c r="G147"/>
  <c r="F36"/>
  <c r="F147"/>
  <c r="E147"/>
  <c r="I31" i="104"/>
  <c r="B147" i="103"/>
  <c r="AA35"/>
  <c r="S35"/>
  <c r="K35"/>
  <c r="F35"/>
  <c r="Y34"/>
  <c r="L34"/>
  <c r="T34"/>
  <c r="AB34"/>
  <c r="AA33"/>
  <c r="AA211"/>
  <c r="W211"/>
  <c r="S33"/>
  <c r="S32" s="1"/>
  <c r="O211"/>
  <c r="K33"/>
  <c r="K211"/>
  <c r="G211"/>
  <c r="F33"/>
  <c r="F211"/>
  <c r="B211"/>
  <c r="Z32"/>
  <c r="Z210"/>
  <c r="Y32"/>
  <c r="Y210"/>
  <c r="X32"/>
  <c r="X210"/>
  <c r="W210"/>
  <c r="R32"/>
  <c r="R210"/>
  <c r="Q32"/>
  <c r="P32"/>
  <c r="P210"/>
  <c r="O210"/>
  <c r="J32"/>
  <c r="J210"/>
  <c r="I32"/>
  <c r="I210"/>
  <c r="H32"/>
  <c r="H210"/>
  <c r="G210"/>
  <c r="F32"/>
  <c r="E32"/>
  <c r="D32"/>
  <c r="D210"/>
  <c r="C32"/>
  <c r="B210"/>
  <c r="AA31"/>
  <c r="AA209"/>
  <c r="W209"/>
  <c r="S31"/>
  <c r="S209"/>
  <c r="O209"/>
  <c r="K31"/>
  <c r="K209"/>
  <c r="G209"/>
  <c r="F31"/>
  <c r="F209"/>
  <c r="B209"/>
  <c r="AA30"/>
  <c r="AA207"/>
  <c r="W207"/>
  <c r="S30"/>
  <c r="S29" s="1"/>
  <c r="U29" s="1"/>
  <c r="O207"/>
  <c r="K30"/>
  <c r="K29"/>
  <c r="G207"/>
  <c r="F30"/>
  <c r="B207"/>
  <c r="AA29"/>
  <c r="Z29"/>
  <c r="Z205"/>
  <c r="Y29"/>
  <c r="Y205"/>
  <c r="X29"/>
  <c r="X205"/>
  <c r="W205"/>
  <c r="R29"/>
  <c r="Q29"/>
  <c r="Q205" s="1"/>
  <c r="P29"/>
  <c r="P205"/>
  <c r="O205"/>
  <c r="J29"/>
  <c r="I29"/>
  <c r="I205"/>
  <c r="H29"/>
  <c r="H205"/>
  <c r="G205"/>
  <c r="E29"/>
  <c r="E205"/>
  <c r="D29"/>
  <c r="D205"/>
  <c r="C29"/>
  <c r="C205"/>
  <c r="B205"/>
  <c r="AA28"/>
  <c r="AA204"/>
  <c r="W204"/>
  <c r="S28"/>
  <c r="S204"/>
  <c r="O204"/>
  <c r="K28"/>
  <c r="K204"/>
  <c r="G204"/>
  <c r="F28"/>
  <c r="F204"/>
  <c r="B204"/>
  <c r="AA27"/>
  <c r="AA189"/>
  <c r="W189"/>
  <c r="S27"/>
  <c r="O189"/>
  <c r="K27"/>
  <c r="K189"/>
  <c r="G189"/>
  <c r="F27"/>
  <c r="B189"/>
  <c r="AA26"/>
  <c r="AA188"/>
  <c r="W188"/>
  <c r="S26"/>
  <c r="S188" s="1"/>
  <c r="U188" s="1"/>
  <c r="O188"/>
  <c r="K26"/>
  <c r="G188"/>
  <c r="F26"/>
  <c r="F188"/>
  <c r="B188"/>
  <c r="AA25"/>
  <c r="S25"/>
  <c r="K25"/>
  <c r="F25"/>
  <c r="AA24"/>
  <c r="S24"/>
  <c r="K24"/>
  <c r="F24"/>
  <c r="Y23"/>
  <c r="W152"/>
  <c r="O152"/>
  <c r="I23"/>
  <c r="G152"/>
  <c r="E23"/>
  <c r="B152"/>
  <c r="Z22"/>
  <c r="Y22"/>
  <c r="X22"/>
  <c r="R22"/>
  <c r="Q22"/>
  <c r="P22"/>
  <c r="J22"/>
  <c r="I22"/>
  <c r="H22"/>
  <c r="E22"/>
  <c r="D22"/>
  <c r="C22"/>
  <c r="AA21"/>
  <c r="AA150"/>
  <c r="W150"/>
  <c r="S21"/>
  <c r="O150"/>
  <c r="K21"/>
  <c r="K150"/>
  <c r="G150"/>
  <c r="F21"/>
  <c r="F150"/>
  <c r="B150"/>
  <c r="AA20"/>
  <c r="AA149"/>
  <c r="W149"/>
  <c r="S20"/>
  <c r="O149"/>
  <c r="K20"/>
  <c r="K149"/>
  <c r="G149"/>
  <c r="F20"/>
  <c r="B149"/>
  <c r="AA19"/>
  <c r="AA148"/>
  <c r="W148"/>
  <c r="R148"/>
  <c r="AP32" i="104" s="1"/>
  <c r="Q148" i="103"/>
  <c r="AM32" i="104" s="1"/>
  <c r="P148" i="103"/>
  <c r="AJ32" i="104"/>
  <c r="O148" i="103"/>
  <c r="K19"/>
  <c r="G148"/>
  <c r="E148"/>
  <c r="I32" i="104"/>
  <c r="C148" i="103"/>
  <c r="C32" i="104"/>
  <c r="B148" i="103"/>
  <c r="AA18"/>
  <c r="AA146"/>
  <c r="W146"/>
  <c r="S18"/>
  <c r="S146"/>
  <c r="O146"/>
  <c r="K18"/>
  <c r="K146"/>
  <c r="G146"/>
  <c r="F18"/>
  <c r="F146"/>
  <c r="B146"/>
  <c r="AA17"/>
  <c r="AA145"/>
  <c r="W145"/>
  <c r="S17"/>
  <c r="O145"/>
  <c r="K17"/>
  <c r="K145"/>
  <c r="G145"/>
  <c r="F17"/>
  <c r="B145"/>
  <c r="AA16"/>
  <c r="AA144"/>
  <c r="W144"/>
  <c r="S16"/>
  <c r="S144" s="1"/>
  <c r="O144"/>
  <c r="O171"/>
  <c r="K16"/>
  <c r="G144"/>
  <c r="F16"/>
  <c r="F144"/>
  <c r="B144"/>
  <c r="L15"/>
  <c r="T15"/>
  <c r="AB15"/>
  <c r="AA11"/>
  <c r="AA140"/>
  <c r="W140"/>
  <c r="R140"/>
  <c r="O140"/>
  <c r="K11"/>
  <c r="K140"/>
  <c r="G140"/>
  <c r="F11"/>
  <c r="F140"/>
  <c r="B140"/>
  <c r="AA10"/>
  <c r="AA139"/>
  <c r="W139"/>
  <c r="S10"/>
  <c r="S139" s="1"/>
  <c r="U139" s="1"/>
  <c r="O139"/>
  <c r="K10"/>
  <c r="K139"/>
  <c r="G139"/>
  <c r="F10"/>
  <c r="F139"/>
  <c r="B139"/>
  <c r="AA9"/>
  <c r="AA138"/>
  <c r="W138"/>
  <c r="S9"/>
  <c r="S138" s="1"/>
  <c r="U138" s="1"/>
  <c r="R138"/>
  <c r="O138"/>
  <c r="K9"/>
  <c r="K138"/>
  <c r="G138"/>
  <c r="F9"/>
  <c r="F138"/>
  <c r="B138"/>
  <c r="Z8"/>
  <c r="Y8"/>
  <c r="X8"/>
  <c r="W137"/>
  <c r="R8"/>
  <c r="AP9" i="104" s="1"/>
  <c r="Q8" i="103"/>
  <c r="AM9" i="104" s="1"/>
  <c r="P8" i="103"/>
  <c r="AJ9" i="104"/>
  <c r="O137" i="103"/>
  <c r="O172"/>
  <c r="J8"/>
  <c r="W9" i="104"/>
  <c r="W57"/>
  <c r="I8" i="103"/>
  <c r="T9" i="104"/>
  <c r="T57"/>
  <c r="H8" i="103"/>
  <c r="Q9" i="104"/>
  <c r="Q57"/>
  <c r="G137" i="103"/>
  <c r="E8"/>
  <c r="I9" i="104"/>
  <c r="I57"/>
  <c r="D8" i="103"/>
  <c r="F9" i="104"/>
  <c r="F57"/>
  <c r="C8" i="103"/>
  <c r="C9" i="104"/>
  <c r="C57"/>
  <c r="B137" i="103"/>
  <c r="B172"/>
  <c r="AA7"/>
  <c r="S7"/>
  <c r="K7"/>
  <c r="F7"/>
  <c r="BL81" i="102"/>
  <c r="BM80"/>
  <c r="BK80"/>
  <c r="BL80"/>
  <c r="BN80"/>
  <c r="AT80"/>
  <c r="AR80"/>
  <c r="AA80"/>
  <c r="Y80"/>
  <c r="Z80"/>
  <c r="AB80"/>
  <c r="M80"/>
  <c r="K80"/>
  <c r="AD80"/>
  <c r="AW80"/>
  <c r="BP80"/>
  <c r="BM79"/>
  <c r="BK79"/>
  <c r="BL79"/>
  <c r="BN79"/>
  <c r="AT79"/>
  <c r="AR79"/>
  <c r="AA79"/>
  <c r="Y79"/>
  <c r="Z79"/>
  <c r="AB79"/>
  <c r="M79"/>
  <c r="AF79"/>
  <c r="K79"/>
  <c r="AD79"/>
  <c r="AW79"/>
  <c r="BP79"/>
  <c r="BJ78"/>
  <c r="BH78"/>
  <c r="BG78"/>
  <c r="BL78"/>
  <c r="BE78"/>
  <c r="BD78"/>
  <c r="BB78"/>
  <c r="BK78"/>
  <c r="AQ78"/>
  <c r="AO78"/>
  <c r="AN78"/>
  <c r="AL78"/>
  <c r="AR78"/>
  <c r="AK78"/>
  <c r="AS78"/>
  <c r="AU78"/>
  <c r="AI78"/>
  <c r="X78"/>
  <c r="V78"/>
  <c r="U78"/>
  <c r="Z78"/>
  <c r="S78"/>
  <c r="R78"/>
  <c r="AA78"/>
  <c r="P78"/>
  <c r="Y78"/>
  <c r="J78"/>
  <c r="H78"/>
  <c r="E78"/>
  <c r="K78"/>
  <c r="AD78"/>
  <c r="AW78"/>
  <c r="BP78"/>
  <c r="D78"/>
  <c r="L78"/>
  <c r="B78"/>
  <c r="BM75"/>
  <c r="BL75"/>
  <c r="AT75"/>
  <c r="AS75"/>
  <c r="AR75"/>
  <c r="AF75"/>
  <c r="AA75"/>
  <c r="Z75"/>
  <c r="M75"/>
  <c r="L75"/>
  <c r="BK72"/>
  <c r="AR72"/>
  <c r="Y72"/>
  <c r="BM68"/>
  <c r="BL68"/>
  <c r="BK68"/>
  <c r="AT68"/>
  <c r="AR68"/>
  <c r="AA68"/>
  <c r="Z68"/>
  <c r="Y68"/>
  <c r="M68"/>
  <c r="AF68"/>
  <c r="AY68"/>
  <c r="BR68"/>
  <c r="K68"/>
  <c r="BM65"/>
  <c r="BL65"/>
  <c r="BK65"/>
  <c r="AT65"/>
  <c r="AR65"/>
  <c r="AA65"/>
  <c r="Z65"/>
  <c r="Y65"/>
  <c r="M65"/>
  <c r="AF65"/>
  <c r="AY65"/>
  <c r="BR65"/>
  <c r="K65"/>
  <c r="BM64"/>
  <c r="BL64"/>
  <c r="BK64"/>
  <c r="AT64"/>
  <c r="AR64"/>
  <c r="AA64"/>
  <c r="Z64"/>
  <c r="Y64"/>
  <c r="M64"/>
  <c r="AF64"/>
  <c r="AY64"/>
  <c r="BR64"/>
  <c r="K64"/>
  <c r="BM63"/>
  <c r="BL63"/>
  <c r="BK63"/>
  <c r="AT63"/>
  <c r="AR63"/>
  <c r="AA63"/>
  <c r="Y63"/>
  <c r="M63"/>
  <c r="K63"/>
  <c r="BL61"/>
  <c r="BM59"/>
  <c r="BL59"/>
  <c r="BK59"/>
  <c r="AT59"/>
  <c r="AR59"/>
  <c r="AA59"/>
  <c r="Y59"/>
  <c r="M59"/>
  <c r="K59"/>
  <c r="BM58"/>
  <c r="BL58"/>
  <c r="BK58"/>
  <c r="AT58"/>
  <c r="AR58"/>
  <c r="AA58"/>
  <c r="Y58"/>
  <c r="M58"/>
  <c r="K58"/>
  <c r="BG57"/>
  <c r="BK57"/>
  <c r="BD57"/>
  <c r="AQ57"/>
  <c r="AN57"/>
  <c r="AK57"/>
  <c r="X57"/>
  <c r="U57"/>
  <c r="R57"/>
  <c r="J57"/>
  <c r="G57"/>
  <c r="D57"/>
  <c r="BM56"/>
  <c r="BK56"/>
  <c r="AT56"/>
  <c r="AS56"/>
  <c r="AR56"/>
  <c r="AA56"/>
  <c r="Y56"/>
  <c r="M56"/>
  <c r="AF56"/>
  <c r="AY56"/>
  <c r="BR56"/>
  <c r="L56"/>
  <c r="K56"/>
  <c r="BM55"/>
  <c r="BK55"/>
  <c r="AT55"/>
  <c r="AS55"/>
  <c r="AR55"/>
  <c r="AA55"/>
  <c r="Y55"/>
  <c r="M55"/>
  <c r="L55"/>
  <c r="K55"/>
  <c r="BM54"/>
  <c r="BK54"/>
  <c r="AT54"/>
  <c r="AR54"/>
  <c r="AA54"/>
  <c r="Y54"/>
  <c r="M54"/>
  <c r="AF54"/>
  <c r="L54"/>
  <c r="K54"/>
  <c r="BM53"/>
  <c r="BK53"/>
  <c r="AT53"/>
  <c r="AR53"/>
  <c r="AA53"/>
  <c r="Y53"/>
  <c r="M53"/>
  <c r="AF53"/>
  <c r="K53"/>
  <c r="BG52"/>
  <c r="BD52"/>
  <c r="BM52"/>
  <c r="AQ52"/>
  <c r="AN52"/>
  <c r="AK52"/>
  <c r="X52"/>
  <c r="U52"/>
  <c r="R52"/>
  <c r="AA52"/>
  <c r="Y52"/>
  <c r="J52"/>
  <c r="G52"/>
  <c r="D52"/>
  <c r="BM51"/>
  <c r="AT51"/>
  <c r="AA51"/>
  <c r="M51"/>
  <c r="BM50"/>
  <c r="BL50"/>
  <c r="BK50"/>
  <c r="AT50"/>
  <c r="AR50"/>
  <c r="AA50"/>
  <c r="Y50"/>
  <c r="M50"/>
  <c r="K50"/>
  <c r="BM49"/>
  <c r="BL49"/>
  <c r="AT49"/>
  <c r="AR49"/>
  <c r="AA49"/>
  <c r="M49"/>
  <c r="K49"/>
  <c r="BM48"/>
  <c r="BL48"/>
  <c r="BK48"/>
  <c r="AT48"/>
  <c r="AR48"/>
  <c r="AA48"/>
  <c r="Y48"/>
  <c r="M48"/>
  <c r="K48"/>
  <c r="BJ47"/>
  <c r="BG47"/>
  <c r="BG69"/>
  <c r="BE51"/>
  <c r="BD47"/>
  <c r="AQ47"/>
  <c r="AQ69"/>
  <c r="AO51"/>
  <c r="AN47"/>
  <c r="AK47"/>
  <c r="AI51"/>
  <c r="X47"/>
  <c r="U69"/>
  <c r="S51"/>
  <c r="R47"/>
  <c r="J47"/>
  <c r="H51"/>
  <c r="G47"/>
  <c r="G69"/>
  <c r="D47"/>
  <c r="BJ46"/>
  <c r="BG46"/>
  <c r="BD46"/>
  <c r="AQ46"/>
  <c r="AN46"/>
  <c r="AK46"/>
  <c r="X46"/>
  <c r="U46"/>
  <c r="R46"/>
  <c r="J46"/>
  <c r="G46"/>
  <c r="D46"/>
  <c r="BM45"/>
  <c r="BK45"/>
  <c r="AT45"/>
  <c r="AR45"/>
  <c r="AA45"/>
  <c r="Y45"/>
  <c r="M45"/>
  <c r="K45"/>
  <c r="BM44"/>
  <c r="BK44"/>
  <c r="AT44"/>
  <c r="AR44"/>
  <c r="AA44"/>
  <c r="Y44"/>
  <c r="M44"/>
  <c r="AF44"/>
  <c r="K44"/>
  <c r="BM43"/>
  <c r="BK43"/>
  <c r="AT43"/>
  <c r="AR43"/>
  <c r="AA43"/>
  <c r="Y43"/>
  <c r="M43"/>
  <c r="AF43"/>
  <c r="K43"/>
  <c r="BM42"/>
  <c r="BK42"/>
  <c r="AT42"/>
  <c r="AR42"/>
  <c r="AA42"/>
  <c r="Y42"/>
  <c r="M42"/>
  <c r="AF42"/>
  <c r="K42"/>
  <c r="BM41"/>
  <c r="BK41"/>
  <c r="AT41"/>
  <c r="AS41"/>
  <c r="AR41"/>
  <c r="AA41"/>
  <c r="Y41"/>
  <c r="M41"/>
  <c r="AF41"/>
  <c r="AY41"/>
  <c r="BR41"/>
  <c r="L41"/>
  <c r="K41"/>
  <c r="BM40"/>
  <c r="BK40"/>
  <c r="AT40"/>
  <c r="AR40"/>
  <c r="AA40"/>
  <c r="Y40"/>
  <c r="M40"/>
  <c r="AF40"/>
  <c r="K40"/>
  <c r="BM39"/>
  <c r="BH69"/>
  <c r="BE69"/>
  <c r="BB69"/>
  <c r="AT39"/>
  <c r="AO69"/>
  <c r="AL69"/>
  <c r="AI69"/>
  <c r="AA39"/>
  <c r="V69"/>
  <c r="S69"/>
  <c r="P69"/>
  <c r="M39"/>
  <c r="AF39"/>
  <c r="AY39"/>
  <c r="BM33"/>
  <c r="BL33"/>
  <c r="AT33"/>
  <c r="AS33"/>
  <c r="AE33"/>
  <c r="AA33"/>
  <c r="Z33"/>
  <c r="Y33"/>
  <c r="M33"/>
  <c r="AF33"/>
  <c r="AY33"/>
  <c r="BR33"/>
  <c r="L33"/>
  <c r="BK32"/>
  <c r="X32"/>
  <c r="Y32"/>
  <c r="K32"/>
  <c r="BM31"/>
  <c r="BL31"/>
  <c r="AT31"/>
  <c r="AS31"/>
  <c r="AA31"/>
  <c r="Z31"/>
  <c r="Y31"/>
  <c r="M31"/>
  <c r="L31"/>
  <c r="BM30"/>
  <c r="BL30"/>
  <c r="AT30"/>
  <c r="AS30"/>
  <c r="AR30"/>
  <c r="AA30"/>
  <c r="Z30"/>
  <c r="M30"/>
  <c r="AF30"/>
  <c r="L30"/>
  <c r="AE30"/>
  <c r="K30"/>
  <c r="BJ29"/>
  <c r="BJ32"/>
  <c r="BI29"/>
  <c r="BI32"/>
  <c r="BG29"/>
  <c r="BG32"/>
  <c r="BF29"/>
  <c r="BF32"/>
  <c r="BD29"/>
  <c r="BD32"/>
  <c r="BC29"/>
  <c r="AQ29"/>
  <c r="AQ32"/>
  <c r="AP29"/>
  <c r="AN29"/>
  <c r="AN32"/>
  <c r="AM29"/>
  <c r="AK29"/>
  <c r="AJ29"/>
  <c r="AJ32"/>
  <c r="X29"/>
  <c r="W29"/>
  <c r="W32"/>
  <c r="U29"/>
  <c r="U32"/>
  <c r="T29"/>
  <c r="T32"/>
  <c r="Y29"/>
  <c r="R29"/>
  <c r="Q29"/>
  <c r="J29"/>
  <c r="J32"/>
  <c r="I29"/>
  <c r="I32"/>
  <c r="G29"/>
  <c r="G32"/>
  <c r="F29"/>
  <c r="F32"/>
  <c r="K29"/>
  <c r="AD29"/>
  <c r="D32"/>
  <c r="C29"/>
  <c r="BM28"/>
  <c r="BL28"/>
  <c r="BK28"/>
  <c r="AT28"/>
  <c r="AS28"/>
  <c r="AR28"/>
  <c r="AA28"/>
  <c r="Z28"/>
  <c r="M28"/>
  <c r="AF28"/>
  <c r="L28"/>
  <c r="AE28"/>
  <c r="K28"/>
  <c r="BM27"/>
  <c r="BL27"/>
  <c r="BK27"/>
  <c r="AT27"/>
  <c r="AS27"/>
  <c r="AR27"/>
  <c r="AA27"/>
  <c r="Z27"/>
  <c r="M27"/>
  <c r="AF27"/>
  <c r="L27"/>
  <c r="AE27"/>
  <c r="K27"/>
  <c r="BM26"/>
  <c r="BL26"/>
  <c r="BK26"/>
  <c r="AT26"/>
  <c r="AS26"/>
  <c r="AA26"/>
  <c r="Z26"/>
  <c r="Y26"/>
  <c r="M26"/>
  <c r="L26"/>
  <c r="BM25"/>
  <c r="BL25"/>
  <c r="AT25"/>
  <c r="AP32"/>
  <c r="AA25"/>
  <c r="Z25"/>
  <c r="M25"/>
  <c r="L25"/>
  <c r="AE25"/>
  <c r="K25"/>
  <c r="BM20"/>
  <c r="BL20"/>
  <c r="BK20"/>
  <c r="AT20"/>
  <c r="AR20"/>
  <c r="AA20"/>
  <c r="Y20"/>
  <c r="M20"/>
  <c r="K20"/>
  <c r="BM19"/>
  <c r="BL19"/>
  <c r="BK19"/>
  <c r="BK18"/>
  <c r="AT19"/>
  <c r="AT18"/>
  <c r="AR19"/>
  <c r="AA19"/>
  <c r="Y19"/>
  <c r="Y18"/>
  <c r="M19"/>
  <c r="K19"/>
  <c r="BJ18"/>
  <c r="BJ14"/>
  <c r="BJ70"/>
  <c r="BG18"/>
  <c r="BD18"/>
  <c r="BD14"/>
  <c r="BD70"/>
  <c r="AQ18"/>
  <c r="AN18"/>
  <c r="AK18"/>
  <c r="X18"/>
  <c r="U18"/>
  <c r="R18"/>
  <c r="M18"/>
  <c r="J18"/>
  <c r="G18"/>
  <c r="D18"/>
  <c r="BM17"/>
  <c r="BK17"/>
  <c r="AT17"/>
  <c r="AR17"/>
  <c r="AA17"/>
  <c r="Y17"/>
  <c r="M17"/>
  <c r="K17"/>
  <c r="BM16"/>
  <c r="BK16"/>
  <c r="AT16"/>
  <c r="AR16"/>
  <c r="AA16"/>
  <c r="Y16"/>
  <c r="M16"/>
  <c r="K16"/>
  <c r="BM15"/>
  <c r="BK15"/>
  <c r="AT15"/>
  <c r="AR15"/>
  <c r="AA15"/>
  <c r="Y15"/>
  <c r="M15"/>
  <c r="K15"/>
  <c r="BI70"/>
  <c r="BH70"/>
  <c r="BG14"/>
  <c r="BG70"/>
  <c r="BF70"/>
  <c r="BE70"/>
  <c r="BC70"/>
  <c r="BB70"/>
  <c r="AQ14"/>
  <c r="AQ70"/>
  <c r="AO70"/>
  <c r="AN14"/>
  <c r="AN70"/>
  <c r="AL70"/>
  <c r="AK14"/>
  <c r="AK70"/>
  <c r="AI70"/>
  <c r="X14"/>
  <c r="X70"/>
  <c r="V70"/>
  <c r="U14"/>
  <c r="U70"/>
  <c r="S70"/>
  <c r="R14"/>
  <c r="R70"/>
  <c r="P70"/>
  <c r="J14"/>
  <c r="J70"/>
  <c r="H70"/>
  <c r="G14"/>
  <c r="G70"/>
  <c r="E70"/>
  <c r="D14"/>
  <c r="D70"/>
  <c r="BJ11"/>
  <c r="BG11"/>
  <c r="BG12"/>
  <c r="BG13"/>
  <c r="BD11"/>
  <c r="AQ11"/>
  <c r="AQ12"/>
  <c r="AQ13"/>
  <c r="AN11"/>
  <c r="AN12"/>
  <c r="AN13"/>
  <c r="AK11"/>
  <c r="AK12"/>
  <c r="AK13"/>
  <c r="X11"/>
  <c r="X12"/>
  <c r="X13"/>
  <c r="U11"/>
  <c r="U12"/>
  <c r="U13"/>
  <c r="R11"/>
  <c r="R12"/>
  <c r="R13"/>
  <c r="J11"/>
  <c r="J12"/>
  <c r="J13"/>
  <c r="G11"/>
  <c r="D11"/>
  <c r="D12"/>
  <c r="D13"/>
  <c r="BJ10"/>
  <c r="BG10"/>
  <c r="BD10"/>
  <c r="AQ10"/>
  <c r="AN10"/>
  <c r="AK10"/>
  <c r="X10"/>
  <c r="U10"/>
  <c r="R10"/>
  <c r="G10"/>
  <c r="D10"/>
  <c r="BM9"/>
  <c r="AT9"/>
  <c r="AR9"/>
  <c r="AA9"/>
  <c r="M9"/>
  <c r="K9"/>
  <c r="BM8"/>
  <c r="BL8"/>
  <c r="BK8"/>
  <c r="AT8"/>
  <c r="AR8"/>
  <c r="AR11"/>
  <c r="AA8"/>
  <c r="Y8"/>
  <c r="M8"/>
  <c r="M11"/>
  <c r="Z253" i="101"/>
  <c r="Y253"/>
  <c r="X253"/>
  <c r="R253"/>
  <c r="J253"/>
  <c r="I253"/>
  <c r="H253"/>
  <c r="C253"/>
  <c r="Z252"/>
  <c r="Y252"/>
  <c r="X252"/>
  <c r="R252"/>
  <c r="Q252"/>
  <c r="P252"/>
  <c r="J252"/>
  <c r="I252"/>
  <c r="H252"/>
  <c r="E252"/>
  <c r="D252"/>
  <c r="C252"/>
  <c r="Z251"/>
  <c r="Y251"/>
  <c r="X251"/>
  <c r="P251"/>
  <c r="J251"/>
  <c r="I251"/>
  <c r="H251"/>
  <c r="Z250"/>
  <c r="Z249"/>
  <c r="Y250"/>
  <c r="X250"/>
  <c r="X249"/>
  <c r="J250"/>
  <c r="J249"/>
  <c r="I250"/>
  <c r="H250"/>
  <c r="H249"/>
  <c r="E250"/>
  <c r="D250"/>
  <c r="C250"/>
  <c r="Y249"/>
  <c r="I249"/>
  <c r="Z248"/>
  <c r="Y248"/>
  <c r="X248"/>
  <c r="R248"/>
  <c r="Q248"/>
  <c r="P248"/>
  <c r="J248"/>
  <c r="I248"/>
  <c r="H248"/>
  <c r="E248"/>
  <c r="D248"/>
  <c r="C248"/>
  <c r="Z247"/>
  <c r="Y247"/>
  <c r="X247"/>
  <c r="R247"/>
  <c r="Q247"/>
  <c r="P247"/>
  <c r="J247"/>
  <c r="I247"/>
  <c r="H247"/>
  <c r="E247"/>
  <c r="D247"/>
  <c r="C247"/>
  <c r="Z246"/>
  <c r="Y246"/>
  <c r="X246"/>
  <c r="P246"/>
  <c r="P244"/>
  <c r="J246"/>
  <c r="I246"/>
  <c r="H246"/>
  <c r="E246"/>
  <c r="D246"/>
  <c r="C246"/>
  <c r="Z245"/>
  <c r="Y245"/>
  <c r="Y244"/>
  <c r="X245"/>
  <c r="R245"/>
  <c r="Q245"/>
  <c r="P245"/>
  <c r="J245"/>
  <c r="I245"/>
  <c r="I244"/>
  <c r="H245"/>
  <c r="E245"/>
  <c r="E244"/>
  <c r="D245"/>
  <c r="C245"/>
  <c r="C244"/>
  <c r="Z244"/>
  <c r="X244"/>
  <c r="J244"/>
  <c r="D244"/>
  <c r="Z243"/>
  <c r="Y243"/>
  <c r="X243"/>
  <c r="R243"/>
  <c r="Q243"/>
  <c r="P243"/>
  <c r="J243"/>
  <c r="I243"/>
  <c r="H243"/>
  <c r="E243"/>
  <c r="D243"/>
  <c r="C243"/>
  <c r="Z242"/>
  <c r="Y242"/>
  <c r="X242"/>
  <c r="R242"/>
  <c r="Q242"/>
  <c r="P242"/>
  <c r="J242"/>
  <c r="I242"/>
  <c r="H242"/>
  <c r="E242"/>
  <c r="D242"/>
  <c r="C242"/>
  <c r="Z241"/>
  <c r="Y241"/>
  <c r="X241"/>
  <c r="J241"/>
  <c r="I241"/>
  <c r="H241"/>
  <c r="Z240"/>
  <c r="Y240"/>
  <c r="X240"/>
  <c r="Q240"/>
  <c r="P240"/>
  <c r="J240"/>
  <c r="I240"/>
  <c r="H240"/>
  <c r="E240"/>
  <c r="D240"/>
  <c r="C240"/>
  <c r="Z239"/>
  <c r="Y239"/>
  <c r="X239"/>
  <c r="R239"/>
  <c r="Q239"/>
  <c r="J239"/>
  <c r="I239"/>
  <c r="H239"/>
  <c r="E239"/>
  <c r="D239"/>
  <c r="C239"/>
  <c r="Z238"/>
  <c r="Y238"/>
  <c r="X238"/>
  <c r="R238"/>
  <c r="Q238"/>
  <c r="P238"/>
  <c r="J238"/>
  <c r="I238"/>
  <c r="H238"/>
  <c r="E238"/>
  <c r="C238"/>
  <c r="Z237"/>
  <c r="Y237"/>
  <c r="X237"/>
  <c r="R237"/>
  <c r="Q237"/>
  <c r="P237"/>
  <c r="J237"/>
  <c r="I237"/>
  <c r="H237"/>
  <c r="E237"/>
  <c r="D237"/>
  <c r="C237"/>
  <c r="Z236"/>
  <c r="Y236"/>
  <c r="X236"/>
  <c r="R236"/>
  <c r="P236"/>
  <c r="J236"/>
  <c r="I236"/>
  <c r="H236"/>
  <c r="E236"/>
  <c r="D236"/>
  <c r="C236"/>
  <c r="Z235"/>
  <c r="Y235"/>
  <c r="X235"/>
  <c r="R235"/>
  <c r="Q235"/>
  <c r="J235"/>
  <c r="I235"/>
  <c r="H235"/>
  <c r="Z234"/>
  <c r="Y234"/>
  <c r="X234"/>
  <c r="J234"/>
  <c r="I234"/>
  <c r="H234"/>
  <c r="Z233"/>
  <c r="Y233"/>
  <c r="X233"/>
  <c r="R233"/>
  <c r="Q233"/>
  <c r="J233"/>
  <c r="I233"/>
  <c r="H233"/>
  <c r="Z232"/>
  <c r="Y232"/>
  <c r="X232"/>
  <c r="R232"/>
  <c r="Q232"/>
  <c r="P232"/>
  <c r="J232"/>
  <c r="I232"/>
  <c r="H232"/>
  <c r="E232"/>
  <c r="D232"/>
  <c r="C232"/>
  <c r="Z231"/>
  <c r="Y231"/>
  <c r="X231"/>
  <c r="R231"/>
  <c r="Q231"/>
  <c r="P231"/>
  <c r="J231"/>
  <c r="I231"/>
  <c r="H231"/>
  <c r="E231"/>
  <c r="D231"/>
  <c r="C231"/>
  <c r="Z230"/>
  <c r="Y230"/>
  <c r="X230"/>
  <c r="R230"/>
  <c r="Q230"/>
  <c r="P230"/>
  <c r="J230"/>
  <c r="I230"/>
  <c r="H230"/>
  <c r="E230"/>
  <c r="D230"/>
  <c r="C230"/>
  <c r="Z229"/>
  <c r="Y229"/>
  <c r="X229"/>
  <c r="R229"/>
  <c r="Q229"/>
  <c r="P229"/>
  <c r="J229"/>
  <c r="I229"/>
  <c r="H229"/>
  <c r="E229"/>
  <c r="D229"/>
  <c r="C229"/>
  <c r="Z228"/>
  <c r="Y228"/>
  <c r="X228"/>
  <c r="J228"/>
  <c r="I228"/>
  <c r="H228"/>
  <c r="Z227"/>
  <c r="Y227"/>
  <c r="X227"/>
  <c r="R227"/>
  <c r="Q227"/>
  <c r="P227"/>
  <c r="J227"/>
  <c r="I227"/>
  <c r="H227"/>
  <c r="E227"/>
  <c r="D227"/>
  <c r="C227"/>
  <c r="Z226"/>
  <c r="Y226"/>
  <c r="X226"/>
  <c r="R226"/>
  <c r="P226"/>
  <c r="J226"/>
  <c r="I226"/>
  <c r="H226"/>
  <c r="E226"/>
  <c r="D226"/>
  <c r="C226"/>
  <c r="Z225"/>
  <c r="Y225"/>
  <c r="X225"/>
  <c r="R225"/>
  <c r="Q225"/>
  <c r="P225"/>
  <c r="J225"/>
  <c r="I225"/>
  <c r="H225"/>
  <c r="E225"/>
  <c r="D225"/>
  <c r="C225"/>
  <c r="Z224"/>
  <c r="Y224"/>
  <c r="X224"/>
  <c r="R224"/>
  <c r="Q224"/>
  <c r="P224"/>
  <c r="J224"/>
  <c r="I224"/>
  <c r="H224"/>
  <c r="E224"/>
  <c r="D224"/>
  <c r="C224"/>
  <c r="Z223"/>
  <c r="Y223"/>
  <c r="X223"/>
  <c r="R223"/>
  <c r="Q223"/>
  <c r="P223"/>
  <c r="J223"/>
  <c r="I223"/>
  <c r="H223"/>
  <c r="E223"/>
  <c r="D223"/>
  <c r="C223"/>
  <c r="AD215"/>
  <c r="AB215"/>
  <c r="Z215"/>
  <c r="Y215"/>
  <c r="X215"/>
  <c r="W215"/>
  <c r="V215"/>
  <c r="T215"/>
  <c r="R215"/>
  <c r="Q215"/>
  <c r="P215"/>
  <c r="O215"/>
  <c r="N215"/>
  <c r="L215"/>
  <c r="J215"/>
  <c r="I215"/>
  <c r="H215"/>
  <c r="G215"/>
  <c r="E215"/>
  <c r="D215"/>
  <c r="C215"/>
  <c r="B215"/>
  <c r="AD214"/>
  <c r="AB214"/>
  <c r="AB213"/>
  <c r="Z214"/>
  <c r="Z213"/>
  <c r="Y214"/>
  <c r="X214"/>
  <c r="X213"/>
  <c r="W214"/>
  <c r="V214"/>
  <c r="T214"/>
  <c r="T213"/>
  <c r="R214"/>
  <c r="R213"/>
  <c r="Q214"/>
  <c r="P214"/>
  <c r="P213"/>
  <c r="O214"/>
  <c r="N214"/>
  <c r="L214"/>
  <c r="L213"/>
  <c r="J214"/>
  <c r="J213"/>
  <c r="I214"/>
  <c r="H214"/>
  <c r="H213"/>
  <c r="G214"/>
  <c r="E214"/>
  <c r="D214"/>
  <c r="D213"/>
  <c r="C214"/>
  <c r="B214"/>
  <c r="B213"/>
  <c r="Y213"/>
  <c r="W213"/>
  <c r="Q213"/>
  <c r="O213"/>
  <c r="I213"/>
  <c r="G213"/>
  <c r="E213"/>
  <c r="C213"/>
  <c r="Z209"/>
  <c r="Y209"/>
  <c r="X209"/>
  <c r="R209"/>
  <c r="Q209"/>
  <c r="P209"/>
  <c r="J209"/>
  <c r="I209"/>
  <c r="H209"/>
  <c r="E209"/>
  <c r="D209"/>
  <c r="Z206"/>
  <c r="Y206"/>
  <c r="X206"/>
  <c r="R206"/>
  <c r="Q206"/>
  <c r="P206"/>
  <c r="J206"/>
  <c r="I206"/>
  <c r="H206"/>
  <c r="E206"/>
  <c r="D206"/>
  <c r="C206"/>
  <c r="Z204"/>
  <c r="Y204"/>
  <c r="X204"/>
  <c r="R204"/>
  <c r="AP63" i="102" s="1"/>
  <c r="Q204" i="101"/>
  <c r="AM63" i="102" s="1"/>
  <c r="J204" i="101"/>
  <c r="W63" i="102"/>
  <c r="I204" i="101"/>
  <c r="T63" i="102"/>
  <c r="H204" i="101"/>
  <c r="Q63" i="102"/>
  <c r="E204" i="101"/>
  <c r="I63" i="102"/>
  <c r="D204" i="101"/>
  <c r="F63" i="102"/>
  <c r="C204" i="101"/>
  <c r="C63" i="102"/>
  <c r="Z203" i="101"/>
  <c r="Y203"/>
  <c r="X203"/>
  <c r="R203"/>
  <c r="AP62" i="102" s="1"/>
  <c r="Q203" i="101"/>
  <c r="AM62" i="102" s="1"/>
  <c r="J203" i="101"/>
  <c r="W62" i="102"/>
  <c r="I203" i="101"/>
  <c r="T62" i="102"/>
  <c r="H203" i="101"/>
  <c r="Q62" i="102"/>
  <c r="E203" i="101"/>
  <c r="I62" i="102"/>
  <c r="D203" i="101"/>
  <c r="F62" i="102"/>
  <c r="C203" i="101"/>
  <c r="C62" i="102"/>
  <c r="Z202" i="101"/>
  <c r="Y202"/>
  <c r="X202"/>
  <c r="R202"/>
  <c r="AP61" i="102" s="1"/>
  <c r="Q202" i="101"/>
  <c r="AM61" i="102" s="1"/>
  <c r="J202" i="101"/>
  <c r="W61" i="102"/>
  <c r="I202" i="101"/>
  <c r="T61" i="102"/>
  <c r="H202" i="101"/>
  <c r="Q61" i="102"/>
  <c r="E202" i="101"/>
  <c r="I61" i="102"/>
  <c r="D202" i="101"/>
  <c r="F61" i="102"/>
  <c r="C202" i="101"/>
  <c r="C61" i="102"/>
  <c r="Z201" i="101"/>
  <c r="Y201"/>
  <c r="X201"/>
  <c r="R201"/>
  <c r="AP60" i="102" s="1"/>
  <c r="Q201" i="101"/>
  <c r="AM60" i="102" s="1"/>
  <c r="J201" i="101"/>
  <c r="W60" i="102"/>
  <c r="I201" i="101"/>
  <c r="T60" i="102"/>
  <c r="H201" i="101"/>
  <c r="Q60" i="102"/>
  <c r="E201" i="101"/>
  <c r="I60" i="102"/>
  <c r="D201" i="101"/>
  <c r="F60" i="102"/>
  <c r="C201" i="101"/>
  <c r="C60" i="102"/>
  <c r="Z200" i="101"/>
  <c r="Y200"/>
  <c r="X200"/>
  <c r="R200"/>
  <c r="AP59" i="102" s="1"/>
  <c r="Q200" i="101"/>
  <c r="AM59" i="102" s="1"/>
  <c r="P200" i="101"/>
  <c r="AJ59" i="102"/>
  <c r="J200" i="101"/>
  <c r="W59" i="102"/>
  <c r="I200" i="101"/>
  <c r="T59" i="102"/>
  <c r="H200" i="101"/>
  <c r="Q59" i="102"/>
  <c r="E200" i="101"/>
  <c r="I59" i="102"/>
  <c r="D200" i="101"/>
  <c r="F59" i="102"/>
  <c r="C200" i="101"/>
  <c r="C59" i="102"/>
  <c r="Z199" i="101"/>
  <c r="Y199"/>
  <c r="X199"/>
  <c r="R199"/>
  <c r="AP58" i="102" s="1"/>
  <c r="Q199" i="101"/>
  <c r="AM58" i="102" s="1"/>
  <c r="P199" i="101"/>
  <c r="AJ58" i="102"/>
  <c r="J199" i="101"/>
  <c r="W58" i="102"/>
  <c r="I199" i="101"/>
  <c r="T58" i="102"/>
  <c r="H199" i="101"/>
  <c r="Q58" i="102"/>
  <c r="E199" i="101"/>
  <c r="I58" i="102"/>
  <c r="D199" i="101"/>
  <c r="F58" i="102"/>
  <c r="C199" i="101"/>
  <c r="C58" i="102"/>
  <c r="Z197" i="101"/>
  <c r="Y197"/>
  <c r="X197"/>
  <c r="R197"/>
  <c r="Q197"/>
  <c r="P197"/>
  <c r="J197"/>
  <c r="I197"/>
  <c r="H197"/>
  <c r="E197"/>
  <c r="D197"/>
  <c r="C197"/>
  <c r="Z196"/>
  <c r="Y196"/>
  <c r="X196"/>
  <c r="R196"/>
  <c r="Q196"/>
  <c r="P196"/>
  <c r="J196"/>
  <c r="I196"/>
  <c r="H196"/>
  <c r="E196"/>
  <c r="D196"/>
  <c r="C196"/>
  <c r="Z195"/>
  <c r="Y195"/>
  <c r="X195"/>
  <c r="R195"/>
  <c r="AP54" i="102" s="1"/>
  <c r="AS54" s="1"/>
  <c r="Q195" i="101"/>
  <c r="P195"/>
  <c r="J195"/>
  <c r="W54" i="102"/>
  <c r="I195" i="101"/>
  <c r="H195"/>
  <c r="E195"/>
  <c r="I54" i="102"/>
  <c r="D195" i="101"/>
  <c r="C195"/>
  <c r="Z194"/>
  <c r="Y194"/>
  <c r="X194"/>
  <c r="R194"/>
  <c r="AP53" i="102" s="1"/>
  <c r="AS53" s="1"/>
  <c r="Q194" i="101"/>
  <c r="P194"/>
  <c r="J194"/>
  <c r="W53" i="102"/>
  <c r="I194" i="101"/>
  <c r="H194"/>
  <c r="E194"/>
  <c r="I53" i="102"/>
  <c r="L53"/>
  <c r="D194" i="101"/>
  <c r="C194"/>
  <c r="Z191"/>
  <c r="Y191"/>
  <c r="X191"/>
  <c r="J191"/>
  <c r="W50" i="102"/>
  <c r="I191" i="101"/>
  <c r="T50" i="102"/>
  <c r="H191" i="101"/>
  <c r="Q50" i="102"/>
  <c r="Z190" i="101"/>
  <c r="Y190"/>
  <c r="X190"/>
  <c r="R190"/>
  <c r="AP49" i="102" s="1"/>
  <c r="Q190" i="101"/>
  <c r="AM49" i="102" s="1"/>
  <c r="P190" i="101"/>
  <c r="AJ49" i="102"/>
  <c r="J190" i="101"/>
  <c r="W49" i="102"/>
  <c r="I190" i="101"/>
  <c r="T49" i="102"/>
  <c r="H190" i="101"/>
  <c r="Q49" i="102"/>
  <c r="E190" i="101"/>
  <c r="I49" i="102"/>
  <c r="D190" i="101"/>
  <c r="F49" i="102"/>
  <c r="C190" i="101"/>
  <c r="C49" i="102"/>
  <c r="Z189" i="101"/>
  <c r="Y189"/>
  <c r="X189"/>
  <c r="R189"/>
  <c r="AP48" i="102" s="1"/>
  <c r="Q189" i="101"/>
  <c r="AM48" i="102" s="1"/>
  <c r="P189" i="101"/>
  <c r="AJ48" i="102"/>
  <c r="J189" i="101"/>
  <c r="W48" i="102"/>
  <c r="I189" i="101"/>
  <c r="T48" i="102"/>
  <c r="H189" i="101"/>
  <c r="Q48" i="102"/>
  <c r="E189" i="101"/>
  <c r="I48" i="102"/>
  <c r="D189" i="101"/>
  <c r="F48" i="102"/>
  <c r="C189" i="101"/>
  <c r="C48" i="102"/>
  <c r="Z186" i="101"/>
  <c r="Y186"/>
  <c r="X186"/>
  <c r="R186"/>
  <c r="AP45" i="102" s="1"/>
  <c r="Q186" i="101"/>
  <c r="AM45" i="102" s="1"/>
  <c r="P186" i="101"/>
  <c r="AJ45" i="102"/>
  <c r="J186" i="101"/>
  <c r="W45" i="102"/>
  <c r="I186" i="101"/>
  <c r="T45" i="102"/>
  <c r="H186" i="101"/>
  <c r="Q45" i="102"/>
  <c r="E186" i="101"/>
  <c r="I45" i="102"/>
  <c r="D186" i="101"/>
  <c r="F45" i="102"/>
  <c r="C186" i="101"/>
  <c r="C45" i="102"/>
  <c r="Z185" i="101"/>
  <c r="Z187"/>
  <c r="Y185"/>
  <c r="X185"/>
  <c r="X187"/>
  <c r="R185"/>
  <c r="AP44" i="102" s="1"/>
  <c r="Q185" i="101"/>
  <c r="AM44" i="102" s="1"/>
  <c r="P185" i="101"/>
  <c r="J185"/>
  <c r="I185"/>
  <c r="T44" i="102"/>
  <c r="H185" i="101"/>
  <c r="E185"/>
  <c r="I44" i="102"/>
  <c r="D185" i="101"/>
  <c r="C185"/>
  <c r="C44" i="102"/>
  <c r="Z184" i="101"/>
  <c r="Y184"/>
  <c r="X184"/>
  <c r="R184"/>
  <c r="AP43" i="102" s="1"/>
  <c r="Q184" i="101"/>
  <c r="AM43" i="102" s="1"/>
  <c r="P184" i="101"/>
  <c r="AJ43" i="102"/>
  <c r="J184" i="101"/>
  <c r="W43" i="102"/>
  <c r="I184" i="101"/>
  <c r="T43" i="102"/>
  <c r="H184" i="101"/>
  <c r="Q43" i="102"/>
  <c r="E184" i="101"/>
  <c r="I43" i="102"/>
  <c r="D184" i="101"/>
  <c r="F43" i="102"/>
  <c r="C184" i="101"/>
  <c r="C43" i="102"/>
  <c r="Z183" i="101"/>
  <c r="Y183"/>
  <c r="X183"/>
  <c r="J183"/>
  <c r="W42" i="102"/>
  <c r="I183" i="101"/>
  <c r="T42" i="102"/>
  <c r="H183" i="101"/>
  <c r="Q42" i="102"/>
  <c r="Z182" i="101"/>
  <c r="Y182"/>
  <c r="X182"/>
  <c r="R182"/>
  <c r="Q182"/>
  <c r="P182"/>
  <c r="J182"/>
  <c r="I182"/>
  <c r="H182"/>
  <c r="E182"/>
  <c r="D182"/>
  <c r="C182"/>
  <c r="Z181"/>
  <c r="Y181"/>
  <c r="X181"/>
  <c r="R181"/>
  <c r="AP40" i="102" s="1"/>
  <c r="Q181" i="101"/>
  <c r="AM40" i="102" s="1"/>
  <c r="J181" i="101"/>
  <c r="W40" i="102"/>
  <c r="I181" i="101"/>
  <c r="T40" i="102"/>
  <c r="H181" i="101"/>
  <c r="Q40" i="102"/>
  <c r="E181" i="101"/>
  <c r="I40" i="102"/>
  <c r="D181" i="101"/>
  <c r="F40" i="102"/>
  <c r="C181" i="101"/>
  <c r="C40" i="102"/>
  <c r="Z180" i="101"/>
  <c r="Y180"/>
  <c r="X180"/>
  <c r="R180"/>
  <c r="AP39" i="102" s="1"/>
  <c r="Q180" i="101"/>
  <c r="AM39" i="102" s="1"/>
  <c r="J180" i="101"/>
  <c r="W39" i="102"/>
  <c r="I180" i="101"/>
  <c r="T39" i="102"/>
  <c r="H180" i="101"/>
  <c r="Q39" i="102"/>
  <c r="E180" i="101"/>
  <c r="I39" i="102"/>
  <c r="D180" i="101"/>
  <c r="F39" i="102"/>
  <c r="C180" i="101"/>
  <c r="C39" i="102"/>
  <c r="Z175" i="101"/>
  <c r="Y175"/>
  <c r="X175"/>
  <c r="AA175"/>
  <c r="R175"/>
  <c r="AP20" i="102" s="1"/>
  <c r="Q175" i="101"/>
  <c r="AM20" i="102" s="1"/>
  <c r="P175" i="101"/>
  <c r="J175"/>
  <c r="W20" i="102"/>
  <c r="I175" i="101"/>
  <c r="T20" i="102"/>
  <c r="H175" i="101"/>
  <c r="E175"/>
  <c r="I20" i="102"/>
  <c r="D175" i="101"/>
  <c r="F20" i="102"/>
  <c r="C175" i="101"/>
  <c r="C20" i="102"/>
  <c r="Z174" i="101"/>
  <c r="Y174"/>
  <c r="X174"/>
  <c r="R174"/>
  <c r="AP19" i="102" s="1"/>
  <c r="Q174" i="101"/>
  <c r="AM19" i="102" s="1"/>
  <c r="P174" i="101"/>
  <c r="AJ19" i="102"/>
  <c r="J174" i="101"/>
  <c r="W19" i="102"/>
  <c r="I174" i="101"/>
  <c r="T19" i="102"/>
  <c r="H174" i="101"/>
  <c r="Q19" i="102"/>
  <c r="E174" i="101"/>
  <c r="D174"/>
  <c r="F19" i="102"/>
  <c r="C174" i="101"/>
  <c r="Z173"/>
  <c r="X173"/>
  <c r="R173"/>
  <c r="AP18" i="102" s="1"/>
  <c r="P173" i="101"/>
  <c r="AJ18" i="102"/>
  <c r="J173" i="101"/>
  <c r="W18" i="102"/>
  <c r="D173" i="101"/>
  <c r="F18" i="102"/>
  <c r="Z172" i="101"/>
  <c r="Y172"/>
  <c r="X172"/>
  <c r="R172"/>
  <c r="AP17" i="102" s="1"/>
  <c r="Q172" i="101"/>
  <c r="AM17" i="102" s="1"/>
  <c r="P172" i="101"/>
  <c r="AJ17" i="102"/>
  <c r="J172" i="101"/>
  <c r="W17" i="102"/>
  <c r="I172" i="101"/>
  <c r="T17" i="102"/>
  <c r="H172" i="101"/>
  <c r="Q17" i="102"/>
  <c r="E172" i="101"/>
  <c r="I17" i="102"/>
  <c r="D172" i="101"/>
  <c r="F17" i="102"/>
  <c r="C172" i="101"/>
  <c r="Z171"/>
  <c r="Y171"/>
  <c r="X171"/>
  <c r="Q171"/>
  <c r="AM16" i="102" s="1"/>
  <c r="P171" i="101"/>
  <c r="AJ16" i="102"/>
  <c r="J171" i="101"/>
  <c r="W16" i="102"/>
  <c r="I171" i="101"/>
  <c r="T16" i="102"/>
  <c r="H171" i="101"/>
  <c r="E171"/>
  <c r="I16" i="102"/>
  <c r="D171" i="101"/>
  <c r="F16" i="102"/>
  <c r="C171" i="101"/>
  <c r="C16" i="102"/>
  <c r="Z170" i="101"/>
  <c r="Y170"/>
  <c r="X170"/>
  <c r="Q170"/>
  <c r="AM15" i="102" s="1"/>
  <c r="P170" i="101"/>
  <c r="AJ15" i="102"/>
  <c r="J170" i="101"/>
  <c r="W15" i="102"/>
  <c r="I170" i="101"/>
  <c r="T15" i="102"/>
  <c r="H170" i="101"/>
  <c r="Q15" i="102"/>
  <c r="E170" i="101"/>
  <c r="I15" i="102"/>
  <c r="D170" i="101"/>
  <c r="F15" i="102"/>
  <c r="C170" i="101"/>
  <c r="Z169"/>
  <c r="Z211"/>
  <c r="X169"/>
  <c r="X211"/>
  <c r="Z164"/>
  <c r="Y164"/>
  <c r="X164"/>
  <c r="R164"/>
  <c r="AP9" i="102" s="1"/>
  <c r="Q164" i="101"/>
  <c r="AM9" i="102" s="1"/>
  <c r="P164" i="101"/>
  <c r="AJ9" i="102"/>
  <c r="J164" i="101"/>
  <c r="W9" i="102"/>
  <c r="I164" i="101"/>
  <c r="T9" i="102"/>
  <c r="H164" i="101"/>
  <c r="Q9" i="102"/>
  <c r="E164" i="101"/>
  <c r="I9" i="102"/>
  <c r="D164" i="101"/>
  <c r="F9" i="102"/>
  <c r="C164" i="101"/>
  <c r="C9" i="102"/>
  <c r="Z163" i="101"/>
  <c r="Z165"/>
  <c r="Y163"/>
  <c r="X163"/>
  <c r="X165"/>
  <c r="R163"/>
  <c r="Q163"/>
  <c r="AM8" i="102" s="1"/>
  <c r="P163" i="101"/>
  <c r="J163"/>
  <c r="I163"/>
  <c r="T8" i="102"/>
  <c r="H163" i="101"/>
  <c r="E163"/>
  <c r="I8" i="102"/>
  <c r="D163" i="101"/>
  <c r="C163"/>
  <c r="AA152"/>
  <c r="AA215"/>
  <c r="S152"/>
  <c r="S215"/>
  <c r="K152"/>
  <c r="K215"/>
  <c r="F152"/>
  <c r="F215"/>
  <c r="AA151"/>
  <c r="AA214"/>
  <c r="AA213"/>
  <c r="S151"/>
  <c r="S214"/>
  <c r="S213"/>
  <c r="K151"/>
  <c r="K214"/>
  <c r="K213"/>
  <c r="F151"/>
  <c r="F214"/>
  <c r="AD150"/>
  <c r="AB150"/>
  <c r="Z150"/>
  <c r="Y150"/>
  <c r="X150"/>
  <c r="W150"/>
  <c r="V150"/>
  <c r="T150"/>
  <c r="R150"/>
  <c r="Q150"/>
  <c r="P150"/>
  <c r="O150"/>
  <c r="N150"/>
  <c r="L150"/>
  <c r="J150"/>
  <c r="I150"/>
  <c r="H150"/>
  <c r="G150"/>
  <c r="F150"/>
  <c r="E150"/>
  <c r="D150"/>
  <c r="C150"/>
  <c r="B150"/>
  <c r="AB153"/>
  <c r="W153"/>
  <c r="T153"/>
  <c r="O153"/>
  <c r="L153"/>
  <c r="G153"/>
  <c r="B153"/>
  <c r="AB209"/>
  <c r="AA146"/>
  <c r="AA209"/>
  <c r="W209"/>
  <c r="T209"/>
  <c r="S209"/>
  <c r="O209"/>
  <c r="L209"/>
  <c r="K209"/>
  <c r="G209"/>
  <c r="F146"/>
  <c r="F209"/>
  <c r="B209"/>
  <c r="AB206"/>
  <c r="AA206"/>
  <c r="W206"/>
  <c r="T206"/>
  <c r="S206"/>
  <c r="O206"/>
  <c r="L206"/>
  <c r="K206"/>
  <c r="G206"/>
  <c r="F143"/>
  <c r="M143"/>
  <c r="B206"/>
  <c r="AB205"/>
  <c r="Z205"/>
  <c r="Y205"/>
  <c r="X205"/>
  <c r="W205"/>
  <c r="T205"/>
  <c r="S205"/>
  <c r="R205"/>
  <c r="Q205"/>
  <c r="P205"/>
  <c r="O205"/>
  <c r="L205"/>
  <c r="J205"/>
  <c r="I205"/>
  <c r="H205"/>
  <c r="G205"/>
  <c r="F205"/>
  <c r="E205"/>
  <c r="D205"/>
  <c r="C205"/>
  <c r="B205"/>
  <c r="AB204"/>
  <c r="AA141"/>
  <c r="AA204"/>
  <c r="W204"/>
  <c r="T204"/>
  <c r="S141"/>
  <c r="S204" s="1"/>
  <c r="O204"/>
  <c r="L204"/>
  <c r="K141"/>
  <c r="K204"/>
  <c r="G204"/>
  <c r="F141"/>
  <c r="M141"/>
  <c r="B204"/>
  <c r="AA140"/>
  <c r="AA203"/>
  <c r="S140"/>
  <c r="S203" s="1"/>
  <c r="K140"/>
  <c r="K203"/>
  <c r="F140"/>
  <c r="F203"/>
  <c r="AA139"/>
  <c r="AA202"/>
  <c r="S139"/>
  <c r="S202" s="1"/>
  <c r="K139"/>
  <c r="K202"/>
  <c r="F139"/>
  <c r="F202"/>
  <c r="AA138"/>
  <c r="AA201"/>
  <c r="S138"/>
  <c r="S201" s="1"/>
  <c r="K138"/>
  <c r="K201"/>
  <c r="F138"/>
  <c r="AB200"/>
  <c r="AA137"/>
  <c r="AA200"/>
  <c r="W200"/>
  <c r="T200"/>
  <c r="S137"/>
  <c r="S200" s="1"/>
  <c r="O200"/>
  <c r="L200"/>
  <c r="K137"/>
  <c r="K200"/>
  <c r="G200"/>
  <c r="F137"/>
  <c r="F200"/>
  <c r="B200"/>
  <c r="AB199"/>
  <c r="AA136"/>
  <c r="AA199"/>
  <c r="W199"/>
  <c r="T199"/>
  <c r="S136"/>
  <c r="S199" s="1"/>
  <c r="O199"/>
  <c r="L199"/>
  <c r="K136"/>
  <c r="K199"/>
  <c r="G199"/>
  <c r="F136"/>
  <c r="F199"/>
  <c r="B199"/>
  <c r="AB198"/>
  <c r="Z135"/>
  <c r="Z198"/>
  <c r="Y135"/>
  <c r="Y198"/>
  <c r="X135"/>
  <c r="X198"/>
  <c r="W198"/>
  <c r="T198"/>
  <c r="R135"/>
  <c r="R198" s="1"/>
  <c r="AP57" i="102" s="1"/>
  <c r="Q135" i="101"/>
  <c r="Q198" s="1"/>
  <c r="AM57" i="102" s="1"/>
  <c r="P135" i="101"/>
  <c r="P198"/>
  <c r="AJ57" i="102"/>
  <c r="O198" i="101"/>
  <c r="L198"/>
  <c r="J135"/>
  <c r="J198"/>
  <c r="W57" i="102"/>
  <c r="I135" i="101"/>
  <c r="I198"/>
  <c r="T57" i="102"/>
  <c r="H135" i="101"/>
  <c r="H198"/>
  <c r="Q57" i="102"/>
  <c r="G198" i="101"/>
  <c r="E198"/>
  <c r="I57" i="102"/>
  <c r="D135" i="101"/>
  <c r="D198"/>
  <c r="F57" i="102"/>
  <c r="C135" i="101"/>
  <c r="C198"/>
  <c r="C57" i="102"/>
  <c r="B198" i="101"/>
  <c r="AB197"/>
  <c r="AA134"/>
  <c r="AA197"/>
  <c r="W197"/>
  <c r="T197"/>
  <c r="S134"/>
  <c r="S197"/>
  <c r="O197"/>
  <c r="L197"/>
  <c r="K134"/>
  <c r="K197"/>
  <c r="G197"/>
  <c r="F134"/>
  <c r="F197"/>
  <c r="B197"/>
  <c r="AB196"/>
  <c r="AA133"/>
  <c r="AA196"/>
  <c r="W196"/>
  <c r="T196"/>
  <c r="S133"/>
  <c r="S196"/>
  <c r="O196"/>
  <c r="L196"/>
  <c r="K133"/>
  <c r="K196"/>
  <c r="G196"/>
  <c r="F133"/>
  <c r="M133"/>
  <c r="B196"/>
  <c r="AB195"/>
  <c r="AA132"/>
  <c r="AA195"/>
  <c r="W195"/>
  <c r="T195"/>
  <c r="S132"/>
  <c r="S195" s="1"/>
  <c r="O195"/>
  <c r="L195"/>
  <c r="K132"/>
  <c r="K195"/>
  <c r="G195"/>
  <c r="F132"/>
  <c r="F195"/>
  <c r="B195"/>
  <c r="AB194"/>
  <c r="AA131"/>
  <c r="AA194"/>
  <c r="W194"/>
  <c r="T194"/>
  <c r="S131"/>
  <c r="S194" s="1"/>
  <c r="O194"/>
  <c r="L194"/>
  <c r="K131"/>
  <c r="K194"/>
  <c r="G194"/>
  <c r="F131"/>
  <c r="M131"/>
  <c r="B194"/>
  <c r="AB193"/>
  <c r="Z130"/>
  <c r="Z193"/>
  <c r="Y130"/>
  <c r="Y193"/>
  <c r="X130"/>
  <c r="X193"/>
  <c r="W193"/>
  <c r="T193"/>
  <c r="R130"/>
  <c r="R193" s="1"/>
  <c r="Q130"/>
  <c r="Q193"/>
  <c r="P130"/>
  <c r="P193"/>
  <c r="O193"/>
  <c r="L193"/>
  <c r="J130"/>
  <c r="J193"/>
  <c r="W52" i="102"/>
  <c r="I130" i="101"/>
  <c r="I193"/>
  <c r="H130"/>
  <c r="H193"/>
  <c r="G193"/>
  <c r="E193"/>
  <c r="I52" i="102"/>
  <c r="D130" i="101"/>
  <c r="D193"/>
  <c r="C130"/>
  <c r="C193"/>
  <c r="B193"/>
  <c r="AA129"/>
  <c r="S129"/>
  <c r="K129"/>
  <c r="F129"/>
  <c r="AA128"/>
  <c r="S128"/>
  <c r="K128"/>
  <c r="F128"/>
  <c r="M128"/>
  <c r="AA127"/>
  <c r="S127"/>
  <c r="K127"/>
  <c r="F127"/>
  <c r="AA126"/>
  <c r="S126"/>
  <c r="S125" s="1"/>
  <c r="K126"/>
  <c r="K125"/>
  <c r="F126"/>
  <c r="Z125"/>
  <c r="Y125"/>
  <c r="X125"/>
  <c r="R125"/>
  <c r="Q125"/>
  <c r="P125"/>
  <c r="J125"/>
  <c r="I125"/>
  <c r="H125"/>
  <c r="F125"/>
  <c r="E125"/>
  <c r="D125"/>
  <c r="C125"/>
  <c r="AA124"/>
  <c r="AA123"/>
  <c r="S124"/>
  <c r="K124"/>
  <c r="K123"/>
  <c r="F124"/>
  <c r="F123"/>
  <c r="Z123"/>
  <c r="Y123"/>
  <c r="X123"/>
  <c r="S123"/>
  <c r="R123"/>
  <c r="R116"/>
  <c r="R109" s="1"/>
  <c r="Q123"/>
  <c r="Q116" s="1"/>
  <c r="P123"/>
  <c r="P116"/>
  <c r="P109"/>
  <c r="J123"/>
  <c r="J116"/>
  <c r="J109"/>
  <c r="I123"/>
  <c r="H123"/>
  <c r="H116"/>
  <c r="H109"/>
  <c r="E123"/>
  <c r="D123"/>
  <c r="D116"/>
  <c r="D109"/>
  <c r="C123"/>
  <c r="AA122"/>
  <c r="S122"/>
  <c r="K122"/>
  <c r="F122"/>
  <c r="M122"/>
  <c r="AA121"/>
  <c r="S121"/>
  <c r="K121"/>
  <c r="F121"/>
  <c r="M121"/>
  <c r="U121"/>
  <c r="AA120"/>
  <c r="S120"/>
  <c r="K120"/>
  <c r="F120"/>
  <c r="AA119"/>
  <c r="S119"/>
  <c r="K119"/>
  <c r="F119"/>
  <c r="AA118"/>
  <c r="S118"/>
  <c r="K118"/>
  <c r="F118"/>
  <c r="AA117"/>
  <c r="S117"/>
  <c r="K117"/>
  <c r="F117"/>
  <c r="Y116"/>
  <c r="Y109"/>
  <c r="I116"/>
  <c r="I109"/>
  <c r="C116"/>
  <c r="C109"/>
  <c r="Z115"/>
  <c r="Y115"/>
  <c r="X115"/>
  <c r="R115"/>
  <c r="Q115"/>
  <c r="P115"/>
  <c r="J115"/>
  <c r="I115"/>
  <c r="H115"/>
  <c r="E115"/>
  <c r="D115"/>
  <c r="C115"/>
  <c r="AA114"/>
  <c r="S114"/>
  <c r="K114"/>
  <c r="F114"/>
  <c r="AA113"/>
  <c r="S113"/>
  <c r="K113"/>
  <c r="F113"/>
  <c r="F115"/>
  <c r="AA112"/>
  <c r="S112"/>
  <c r="K112"/>
  <c r="F112"/>
  <c r="AA111"/>
  <c r="S111"/>
  <c r="K111"/>
  <c r="F111"/>
  <c r="AA110"/>
  <c r="S110"/>
  <c r="K110"/>
  <c r="F110"/>
  <c r="AA108"/>
  <c r="S108"/>
  <c r="K108"/>
  <c r="F108"/>
  <c r="AA107"/>
  <c r="R251"/>
  <c r="Q251"/>
  <c r="K107"/>
  <c r="F107"/>
  <c r="C251"/>
  <c r="C249"/>
  <c r="AA106"/>
  <c r="AA105"/>
  <c r="S106"/>
  <c r="K106"/>
  <c r="F106"/>
  <c r="M106"/>
  <c r="Z105"/>
  <c r="Y105"/>
  <c r="X105"/>
  <c r="X92"/>
  <c r="X85"/>
  <c r="R105"/>
  <c r="Q105"/>
  <c r="P105"/>
  <c r="J105"/>
  <c r="I105"/>
  <c r="H105"/>
  <c r="E105"/>
  <c r="D105"/>
  <c r="C105"/>
  <c r="AA104"/>
  <c r="S104"/>
  <c r="S103" s="1"/>
  <c r="K104"/>
  <c r="F104"/>
  <c r="F103"/>
  <c r="AA103"/>
  <c r="Z103"/>
  <c r="Y103"/>
  <c r="Y92"/>
  <c r="Y85"/>
  <c r="X103"/>
  <c r="Q103"/>
  <c r="P103"/>
  <c r="K103"/>
  <c r="J103"/>
  <c r="I103"/>
  <c r="H103"/>
  <c r="E103"/>
  <c r="D103"/>
  <c r="C103"/>
  <c r="C92"/>
  <c r="C85"/>
  <c r="AA102"/>
  <c r="S102"/>
  <c r="K102"/>
  <c r="F102"/>
  <c r="AA101"/>
  <c r="S101"/>
  <c r="K101"/>
  <c r="F101"/>
  <c r="AB237"/>
  <c r="AA100"/>
  <c r="AA237"/>
  <c r="W237"/>
  <c r="T237"/>
  <c r="S100"/>
  <c r="S237"/>
  <c r="O237"/>
  <c r="L237"/>
  <c r="K100"/>
  <c r="K237"/>
  <c r="G237"/>
  <c r="F100"/>
  <c r="F237"/>
  <c r="B237"/>
  <c r="AB236"/>
  <c r="AA99"/>
  <c r="AA236"/>
  <c r="W236"/>
  <c r="T236"/>
  <c r="Q236"/>
  <c r="O236"/>
  <c r="L236"/>
  <c r="K99"/>
  <c r="K236"/>
  <c r="G236"/>
  <c r="F99"/>
  <c r="F236"/>
  <c r="B236"/>
  <c r="AB235"/>
  <c r="AA98"/>
  <c r="AA235"/>
  <c r="W235"/>
  <c r="T235"/>
  <c r="P235"/>
  <c r="O235"/>
  <c r="L235"/>
  <c r="K98"/>
  <c r="K235"/>
  <c r="G235"/>
  <c r="E235"/>
  <c r="D235"/>
  <c r="C235"/>
  <c r="B235"/>
  <c r="AA97"/>
  <c r="S97"/>
  <c r="K97"/>
  <c r="F97"/>
  <c r="AA96"/>
  <c r="S96"/>
  <c r="K96"/>
  <c r="F96"/>
  <c r="AA95"/>
  <c r="S95"/>
  <c r="K95"/>
  <c r="F95"/>
  <c r="AA94"/>
  <c r="S94"/>
  <c r="K94"/>
  <c r="F94"/>
  <c r="AA93"/>
  <c r="S93"/>
  <c r="K93"/>
  <c r="F93"/>
  <c r="I92"/>
  <c r="I85"/>
  <c r="Z91"/>
  <c r="Y91"/>
  <c r="X91"/>
  <c r="R91"/>
  <c r="Q91"/>
  <c r="P91"/>
  <c r="J91"/>
  <c r="I91"/>
  <c r="H91"/>
  <c r="E91"/>
  <c r="D91"/>
  <c r="C91"/>
  <c r="AA90"/>
  <c r="S90"/>
  <c r="K90"/>
  <c r="F90"/>
  <c r="AA89"/>
  <c r="S89"/>
  <c r="K89"/>
  <c r="F89"/>
  <c r="F91"/>
  <c r="AA88"/>
  <c r="S88"/>
  <c r="K88"/>
  <c r="F88"/>
  <c r="AA87"/>
  <c r="S87"/>
  <c r="K87"/>
  <c r="F87"/>
  <c r="AA86"/>
  <c r="S86"/>
  <c r="P183"/>
  <c r="AJ42" i="102"/>
  <c r="K86" i="101"/>
  <c r="E183"/>
  <c r="I42" i="102"/>
  <c r="D183" i="101"/>
  <c r="F42" i="102"/>
  <c r="C183" i="101"/>
  <c r="C42" i="102"/>
  <c r="AB253" i="101"/>
  <c r="AA84"/>
  <c r="AA253"/>
  <c r="W253"/>
  <c r="T253"/>
  <c r="Q253"/>
  <c r="P253"/>
  <c r="O253"/>
  <c r="L253"/>
  <c r="K84"/>
  <c r="K253"/>
  <c r="G253"/>
  <c r="E253"/>
  <c r="D253"/>
  <c r="B253"/>
  <c r="AB251"/>
  <c r="AA83"/>
  <c r="AA251"/>
  <c r="W251"/>
  <c r="T251"/>
  <c r="S83"/>
  <c r="O251"/>
  <c r="L251"/>
  <c r="K83"/>
  <c r="K251"/>
  <c r="G251"/>
  <c r="E251"/>
  <c r="D251"/>
  <c r="B251"/>
  <c r="AA82"/>
  <c r="S82"/>
  <c r="K82"/>
  <c r="K80"/>
  <c r="F82"/>
  <c r="AA81"/>
  <c r="R250"/>
  <c r="Q250"/>
  <c r="Q249" s="1"/>
  <c r="P250"/>
  <c r="P249"/>
  <c r="K81"/>
  <c r="F81"/>
  <c r="M81"/>
  <c r="AA80"/>
  <c r="Z80"/>
  <c r="Y80"/>
  <c r="X80"/>
  <c r="Q80"/>
  <c r="J80"/>
  <c r="I80"/>
  <c r="H80"/>
  <c r="E80"/>
  <c r="C80"/>
  <c r="AA79"/>
  <c r="S79"/>
  <c r="K79"/>
  <c r="F79"/>
  <c r="AA78"/>
  <c r="S78"/>
  <c r="K78"/>
  <c r="F78"/>
  <c r="M78"/>
  <c r="AA77"/>
  <c r="R246"/>
  <c r="R244" s="1"/>
  <c r="Q246"/>
  <c r="K77"/>
  <c r="F77"/>
  <c r="AB245"/>
  <c r="AA76"/>
  <c r="AA245"/>
  <c r="W245"/>
  <c r="T245"/>
  <c r="S76"/>
  <c r="S245"/>
  <c r="O245"/>
  <c r="L245"/>
  <c r="K76"/>
  <c r="K245"/>
  <c r="G245"/>
  <c r="F76"/>
  <c r="F245"/>
  <c r="B245"/>
  <c r="Z75"/>
  <c r="Y75"/>
  <c r="X75"/>
  <c r="R75"/>
  <c r="P75"/>
  <c r="J75"/>
  <c r="I75"/>
  <c r="H75"/>
  <c r="F75"/>
  <c r="AB233"/>
  <c r="AA74"/>
  <c r="AA233"/>
  <c r="W233"/>
  <c r="T233"/>
  <c r="P233"/>
  <c r="O233"/>
  <c r="L233"/>
  <c r="K74"/>
  <c r="K233"/>
  <c r="G233"/>
  <c r="E233"/>
  <c r="D233"/>
  <c r="C233"/>
  <c r="B233"/>
  <c r="AA73"/>
  <c r="S73"/>
  <c r="K73"/>
  <c r="D238"/>
  <c r="AB229"/>
  <c r="AA72"/>
  <c r="AA229"/>
  <c r="W229"/>
  <c r="T229"/>
  <c r="S72"/>
  <c r="S229"/>
  <c r="O229"/>
  <c r="L229"/>
  <c r="K72"/>
  <c r="K229"/>
  <c r="G229"/>
  <c r="F72"/>
  <c r="F229"/>
  <c r="B229"/>
  <c r="AB243"/>
  <c r="AA71"/>
  <c r="AA243"/>
  <c r="W243"/>
  <c r="T243"/>
  <c r="S71"/>
  <c r="S243" s="1"/>
  <c r="O243"/>
  <c r="L243"/>
  <c r="K71"/>
  <c r="K243"/>
  <c r="G243"/>
  <c r="F71"/>
  <c r="F243"/>
  <c r="B243"/>
  <c r="AB242"/>
  <c r="AA70"/>
  <c r="AA242"/>
  <c r="W242"/>
  <c r="T242"/>
  <c r="S70"/>
  <c r="S242" s="1"/>
  <c r="O242"/>
  <c r="L242"/>
  <c r="K70"/>
  <c r="K242"/>
  <c r="G242"/>
  <c r="F70"/>
  <c r="F242"/>
  <c r="B242"/>
  <c r="AB241"/>
  <c r="AA69"/>
  <c r="AA241"/>
  <c r="W241"/>
  <c r="T241"/>
  <c r="R241"/>
  <c r="Q241"/>
  <c r="P241"/>
  <c r="O241"/>
  <c r="L241"/>
  <c r="K69"/>
  <c r="K241"/>
  <c r="G241"/>
  <c r="E241"/>
  <c r="D241"/>
  <c r="C241"/>
  <c r="B241"/>
  <c r="AB240"/>
  <c r="AA68"/>
  <c r="AA240"/>
  <c r="W240"/>
  <c r="T240"/>
  <c r="S68"/>
  <c r="S240" s="1"/>
  <c r="R240"/>
  <c r="O240"/>
  <c r="L240"/>
  <c r="K68"/>
  <c r="K240"/>
  <c r="G240"/>
  <c r="F68"/>
  <c r="F240"/>
  <c r="B240"/>
  <c r="AB239"/>
  <c r="AA67"/>
  <c r="AA239"/>
  <c r="W239"/>
  <c r="T239"/>
  <c r="S67"/>
  <c r="S239" s="1"/>
  <c r="P239"/>
  <c r="O239"/>
  <c r="L239"/>
  <c r="K67"/>
  <c r="K239"/>
  <c r="G239"/>
  <c r="F67"/>
  <c r="F239"/>
  <c r="B239"/>
  <c r="AA66"/>
  <c r="S66"/>
  <c r="K66"/>
  <c r="F66"/>
  <c r="AB231"/>
  <c r="AA65"/>
  <c r="AA231"/>
  <c r="W231"/>
  <c r="T231"/>
  <c r="S65"/>
  <c r="S231" s="1"/>
  <c r="O231"/>
  <c r="L231"/>
  <c r="K65"/>
  <c r="K231"/>
  <c r="G231"/>
  <c r="F65"/>
  <c r="F231"/>
  <c r="B231"/>
  <c r="AB232"/>
  <c r="AA64"/>
  <c r="AA232"/>
  <c r="W232"/>
  <c r="T232"/>
  <c r="S64"/>
  <c r="S232"/>
  <c r="O232"/>
  <c r="L232"/>
  <c r="K64"/>
  <c r="K232"/>
  <c r="G232"/>
  <c r="F64"/>
  <c r="F232"/>
  <c r="B232"/>
  <c r="AA63"/>
  <c r="R228"/>
  <c r="Q228"/>
  <c r="P228"/>
  <c r="K63"/>
  <c r="E228"/>
  <c r="D228"/>
  <c r="C228"/>
  <c r="AA62"/>
  <c r="S62"/>
  <c r="K62"/>
  <c r="F62"/>
  <c r="AA61"/>
  <c r="Q226"/>
  <c r="K61"/>
  <c r="F61"/>
  <c r="AA60"/>
  <c r="S60"/>
  <c r="K60"/>
  <c r="F60"/>
  <c r="AA59"/>
  <c r="S59"/>
  <c r="K59"/>
  <c r="F59"/>
  <c r="Z58"/>
  <c r="Y58"/>
  <c r="X58"/>
  <c r="J58"/>
  <c r="I58"/>
  <c r="H58"/>
  <c r="C58"/>
  <c r="C49"/>
  <c r="Z57"/>
  <c r="Y57"/>
  <c r="X57"/>
  <c r="R57"/>
  <c r="Q57"/>
  <c r="P57"/>
  <c r="J57"/>
  <c r="I57"/>
  <c r="H57"/>
  <c r="E57"/>
  <c r="D57"/>
  <c r="C57"/>
  <c r="A57"/>
  <c r="A115"/>
  <c r="AA56"/>
  <c r="S56"/>
  <c r="K56"/>
  <c r="F56"/>
  <c r="AA55"/>
  <c r="S55"/>
  <c r="K55"/>
  <c r="F55"/>
  <c r="F57"/>
  <c r="AA54"/>
  <c r="R183"/>
  <c r="AP42" i="102" s="1"/>
  <c r="Q183" i="101"/>
  <c r="AM42" i="102" s="1"/>
  <c r="K54" i="101"/>
  <c r="F54"/>
  <c r="AA53"/>
  <c r="S53"/>
  <c r="K53"/>
  <c r="F53"/>
  <c r="M53"/>
  <c r="AA52"/>
  <c r="S52"/>
  <c r="K52"/>
  <c r="F52"/>
  <c r="AB184"/>
  <c r="AA51"/>
  <c r="AA184"/>
  <c r="W184"/>
  <c r="T184"/>
  <c r="S51"/>
  <c r="S184" s="1"/>
  <c r="O184"/>
  <c r="L184"/>
  <c r="K51"/>
  <c r="K184"/>
  <c r="G184"/>
  <c r="F51"/>
  <c r="F184"/>
  <c r="B184"/>
  <c r="AA50"/>
  <c r="S50"/>
  <c r="K50"/>
  <c r="F50"/>
  <c r="Z49"/>
  <c r="Y49"/>
  <c r="X49"/>
  <c r="J49"/>
  <c r="I49"/>
  <c r="H49"/>
  <c r="AB252"/>
  <c r="AA48"/>
  <c r="AA252"/>
  <c r="W252"/>
  <c r="T252"/>
  <c r="S48"/>
  <c r="S252"/>
  <c r="O252"/>
  <c r="L252"/>
  <c r="K48"/>
  <c r="K252"/>
  <c r="G252"/>
  <c r="F48"/>
  <c r="F252"/>
  <c r="B252"/>
  <c r="AB250"/>
  <c r="AA47"/>
  <c r="AA250"/>
  <c r="AA249"/>
  <c r="W250"/>
  <c r="T250"/>
  <c r="T249"/>
  <c r="S47"/>
  <c r="O250"/>
  <c r="O249"/>
  <c r="L250"/>
  <c r="K47"/>
  <c r="K250"/>
  <c r="G250"/>
  <c r="F47"/>
  <c r="F250"/>
  <c r="B250"/>
  <c r="Z46"/>
  <c r="Y46"/>
  <c r="X46"/>
  <c r="R46"/>
  <c r="Q46"/>
  <c r="P46"/>
  <c r="J46"/>
  <c r="I46"/>
  <c r="H46"/>
  <c r="F46"/>
  <c r="E46"/>
  <c r="D46"/>
  <c r="C46"/>
  <c r="AB248"/>
  <c r="AA45"/>
  <c r="AA248"/>
  <c r="W248"/>
  <c r="T248"/>
  <c r="S45"/>
  <c r="S248"/>
  <c r="O248"/>
  <c r="L248"/>
  <c r="K45"/>
  <c r="K248"/>
  <c r="G248"/>
  <c r="F45"/>
  <c r="F248"/>
  <c r="B248"/>
  <c r="AB247"/>
  <c r="AA44"/>
  <c r="AA247"/>
  <c r="W247"/>
  <c r="T247"/>
  <c r="S44"/>
  <c r="S247"/>
  <c r="O247"/>
  <c r="L247"/>
  <c r="K44"/>
  <c r="K247"/>
  <c r="G247"/>
  <c r="F44"/>
  <c r="F247"/>
  <c r="B247"/>
  <c r="AB246"/>
  <c r="AA43"/>
  <c r="AA246"/>
  <c r="W246"/>
  <c r="T246"/>
  <c r="S43"/>
  <c r="O246"/>
  <c r="L246"/>
  <c r="K43"/>
  <c r="G246"/>
  <c r="F43"/>
  <c r="F246"/>
  <c r="B246"/>
  <c r="Z42"/>
  <c r="Y42"/>
  <c r="X42"/>
  <c r="R42"/>
  <c r="Q42"/>
  <c r="P42"/>
  <c r="J42"/>
  <c r="I42"/>
  <c r="H42"/>
  <c r="D42"/>
  <c r="C42"/>
  <c r="AB238"/>
  <c r="AA41"/>
  <c r="AA238"/>
  <c r="W238"/>
  <c r="T238"/>
  <c r="S41"/>
  <c r="S238"/>
  <c r="O238"/>
  <c r="L238"/>
  <c r="K41"/>
  <c r="K238"/>
  <c r="G238"/>
  <c r="F41"/>
  <c r="B238"/>
  <c r="AB230"/>
  <c r="AA40"/>
  <c r="AA230"/>
  <c r="W230"/>
  <c r="T230"/>
  <c r="S40"/>
  <c r="S230"/>
  <c r="O230"/>
  <c r="L230"/>
  <c r="K40"/>
  <c r="K230"/>
  <c r="G230"/>
  <c r="F40"/>
  <c r="F230"/>
  <c r="B230"/>
  <c r="AB228"/>
  <c r="AA39"/>
  <c r="AA228"/>
  <c r="W228"/>
  <c r="T228"/>
  <c r="S39"/>
  <c r="O228"/>
  <c r="L228"/>
  <c r="K39"/>
  <c r="K228"/>
  <c r="G228"/>
  <c r="F39"/>
  <c r="B228"/>
  <c r="AB227"/>
  <c r="AA38"/>
  <c r="AA227"/>
  <c r="W227"/>
  <c r="T227"/>
  <c r="S38"/>
  <c r="S227"/>
  <c r="O227"/>
  <c r="L227"/>
  <c r="K38"/>
  <c r="G227"/>
  <c r="F38"/>
  <c r="F227"/>
  <c r="B227"/>
  <c r="AB226"/>
  <c r="AA37"/>
  <c r="AA226"/>
  <c r="W226"/>
  <c r="T226"/>
  <c r="S37"/>
  <c r="O226"/>
  <c r="L226"/>
  <c r="K37"/>
  <c r="K226"/>
  <c r="G226"/>
  <c r="F37"/>
  <c r="F226"/>
  <c r="B226"/>
  <c r="AB225"/>
  <c r="AA36"/>
  <c r="AA225"/>
  <c r="W225"/>
  <c r="T225"/>
  <c r="S36"/>
  <c r="S225" s="1"/>
  <c r="O225"/>
  <c r="L225"/>
  <c r="K36"/>
  <c r="K225"/>
  <c r="G225"/>
  <c r="F36"/>
  <c r="F225"/>
  <c r="B225"/>
  <c r="AA35"/>
  <c r="S35"/>
  <c r="K35"/>
  <c r="F35"/>
  <c r="AA34"/>
  <c r="S34"/>
  <c r="K34"/>
  <c r="F34"/>
  <c r="AB188"/>
  <c r="Z33"/>
  <c r="Y33"/>
  <c r="X33"/>
  <c r="W188"/>
  <c r="T188"/>
  <c r="R33"/>
  <c r="Q33"/>
  <c r="P33"/>
  <c r="O188"/>
  <c r="L188"/>
  <c r="J33"/>
  <c r="J25"/>
  <c r="I33"/>
  <c r="I25"/>
  <c r="H33"/>
  <c r="H25"/>
  <c r="G188"/>
  <c r="D33"/>
  <c r="C33"/>
  <c r="C25"/>
  <c r="B188"/>
  <c r="Z32"/>
  <c r="Y32"/>
  <c r="X32"/>
  <c r="R32"/>
  <c r="Q32"/>
  <c r="P32"/>
  <c r="J32"/>
  <c r="I32"/>
  <c r="H32"/>
  <c r="E32"/>
  <c r="D32"/>
  <c r="C32"/>
  <c r="AB186"/>
  <c r="AA31"/>
  <c r="AA186"/>
  <c r="W186"/>
  <c r="T186"/>
  <c r="S31"/>
  <c r="S186" s="1"/>
  <c r="O186"/>
  <c r="L186"/>
  <c r="K31"/>
  <c r="G186"/>
  <c r="F31"/>
  <c r="B186"/>
  <c r="AB185"/>
  <c r="AA30"/>
  <c r="AA185"/>
  <c r="W185"/>
  <c r="T185"/>
  <c r="S30"/>
  <c r="O185"/>
  <c r="L185"/>
  <c r="K30"/>
  <c r="G185"/>
  <c r="F30"/>
  <c r="F185"/>
  <c r="B185"/>
  <c r="AB183"/>
  <c r="AA29"/>
  <c r="AA183"/>
  <c r="W183"/>
  <c r="T183"/>
  <c r="S29"/>
  <c r="O183"/>
  <c r="L183"/>
  <c r="K29"/>
  <c r="G183"/>
  <c r="F29"/>
  <c r="B183"/>
  <c r="AB182"/>
  <c r="AA28"/>
  <c r="AA182"/>
  <c r="W182"/>
  <c r="T182"/>
  <c r="S28"/>
  <c r="S182"/>
  <c r="O182"/>
  <c r="L182"/>
  <c r="K28"/>
  <c r="K182"/>
  <c r="G182"/>
  <c r="F28"/>
  <c r="F182"/>
  <c r="B182"/>
  <c r="AB181"/>
  <c r="AA27"/>
  <c r="AA181"/>
  <c r="W181"/>
  <c r="T181"/>
  <c r="S27"/>
  <c r="O181"/>
  <c r="L181"/>
  <c r="K27"/>
  <c r="G181"/>
  <c r="F27"/>
  <c r="B181"/>
  <c r="AB180"/>
  <c r="AA26"/>
  <c r="AA180"/>
  <c r="W180"/>
  <c r="W210"/>
  <c r="T180"/>
  <c r="S26"/>
  <c r="S180" s="1"/>
  <c r="O180"/>
  <c r="L180"/>
  <c r="L210"/>
  <c r="K26"/>
  <c r="K180"/>
  <c r="G180"/>
  <c r="G210"/>
  <c r="F26"/>
  <c r="F180"/>
  <c r="B180"/>
  <c r="B210"/>
  <c r="Z25"/>
  <c r="Y25"/>
  <c r="X25"/>
  <c r="R25"/>
  <c r="Q25"/>
  <c r="P25"/>
  <c r="D25"/>
  <c r="AB175"/>
  <c r="AA20"/>
  <c r="W175"/>
  <c r="T175"/>
  <c r="S20"/>
  <c r="O175"/>
  <c r="L175"/>
  <c r="K20"/>
  <c r="G175"/>
  <c r="F20"/>
  <c r="M20"/>
  <c r="B175"/>
  <c r="AB174"/>
  <c r="AA19"/>
  <c r="AA18"/>
  <c r="W174"/>
  <c r="T174"/>
  <c r="S19"/>
  <c r="O174"/>
  <c r="L174"/>
  <c r="K19"/>
  <c r="G174"/>
  <c r="F19"/>
  <c r="M19"/>
  <c r="B174"/>
  <c r="AB173"/>
  <c r="Z18"/>
  <c r="Y18"/>
  <c r="X18"/>
  <c r="W173"/>
  <c r="T173"/>
  <c r="R18"/>
  <c r="Q18"/>
  <c r="Q14" s="1"/>
  <c r="Q148" s="1"/>
  <c r="P18"/>
  <c r="O173"/>
  <c r="L173"/>
  <c r="J18"/>
  <c r="J14"/>
  <c r="I18"/>
  <c r="H18"/>
  <c r="G173"/>
  <c r="E18"/>
  <c r="D18"/>
  <c r="C18"/>
  <c r="B173"/>
  <c r="AB172"/>
  <c r="AA17"/>
  <c r="AA172"/>
  <c r="W172"/>
  <c r="T172"/>
  <c r="S17"/>
  <c r="O172"/>
  <c r="L172"/>
  <c r="K17"/>
  <c r="G172"/>
  <c r="F17"/>
  <c r="B172"/>
  <c r="AB171"/>
  <c r="AA16"/>
  <c r="AA171"/>
  <c r="W171"/>
  <c r="T171"/>
  <c r="S16"/>
  <c r="R171"/>
  <c r="AP16" i="102" s="1"/>
  <c r="O171" i="101"/>
  <c r="L171"/>
  <c r="K16"/>
  <c r="G171"/>
  <c r="F16"/>
  <c r="M16"/>
  <c r="B171"/>
  <c r="AB170"/>
  <c r="AA15"/>
  <c r="AA170"/>
  <c r="W170"/>
  <c r="T170"/>
  <c r="S15"/>
  <c r="R170"/>
  <c r="AP15" i="102" s="1"/>
  <c r="R169" i="101"/>
  <c r="R211" s="1"/>
  <c r="O170"/>
  <c r="L170"/>
  <c r="K15"/>
  <c r="G170"/>
  <c r="F15"/>
  <c r="M15"/>
  <c r="B170"/>
  <c r="AB169"/>
  <c r="AB211"/>
  <c r="Z14"/>
  <c r="Z148"/>
  <c r="Y14"/>
  <c r="Y148"/>
  <c r="X14"/>
  <c r="X148"/>
  <c r="W169"/>
  <c r="W211"/>
  <c r="T169"/>
  <c r="T211"/>
  <c r="R14"/>
  <c r="R148" s="1"/>
  <c r="P14"/>
  <c r="P148"/>
  <c r="O169"/>
  <c r="O211"/>
  <c r="L169"/>
  <c r="L211"/>
  <c r="J148"/>
  <c r="I14"/>
  <c r="I148"/>
  <c r="H14"/>
  <c r="H148"/>
  <c r="G169"/>
  <c r="G211"/>
  <c r="E14"/>
  <c r="E148"/>
  <c r="D14"/>
  <c r="D148"/>
  <c r="C14"/>
  <c r="C148"/>
  <c r="B169"/>
  <c r="B211"/>
  <c r="AB167"/>
  <c r="W167"/>
  <c r="T167"/>
  <c r="O167"/>
  <c r="L167"/>
  <c r="G167"/>
  <c r="B167"/>
  <c r="AB166"/>
  <c r="Z11"/>
  <c r="Z12"/>
  <c r="Z13"/>
  <c r="Y11"/>
  <c r="Y12"/>
  <c r="Y13"/>
  <c r="X11"/>
  <c r="X12"/>
  <c r="X13"/>
  <c r="W166"/>
  <c r="T166"/>
  <c r="R11"/>
  <c r="Q11"/>
  <c r="P11"/>
  <c r="P12"/>
  <c r="P13"/>
  <c r="O166"/>
  <c r="L166"/>
  <c r="J11"/>
  <c r="J12"/>
  <c r="J13"/>
  <c r="I11"/>
  <c r="I12"/>
  <c r="I13"/>
  <c r="H11"/>
  <c r="H12"/>
  <c r="H13"/>
  <c r="G166"/>
  <c r="E11"/>
  <c r="E12"/>
  <c r="E13"/>
  <c r="D11"/>
  <c r="C11"/>
  <c r="B166"/>
  <c r="Z10"/>
  <c r="Y10"/>
  <c r="X10"/>
  <c r="R10"/>
  <c r="Q10"/>
  <c r="P10"/>
  <c r="J10"/>
  <c r="I10"/>
  <c r="H10"/>
  <c r="E10"/>
  <c r="D10"/>
  <c r="C10"/>
  <c r="AB164"/>
  <c r="AA9"/>
  <c r="AA10"/>
  <c r="W164"/>
  <c r="T164"/>
  <c r="S9"/>
  <c r="O164"/>
  <c r="L164"/>
  <c r="K9"/>
  <c r="G164"/>
  <c r="F9"/>
  <c r="B164"/>
  <c r="AB163"/>
  <c r="AA8"/>
  <c r="W163"/>
  <c r="T163"/>
  <c r="S8"/>
  <c r="O163"/>
  <c r="L163"/>
  <c r="K8"/>
  <c r="G163"/>
  <c r="F8"/>
  <c r="B163"/>
  <c r="S150" i="103"/>
  <c r="S135" i="101"/>
  <c r="S198" s="1"/>
  <c r="S110" i="103"/>
  <c r="S161" s="1"/>
  <c r="S149"/>
  <c r="P187" i="101"/>
  <c r="AJ46" i="102"/>
  <c r="AJ44"/>
  <c r="S172" i="101"/>
  <c r="P169"/>
  <c r="S175"/>
  <c r="AJ20" i="102"/>
  <c r="P165" i="101"/>
  <c r="AJ10" i="102"/>
  <c r="AJ8"/>
  <c r="J205" i="103"/>
  <c r="J23"/>
  <c r="J15"/>
  <c r="J120"/>
  <c r="K106"/>
  <c r="K157"/>
  <c r="K188"/>
  <c r="K148"/>
  <c r="K207"/>
  <c r="K186" i="101"/>
  <c r="J187"/>
  <c r="W46" i="102"/>
  <c r="W44"/>
  <c r="M127" i="101"/>
  <c r="J169"/>
  <c r="J165"/>
  <c r="W10" i="102"/>
  <c r="W8"/>
  <c r="AE18" i="104"/>
  <c r="Z63" i="102"/>
  <c r="Z59"/>
  <c r="Z57"/>
  <c r="Z61"/>
  <c r="Z58"/>
  <c r="Z51" i="104"/>
  <c r="Z50"/>
  <c r="Z48"/>
  <c r="Z47"/>
  <c r="Z46"/>
  <c r="Z45"/>
  <c r="AE45"/>
  <c r="K185" i="101"/>
  <c r="M56"/>
  <c r="K227"/>
  <c r="I188"/>
  <c r="I192"/>
  <c r="T51" i="102"/>
  <c r="Z39" i="104"/>
  <c r="Z31"/>
  <c r="K144" i="103"/>
  <c r="Z34" i="104"/>
  <c r="Z32"/>
  <c r="AB32"/>
  <c r="AC32"/>
  <c r="I151" i="103"/>
  <c r="T35" i="104"/>
  <c r="T33"/>
  <c r="Z33"/>
  <c r="Z29"/>
  <c r="M94" i="101"/>
  <c r="Z48" i="102"/>
  <c r="Z38" i="104"/>
  <c r="Z37"/>
  <c r="Z50" i="102"/>
  <c r="I147" i="101"/>
  <c r="K183"/>
  <c r="M54"/>
  <c r="M119"/>
  <c r="U119"/>
  <c r="M95"/>
  <c r="K105"/>
  <c r="M97"/>
  <c r="K246"/>
  <c r="K181"/>
  <c r="K249"/>
  <c r="M82"/>
  <c r="H244"/>
  <c r="M52"/>
  <c r="M60"/>
  <c r="M59"/>
  <c r="M118"/>
  <c r="K116"/>
  <c r="M117"/>
  <c r="U117"/>
  <c r="M93"/>
  <c r="M120"/>
  <c r="K109"/>
  <c r="H187"/>
  <c r="Q46" i="102"/>
  <c r="Q44"/>
  <c r="Z44"/>
  <c r="H165" i="101"/>
  <c r="Q10" i="102"/>
  <c r="Q8"/>
  <c r="Z8"/>
  <c r="K171" i="101"/>
  <c r="Q16" i="102"/>
  <c r="M17" i="101"/>
  <c r="K172"/>
  <c r="K170"/>
  <c r="H173"/>
  <c r="Q18" i="102"/>
  <c r="K18" i="101"/>
  <c r="K14"/>
  <c r="K148"/>
  <c r="K175"/>
  <c r="Q20" i="102"/>
  <c r="Z20"/>
  <c r="F149" i="103"/>
  <c r="E43"/>
  <c r="E34"/>
  <c r="E210"/>
  <c r="L32" i="104"/>
  <c r="E151" i="103"/>
  <c r="I35" i="104"/>
  <c r="I33"/>
  <c r="E188" i="101"/>
  <c r="I47" i="102"/>
  <c r="E153" i="101"/>
  <c r="I69" i="102"/>
  <c r="I81"/>
  <c r="E173" i="101"/>
  <c r="I18" i="102"/>
  <c r="I19"/>
  <c r="E169" i="101"/>
  <c r="L51" i="104"/>
  <c r="L49"/>
  <c r="L45"/>
  <c r="N45"/>
  <c r="O45"/>
  <c r="L46"/>
  <c r="M78" i="103"/>
  <c r="L31" i="104"/>
  <c r="L39"/>
  <c r="N39"/>
  <c r="O39"/>
  <c r="L34"/>
  <c r="L33"/>
  <c r="L29"/>
  <c r="N29"/>
  <c r="O29"/>
  <c r="L38"/>
  <c r="L37"/>
  <c r="L62" i="102"/>
  <c r="L43"/>
  <c r="L45"/>
  <c r="L42"/>
  <c r="D187" i="101"/>
  <c r="F46" i="102"/>
  <c r="F44"/>
  <c r="L16"/>
  <c r="D169" i="101"/>
  <c r="D211"/>
  <c r="F14" i="102"/>
  <c r="F70"/>
  <c r="D12" i="101"/>
  <c r="D13"/>
  <c r="F11"/>
  <c r="D165"/>
  <c r="F10" i="102"/>
  <c r="F8"/>
  <c r="F42" i="101"/>
  <c r="F33"/>
  <c r="F25"/>
  <c r="F186"/>
  <c r="F181"/>
  <c r="M80" i="103"/>
  <c r="M46"/>
  <c r="N46"/>
  <c r="F75"/>
  <c r="M49"/>
  <c r="N49"/>
  <c r="M63"/>
  <c r="N63"/>
  <c r="C23"/>
  <c r="C15"/>
  <c r="M92"/>
  <c r="C188" i="101"/>
  <c r="C47" i="102"/>
  <c r="M45" i="103"/>
  <c r="M44"/>
  <c r="C147" i="101"/>
  <c r="C153"/>
  <c r="C69" i="102"/>
  <c r="C81"/>
  <c r="L40"/>
  <c r="F174" i="101"/>
  <c r="C19" i="102"/>
  <c r="F18" i="101"/>
  <c r="F172"/>
  <c r="M172"/>
  <c r="C17" i="102"/>
  <c r="L17"/>
  <c r="F170" i="101"/>
  <c r="C15" i="102"/>
  <c r="L15"/>
  <c r="C165" i="101"/>
  <c r="C10" i="102"/>
  <c r="C8"/>
  <c r="AE19" i="104"/>
  <c r="BG55"/>
  <c r="BG59"/>
  <c r="BG60"/>
  <c r="BG64"/>
  <c r="BM45"/>
  <c r="BR40"/>
  <c r="BM35"/>
  <c r="AQ55"/>
  <c r="AQ59" s="1"/>
  <c r="AK55"/>
  <c r="AK59"/>
  <c r="AK60"/>
  <c r="AK64"/>
  <c r="AY38"/>
  <c r="BR38"/>
  <c r="AT35"/>
  <c r="AF67"/>
  <c r="AY67"/>
  <c r="BR67"/>
  <c r="AA45"/>
  <c r="AF43"/>
  <c r="AY43"/>
  <c r="BR43"/>
  <c r="AF42"/>
  <c r="AY42"/>
  <c r="BR42"/>
  <c r="AF54"/>
  <c r="AY54"/>
  <c r="BR54"/>
  <c r="AF51"/>
  <c r="AY51"/>
  <c r="BR51" s="1"/>
  <c r="AF47"/>
  <c r="AY47"/>
  <c r="BR47"/>
  <c r="AF46"/>
  <c r="AY46"/>
  <c r="BR46"/>
  <c r="AF39"/>
  <c r="AY39"/>
  <c r="BR39"/>
  <c r="AF37"/>
  <c r="AY37"/>
  <c r="BR37"/>
  <c r="AA35"/>
  <c r="AF33"/>
  <c r="AY33"/>
  <c r="BR33"/>
  <c r="AF32"/>
  <c r="AY32"/>
  <c r="BR32"/>
  <c r="AF31"/>
  <c r="AY31"/>
  <c r="BR31"/>
  <c r="AF29"/>
  <c r="AY29"/>
  <c r="BR29"/>
  <c r="M45"/>
  <c r="G55"/>
  <c r="G59"/>
  <c r="G60"/>
  <c r="G64"/>
  <c r="M35"/>
  <c r="AF20"/>
  <c r="AY20"/>
  <c r="BR20"/>
  <c r="AF18"/>
  <c r="AY18"/>
  <c r="BR18"/>
  <c r="AF11"/>
  <c r="AY11"/>
  <c r="BR11"/>
  <c r="AF10"/>
  <c r="AY10"/>
  <c r="BR10"/>
  <c r="AF8"/>
  <c r="AY8"/>
  <c r="BR8"/>
  <c r="AU52"/>
  <c r="AV52"/>
  <c r="AU53"/>
  <c r="AV53"/>
  <c r="BN43"/>
  <c r="BO43"/>
  <c r="AD43"/>
  <c r="AW43"/>
  <c r="BP43"/>
  <c r="AB43"/>
  <c r="AC43"/>
  <c r="BN29"/>
  <c r="BO29"/>
  <c r="BN30"/>
  <c r="BO30"/>
  <c r="BN31"/>
  <c r="BO31"/>
  <c r="BN32"/>
  <c r="BO32"/>
  <c r="BN33"/>
  <c r="BO33"/>
  <c r="BN37"/>
  <c r="BO37"/>
  <c r="AD29"/>
  <c r="AW29"/>
  <c r="BP29"/>
  <c r="AB29"/>
  <c r="AC29"/>
  <c r="AD30"/>
  <c r="AW30"/>
  <c r="BP30"/>
  <c r="AB30"/>
  <c r="AC30"/>
  <c r="AD31"/>
  <c r="AW31"/>
  <c r="BP31"/>
  <c r="AB31"/>
  <c r="AC31"/>
  <c r="AD32"/>
  <c r="AW32"/>
  <c r="BP32"/>
  <c r="AD33"/>
  <c r="AW33"/>
  <c r="BP33"/>
  <c r="AD37"/>
  <c r="AW37"/>
  <c r="BP37"/>
  <c r="AB37"/>
  <c r="AC37"/>
  <c r="BN39"/>
  <c r="BO39"/>
  <c r="AD39"/>
  <c r="AW39"/>
  <c r="BP39"/>
  <c r="AB39"/>
  <c r="AC39"/>
  <c r="BN11"/>
  <c r="BO11"/>
  <c r="AD11"/>
  <c r="AW11"/>
  <c r="BP11"/>
  <c r="AB11"/>
  <c r="AC11"/>
  <c r="AD8"/>
  <c r="AW8"/>
  <c r="BP8"/>
  <c r="AB8"/>
  <c r="AC8"/>
  <c r="AA205" i="103"/>
  <c r="AA94"/>
  <c r="Y75"/>
  <c r="Y69"/>
  <c r="X216"/>
  <c r="AA42"/>
  <c r="Z216"/>
  <c r="X151"/>
  <c r="Z151"/>
  <c r="AA151"/>
  <c r="S106"/>
  <c r="S157" s="1"/>
  <c r="S94"/>
  <c r="Q75"/>
  <c r="S73"/>
  <c r="K94"/>
  <c r="I75"/>
  <c r="I69"/>
  <c r="M74"/>
  <c r="U74"/>
  <c r="V74" s="1"/>
  <c r="K42"/>
  <c r="H216"/>
  <c r="J216"/>
  <c r="P151"/>
  <c r="AJ35" i="104"/>
  <c r="R151" i="103"/>
  <c r="AP35" i="104" s="1"/>
  <c r="K151" i="103"/>
  <c r="H151"/>
  <c r="Q35" i="104"/>
  <c r="J151" i="103"/>
  <c r="W35" i="104"/>
  <c r="M101" i="103"/>
  <c r="M96"/>
  <c r="M97"/>
  <c r="U97"/>
  <c r="V97" s="1"/>
  <c r="M98"/>
  <c r="M89"/>
  <c r="M90"/>
  <c r="M91"/>
  <c r="F69"/>
  <c r="C69"/>
  <c r="E75"/>
  <c r="E69"/>
  <c r="M84"/>
  <c r="M85"/>
  <c r="M83"/>
  <c r="M71"/>
  <c r="M70"/>
  <c r="U70"/>
  <c r="AC70" s="1"/>
  <c r="M65"/>
  <c r="M66"/>
  <c r="C43"/>
  <c r="C34"/>
  <c r="C120"/>
  <c r="C126"/>
  <c r="M35"/>
  <c r="M40"/>
  <c r="M38"/>
  <c r="M39"/>
  <c r="F42"/>
  <c r="D216"/>
  <c r="F151"/>
  <c r="D151"/>
  <c r="F35" i="104"/>
  <c r="C151" i="103"/>
  <c r="C35" i="104"/>
  <c r="AA8" i="103"/>
  <c r="S8"/>
  <c r="K8"/>
  <c r="K137"/>
  <c r="M7"/>
  <c r="O173"/>
  <c r="AX28" i="102"/>
  <c r="AS29"/>
  <c r="AX30"/>
  <c r="BQ30" s="1"/>
  <c r="BS30" s="1"/>
  <c r="BT30" s="1"/>
  <c r="AE31"/>
  <c r="AE26"/>
  <c r="AX26"/>
  <c r="BQ26" s="1"/>
  <c r="BS26" s="1"/>
  <c r="BT26" s="1"/>
  <c r="BM78"/>
  <c r="BM46"/>
  <c r="AY54"/>
  <c r="BR54"/>
  <c r="AY79"/>
  <c r="BR79"/>
  <c r="AY44"/>
  <c r="BR44"/>
  <c r="AY43"/>
  <c r="BR43"/>
  <c r="AY42"/>
  <c r="BR42"/>
  <c r="AY40"/>
  <c r="BR40"/>
  <c r="AT78"/>
  <c r="AK69"/>
  <c r="AT46"/>
  <c r="AF80"/>
  <c r="AY80"/>
  <c r="BR80"/>
  <c r="AF63"/>
  <c r="AY63"/>
  <c r="BR63"/>
  <c r="AF59"/>
  <c r="AY59"/>
  <c r="BR59"/>
  <c r="AF58"/>
  <c r="AY58"/>
  <c r="BR58"/>
  <c r="AF51"/>
  <c r="AY51"/>
  <c r="BR51"/>
  <c r="AF50"/>
  <c r="AY50"/>
  <c r="BR50"/>
  <c r="AF49"/>
  <c r="AY49"/>
  <c r="BR49"/>
  <c r="AF48"/>
  <c r="AY48"/>
  <c r="BR48"/>
  <c r="AA46"/>
  <c r="M78"/>
  <c r="AF78"/>
  <c r="AY78"/>
  <c r="BR78"/>
  <c r="M46"/>
  <c r="BM29"/>
  <c r="AY28"/>
  <c r="BR28"/>
  <c r="AY27"/>
  <c r="BR27"/>
  <c r="AF25"/>
  <c r="AY25"/>
  <c r="BR25"/>
  <c r="AA29"/>
  <c r="AF31"/>
  <c r="AY31"/>
  <c r="BR31"/>
  <c r="R32"/>
  <c r="AA32"/>
  <c r="AF26"/>
  <c r="M29"/>
  <c r="AF29"/>
  <c r="M32"/>
  <c r="AT52"/>
  <c r="AU54" i="104"/>
  <c r="AV54"/>
  <c r="L19" i="102"/>
  <c r="Z40"/>
  <c r="BL40"/>
  <c r="Z41"/>
  <c r="BL41"/>
  <c r="Z42"/>
  <c r="BL42"/>
  <c r="Z43"/>
  <c r="AB43"/>
  <c r="AC43"/>
  <c r="BL43"/>
  <c r="BL44"/>
  <c r="Z45"/>
  <c r="AE45"/>
  <c r="BL45"/>
  <c r="L48"/>
  <c r="L49"/>
  <c r="Z49"/>
  <c r="AE49"/>
  <c r="Z53"/>
  <c r="BL53"/>
  <c r="Z54"/>
  <c r="BL54"/>
  <c r="Z55"/>
  <c r="AE55"/>
  <c r="AX55"/>
  <c r="BL55"/>
  <c r="Z56"/>
  <c r="BL56"/>
  <c r="BL57"/>
  <c r="BM57"/>
  <c r="L58"/>
  <c r="L59"/>
  <c r="Z60"/>
  <c r="L63"/>
  <c r="L64"/>
  <c r="AS64"/>
  <c r="L65"/>
  <c r="AS65"/>
  <c r="L68"/>
  <c r="AS68"/>
  <c r="L121" i="103"/>
  <c r="T121"/>
  <c r="AB121"/>
  <c r="AU11" i="104"/>
  <c r="AV11" s="1"/>
  <c r="AE12"/>
  <c r="AX12"/>
  <c r="Y41"/>
  <c r="AA41"/>
  <c r="Z41"/>
  <c r="AB41"/>
  <c r="AC41"/>
  <c r="AE44"/>
  <c r="AR45"/>
  <c r="AT45"/>
  <c r="BL45"/>
  <c r="BK45"/>
  <c r="K63"/>
  <c r="AR63"/>
  <c r="BK63"/>
  <c r="L66"/>
  <c r="BJ12" i="102"/>
  <c r="BJ13"/>
  <c r="BM18"/>
  <c r="BD12"/>
  <c r="BD13"/>
  <c r="BM14"/>
  <c r="BM70"/>
  <c r="BM11"/>
  <c r="AT14"/>
  <c r="AT70"/>
  <c r="AT11"/>
  <c r="AT10"/>
  <c r="AA70"/>
  <c r="AA18"/>
  <c r="AA14"/>
  <c r="AA34"/>
  <c r="AF19"/>
  <c r="AY19"/>
  <c r="AF17"/>
  <c r="AY17"/>
  <c r="BR17"/>
  <c r="AF16"/>
  <c r="AY16"/>
  <c r="BR16"/>
  <c r="AF15"/>
  <c r="AA11"/>
  <c r="G12"/>
  <c r="G13"/>
  <c r="M70"/>
  <c r="AF70"/>
  <c r="M10"/>
  <c r="BN54"/>
  <c r="BO54"/>
  <c r="AD56"/>
  <c r="AW56"/>
  <c r="BP56"/>
  <c r="AD58"/>
  <c r="AW58"/>
  <c r="BP58"/>
  <c r="BL16"/>
  <c r="Z17"/>
  <c r="BL17"/>
  <c r="Z19"/>
  <c r="Z18"/>
  <c r="AB18"/>
  <c r="AC18"/>
  <c r="L8"/>
  <c r="Z52"/>
  <c r="AR52"/>
  <c r="BK52"/>
  <c r="Z62"/>
  <c r="Z15"/>
  <c r="BL15"/>
  <c r="Z16"/>
  <c r="L20"/>
  <c r="AE20"/>
  <c r="BL47"/>
  <c r="AB58"/>
  <c r="AC58"/>
  <c r="L9"/>
  <c r="BL52"/>
  <c r="AU56"/>
  <c r="AV56"/>
  <c r="L57"/>
  <c r="AE57"/>
  <c r="BL60"/>
  <c r="AU27"/>
  <c r="AV27" s="1"/>
  <c r="BK14"/>
  <c r="BK70"/>
  <c r="Y14"/>
  <c r="K70"/>
  <c r="AA135" i="101"/>
  <c r="AA198"/>
  <c r="X116"/>
  <c r="X109"/>
  <c r="Z116"/>
  <c r="Z109"/>
  <c r="AA125"/>
  <c r="AA116"/>
  <c r="AA115"/>
  <c r="AA109"/>
  <c r="Y147"/>
  <c r="Y188"/>
  <c r="Y192"/>
  <c r="Z92"/>
  <c r="Z85"/>
  <c r="AA92"/>
  <c r="AA91"/>
  <c r="AA85"/>
  <c r="AA57"/>
  <c r="AA187"/>
  <c r="Y187"/>
  <c r="S115"/>
  <c r="P92"/>
  <c r="P85"/>
  <c r="S91"/>
  <c r="S57"/>
  <c r="Q187"/>
  <c r="AM46" i="102" s="1"/>
  <c r="K135" i="101"/>
  <c r="K198"/>
  <c r="M138"/>
  <c r="M129"/>
  <c r="M126"/>
  <c r="M124"/>
  <c r="K115"/>
  <c r="M110"/>
  <c r="M111"/>
  <c r="M112"/>
  <c r="M114"/>
  <c r="M108"/>
  <c r="H92"/>
  <c r="H85"/>
  <c r="J92"/>
  <c r="J85"/>
  <c r="M104"/>
  <c r="M103"/>
  <c r="N103"/>
  <c r="K92"/>
  <c r="M101"/>
  <c r="M102"/>
  <c r="K91"/>
  <c r="K85"/>
  <c r="M87"/>
  <c r="M88"/>
  <c r="M90"/>
  <c r="N90"/>
  <c r="M79"/>
  <c r="U79"/>
  <c r="M77"/>
  <c r="N77"/>
  <c r="M61"/>
  <c r="M62"/>
  <c r="N62"/>
  <c r="M66"/>
  <c r="M50"/>
  <c r="K57"/>
  <c r="I187"/>
  <c r="T46" i="102"/>
  <c r="F116" i="101"/>
  <c r="F109"/>
  <c r="D92"/>
  <c r="D85"/>
  <c r="F187"/>
  <c r="C187"/>
  <c r="C46" i="102"/>
  <c r="E187" i="101"/>
  <c r="I46" i="102"/>
  <c r="F130" i="101"/>
  <c r="F193"/>
  <c r="AB210"/>
  <c r="AA174"/>
  <c r="AA14"/>
  <c r="AA148"/>
  <c r="Y166"/>
  <c r="S18"/>
  <c r="S174"/>
  <c r="S173" s="1"/>
  <c r="S14"/>
  <c r="S148" s="1"/>
  <c r="Q166"/>
  <c r="AM11" i="102" s="1"/>
  <c r="S11" i="101"/>
  <c r="K174"/>
  <c r="H169"/>
  <c r="K10"/>
  <c r="I166"/>
  <c r="T11" i="102"/>
  <c r="E166" i="101"/>
  <c r="F10"/>
  <c r="F175"/>
  <c r="M175"/>
  <c r="F171"/>
  <c r="M171"/>
  <c r="C12"/>
  <c r="C13"/>
  <c r="F14"/>
  <c r="F148"/>
  <c r="C166"/>
  <c r="C11" i="102"/>
  <c r="BN19"/>
  <c r="BO19"/>
  <c r="BL18"/>
  <c r="BN18"/>
  <c r="BO18"/>
  <c r="L168" i="101"/>
  <c r="T168"/>
  <c r="AB168"/>
  <c r="O187"/>
  <c r="T187"/>
  <c r="AR18" i="102"/>
  <c r="AU41"/>
  <c r="AV41"/>
  <c r="K47"/>
  <c r="P51"/>
  <c r="V51"/>
  <c r="BB51"/>
  <c r="BH51"/>
  <c r="AB54"/>
  <c r="AC54"/>
  <c r="K57"/>
  <c r="M57"/>
  <c r="L61"/>
  <c r="BL62"/>
  <c r="AU64"/>
  <c r="AV64"/>
  <c r="AU65"/>
  <c r="AV65"/>
  <c r="AU68"/>
  <c r="AV68"/>
  <c r="K72"/>
  <c r="AD72"/>
  <c r="AW72"/>
  <c r="BP72"/>
  <c r="L79"/>
  <c r="AS79"/>
  <c r="AU79"/>
  <c r="L80"/>
  <c r="AS80"/>
  <c r="AU80"/>
  <c r="L7" i="103"/>
  <c r="T7"/>
  <c r="O151"/>
  <c r="L205"/>
  <c r="T205"/>
  <c r="L35"/>
  <c r="T35"/>
  <c r="L39"/>
  <c r="T39"/>
  <c r="L43"/>
  <c r="T43"/>
  <c r="AB43"/>
  <c r="L61"/>
  <c r="T61"/>
  <c r="L63"/>
  <c r="T63"/>
  <c r="L65"/>
  <c r="T65"/>
  <c r="L72"/>
  <c r="L74"/>
  <c r="T74"/>
  <c r="L80"/>
  <c r="T80"/>
  <c r="L83"/>
  <c r="T83"/>
  <c r="L85"/>
  <c r="T85"/>
  <c r="L87"/>
  <c r="T87"/>
  <c r="L89"/>
  <c r="T89"/>
  <c r="L90"/>
  <c r="T90"/>
  <c r="L92"/>
  <c r="T92"/>
  <c r="L93"/>
  <c r="L96"/>
  <c r="T96"/>
  <c r="L97"/>
  <c r="T97"/>
  <c r="L98"/>
  <c r="T98"/>
  <c r="L99"/>
  <c r="T99"/>
  <c r="L101"/>
  <c r="T101"/>
  <c r="L103"/>
  <c r="T103"/>
  <c r="L104"/>
  <c r="T104"/>
  <c r="BL9" i="104"/>
  <c r="Y17"/>
  <c r="AD17"/>
  <c r="AG17"/>
  <c r="AH17"/>
  <c r="BK17"/>
  <c r="K18"/>
  <c r="AD18"/>
  <c r="AR18"/>
  <c r="BK18"/>
  <c r="K19"/>
  <c r="AR19"/>
  <c r="BK19"/>
  <c r="K20"/>
  <c r="Y21"/>
  <c r="AR21"/>
  <c r="Y22"/>
  <c r="K36"/>
  <c r="P40"/>
  <c r="V40"/>
  <c r="Y40"/>
  <c r="BB40"/>
  <c r="BH40"/>
  <c r="AR41"/>
  <c r="AT41"/>
  <c r="BK41"/>
  <c r="BM41"/>
  <c r="BL41"/>
  <c r="Y45"/>
  <c r="L48"/>
  <c r="Z49"/>
  <c r="AE49"/>
  <c r="BL49"/>
  <c r="L50"/>
  <c r="BL68"/>
  <c r="BN68"/>
  <c r="BO68"/>
  <c r="O165" i="101"/>
  <c r="T165"/>
  <c r="B168"/>
  <c r="Y70" i="102"/>
  <c r="AD70"/>
  <c r="Y25"/>
  <c r="AB25"/>
  <c r="AC25"/>
  <c r="BK25"/>
  <c r="K26"/>
  <c r="AD26"/>
  <c r="AB26"/>
  <c r="AC26"/>
  <c r="AR26"/>
  <c r="BN26"/>
  <c r="BO26"/>
  <c r="Y27"/>
  <c r="AD27"/>
  <c r="Y28"/>
  <c r="AD28"/>
  <c r="BN28"/>
  <c r="BO28"/>
  <c r="AR29"/>
  <c r="AW29"/>
  <c r="BP29"/>
  <c r="BK29"/>
  <c r="Y30"/>
  <c r="AB30"/>
  <c r="AC30"/>
  <c r="BK30"/>
  <c r="BN30"/>
  <c r="BO30"/>
  <c r="K31"/>
  <c r="AD31"/>
  <c r="AR31"/>
  <c r="AU31"/>
  <c r="AV31" s="1"/>
  <c r="BK31"/>
  <c r="AR32"/>
  <c r="K33"/>
  <c r="AR33"/>
  <c r="AU33"/>
  <c r="AV33"/>
  <c r="BK33"/>
  <c r="AL51"/>
  <c r="AR51"/>
  <c r="BL51"/>
  <c r="K52"/>
  <c r="M52"/>
  <c r="L52"/>
  <c r="AD54"/>
  <c r="AW54"/>
  <c r="BP54"/>
  <c r="AB56"/>
  <c r="AC56"/>
  <c r="BN56"/>
  <c r="BO56"/>
  <c r="Y57"/>
  <c r="AA57"/>
  <c r="AR57"/>
  <c r="AT57"/>
  <c r="L60"/>
  <c r="L37" i="103"/>
  <c r="T37"/>
  <c r="L38"/>
  <c r="T38"/>
  <c r="AB39"/>
  <c r="L40"/>
  <c r="T40"/>
  <c r="L41"/>
  <c r="L44"/>
  <c r="T44"/>
  <c r="L45"/>
  <c r="T45"/>
  <c r="L46"/>
  <c r="T46"/>
  <c r="L49"/>
  <c r="T49"/>
  <c r="L59"/>
  <c r="T59"/>
  <c r="AB65"/>
  <c r="L213"/>
  <c r="T213"/>
  <c r="L69"/>
  <c r="T69"/>
  <c r="L71"/>
  <c r="T71"/>
  <c r="L75"/>
  <c r="T75"/>
  <c r="AB75"/>
  <c r="L76"/>
  <c r="T76"/>
  <c r="L77"/>
  <c r="T77"/>
  <c r="L78"/>
  <c r="T78"/>
  <c r="L84"/>
  <c r="T84"/>
  <c r="L86"/>
  <c r="T86"/>
  <c r="L88"/>
  <c r="T88"/>
  <c r="L91"/>
  <c r="T91"/>
  <c r="L95"/>
  <c r="T95"/>
  <c r="AB101"/>
  <c r="L102"/>
  <c r="T102"/>
  <c r="Z9" i="104"/>
  <c r="BN18"/>
  <c r="BO18"/>
  <c r="AU19"/>
  <c r="AV19" s="1"/>
  <c r="N20"/>
  <c r="O20"/>
  <c r="AD22"/>
  <c r="AW22"/>
  <c r="BP22"/>
  <c r="AL40"/>
  <c r="AR40"/>
  <c r="BL40"/>
  <c r="K41"/>
  <c r="AD41"/>
  <c r="M41"/>
  <c r="AF41"/>
  <c r="L41"/>
  <c r="AF45"/>
  <c r="AY45"/>
  <c r="Y59"/>
  <c r="AR59"/>
  <c r="BK59"/>
  <c r="Y63"/>
  <c r="AU63"/>
  <c r="AV63"/>
  <c r="L67"/>
  <c r="AS67"/>
  <c r="AU67"/>
  <c r="L68"/>
  <c r="AS68"/>
  <c r="AU68"/>
  <c r="AE8"/>
  <c r="N8"/>
  <c r="O8"/>
  <c r="AE10"/>
  <c r="N10"/>
  <c r="O10"/>
  <c r="P57"/>
  <c r="Y57"/>
  <c r="Y9"/>
  <c r="AB9"/>
  <c r="AC9"/>
  <c r="R57"/>
  <c r="AA57"/>
  <c r="AA9"/>
  <c r="AA23"/>
  <c r="BB57"/>
  <c r="BK57"/>
  <c r="BK9"/>
  <c r="BD57"/>
  <c r="BM57"/>
  <c r="BM9"/>
  <c r="BM23"/>
  <c r="AX18"/>
  <c r="AG18"/>
  <c r="AH18"/>
  <c r="AE30"/>
  <c r="N30"/>
  <c r="O30"/>
  <c r="AE31"/>
  <c r="N31"/>
  <c r="O31"/>
  <c r="N32"/>
  <c r="O32"/>
  <c r="N33"/>
  <c r="O33"/>
  <c r="N37"/>
  <c r="O37"/>
  <c r="AE38"/>
  <c r="N38"/>
  <c r="O38"/>
  <c r="AE39"/>
  <c r="AE42"/>
  <c r="N42"/>
  <c r="O42"/>
  <c r="AU8"/>
  <c r="AV8" s="1"/>
  <c r="L9"/>
  <c r="AT9"/>
  <c r="AD10"/>
  <c r="AW10"/>
  <c r="BP10"/>
  <c r="AB10"/>
  <c r="AC10"/>
  <c r="BN10"/>
  <c r="BO10"/>
  <c r="AF12"/>
  <c r="AY12"/>
  <c r="BR12"/>
  <c r="AU12"/>
  <c r="AV12" s="1"/>
  <c r="N17"/>
  <c r="O17"/>
  <c r="AR17"/>
  <c r="AS17"/>
  <c r="AX17" s="1"/>
  <c r="BN17"/>
  <c r="BO17"/>
  <c r="N18"/>
  <c r="O18"/>
  <c r="AB18"/>
  <c r="AC18"/>
  <c r="AU18"/>
  <c r="AV18" s="1"/>
  <c r="AD19"/>
  <c r="AW19"/>
  <c r="BP19"/>
  <c r="N19"/>
  <c r="O19"/>
  <c r="BN19"/>
  <c r="BO19"/>
  <c r="AD20"/>
  <c r="AW20"/>
  <c r="BP20"/>
  <c r="AB20"/>
  <c r="AC20"/>
  <c r="AU20"/>
  <c r="AV20" s="1"/>
  <c r="Y23"/>
  <c r="AS21"/>
  <c r="AB22"/>
  <c r="AC22"/>
  <c r="AG22"/>
  <c r="AH22"/>
  <c r="AU22"/>
  <c r="AV22"/>
  <c r="AU30"/>
  <c r="AV30"/>
  <c r="Y35"/>
  <c r="BK35"/>
  <c r="BK40"/>
  <c r="BN40"/>
  <c r="BO40"/>
  <c r="BN41"/>
  <c r="BO41"/>
  <c r="B57"/>
  <c r="K57"/>
  <c r="AD57"/>
  <c r="K9"/>
  <c r="D57"/>
  <c r="M57"/>
  <c r="AF57"/>
  <c r="M9"/>
  <c r="AJ57"/>
  <c r="AE11"/>
  <c r="N11"/>
  <c r="O11"/>
  <c r="AD21"/>
  <c r="AF21"/>
  <c r="K35"/>
  <c r="AD34"/>
  <c r="AB34"/>
  <c r="AC34"/>
  <c r="BL35"/>
  <c r="BN35"/>
  <c r="BO35"/>
  <c r="BN34"/>
  <c r="BO34"/>
  <c r="N41"/>
  <c r="O41"/>
  <c r="AE41"/>
  <c r="BN8"/>
  <c r="BO8"/>
  <c r="AR9"/>
  <c r="AR23"/>
  <c r="AU10"/>
  <c r="AV10" s="1"/>
  <c r="AD12"/>
  <c r="AW12"/>
  <c r="BP12"/>
  <c r="N12"/>
  <c r="O12"/>
  <c r="AB12"/>
  <c r="AC12"/>
  <c r="BN12"/>
  <c r="BO12"/>
  <c r="AB19"/>
  <c r="AC19"/>
  <c r="AG19"/>
  <c r="AH19"/>
  <c r="BN20"/>
  <c r="BO20"/>
  <c r="BK23"/>
  <c r="N22"/>
  <c r="O22"/>
  <c r="BN22"/>
  <c r="BO22"/>
  <c r="AR35"/>
  <c r="L57"/>
  <c r="Z57"/>
  <c r="AB57"/>
  <c r="AC57"/>
  <c r="AR57"/>
  <c r="AT57"/>
  <c r="BL57"/>
  <c r="BN57"/>
  <c r="BO57"/>
  <c r="AX19"/>
  <c r="AE20"/>
  <c r="AX22"/>
  <c r="C23"/>
  <c r="G23"/>
  <c r="I23"/>
  <c r="Q23"/>
  <c r="U23"/>
  <c r="W23"/>
  <c r="AK23"/>
  <c r="AQ23"/>
  <c r="BC23"/>
  <c r="BG23"/>
  <c r="BI23"/>
  <c r="B55"/>
  <c r="E55"/>
  <c r="H55"/>
  <c r="K28"/>
  <c r="Z28"/>
  <c r="BC55"/>
  <c r="BC59"/>
  <c r="BF55"/>
  <c r="BI55"/>
  <c r="BL28"/>
  <c r="AF34"/>
  <c r="D55"/>
  <c r="D59"/>
  <c r="J55"/>
  <c r="J59"/>
  <c r="R55"/>
  <c r="R59"/>
  <c r="X55"/>
  <c r="X59"/>
  <c r="AN55"/>
  <c r="AN59"/>
  <c r="AR36"/>
  <c r="AT36"/>
  <c r="BD55"/>
  <c r="BJ55"/>
  <c r="E40"/>
  <c r="K40"/>
  <c r="AD42"/>
  <c r="AW42"/>
  <c r="BP42"/>
  <c r="AB42"/>
  <c r="AC42"/>
  <c r="BN42"/>
  <c r="BO42"/>
  <c r="AF44"/>
  <c r="AY44"/>
  <c r="BR44"/>
  <c r="BN45"/>
  <c r="BO45"/>
  <c r="AD46"/>
  <c r="AW46"/>
  <c r="BP46"/>
  <c r="AB46"/>
  <c r="AC46"/>
  <c r="BN46"/>
  <c r="BO46"/>
  <c r="AD47"/>
  <c r="AW47"/>
  <c r="BP47"/>
  <c r="AB47"/>
  <c r="AC47"/>
  <c r="BN47"/>
  <c r="BO47"/>
  <c r="AE48"/>
  <c r="AD51"/>
  <c r="AW51"/>
  <c r="BP51"/>
  <c r="AB51"/>
  <c r="AC51"/>
  <c r="BN51"/>
  <c r="BO51"/>
  <c r="AD52"/>
  <c r="AW52"/>
  <c r="BP52"/>
  <c r="AB52"/>
  <c r="AC52"/>
  <c r="BN52"/>
  <c r="BO52"/>
  <c r="AD53"/>
  <c r="AW53"/>
  <c r="BP53"/>
  <c r="AB53"/>
  <c r="AC53"/>
  <c r="BN53"/>
  <c r="BO53"/>
  <c r="AD54"/>
  <c r="AW54"/>
  <c r="BP54"/>
  <c r="AB54"/>
  <c r="AC54"/>
  <c r="BN54"/>
  <c r="BO54"/>
  <c r="AD59"/>
  <c r="AW59"/>
  <c r="BP59"/>
  <c r="P69"/>
  <c r="P60"/>
  <c r="Y55"/>
  <c r="Y58"/>
  <c r="P58"/>
  <c r="S69"/>
  <c r="S58"/>
  <c r="S60"/>
  <c r="V69"/>
  <c r="V60"/>
  <c r="V58"/>
  <c r="AI69"/>
  <c r="AI58"/>
  <c r="AI60"/>
  <c r="AR55"/>
  <c r="AR58"/>
  <c r="AL69"/>
  <c r="AL60"/>
  <c r="AL58"/>
  <c r="AO69"/>
  <c r="AO60"/>
  <c r="AO58"/>
  <c r="BB69"/>
  <c r="BB60"/>
  <c r="BK55"/>
  <c r="BK58"/>
  <c r="BB58"/>
  <c r="BE69"/>
  <c r="BE60"/>
  <c r="BE58"/>
  <c r="BH69"/>
  <c r="BH60"/>
  <c r="BH58"/>
  <c r="G69"/>
  <c r="G58"/>
  <c r="U69"/>
  <c r="U60"/>
  <c r="U64"/>
  <c r="U58"/>
  <c r="AK69"/>
  <c r="AK58"/>
  <c r="AT55"/>
  <c r="AT58" s="1"/>
  <c r="AQ69"/>
  <c r="AQ58"/>
  <c r="BG69"/>
  <c r="BG58"/>
  <c r="AE43"/>
  <c r="N43"/>
  <c r="O43"/>
  <c r="AE46"/>
  <c r="N46"/>
  <c r="O46"/>
  <c r="AE47"/>
  <c r="N47"/>
  <c r="O47"/>
  <c r="AE51"/>
  <c r="N51"/>
  <c r="O51"/>
  <c r="AE52"/>
  <c r="N52"/>
  <c r="O52"/>
  <c r="AE53"/>
  <c r="N53"/>
  <c r="O53"/>
  <c r="AE54"/>
  <c r="N54"/>
  <c r="O54"/>
  <c r="L21"/>
  <c r="Z21"/>
  <c r="AT21"/>
  <c r="AT23"/>
  <c r="BD59"/>
  <c r="BF59"/>
  <c r="BJ59"/>
  <c r="BL21"/>
  <c r="D23"/>
  <c r="F23"/>
  <c r="J23"/>
  <c r="R23"/>
  <c r="T23"/>
  <c r="X23"/>
  <c r="AJ23"/>
  <c r="AN23"/>
  <c r="BD23"/>
  <c r="BF23"/>
  <c r="BJ23"/>
  <c r="L28"/>
  <c r="Y28"/>
  <c r="AR28"/>
  <c r="BK28"/>
  <c r="M36"/>
  <c r="Y36"/>
  <c r="AA36"/>
  <c r="BK36"/>
  <c r="BN36"/>
  <c r="BO36"/>
  <c r="BM36"/>
  <c r="Y38"/>
  <c r="AB38"/>
  <c r="AC38"/>
  <c r="BK38"/>
  <c r="BN38"/>
  <c r="BO38"/>
  <c r="AD44"/>
  <c r="AW44"/>
  <c r="BP44"/>
  <c r="N44"/>
  <c r="O44"/>
  <c r="AB44"/>
  <c r="AC44"/>
  <c r="BN44"/>
  <c r="BO44"/>
  <c r="AD45"/>
  <c r="AW45"/>
  <c r="BP45"/>
  <c r="X61"/>
  <c r="Z61"/>
  <c r="AB61"/>
  <c r="AC61"/>
  <c r="N66"/>
  <c r="O66"/>
  <c r="AE66"/>
  <c r="AD63"/>
  <c r="AW63"/>
  <c r="BP63"/>
  <c r="N63"/>
  <c r="O63"/>
  <c r="BN63"/>
  <c r="BO63"/>
  <c r="AD66"/>
  <c r="AW66"/>
  <c r="BP66"/>
  <c r="AF66"/>
  <c r="AY66"/>
  <c r="BR66"/>
  <c r="AB66"/>
  <c r="AC66"/>
  <c r="BN66"/>
  <c r="BO66"/>
  <c r="AE67"/>
  <c r="N67"/>
  <c r="O67"/>
  <c r="N68"/>
  <c r="O68"/>
  <c r="AE68"/>
  <c r="AB63"/>
  <c r="AC63"/>
  <c r="AG63"/>
  <c r="AH63"/>
  <c r="AX63"/>
  <c r="U38" i="103"/>
  <c r="V38"/>
  <c r="N38"/>
  <c r="U40"/>
  <c r="V40" s="1"/>
  <c r="N40"/>
  <c r="U44"/>
  <c r="V44" s="1"/>
  <c r="N44"/>
  <c r="U45"/>
  <c r="V45" s="1"/>
  <c r="N45"/>
  <c r="U49"/>
  <c r="V49" s="1"/>
  <c r="T72"/>
  <c r="T73"/>
  <c r="L73"/>
  <c r="AB7"/>
  <c r="AB35"/>
  <c r="AC38"/>
  <c r="AB61"/>
  <c r="AB63"/>
  <c r="AB72"/>
  <c r="U7"/>
  <c r="V7" s="1"/>
  <c r="N7"/>
  <c r="S137"/>
  <c r="S172" s="1"/>
  <c r="S121"/>
  <c r="AA137"/>
  <c r="AA121"/>
  <c r="U35"/>
  <c r="V35" s="1"/>
  <c r="N35"/>
  <c r="U39"/>
  <c r="V39" s="1"/>
  <c r="N39"/>
  <c r="T41"/>
  <c r="T42"/>
  <c r="L42"/>
  <c r="N65"/>
  <c r="AB37"/>
  <c r="AB38"/>
  <c r="AB40"/>
  <c r="AB44"/>
  <c r="AB45"/>
  <c r="AB46"/>
  <c r="AB49"/>
  <c r="AB59"/>
  <c r="C137"/>
  <c r="C172"/>
  <c r="C121"/>
  <c r="E137"/>
  <c r="E172"/>
  <c r="E121"/>
  <c r="G172"/>
  <c r="L137"/>
  <c r="I137"/>
  <c r="I172"/>
  <c r="I121"/>
  <c r="Q137"/>
  <c r="Q172" s="1"/>
  <c r="Q121"/>
  <c r="W172"/>
  <c r="Y137"/>
  <c r="Y172"/>
  <c r="Y121"/>
  <c r="F186"/>
  <c r="F153"/>
  <c r="K186"/>
  <c r="M186"/>
  <c r="K153"/>
  <c r="O186"/>
  <c r="O153"/>
  <c r="AA186"/>
  <c r="AA153"/>
  <c r="B187"/>
  <c r="B154"/>
  <c r="G187"/>
  <c r="L187"/>
  <c r="G154"/>
  <c r="S187"/>
  <c r="S154"/>
  <c r="W187"/>
  <c r="W154"/>
  <c r="L210"/>
  <c r="T210"/>
  <c r="AB210"/>
  <c r="U76"/>
  <c r="V76"/>
  <c r="N76"/>
  <c r="U77"/>
  <c r="V77"/>
  <c r="N77"/>
  <c r="U78"/>
  <c r="V78" s="1"/>
  <c r="N78"/>
  <c r="U91"/>
  <c r="V91" s="1"/>
  <c r="N91"/>
  <c r="L94"/>
  <c r="T93"/>
  <c r="T94"/>
  <c r="L138"/>
  <c r="T138"/>
  <c r="L9"/>
  <c r="T9"/>
  <c r="L139"/>
  <c r="T139"/>
  <c r="L10"/>
  <c r="T10"/>
  <c r="AB139"/>
  <c r="AB10"/>
  <c r="M140"/>
  <c r="M11"/>
  <c r="S11"/>
  <c r="S140" s="1"/>
  <c r="U140" s="1"/>
  <c r="E15"/>
  <c r="E120"/>
  <c r="I15"/>
  <c r="I120"/>
  <c r="Y15"/>
  <c r="Y120"/>
  <c r="B171"/>
  <c r="B173"/>
  <c r="G171"/>
  <c r="G173"/>
  <c r="L16"/>
  <c r="W171"/>
  <c r="W173"/>
  <c r="M17"/>
  <c r="L18"/>
  <c r="F19"/>
  <c r="F148"/>
  <c r="S19"/>
  <c r="S148" s="1"/>
  <c r="M20"/>
  <c r="B151"/>
  <c r="G151"/>
  <c r="L21"/>
  <c r="S151"/>
  <c r="W151"/>
  <c r="K22"/>
  <c r="S22"/>
  <c r="AA22"/>
  <c r="D23"/>
  <c r="H23"/>
  <c r="L23"/>
  <c r="P23"/>
  <c r="R23"/>
  <c r="X23"/>
  <c r="Z23"/>
  <c r="M24"/>
  <c r="L25"/>
  <c r="M188"/>
  <c r="M26"/>
  <c r="L189"/>
  <c r="T189"/>
  <c r="L27"/>
  <c r="T27"/>
  <c r="AB27"/>
  <c r="AB189"/>
  <c r="M204"/>
  <c r="M28"/>
  <c r="F29"/>
  <c r="L29"/>
  <c r="T29"/>
  <c r="AB29"/>
  <c r="M30"/>
  <c r="L209"/>
  <c r="T209"/>
  <c r="L31"/>
  <c r="T31"/>
  <c r="AB209"/>
  <c r="AB31"/>
  <c r="C210"/>
  <c r="C216"/>
  <c r="E216"/>
  <c r="I216"/>
  <c r="K32"/>
  <c r="Y216"/>
  <c r="AA32"/>
  <c r="L211"/>
  <c r="T211"/>
  <c r="AB211"/>
  <c r="L33"/>
  <c r="T33"/>
  <c r="AB33"/>
  <c r="L36"/>
  <c r="M190"/>
  <c r="M47"/>
  <c r="L191"/>
  <c r="T191"/>
  <c r="L48"/>
  <c r="T48"/>
  <c r="AB191"/>
  <c r="AB48"/>
  <c r="L192"/>
  <c r="T192"/>
  <c r="L50"/>
  <c r="T50"/>
  <c r="AB192"/>
  <c r="AB50"/>
  <c r="M193"/>
  <c r="M51"/>
  <c r="L194"/>
  <c r="T194"/>
  <c r="L52"/>
  <c r="T52"/>
  <c r="AB194"/>
  <c r="AB52"/>
  <c r="M195"/>
  <c r="M53"/>
  <c r="L196"/>
  <c r="T196"/>
  <c r="L54"/>
  <c r="T54"/>
  <c r="AB196"/>
  <c r="AB54"/>
  <c r="M197"/>
  <c r="M55"/>
  <c r="S55"/>
  <c r="S197" s="1"/>
  <c r="U197" s="1"/>
  <c r="M198"/>
  <c r="M56"/>
  <c r="L199"/>
  <c r="T199"/>
  <c r="L57"/>
  <c r="T57"/>
  <c r="AB199"/>
  <c r="AB57"/>
  <c r="M200"/>
  <c r="M58"/>
  <c r="R59"/>
  <c r="R43" s="1"/>
  <c r="R34" s="1"/>
  <c r="M206"/>
  <c r="M60"/>
  <c r="F61"/>
  <c r="F59"/>
  <c r="M59"/>
  <c r="S61"/>
  <c r="S59" s="1"/>
  <c r="M208"/>
  <c r="M62"/>
  <c r="K64"/>
  <c r="Q64"/>
  <c r="Q43" s="1"/>
  <c r="Q34" s="1"/>
  <c r="AA64"/>
  <c r="S65"/>
  <c r="M212"/>
  <c r="L67"/>
  <c r="T67"/>
  <c r="Q69"/>
  <c r="L70"/>
  <c r="T70"/>
  <c r="AB70"/>
  <c r="AB71"/>
  <c r="K73"/>
  <c r="AB74"/>
  <c r="AC76"/>
  <c r="AC77"/>
  <c r="AB80"/>
  <c r="AB83"/>
  <c r="AB85"/>
  <c r="AB87"/>
  <c r="AB89"/>
  <c r="AB90"/>
  <c r="AB91"/>
  <c r="AB92"/>
  <c r="AB93"/>
  <c r="AB96"/>
  <c r="AB97"/>
  <c r="AB98"/>
  <c r="AB99"/>
  <c r="AB103"/>
  <c r="AB104"/>
  <c r="D137"/>
  <c r="D172"/>
  <c r="D121"/>
  <c r="H137"/>
  <c r="H172"/>
  <c r="H121"/>
  <c r="J137"/>
  <c r="J172"/>
  <c r="J121"/>
  <c r="P137"/>
  <c r="P172"/>
  <c r="P121"/>
  <c r="R137"/>
  <c r="R172" s="1"/>
  <c r="R121"/>
  <c r="X137"/>
  <c r="X172"/>
  <c r="X121"/>
  <c r="Z137"/>
  <c r="Z172"/>
  <c r="Z121"/>
  <c r="B186"/>
  <c r="B153"/>
  <c r="G186"/>
  <c r="L186"/>
  <c r="T186"/>
  <c r="G153"/>
  <c r="S186"/>
  <c r="S153"/>
  <c r="W186"/>
  <c r="AB186"/>
  <c r="W153"/>
  <c r="F187"/>
  <c r="F154"/>
  <c r="K187"/>
  <c r="M187"/>
  <c r="K154"/>
  <c r="O187"/>
  <c r="O216"/>
  <c r="O154"/>
  <c r="AA187"/>
  <c r="AA154"/>
  <c r="C213"/>
  <c r="F67"/>
  <c r="Q213"/>
  <c r="S67"/>
  <c r="S213"/>
  <c r="U71"/>
  <c r="V71" s="1"/>
  <c r="N71"/>
  <c r="N74"/>
  <c r="U80"/>
  <c r="V80" s="1"/>
  <c r="N80"/>
  <c r="U83"/>
  <c r="V83" s="1"/>
  <c r="N83"/>
  <c r="U84"/>
  <c r="V84" s="1"/>
  <c r="N84"/>
  <c r="U85"/>
  <c r="V85" s="1"/>
  <c r="N85"/>
  <c r="U86"/>
  <c r="V86"/>
  <c r="N86"/>
  <c r="U87"/>
  <c r="V87"/>
  <c r="N87"/>
  <c r="U89"/>
  <c r="V89" s="1"/>
  <c r="N89"/>
  <c r="U90"/>
  <c r="V90"/>
  <c r="N90"/>
  <c r="U92"/>
  <c r="V92" s="1"/>
  <c r="N92"/>
  <c r="U96"/>
  <c r="V96" s="1"/>
  <c r="N96"/>
  <c r="N97"/>
  <c r="U98"/>
  <c r="V98" s="1"/>
  <c r="N98"/>
  <c r="U101"/>
  <c r="V101" s="1"/>
  <c r="N101"/>
  <c r="N102"/>
  <c r="U103"/>
  <c r="V103" s="1"/>
  <c r="N103"/>
  <c r="U104"/>
  <c r="V104"/>
  <c r="N104"/>
  <c r="G177"/>
  <c r="L126"/>
  <c r="W177"/>
  <c r="F8"/>
  <c r="L8"/>
  <c r="T8"/>
  <c r="AB8"/>
  <c r="M138"/>
  <c r="M9"/>
  <c r="AB138"/>
  <c r="AB9"/>
  <c r="M139"/>
  <c r="M10"/>
  <c r="L140"/>
  <c r="T140"/>
  <c r="AB140"/>
  <c r="L11"/>
  <c r="T11"/>
  <c r="AB11"/>
  <c r="M16"/>
  <c r="L17"/>
  <c r="S37"/>
  <c r="S145" s="1"/>
  <c r="M18"/>
  <c r="L19"/>
  <c r="L20"/>
  <c r="M21"/>
  <c r="F22"/>
  <c r="C152"/>
  <c r="L24"/>
  <c r="M25"/>
  <c r="L188"/>
  <c r="T188"/>
  <c r="L26"/>
  <c r="T26"/>
  <c r="AB188"/>
  <c r="AB26"/>
  <c r="M27"/>
  <c r="L204"/>
  <c r="T204"/>
  <c r="L28"/>
  <c r="T28"/>
  <c r="AB204"/>
  <c r="AB28"/>
  <c r="M29"/>
  <c r="AB205"/>
  <c r="L207"/>
  <c r="T207"/>
  <c r="AB207"/>
  <c r="L30"/>
  <c r="T30"/>
  <c r="AB30"/>
  <c r="M209"/>
  <c r="M31"/>
  <c r="L32"/>
  <c r="T32"/>
  <c r="AB32"/>
  <c r="M211"/>
  <c r="M33"/>
  <c r="M36"/>
  <c r="F37"/>
  <c r="M37"/>
  <c r="M41"/>
  <c r="L190"/>
  <c r="T190"/>
  <c r="L47"/>
  <c r="T47"/>
  <c r="AB190"/>
  <c r="AB47"/>
  <c r="M191"/>
  <c r="M48"/>
  <c r="M192"/>
  <c r="M50"/>
  <c r="L193"/>
  <c r="T193"/>
  <c r="L51"/>
  <c r="T51"/>
  <c r="AB193"/>
  <c r="AB51"/>
  <c r="M194"/>
  <c r="M52"/>
  <c r="L195"/>
  <c r="T195"/>
  <c r="L53"/>
  <c r="T53"/>
  <c r="AB195"/>
  <c r="AB53"/>
  <c r="M196"/>
  <c r="M54"/>
  <c r="L197"/>
  <c r="T197"/>
  <c r="AB197"/>
  <c r="L55"/>
  <c r="T55"/>
  <c r="AB55"/>
  <c r="L198"/>
  <c r="T198"/>
  <c r="L56"/>
  <c r="T56"/>
  <c r="AB198"/>
  <c r="AB56"/>
  <c r="M199"/>
  <c r="M57"/>
  <c r="L200"/>
  <c r="T200"/>
  <c r="L58"/>
  <c r="T58"/>
  <c r="AB200"/>
  <c r="AB58"/>
  <c r="L206"/>
  <c r="T206"/>
  <c r="L60"/>
  <c r="T60"/>
  <c r="AB206"/>
  <c r="AB60"/>
  <c r="L208"/>
  <c r="T208"/>
  <c r="L62"/>
  <c r="T62"/>
  <c r="AB208"/>
  <c r="AB62"/>
  <c r="U66"/>
  <c r="AC66" s="1"/>
  <c r="AD66" s="1"/>
  <c r="L214"/>
  <c r="T214"/>
  <c r="AB214"/>
  <c r="L68"/>
  <c r="T68"/>
  <c r="AB68"/>
  <c r="AB69"/>
  <c r="AA73"/>
  <c r="AB76"/>
  <c r="AB77"/>
  <c r="AB78"/>
  <c r="AC83"/>
  <c r="AD83"/>
  <c r="AB84"/>
  <c r="AB86"/>
  <c r="AC86"/>
  <c r="AB88"/>
  <c r="AC90"/>
  <c r="AD90"/>
  <c r="AC91"/>
  <c r="AD91"/>
  <c r="AC92"/>
  <c r="AD92" s="1"/>
  <c r="AB95"/>
  <c r="AC96"/>
  <c r="AD96" s="1"/>
  <c r="AB102"/>
  <c r="AC104"/>
  <c r="AD104"/>
  <c r="F201"/>
  <c r="F155"/>
  <c r="L212"/>
  <c r="T212"/>
  <c r="AB212"/>
  <c r="L66"/>
  <c r="T66"/>
  <c r="AB66"/>
  <c r="M67"/>
  <c r="AB213"/>
  <c r="AB67"/>
  <c r="M214"/>
  <c r="M68"/>
  <c r="M72"/>
  <c r="K75"/>
  <c r="AA75"/>
  <c r="M201"/>
  <c r="M79"/>
  <c r="M202"/>
  <c r="M81"/>
  <c r="L203"/>
  <c r="T203"/>
  <c r="L82"/>
  <c r="T82"/>
  <c r="AB203"/>
  <c r="AB82"/>
  <c r="M93"/>
  <c r="D95"/>
  <c r="D88"/>
  <c r="F99"/>
  <c r="F189"/>
  <c r="M189"/>
  <c r="S99"/>
  <c r="K100"/>
  <c r="M215"/>
  <c r="M105"/>
  <c r="F106"/>
  <c r="F157"/>
  <c r="L106"/>
  <c r="M107"/>
  <c r="L108"/>
  <c r="M109"/>
  <c r="F110"/>
  <c r="F161"/>
  <c r="L110"/>
  <c r="M111"/>
  <c r="L112"/>
  <c r="M114"/>
  <c r="L116"/>
  <c r="K117"/>
  <c r="AA117"/>
  <c r="L118"/>
  <c r="M119"/>
  <c r="L120"/>
  <c r="K123"/>
  <c r="M123"/>
  <c r="S123"/>
  <c r="AA123"/>
  <c r="F174"/>
  <c r="L174"/>
  <c r="T124"/>
  <c r="M125"/>
  <c r="Q155"/>
  <c r="AM39" i="104" s="1"/>
  <c r="W155" i="103"/>
  <c r="W156"/>
  <c r="AA155"/>
  <c r="B201"/>
  <c r="B155"/>
  <c r="P201"/>
  <c r="P216"/>
  <c r="P155"/>
  <c r="AJ39" i="104"/>
  <c r="L201" i="103"/>
  <c r="T201"/>
  <c r="AB201"/>
  <c r="L79"/>
  <c r="S79"/>
  <c r="L202"/>
  <c r="T202"/>
  <c r="L81"/>
  <c r="T81"/>
  <c r="AB202"/>
  <c r="AB81"/>
  <c r="M203"/>
  <c r="M82"/>
  <c r="L215"/>
  <c r="T215"/>
  <c r="L105"/>
  <c r="T105"/>
  <c r="AB215"/>
  <c r="AB105"/>
  <c r="M106"/>
  <c r="L107"/>
  <c r="M108"/>
  <c r="L109"/>
  <c r="L111"/>
  <c r="M112"/>
  <c r="M113"/>
  <c r="M115"/>
  <c r="M116"/>
  <c r="L117"/>
  <c r="M118"/>
  <c r="L119"/>
  <c r="M124"/>
  <c r="T125"/>
  <c r="G155"/>
  <c r="G156"/>
  <c r="K155"/>
  <c r="O155"/>
  <c r="O156"/>
  <c r="AB8" i="102"/>
  <c r="AC8"/>
  <c r="BN8"/>
  <c r="BO8"/>
  <c r="AD15"/>
  <c r="AY15"/>
  <c r="Z14"/>
  <c r="AB14"/>
  <c r="AC14"/>
  <c r="AB15"/>
  <c r="AC15"/>
  <c r="BL14"/>
  <c r="BN15"/>
  <c r="BO15"/>
  <c r="AD19"/>
  <c r="K18"/>
  <c r="K14"/>
  <c r="K34"/>
  <c r="BQ28"/>
  <c r="AR10"/>
  <c r="AR14"/>
  <c r="AR70"/>
  <c r="AD16"/>
  <c r="AW16"/>
  <c r="BP16"/>
  <c r="AB16"/>
  <c r="AC16"/>
  <c r="BN16"/>
  <c r="BO16"/>
  <c r="AD17"/>
  <c r="AW17"/>
  <c r="BP17"/>
  <c r="AB17"/>
  <c r="AC17"/>
  <c r="BN17"/>
  <c r="BO17"/>
  <c r="AE8"/>
  <c r="N9"/>
  <c r="O9"/>
  <c r="AE15"/>
  <c r="N15"/>
  <c r="O15"/>
  <c r="AE16"/>
  <c r="N16"/>
  <c r="O16"/>
  <c r="AE17"/>
  <c r="N17"/>
  <c r="O17"/>
  <c r="AE19"/>
  <c r="N19"/>
  <c r="O19"/>
  <c r="L18"/>
  <c r="L14"/>
  <c r="BR19"/>
  <c r="C32"/>
  <c r="L29"/>
  <c r="G72"/>
  <c r="G34"/>
  <c r="Q32"/>
  <c r="Z29"/>
  <c r="AB29"/>
  <c r="AC29"/>
  <c r="U72"/>
  <c r="U34"/>
  <c r="BC32"/>
  <c r="BL29"/>
  <c r="BN29"/>
  <c r="BO29"/>
  <c r="BG72"/>
  <c r="BG34"/>
  <c r="BI34"/>
  <c r="AD32"/>
  <c r="BR39"/>
  <c r="K46"/>
  <c r="AD45"/>
  <c r="AB45"/>
  <c r="AC45"/>
  <c r="BL46"/>
  <c r="BN45"/>
  <c r="BO45"/>
  <c r="N52"/>
  <c r="O52"/>
  <c r="AE52"/>
  <c r="Z9"/>
  <c r="AF9"/>
  <c r="BL9"/>
  <c r="AA10"/>
  <c r="BM10"/>
  <c r="M14"/>
  <c r="M12"/>
  <c r="M13"/>
  <c r="AF20"/>
  <c r="N25"/>
  <c r="O25"/>
  <c r="AR25"/>
  <c r="AS25"/>
  <c r="AX25" s="1"/>
  <c r="BN25"/>
  <c r="BO25"/>
  <c r="AG26"/>
  <c r="AH26"/>
  <c r="N26"/>
  <c r="O26"/>
  <c r="AY26"/>
  <c r="BR26"/>
  <c r="AU26"/>
  <c r="AV26" s="1"/>
  <c r="N27"/>
  <c r="O27"/>
  <c r="AX27"/>
  <c r="AM32"/>
  <c r="N30"/>
  <c r="O30"/>
  <c r="AY30"/>
  <c r="BR30"/>
  <c r="AU30"/>
  <c r="AV30" s="1"/>
  <c r="N31"/>
  <c r="O31"/>
  <c r="AX31"/>
  <c r="Y34"/>
  <c r="BM32"/>
  <c r="BM34"/>
  <c r="AD33"/>
  <c r="AW33"/>
  <c r="BP33"/>
  <c r="N33"/>
  <c r="O33"/>
  <c r="BN33"/>
  <c r="BO33"/>
  <c r="AD40"/>
  <c r="AW40"/>
  <c r="BP40"/>
  <c r="AB40"/>
  <c r="AC40"/>
  <c r="BN40"/>
  <c r="BO40"/>
  <c r="AD41"/>
  <c r="AW41"/>
  <c r="BP41"/>
  <c r="AB41"/>
  <c r="AC41"/>
  <c r="BN41"/>
  <c r="BO41"/>
  <c r="AD42"/>
  <c r="AW42"/>
  <c r="BP42"/>
  <c r="AB42"/>
  <c r="AC42"/>
  <c r="BN42"/>
  <c r="BO42"/>
  <c r="AD43"/>
  <c r="AW43"/>
  <c r="BP43"/>
  <c r="BN43"/>
  <c r="BO43"/>
  <c r="AD44"/>
  <c r="AW44"/>
  <c r="BP44"/>
  <c r="BN44"/>
  <c r="BO44"/>
  <c r="AR46"/>
  <c r="AD48"/>
  <c r="AW48"/>
  <c r="BP48"/>
  <c r="AB48"/>
  <c r="AC48"/>
  <c r="BN48"/>
  <c r="BO48"/>
  <c r="AD50"/>
  <c r="AW50"/>
  <c r="BP50"/>
  <c r="AB50"/>
  <c r="AC50"/>
  <c r="BN50"/>
  <c r="BO50"/>
  <c r="AD52"/>
  <c r="AW52"/>
  <c r="BP52"/>
  <c r="AF52"/>
  <c r="AY52"/>
  <c r="BR52"/>
  <c r="AD53"/>
  <c r="AW53"/>
  <c r="BP53"/>
  <c r="AK32"/>
  <c r="AT29"/>
  <c r="AY29"/>
  <c r="BR29"/>
  <c r="AQ72"/>
  <c r="AQ34"/>
  <c r="AF32"/>
  <c r="AE40"/>
  <c r="N40"/>
  <c r="O40"/>
  <c r="AE41"/>
  <c r="N41"/>
  <c r="O41"/>
  <c r="AE42"/>
  <c r="N42"/>
  <c r="O42"/>
  <c r="N43"/>
  <c r="O43"/>
  <c r="N45"/>
  <c r="O45"/>
  <c r="AE48"/>
  <c r="N48"/>
  <c r="O48"/>
  <c r="N49"/>
  <c r="O49"/>
  <c r="N53"/>
  <c r="O53"/>
  <c r="AE53"/>
  <c r="K8"/>
  <c r="K10"/>
  <c r="AF8"/>
  <c r="Y9"/>
  <c r="Y10"/>
  <c r="BK9"/>
  <c r="BK10"/>
  <c r="AD20"/>
  <c r="AW20"/>
  <c r="BP20"/>
  <c r="N20"/>
  <c r="O20"/>
  <c r="AB20"/>
  <c r="AC20"/>
  <c r="BN20"/>
  <c r="BO20"/>
  <c r="AB27"/>
  <c r="AC27"/>
  <c r="BN27"/>
  <c r="BO27"/>
  <c r="N28"/>
  <c r="O28"/>
  <c r="AU28"/>
  <c r="AV28" s="1"/>
  <c r="AB31"/>
  <c r="AC31"/>
  <c r="BN31"/>
  <c r="BO31"/>
  <c r="AS32"/>
  <c r="BK34"/>
  <c r="AB33"/>
  <c r="AC33"/>
  <c r="Y46"/>
  <c r="BK46"/>
  <c r="AB52"/>
  <c r="AC52"/>
  <c r="BN52"/>
  <c r="BO52"/>
  <c r="AE56"/>
  <c r="N56"/>
  <c r="O56"/>
  <c r="AX33"/>
  <c r="E69"/>
  <c r="H69"/>
  <c r="K39"/>
  <c r="Z39"/>
  <c r="BC69"/>
  <c r="BF69"/>
  <c r="BF72"/>
  <c r="BI69"/>
  <c r="BL39"/>
  <c r="AF45"/>
  <c r="D69"/>
  <c r="D72"/>
  <c r="J69"/>
  <c r="R69"/>
  <c r="X69"/>
  <c r="X72"/>
  <c r="AN69"/>
  <c r="AN72"/>
  <c r="AR47"/>
  <c r="AT47"/>
  <c r="BD69"/>
  <c r="BJ69"/>
  <c r="BJ72"/>
  <c r="E51"/>
  <c r="K51"/>
  <c r="AY53"/>
  <c r="BR53"/>
  <c r="AB53"/>
  <c r="AC53"/>
  <c r="BN53"/>
  <c r="BO53"/>
  <c r="AF55"/>
  <c r="AY55"/>
  <c r="BR55"/>
  <c r="AU55"/>
  <c r="AV55"/>
  <c r="BN58"/>
  <c r="BO58"/>
  <c r="AD59"/>
  <c r="AW59"/>
  <c r="BP59"/>
  <c r="AB59"/>
  <c r="AC59"/>
  <c r="BN59"/>
  <c r="BO59"/>
  <c r="AE60"/>
  <c r="AE62"/>
  <c r="AD63"/>
  <c r="AW63"/>
  <c r="BP63"/>
  <c r="AB63"/>
  <c r="AC63"/>
  <c r="BN63"/>
  <c r="BO63"/>
  <c r="AD64"/>
  <c r="AW64"/>
  <c r="BP64"/>
  <c r="AB64"/>
  <c r="AC64"/>
  <c r="BN64"/>
  <c r="BO64"/>
  <c r="AD65"/>
  <c r="AW65"/>
  <c r="BP65"/>
  <c r="AB65"/>
  <c r="AC65"/>
  <c r="BN65"/>
  <c r="BO65"/>
  <c r="AD68"/>
  <c r="AW68"/>
  <c r="BP68"/>
  <c r="AB68"/>
  <c r="AC68"/>
  <c r="BN68"/>
  <c r="BO68"/>
  <c r="P81"/>
  <c r="Y69"/>
  <c r="P73"/>
  <c r="P74"/>
  <c r="P71"/>
  <c r="S81"/>
  <c r="S73"/>
  <c r="S71"/>
  <c r="V81"/>
  <c r="V73"/>
  <c r="V74"/>
  <c r="V71"/>
  <c r="AI81"/>
  <c r="AI73"/>
  <c r="AI71"/>
  <c r="AL81"/>
  <c r="AL73"/>
  <c r="AL74"/>
  <c r="AL71"/>
  <c r="AO81"/>
  <c r="AO73"/>
  <c r="AO71"/>
  <c r="BB81"/>
  <c r="BB73"/>
  <c r="BB74"/>
  <c r="BB71"/>
  <c r="BE81"/>
  <c r="BE73"/>
  <c r="BE71"/>
  <c r="BH81"/>
  <c r="BH73"/>
  <c r="BH74"/>
  <c r="BH71"/>
  <c r="G81"/>
  <c r="G73"/>
  <c r="G71"/>
  <c r="U81"/>
  <c r="U73"/>
  <c r="U71"/>
  <c r="AK81"/>
  <c r="AK71"/>
  <c r="AQ81"/>
  <c r="AQ73"/>
  <c r="AQ71"/>
  <c r="BG81"/>
  <c r="BG73"/>
  <c r="BG71"/>
  <c r="AE54"/>
  <c r="N54"/>
  <c r="O54"/>
  <c r="AE58"/>
  <c r="N58"/>
  <c r="O58"/>
  <c r="AE59"/>
  <c r="N59"/>
  <c r="O59"/>
  <c r="AE63"/>
  <c r="N63"/>
  <c r="O63"/>
  <c r="AE64"/>
  <c r="N64"/>
  <c r="O64"/>
  <c r="AE65"/>
  <c r="N65"/>
  <c r="O65"/>
  <c r="AE68"/>
  <c r="N68"/>
  <c r="O68"/>
  <c r="J72"/>
  <c r="R72"/>
  <c r="BD72"/>
  <c r="D34"/>
  <c r="F34"/>
  <c r="J34"/>
  <c r="R34"/>
  <c r="X34"/>
  <c r="AN34"/>
  <c r="BD34"/>
  <c r="BF34"/>
  <c r="BJ34"/>
  <c r="L39"/>
  <c r="Y39"/>
  <c r="AR39"/>
  <c r="AR69"/>
  <c r="AT69"/>
  <c r="BK39"/>
  <c r="M47"/>
  <c r="Y47"/>
  <c r="AA47"/>
  <c r="BK47"/>
  <c r="BN47"/>
  <c r="BO47"/>
  <c r="BM47"/>
  <c r="BM69"/>
  <c r="Y49"/>
  <c r="AB49"/>
  <c r="AC49"/>
  <c r="BK49"/>
  <c r="BN49"/>
  <c r="BO49"/>
  <c r="AD55"/>
  <c r="AW55"/>
  <c r="BP55"/>
  <c r="N55"/>
  <c r="O55"/>
  <c r="AB55"/>
  <c r="AC55"/>
  <c r="BN55"/>
  <c r="BO55"/>
  <c r="AB57"/>
  <c r="AC57"/>
  <c r="BN57"/>
  <c r="BO57"/>
  <c r="K75"/>
  <c r="Y75"/>
  <c r="AE78"/>
  <c r="N78"/>
  <c r="V76"/>
  <c r="V77"/>
  <c r="AU75"/>
  <c r="AV75"/>
  <c r="BH76"/>
  <c r="BH77"/>
  <c r="AB78"/>
  <c r="BN78"/>
  <c r="AE75"/>
  <c r="AY75"/>
  <c r="AE79"/>
  <c r="N79"/>
  <c r="AE80"/>
  <c r="N80"/>
  <c r="N75"/>
  <c r="O75"/>
  <c r="AB75"/>
  <c r="AC75"/>
  <c r="BK75"/>
  <c r="BN75"/>
  <c r="BO75"/>
  <c r="AL76"/>
  <c r="AL77"/>
  <c r="U16" i="101"/>
  <c r="N16"/>
  <c r="U17"/>
  <c r="N17"/>
  <c r="U20"/>
  <c r="N20"/>
  <c r="U50"/>
  <c r="N50"/>
  <c r="N54"/>
  <c r="U60"/>
  <c r="N60"/>
  <c r="U62"/>
  <c r="U66"/>
  <c r="N66"/>
  <c r="N79"/>
  <c r="U82"/>
  <c r="N82"/>
  <c r="U88"/>
  <c r="N88"/>
  <c r="U93"/>
  <c r="N93"/>
  <c r="U95"/>
  <c r="N95"/>
  <c r="S234"/>
  <c r="S191"/>
  <c r="U97"/>
  <c r="N97"/>
  <c r="U19"/>
  <c r="N19"/>
  <c r="M18"/>
  <c r="N18"/>
  <c r="U53"/>
  <c r="N53"/>
  <c r="U56"/>
  <c r="N56"/>
  <c r="U59"/>
  <c r="N59"/>
  <c r="N61"/>
  <c r="U78"/>
  <c r="N78"/>
  <c r="N81"/>
  <c r="U87"/>
  <c r="N87"/>
  <c r="U94"/>
  <c r="N94"/>
  <c r="F234"/>
  <c r="F191"/>
  <c r="M96"/>
  <c r="U102"/>
  <c r="N102"/>
  <c r="N104"/>
  <c r="U104"/>
  <c r="U106"/>
  <c r="N106"/>
  <c r="M107"/>
  <c r="M105"/>
  <c r="F105"/>
  <c r="U111"/>
  <c r="N111"/>
  <c r="U112"/>
  <c r="N112"/>
  <c r="U118"/>
  <c r="N118"/>
  <c r="U120"/>
  <c r="N120"/>
  <c r="U122"/>
  <c r="N122"/>
  <c r="U15"/>
  <c r="N15"/>
  <c r="M14"/>
  <c r="U52"/>
  <c r="N52"/>
  <c r="U90"/>
  <c r="U101"/>
  <c r="N101"/>
  <c r="U108"/>
  <c r="N108"/>
  <c r="U110"/>
  <c r="N110"/>
  <c r="U114"/>
  <c r="N114"/>
  <c r="AC117"/>
  <c r="AD117" s="1"/>
  <c r="V117"/>
  <c r="AC119"/>
  <c r="AD119" s="1"/>
  <c r="V119"/>
  <c r="AC121"/>
  <c r="AD121"/>
  <c r="V121"/>
  <c r="F223"/>
  <c r="F189"/>
  <c r="K223"/>
  <c r="K189"/>
  <c r="O223"/>
  <c r="O189"/>
  <c r="T223"/>
  <c r="T189"/>
  <c r="AA223"/>
  <c r="AA189"/>
  <c r="B224"/>
  <c r="B190"/>
  <c r="G224"/>
  <c r="G190"/>
  <c r="L224"/>
  <c r="L190"/>
  <c r="S224"/>
  <c r="S190"/>
  <c r="W224"/>
  <c r="W190"/>
  <c r="AB224"/>
  <c r="AB190"/>
  <c r="B234"/>
  <c r="B191"/>
  <c r="D234"/>
  <c r="D191"/>
  <c r="F50" i="102"/>
  <c r="K234" i="101"/>
  <c r="K191"/>
  <c r="O234"/>
  <c r="O191"/>
  <c r="Q234"/>
  <c r="Q191"/>
  <c r="AM50" i="102" s="1"/>
  <c r="W234" i="101"/>
  <c r="W191"/>
  <c r="AB234"/>
  <c r="AB191"/>
  <c r="U124"/>
  <c r="N124"/>
  <c r="M123"/>
  <c r="N123"/>
  <c r="U128"/>
  <c r="N128"/>
  <c r="M194"/>
  <c r="N194"/>
  <c r="U131"/>
  <c r="N131"/>
  <c r="M196"/>
  <c r="N196"/>
  <c r="U133"/>
  <c r="N133"/>
  <c r="M204"/>
  <c r="N204"/>
  <c r="U141"/>
  <c r="N141"/>
  <c r="M206"/>
  <c r="N206"/>
  <c r="U143"/>
  <c r="N143"/>
  <c r="M174"/>
  <c r="F173"/>
  <c r="K11"/>
  <c r="AA11"/>
  <c r="AA12"/>
  <c r="AA13"/>
  <c r="M8"/>
  <c r="B165"/>
  <c r="G165"/>
  <c r="L165"/>
  <c r="W165"/>
  <c r="AB165"/>
  <c r="G168"/>
  <c r="O168"/>
  <c r="W168"/>
  <c r="H147"/>
  <c r="J147"/>
  <c r="X147"/>
  <c r="Z147"/>
  <c r="M26"/>
  <c r="O210"/>
  <c r="T210"/>
  <c r="M28"/>
  <c r="M30"/>
  <c r="B187"/>
  <c r="G187"/>
  <c r="L187"/>
  <c r="W187"/>
  <c r="AB187"/>
  <c r="K32"/>
  <c r="S32"/>
  <c r="AA32"/>
  <c r="H188"/>
  <c r="J188"/>
  <c r="X188"/>
  <c r="X192"/>
  <c r="Z188"/>
  <c r="Z192"/>
  <c r="M34"/>
  <c r="M36"/>
  <c r="M38"/>
  <c r="M40"/>
  <c r="K42"/>
  <c r="S42"/>
  <c r="AA42"/>
  <c r="M44"/>
  <c r="K46"/>
  <c r="K33"/>
  <c r="S46"/>
  <c r="AA46"/>
  <c r="AA33"/>
  <c r="B249"/>
  <c r="G249"/>
  <c r="L249"/>
  <c r="W249"/>
  <c r="AB249"/>
  <c r="M48"/>
  <c r="S61"/>
  <c r="U61" s="1"/>
  <c r="F63"/>
  <c r="M63"/>
  <c r="S63"/>
  <c r="S228" s="1"/>
  <c r="M64"/>
  <c r="F69"/>
  <c r="S69"/>
  <c r="S241"/>
  <c r="M70"/>
  <c r="M72"/>
  <c r="F73"/>
  <c r="M73"/>
  <c r="F74"/>
  <c r="S74"/>
  <c r="S233"/>
  <c r="K75"/>
  <c r="K58"/>
  <c r="K49"/>
  <c r="Q75"/>
  <c r="Q58"/>
  <c r="Q49" s="1"/>
  <c r="AA75"/>
  <c r="AA58"/>
  <c r="AA49"/>
  <c r="B244"/>
  <c r="G244"/>
  <c r="L244"/>
  <c r="W244"/>
  <c r="AB244"/>
  <c r="D80"/>
  <c r="D58"/>
  <c r="D49"/>
  <c r="D147"/>
  <c r="P80"/>
  <c r="P58"/>
  <c r="P49"/>
  <c r="P147"/>
  <c r="R80"/>
  <c r="R58" s="1"/>
  <c r="S81"/>
  <c r="U81" s="1"/>
  <c r="E249"/>
  <c r="F84"/>
  <c r="A91"/>
  <c r="F98"/>
  <c r="S98"/>
  <c r="S235" s="1"/>
  <c r="M99"/>
  <c r="S99"/>
  <c r="S236" s="1"/>
  <c r="M100"/>
  <c r="R103"/>
  <c r="R92"/>
  <c r="R85" s="1"/>
  <c r="S107"/>
  <c r="S105" s="1"/>
  <c r="N117"/>
  <c r="N119"/>
  <c r="N121"/>
  <c r="S170"/>
  <c r="S171"/>
  <c r="K173"/>
  <c r="AA173"/>
  <c r="AA169"/>
  <c r="AA211"/>
  <c r="C149"/>
  <c r="I153"/>
  <c r="I149"/>
  <c r="Y153"/>
  <c r="Y149"/>
  <c r="B216"/>
  <c r="B212"/>
  <c r="G216"/>
  <c r="G212"/>
  <c r="L216"/>
  <c r="L212"/>
  <c r="W216"/>
  <c r="W212"/>
  <c r="AB216"/>
  <c r="AB212"/>
  <c r="B223"/>
  <c r="B189"/>
  <c r="B192"/>
  <c r="G223"/>
  <c r="G189"/>
  <c r="L223"/>
  <c r="L189"/>
  <c r="S223"/>
  <c r="S189"/>
  <c r="W223"/>
  <c r="W189"/>
  <c r="W192"/>
  <c r="AB223"/>
  <c r="AB189"/>
  <c r="AB192"/>
  <c r="F224"/>
  <c r="F190"/>
  <c r="K224"/>
  <c r="K190"/>
  <c r="O224"/>
  <c r="O190"/>
  <c r="T224"/>
  <c r="T190"/>
  <c r="AA224"/>
  <c r="AA190"/>
  <c r="C234"/>
  <c r="C254"/>
  <c r="C191"/>
  <c r="C50" i="102"/>
  <c r="E234" i="101"/>
  <c r="E191"/>
  <c r="G234"/>
  <c r="G191"/>
  <c r="L234"/>
  <c r="L191"/>
  <c r="P234"/>
  <c r="P254"/>
  <c r="P191"/>
  <c r="AJ50" i="102"/>
  <c r="R234" i="101"/>
  <c r="R191"/>
  <c r="AP50" i="102" s="1"/>
  <c r="T234" i="101"/>
  <c r="T191"/>
  <c r="AA234"/>
  <c r="AA191"/>
  <c r="U126"/>
  <c r="N126"/>
  <c r="M125"/>
  <c r="U127"/>
  <c r="N127"/>
  <c r="U129"/>
  <c r="N129"/>
  <c r="M201"/>
  <c r="U138"/>
  <c r="M170"/>
  <c r="F169"/>
  <c r="F211"/>
  <c r="N171"/>
  <c r="U171"/>
  <c r="U172"/>
  <c r="N172"/>
  <c r="N175"/>
  <c r="U175"/>
  <c r="M9"/>
  <c r="M27"/>
  <c r="M29"/>
  <c r="M31"/>
  <c r="F32"/>
  <c r="C192"/>
  <c r="C51" i="102"/>
  <c r="G192" i="101"/>
  <c r="M35"/>
  <c r="M37"/>
  <c r="F228"/>
  <c r="M39"/>
  <c r="F238"/>
  <c r="M41"/>
  <c r="M43"/>
  <c r="M45"/>
  <c r="M47"/>
  <c r="AA254"/>
  <c r="M51"/>
  <c r="S54"/>
  <c r="U54" s="1"/>
  <c r="M55"/>
  <c r="M65"/>
  <c r="M67"/>
  <c r="M68"/>
  <c r="M71"/>
  <c r="F244"/>
  <c r="K244"/>
  <c r="K254"/>
  <c r="M76"/>
  <c r="O244"/>
  <c r="O254"/>
  <c r="T244"/>
  <c r="AA244"/>
  <c r="S77"/>
  <c r="S75" s="1"/>
  <c r="F83"/>
  <c r="S84"/>
  <c r="S253" s="1"/>
  <c r="F86"/>
  <c r="M86"/>
  <c r="M89"/>
  <c r="M113"/>
  <c r="K169"/>
  <c r="K211"/>
  <c r="K130"/>
  <c r="K193"/>
  <c r="S130"/>
  <c r="S193" s="1"/>
  <c r="AA130"/>
  <c r="AA193"/>
  <c r="M132"/>
  <c r="M134"/>
  <c r="F135"/>
  <c r="F198"/>
  <c r="M136"/>
  <c r="M139"/>
  <c r="K205"/>
  <c r="AA205"/>
  <c r="M146"/>
  <c r="K150"/>
  <c r="S150"/>
  <c r="AA150"/>
  <c r="F213"/>
  <c r="M151"/>
  <c r="K163"/>
  <c r="S163"/>
  <c r="AA163"/>
  <c r="F164"/>
  <c r="E165"/>
  <c r="I10" i="102"/>
  <c r="I165" i="101"/>
  <c r="T10" i="102"/>
  <c r="Q165" i="101"/>
  <c r="AM10" i="102" s="1"/>
  <c r="Y165" i="101"/>
  <c r="D166"/>
  <c r="H166"/>
  <c r="J166"/>
  <c r="P166"/>
  <c r="R166"/>
  <c r="AP11" i="102" s="1"/>
  <c r="X166" i="101"/>
  <c r="X167"/>
  <c r="X168"/>
  <c r="Z166"/>
  <c r="Z167"/>
  <c r="Z168"/>
  <c r="C173"/>
  <c r="I173"/>
  <c r="Q173"/>
  <c r="AM18" i="102" s="1"/>
  <c r="Y173" i="101"/>
  <c r="Y169"/>
  <c r="H210"/>
  <c r="J210"/>
  <c r="X210"/>
  <c r="Z210"/>
  <c r="F194"/>
  <c r="F196"/>
  <c r="F201"/>
  <c r="F204"/>
  <c r="F206"/>
  <c r="M137"/>
  <c r="M140"/>
  <c r="M152"/>
  <c r="F163"/>
  <c r="K164"/>
  <c r="S164"/>
  <c r="S165" s="1"/>
  <c r="AA164"/>
  <c r="C210"/>
  <c r="I210"/>
  <c r="Y210"/>
  <c r="Q244"/>
  <c r="Y254"/>
  <c r="D249"/>
  <c r="H254"/>
  <c r="J254"/>
  <c r="I254"/>
  <c r="X254"/>
  <c r="Z254"/>
  <c r="P211"/>
  <c r="AJ14" i="102"/>
  <c r="P167" i="101"/>
  <c r="AJ11" i="102"/>
  <c r="AE50" i="104"/>
  <c r="AB45"/>
  <c r="AC45"/>
  <c r="AC80" i="103"/>
  <c r="AD80" s="1"/>
  <c r="AE34" i="104"/>
  <c r="AG34"/>
  <c r="AH34"/>
  <c r="U63" i="103"/>
  <c r="V63" s="1"/>
  <c r="K187" i="101"/>
  <c r="J192"/>
  <c r="W51" i="102"/>
  <c r="W47"/>
  <c r="W69"/>
  <c r="W81"/>
  <c r="J211" i="101"/>
  <c r="W14" i="102"/>
  <c r="J167" i="101"/>
  <c r="W11" i="102"/>
  <c r="AE61"/>
  <c r="T47"/>
  <c r="T69"/>
  <c r="T81"/>
  <c r="AE43"/>
  <c r="I152" i="103"/>
  <c r="I171"/>
  <c r="I173"/>
  <c r="U46"/>
  <c r="V46" s="1"/>
  <c r="AE32" i="104"/>
  <c r="AG32"/>
  <c r="AH32"/>
  <c r="AB33"/>
  <c r="AC33"/>
  <c r="AE33"/>
  <c r="Z35"/>
  <c r="AE37"/>
  <c r="I156" i="103"/>
  <c r="T40" i="104"/>
  <c r="T36"/>
  <c r="T55"/>
  <c r="T59"/>
  <c r="I169" i="101"/>
  <c r="T14" i="102"/>
  <c r="T18"/>
  <c r="AC78" i="103"/>
  <c r="AC89"/>
  <c r="AD89" s="1"/>
  <c r="AC40"/>
  <c r="H192" i="101"/>
  <c r="Q51" i="102"/>
  <c r="Q47"/>
  <c r="Z46"/>
  <c r="AB46"/>
  <c r="AC46"/>
  <c r="AB44"/>
  <c r="AC44"/>
  <c r="H167" i="101"/>
  <c r="Q11" i="102"/>
  <c r="K121" i="103"/>
  <c r="H168" i="101"/>
  <c r="Q13" i="102"/>
  <c r="Q12"/>
  <c r="H211" i="101"/>
  <c r="Q14" i="102"/>
  <c r="Q70"/>
  <c r="K12" i="101"/>
  <c r="K13"/>
  <c r="E152" i="103"/>
  <c r="E171"/>
  <c r="E173"/>
  <c r="L35" i="104"/>
  <c r="N35"/>
  <c r="O35"/>
  <c r="AE29"/>
  <c r="N34"/>
  <c r="O34"/>
  <c r="E156" i="103"/>
  <c r="I40" i="104"/>
  <c r="I36"/>
  <c r="I55"/>
  <c r="N57" i="102"/>
  <c r="O57"/>
  <c r="E149" i="101"/>
  <c r="E210"/>
  <c r="I72" i="102"/>
  <c r="I73"/>
  <c r="I76"/>
  <c r="E192" i="101"/>
  <c r="I51" i="102"/>
  <c r="I50"/>
  <c r="L50"/>
  <c r="E211" i="101"/>
  <c r="I14" i="102"/>
  <c r="E167" i="101"/>
  <c r="I11" i="102"/>
  <c r="AC84" i="103"/>
  <c r="AD84" s="1"/>
  <c r="AC85"/>
  <c r="AD85" s="1"/>
  <c r="D254" i="101"/>
  <c r="L44" i="102"/>
  <c r="L11"/>
  <c r="D167" i="101"/>
  <c r="F11" i="102"/>
  <c r="L10"/>
  <c r="AC7" i="103"/>
  <c r="AD7" s="1"/>
  <c r="M110"/>
  <c r="U110"/>
  <c r="AC49"/>
  <c r="AD49" s="1"/>
  <c r="C156"/>
  <c r="C40" i="104"/>
  <c r="C36"/>
  <c r="C169" i="101"/>
  <c r="C18" i="102"/>
  <c r="C211" i="101"/>
  <c r="C14" i="102"/>
  <c r="C70"/>
  <c r="BR45" i="104"/>
  <c r="BN9"/>
  <c r="BO9"/>
  <c r="AY41"/>
  <c r="BR41"/>
  <c r="AF9"/>
  <c r="AY9"/>
  <c r="BR9"/>
  <c r="AB35"/>
  <c r="AC35"/>
  <c r="AW41"/>
  <c r="BP41"/>
  <c r="AD36"/>
  <c r="AW36"/>
  <c r="AB17"/>
  <c r="AC17"/>
  <c r="AW17"/>
  <c r="BP17"/>
  <c r="AD9"/>
  <c r="Y152" i="103"/>
  <c r="AC103"/>
  <c r="AD103" s="1"/>
  <c r="AC87"/>
  <c r="AD87"/>
  <c r="S64"/>
  <c r="AC45"/>
  <c r="AD45" s="1"/>
  <c r="AC97"/>
  <c r="AD97" s="1"/>
  <c r="C171"/>
  <c r="C173"/>
  <c r="C122"/>
  <c r="F207"/>
  <c r="M207"/>
  <c r="N207"/>
  <c r="F205"/>
  <c r="AC44"/>
  <c r="AD44" s="1"/>
  <c r="AB94"/>
  <c r="AA61" i="104"/>
  <c r="AB19" i="102"/>
  <c r="AC19"/>
  <c r="BM12"/>
  <c r="BM13"/>
  <c r="AT12"/>
  <c r="AT13"/>
  <c r="AA12"/>
  <c r="AA13"/>
  <c r="M34"/>
  <c r="AG33"/>
  <c r="AH33"/>
  <c r="AR34"/>
  <c r="O192" i="101"/>
  <c r="AA166"/>
  <c r="K166"/>
  <c r="K167"/>
  <c r="K168"/>
  <c r="F12"/>
  <c r="F13"/>
  <c r="AG27" i="102"/>
  <c r="AH27"/>
  <c r="AW27"/>
  <c r="BP27"/>
  <c r="AW28"/>
  <c r="AG28"/>
  <c r="AH28"/>
  <c r="T254" i="101"/>
  <c r="BK69" i="102"/>
  <c r="AD86" i="103"/>
  <c r="B216"/>
  <c r="AD38"/>
  <c r="BP36" i="104"/>
  <c r="M23"/>
  <c r="K23"/>
  <c r="AW57"/>
  <c r="BP57"/>
  <c r="AU29" i="102"/>
  <c r="AV29" s="1"/>
  <c r="AW26"/>
  <c r="AW18" i="104"/>
  <c r="BP18"/>
  <c r="AD57" i="102"/>
  <c r="BK51"/>
  <c r="BN51"/>
  <c r="BO51"/>
  <c r="Y51"/>
  <c r="AD30"/>
  <c r="AB28"/>
  <c r="AC28"/>
  <c r="AD25"/>
  <c r="AG25"/>
  <c r="AH25"/>
  <c r="T192" i="101"/>
  <c r="L192"/>
  <c r="B156" i="103"/>
  <c r="AF57" i="102"/>
  <c r="AY57"/>
  <c r="BR57"/>
  <c r="AD40" i="104"/>
  <c r="AW40"/>
  <c r="BP40"/>
  <c r="BQ63"/>
  <c r="BS63"/>
  <c r="BT63"/>
  <c r="AZ63"/>
  <c r="BA63"/>
  <c r="AX67"/>
  <c r="AG67"/>
  <c r="AH67"/>
  <c r="AX66"/>
  <c r="AG66"/>
  <c r="AH66"/>
  <c r="Z23"/>
  <c r="AB23"/>
  <c r="AC23"/>
  <c r="AB21"/>
  <c r="AC21"/>
  <c r="L23"/>
  <c r="N23"/>
  <c r="O23"/>
  <c r="N21"/>
  <c r="O21"/>
  <c r="AE21"/>
  <c r="AX54"/>
  <c r="AG54"/>
  <c r="AH54"/>
  <c r="AX53"/>
  <c r="AG53"/>
  <c r="AH53"/>
  <c r="AX52"/>
  <c r="AG52"/>
  <c r="AH52"/>
  <c r="AG51"/>
  <c r="AH51"/>
  <c r="AG47"/>
  <c r="AH47"/>
  <c r="AG46"/>
  <c r="AH46"/>
  <c r="AG43"/>
  <c r="AH43"/>
  <c r="U65"/>
  <c r="U62"/>
  <c r="G65"/>
  <c r="G62"/>
  <c r="BH65"/>
  <c r="BH62"/>
  <c r="AO65"/>
  <c r="AO62"/>
  <c r="AI62"/>
  <c r="AR60"/>
  <c r="AR62"/>
  <c r="V65"/>
  <c r="V62"/>
  <c r="S65"/>
  <c r="S62"/>
  <c r="BD69"/>
  <c r="BD60"/>
  <c r="BD64"/>
  <c r="BM55"/>
  <c r="BM58"/>
  <c r="BD58"/>
  <c r="X69"/>
  <c r="X60"/>
  <c r="X64"/>
  <c r="X58"/>
  <c r="J69"/>
  <c r="J60"/>
  <c r="J64"/>
  <c r="J58"/>
  <c r="AF35"/>
  <c r="AY34"/>
  <c r="BI69"/>
  <c r="BI58"/>
  <c r="BC69"/>
  <c r="BC58"/>
  <c r="BC60"/>
  <c r="BC64"/>
  <c r="BL55"/>
  <c r="H69"/>
  <c r="H60"/>
  <c r="H58"/>
  <c r="B69"/>
  <c r="B60"/>
  <c r="K55"/>
  <c r="B58"/>
  <c r="AX20"/>
  <c r="AG20"/>
  <c r="AH20"/>
  <c r="N57"/>
  <c r="O57"/>
  <c r="AE57"/>
  <c r="AG41"/>
  <c r="AH41"/>
  <c r="AD35"/>
  <c r="AW34"/>
  <c r="AG42"/>
  <c r="AH42"/>
  <c r="AG39"/>
  <c r="AH39"/>
  <c r="AG37"/>
  <c r="AH37"/>
  <c r="AE35"/>
  <c r="BQ12"/>
  <c r="BS12" s="1"/>
  <c r="BT12" s="1"/>
  <c r="AZ12"/>
  <c r="BA12"/>
  <c r="AX10"/>
  <c r="AG10"/>
  <c r="AH10"/>
  <c r="AX8"/>
  <c r="AG8"/>
  <c r="AH8"/>
  <c r="BM59"/>
  <c r="M59"/>
  <c r="BK69"/>
  <c r="AR69"/>
  <c r="Y69"/>
  <c r="BI59"/>
  <c r="BI60"/>
  <c r="BI64"/>
  <c r="AD38"/>
  <c r="AW38"/>
  <c r="BP38"/>
  <c r="AW9"/>
  <c r="BP9"/>
  <c r="AU17"/>
  <c r="AV17" s="1"/>
  <c r="AX68"/>
  <c r="AG68"/>
  <c r="AH68"/>
  <c r="AE28"/>
  <c r="N28"/>
  <c r="O28"/>
  <c r="BL23"/>
  <c r="BN23"/>
  <c r="BO23"/>
  <c r="BN21"/>
  <c r="BO21"/>
  <c r="BG65"/>
  <c r="BG62"/>
  <c r="AK62"/>
  <c r="BE65"/>
  <c r="BE62"/>
  <c r="BB62"/>
  <c r="BK60"/>
  <c r="BK62"/>
  <c r="AL65"/>
  <c r="AL62"/>
  <c r="P62"/>
  <c r="Y60"/>
  <c r="Y62"/>
  <c r="BJ69"/>
  <c r="BJ60"/>
  <c r="BJ64"/>
  <c r="BJ58"/>
  <c r="AN69"/>
  <c r="AT69"/>
  <c r="AN60"/>
  <c r="AN64"/>
  <c r="AN58"/>
  <c r="R69"/>
  <c r="AA69"/>
  <c r="R60"/>
  <c r="R64"/>
  <c r="AA55"/>
  <c r="AA58"/>
  <c r="R58"/>
  <c r="D69"/>
  <c r="M69"/>
  <c r="AF69"/>
  <c r="D60"/>
  <c r="D64"/>
  <c r="M55"/>
  <c r="D58"/>
  <c r="BF69"/>
  <c r="BF60"/>
  <c r="BF64"/>
  <c r="BF58"/>
  <c r="E69"/>
  <c r="E60"/>
  <c r="E58"/>
  <c r="BQ22"/>
  <c r="BS22"/>
  <c r="BT22"/>
  <c r="AZ22"/>
  <c r="BA22"/>
  <c r="BQ19"/>
  <c r="BS19" s="1"/>
  <c r="BT19" s="1"/>
  <c r="AZ19"/>
  <c r="BA19"/>
  <c r="AG45"/>
  <c r="AH45"/>
  <c r="AF23"/>
  <c r="AY21"/>
  <c r="AD23"/>
  <c r="AW21"/>
  <c r="AX11"/>
  <c r="AG11"/>
  <c r="AH11"/>
  <c r="AU21"/>
  <c r="AV21" s="1"/>
  <c r="AE9"/>
  <c r="N9"/>
  <c r="O9"/>
  <c r="AG33"/>
  <c r="AH33"/>
  <c r="AG31"/>
  <c r="AH31"/>
  <c r="AX30"/>
  <c r="AG30"/>
  <c r="AH30"/>
  <c r="AG29"/>
  <c r="AH29"/>
  <c r="AZ18"/>
  <c r="BA18" s="1"/>
  <c r="BQ18"/>
  <c r="BS18" s="1"/>
  <c r="BT18" s="1"/>
  <c r="AF36"/>
  <c r="AY36"/>
  <c r="BR36"/>
  <c r="AA59"/>
  <c r="BN28"/>
  <c r="BO28"/>
  <c r="AB28"/>
  <c r="AC28"/>
  <c r="AD28"/>
  <c r="AW28"/>
  <c r="BP28"/>
  <c r="AY57"/>
  <c r="BR57"/>
  <c r="AG44"/>
  <c r="AH44"/>
  <c r="AG12"/>
  <c r="AH12"/>
  <c r="N189" i="103"/>
  <c r="U37"/>
  <c r="N37"/>
  <c r="N59"/>
  <c r="T176"/>
  <c r="AB125"/>
  <c r="AB176"/>
  <c r="M175"/>
  <c r="U124"/>
  <c r="N124"/>
  <c r="N175"/>
  <c r="N174"/>
  <c r="L170"/>
  <c r="T119"/>
  <c r="M169"/>
  <c r="U118"/>
  <c r="N118"/>
  <c r="N169"/>
  <c r="M166"/>
  <c r="U115"/>
  <c r="U82"/>
  <c r="N82"/>
  <c r="S201"/>
  <c r="U201" s="1"/>
  <c r="S155"/>
  <c r="M176"/>
  <c r="N125"/>
  <c r="N176"/>
  <c r="U125"/>
  <c r="N123"/>
  <c r="U123"/>
  <c r="V123"/>
  <c r="L122"/>
  <c r="T120"/>
  <c r="M170"/>
  <c r="U119"/>
  <c r="N119"/>
  <c r="N170"/>
  <c r="L169"/>
  <c r="T118"/>
  <c r="K168"/>
  <c r="M117"/>
  <c r="L167"/>
  <c r="T116"/>
  <c r="M165"/>
  <c r="U114"/>
  <c r="L163"/>
  <c r="T112"/>
  <c r="M162"/>
  <c r="U111"/>
  <c r="N111"/>
  <c r="N162"/>
  <c r="L161"/>
  <c r="T110"/>
  <c r="N215"/>
  <c r="U215"/>
  <c r="U93"/>
  <c r="N93"/>
  <c r="M94"/>
  <c r="N94"/>
  <c r="N202"/>
  <c r="N201"/>
  <c r="M75"/>
  <c r="K69"/>
  <c r="M69"/>
  <c r="M73"/>
  <c r="N73"/>
  <c r="U72"/>
  <c r="N72"/>
  <c r="U214"/>
  <c r="N214"/>
  <c r="U57"/>
  <c r="N57"/>
  <c r="U54"/>
  <c r="N54"/>
  <c r="U52"/>
  <c r="N52"/>
  <c r="U50"/>
  <c r="N50"/>
  <c r="U48"/>
  <c r="N48"/>
  <c r="U33"/>
  <c r="N33"/>
  <c r="N209"/>
  <c r="U209"/>
  <c r="N29"/>
  <c r="U27"/>
  <c r="N27"/>
  <c r="M154"/>
  <c r="U25"/>
  <c r="N25"/>
  <c r="N154"/>
  <c r="L153"/>
  <c r="T24"/>
  <c r="L145"/>
  <c r="T17"/>
  <c r="U10"/>
  <c r="N10"/>
  <c r="U9"/>
  <c r="N9"/>
  <c r="L177"/>
  <c r="T126"/>
  <c r="F213"/>
  <c r="M213"/>
  <c r="F64"/>
  <c r="N212"/>
  <c r="AA43"/>
  <c r="M64"/>
  <c r="K43"/>
  <c r="U208"/>
  <c r="N208"/>
  <c r="N206"/>
  <c r="U58"/>
  <c r="N58"/>
  <c r="U56"/>
  <c r="N56"/>
  <c r="N197"/>
  <c r="N195"/>
  <c r="N193"/>
  <c r="U193"/>
  <c r="N190"/>
  <c r="U190"/>
  <c r="L147"/>
  <c r="T36"/>
  <c r="AA210"/>
  <c r="AA23"/>
  <c r="U28"/>
  <c r="N28"/>
  <c r="N188"/>
  <c r="L154"/>
  <c r="T25"/>
  <c r="M153"/>
  <c r="U24"/>
  <c r="N24"/>
  <c r="N153"/>
  <c r="Z152"/>
  <c r="Z15"/>
  <c r="Z120"/>
  <c r="R15"/>
  <c r="L152"/>
  <c r="T23"/>
  <c r="H152"/>
  <c r="Q36" i="104"/>
  <c r="H15" i="103"/>
  <c r="H120"/>
  <c r="L144"/>
  <c r="T16"/>
  <c r="I126"/>
  <c r="I177"/>
  <c r="I122"/>
  <c r="N140"/>
  <c r="N186"/>
  <c r="U186"/>
  <c r="V186" s="1"/>
  <c r="AA172"/>
  <c r="AC123"/>
  <c r="AD123"/>
  <c r="F95"/>
  <c r="F88"/>
  <c r="M99"/>
  <c r="V66"/>
  <c r="AC101"/>
  <c r="AD101" s="1"/>
  <c r="AD77"/>
  <c r="S189"/>
  <c r="U189" s="1"/>
  <c r="M19"/>
  <c r="F145"/>
  <c r="W216"/>
  <c r="G216"/>
  <c r="L216"/>
  <c r="T216"/>
  <c r="T187"/>
  <c r="AB187"/>
  <c r="M61"/>
  <c r="AB41"/>
  <c r="AB42"/>
  <c r="AC35"/>
  <c r="AD35" s="1"/>
  <c r="AC74"/>
  <c r="AD74" s="1"/>
  <c r="AC39"/>
  <c r="AD39" s="1"/>
  <c r="N70"/>
  <c r="L168"/>
  <c r="T117"/>
  <c r="M167"/>
  <c r="U116"/>
  <c r="N116"/>
  <c r="N167"/>
  <c r="M164"/>
  <c r="M163"/>
  <c r="U112"/>
  <c r="N112"/>
  <c r="N163"/>
  <c r="L162"/>
  <c r="T111"/>
  <c r="M161"/>
  <c r="N110"/>
  <c r="N161"/>
  <c r="L160"/>
  <c r="T109"/>
  <c r="M159"/>
  <c r="U108"/>
  <c r="N108"/>
  <c r="N159"/>
  <c r="L158"/>
  <c r="T107"/>
  <c r="M157"/>
  <c r="U106"/>
  <c r="N106"/>
  <c r="N157"/>
  <c r="N203"/>
  <c r="L155"/>
  <c r="T79"/>
  <c r="T175"/>
  <c r="T174"/>
  <c r="AB124"/>
  <c r="AB175"/>
  <c r="AB174"/>
  <c r="AA168"/>
  <c r="M160"/>
  <c r="U109"/>
  <c r="N109"/>
  <c r="N160"/>
  <c r="L159"/>
  <c r="T108"/>
  <c r="M158"/>
  <c r="U107"/>
  <c r="N107"/>
  <c r="N158"/>
  <c r="L157"/>
  <c r="T106"/>
  <c r="U105"/>
  <c r="N105"/>
  <c r="K95"/>
  <c r="M100"/>
  <c r="U81"/>
  <c r="N81"/>
  <c r="U79"/>
  <c r="N79"/>
  <c r="N155"/>
  <c r="M155"/>
  <c r="AA69"/>
  <c r="U68"/>
  <c r="N68"/>
  <c r="U67"/>
  <c r="N67"/>
  <c r="N199"/>
  <c r="N196"/>
  <c r="N194"/>
  <c r="N192"/>
  <c r="N191"/>
  <c r="M42"/>
  <c r="N42"/>
  <c r="U41"/>
  <c r="N41"/>
  <c r="M147"/>
  <c r="U36"/>
  <c r="N36"/>
  <c r="N147"/>
  <c r="N211"/>
  <c r="U31"/>
  <c r="N31"/>
  <c r="M150"/>
  <c r="M22"/>
  <c r="U21"/>
  <c r="N21"/>
  <c r="L149"/>
  <c r="T20"/>
  <c r="L148"/>
  <c r="T19"/>
  <c r="M146"/>
  <c r="U18"/>
  <c r="N18"/>
  <c r="N146"/>
  <c r="M144"/>
  <c r="U16"/>
  <c r="N16"/>
  <c r="N144"/>
  <c r="N139"/>
  <c r="N138"/>
  <c r="F137"/>
  <c r="F172"/>
  <c r="F121"/>
  <c r="U187"/>
  <c r="V187" s="1"/>
  <c r="N187"/>
  <c r="U62"/>
  <c r="N62"/>
  <c r="U60"/>
  <c r="N60"/>
  <c r="N200"/>
  <c r="N198"/>
  <c r="N55"/>
  <c r="U55"/>
  <c r="U53"/>
  <c r="N53"/>
  <c r="U51"/>
  <c r="N51"/>
  <c r="U47"/>
  <c r="N47"/>
  <c r="K210"/>
  <c r="K23"/>
  <c r="M32"/>
  <c r="U30"/>
  <c r="N30"/>
  <c r="U204"/>
  <c r="N204"/>
  <c r="U26"/>
  <c r="N26"/>
  <c r="X152"/>
  <c r="X15"/>
  <c r="X120"/>
  <c r="P152"/>
  <c r="AJ36" i="104"/>
  <c r="P15" i="103"/>
  <c r="P120"/>
  <c r="J152"/>
  <c r="W36" i="104"/>
  <c r="W55"/>
  <c r="W58"/>
  <c r="D152" i="103"/>
  <c r="F36" i="104"/>
  <c r="F55"/>
  <c r="D15" i="103"/>
  <c r="D120"/>
  <c r="L150"/>
  <c r="L22"/>
  <c r="T21"/>
  <c r="M149"/>
  <c r="U20"/>
  <c r="N20"/>
  <c r="N149"/>
  <c r="L146"/>
  <c r="T18"/>
  <c r="M145"/>
  <c r="U17"/>
  <c r="N17"/>
  <c r="N145"/>
  <c r="Y126"/>
  <c r="Y177"/>
  <c r="Y122"/>
  <c r="E126"/>
  <c r="E177"/>
  <c r="E122"/>
  <c r="N11"/>
  <c r="U11"/>
  <c r="L172"/>
  <c r="T137"/>
  <c r="C177"/>
  <c r="K172"/>
  <c r="N66"/>
  <c r="K205"/>
  <c r="M205"/>
  <c r="S75"/>
  <c r="AD78"/>
  <c r="AD76"/>
  <c r="S211"/>
  <c r="U211" s="1"/>
  <c r="Q210"/>
  <c r="R205"/>
  <c r="R216" s="1"/>
  <c r="AC71"/>
  <c r="AD71" s="1"/>
  <c r="F23"/>
  <c r="U65"/>
  <c r="M8"/>
  <c r="AB73"/>
  <c r="AD40"/>
  <c r="V70"/>
  <c r="BM71" i="102"/>
  <c r="AG80"/>
  <c r="AX80"/>
  <c r="BR75"/>
  <c r="AX75"/>
  <c r="AG78"/>
  <c r="AX78"/>
  <c r="AT71"/>
  <c r="AX68"/>
  <c r="AG68"/>
  <c r="AH68"/>
  <c r="AX65"/>
  <c r="AG65"/>
  <c r="AH65"/>
  <c r="AX64"/>
  <c r="AG64"/>
  <c r="AH64"/>
  <c r="AG63"/>
  <c r="AH63"/>
  <c r="AG59"/>
  <c r="AH59"/>
  <c r="AG58"/>
  <c r="AH58"/>
  <c r="AG54"/>
  <c r="AH54"/>
  <c r="BG76"/>
  <c r="BG77"/>
  <c r="BG74"/>
  <c r="G76"/>
  <c r="G77"/>
  <c r="G74"/>
  <c r="BE76"/>
  <c r="BE77"/>
  <c r="BE74"/>
  <c r="AO76"/>
  <c r="AO77"/>
  <c r="AO74"/>
  <c r="AI76"/>
  <c r="AI77"/>
  <c r="AI74"/>
  <c r="S76"/>
  <c r="S77"/>
  <c r="S74"/>
  <c r="Y73"/>
  <c r="Y74"/>
  <c r="Y71"/>
  <c r="BD81"/>
  <c r="BD73"/>
  <c r="BD71"/>
  <c r="X81"/>
  <c r="X73"/>
  <c r="X71"/>
  <c r="J81"/>
  <c r="J73"/>
  <c r="J71"/>
  <c r="AF46"/>
  <c r="AY45"/>
  <c r="BI71"/>
  <c r="BC71"/>
  <c r="H81"/>
  <c r="H73"/>
  <c r="H71"/>
  <c r="B81"/>
  <c r="B73"/>
  <c r="K69"/>
  <c r="AU32"/>
  <c r="AV32" s="1"/>
  <c r="AY8"/>
  <c r="AF11"/>
  <c r="AG53"/>
  <c r="AH53"/>
  <c r="AG43"/>
  <c r="AH43"/>
  <c r="AG42"/>
  <c r="AH42"/>
  <c r="AX41"/>
  <c r="AG41"/>
  <c r="AH41"/>
  <c r="AG40"/>
  <c r="AH40"/>
  <c r="AK72"/>
  <c r="AT32"/>
  <c r="AT34"/>
  <c r="AK34"/>
  <c r="BQ31"/>
  <c r="AZ27"/>
  <c r="BA27" s="1"/>
  <c r="BQ27"/>
  <c r="BS27" s="1"/>
  <c r="BT27" s="1"/>
  <c r="AY20"/>
  <c r="AF18"/>
  <c r="AF14"/>
  <c r="AF34"/>
  <c r="AF10"/>
  <c r="AY9"/>
  <c r="AG52"/>
  <c r="AH52"/>
  <c r="AD46"/>
  <c r="AW45"/>
  <c r="N29"/>
  <c r="O29"/>
  <c r="AE29"/>
  <c r="AG19"/>
  <c r="AH19"/>
  <c r="AE18"/>
  <c r="AG17"/>
  <c r="AH17"/>
  <c r="AG16"/>
  <c r="AH16"/>
  <c r="AG31"/>
  <c r="AH31"/>
  <c r="AW31"/>
  <c r="BP31"/>
  <c r="AD18"/>
  <c r="AW19"/>
  <c r="BL70"/>
  <c r="BN70"/>
  <c r="BO70"/>
  <c r="BN14"/>
  <c r="BO14"/>
  <c r="AD14"/>
  <c r="AD34"/>
  <c r="AW15"/>
  <c r="BB76"/>
  <c r="BB77"/>
  <c r="P76"/>
  <c r="P77"/>
  <c r="AA72"/>
  <c r="M72"/>
  <c r="BK81"/>
  <c r="BN81"/>
  <c r="BO81"/>
  <c r="AD47"/>
  <c r="AW47"/>
  <c r="BP47"/>
  <c r="AG55"/>
  <c r="AH55"/>
  <c r="AD49"/>
  <c r="AW49"/>
  <c r="BP49"/>
  <c r="AU25"/>
  <c r="AV25" s="1"/>
  <c r="BK11"/>
  <c r="BK12"/>
  <c r="BK13"/>
  <c r="N18"/>
  <c r="O18"/>
  <c r="N10"/>
  <c r="AG79"/>
  <c r="AX79"/>
  <c r="AD75"/>
  <c r="AG75"/>
  <c r="AH75"/>
  <c r="BK73"/>
  <c r="BK74"/>
  <c r="BK71"/>
  <c r="AR73"/>
  <c r="AR71"/>
  <c r="AE39"/>
  <c r="N39"/>
  <c r="O39"/>
  <c r="AQ76"/>
  <c r="AQ77"/>
  <c r="AQ74"/>
  <c r="U76"/>
  <c r="U77"/>
  <c r="U74"/>
  <c r="BJ81"/>
  <c r="BJ73"/>
  <c r="BJ71"/>
  <c r="AN81"/>
  <c r="AT81"/>
  <c r="AN73"/>
  <c r="AN71"/>
  <c r="R81"/>
  <c r="AA81"/>
  <c r="R73"/>
  <c r="AA69"/>
  <c r="R71"/>
  <c r="D81"/>
  <c r="M81"/>
  <c r="AF81"/>
  <c r="M69"/>
  <c r="D73"/>
  <c r="D71"/>
  <c r="BL69"/>
  <c r="BN39"/>
  <c r="BO39"/>
  <c r="BF73"/>
  <c r="BF71"/>
  <c r="E81"/>
  <c r="E73"/>
  <c r="E71"/>
  <c r="BQ33"/>
  <c r="BS33"/>
  <c r="BT33"/>
  <c r="AZ33"/>
  <c r="BA33"/>
  <c r="AX56"/>
  <c r="AG56"/>
  <c r="AH56"/>
  <c r="K11"/>
  <c r="K12"/>
  <c r="K13"/>
  <c r="AD8"/>
  <c r="BQ55"/>
  <c r="BS55"/>
  <c r="BT55"/>
  <c r="AZ55"/>
  <c r="BA55"/>
  <c r="AG49"/>
  <c r="AH49"/>
  <c r="AG48"/>
  <c r="AH48"/>
  <c r="AG45"/>
  <c r="AH45"/>
  <c r="BL10"/>
  <c r="BN10"/>
  <c r="BO10"/>
  <c r="BN9"/>
  <c r="BO9"/>
  <c r="Z10"/>
  <c r="AB10"/>
  <c r="AC10"/>
  <c r="AB9"/>
  <c r="AC9"/>
  <c r="AW32"/>
  <c r="BC72"/>
  <c r="BL32"/>
  <c r="BC34"/>
  <c r="Z32"/>
  <c r="Q34"/>
  <c r="C72"/>
  <c r="L32"/>
  <c r="C34"/>
  <c r="AG15"/>
  <c r="AH15"/>
  <c r="AE14"/>
  <c r="AG14"/>
  <c r="AH14"/>
  <c r="L12"/>
  <c r="BR15"/>
  <c r="Y76"/>
  <c r="Y77"/>
  <c r="AF47"/>
  <c r="AY47"/>
  <c r="BR47"/>
  <c r="BM72"/>
  <c r="BM73"/>
  <c r="AR81"/>
  <c r="Y81"/>
  <c r="AB39"/>
  <c r="AC39"/>
  <c r="AD39"/>
  <c r="AW39"/>
  <c r="BN46"/>
  <c r="BO46"/>
  <c r="BI72"/>
  <c r="BI73"/>
  <c r="Y11"/>
  <c r="Y12"/>
  <c r="Y13"/>
  <c r="N14"/>
  <c r="O14"/>
  <c r="AE9"/>
  <c r="N8"/>
  <c r="AR12"/>
  <c r="AR13"/>
  <c r="AG20"/>
  <c r="AH20"/>
  <c r="AD9"/>
  <c r="BL11"/>
  <c r="Z11"/>
  <c r="P153" i="101"/>
  <c r="P149"/>
  <c r="Y211"/>
  <c r="Y167"/>
  <c r="Y168"/>
  <c r="I211"/>
  <c r="I212"/>
  <c r="I167"/>
  <c r="D153"/>
  <c r="D149"/>
  <c r="I216"/>
  <c r="M203"/>
  <c r="U140"/>
  <c r="X216"/>
  <c r="X212"/>
  <c r="E216"/>
  <c r="M215"/>
  <c r="U152"/>
  <c r="M200"/>
  <c r="N200"/>
  <c r="U137"/>
  <c r="N137"/>
  <c r="Z216"/>
  <c r="Z212"/>
  <c r="J216"/>
  <c r="J212"/>
  <c r="F165"/>
  <c r="M164"/>
  <c r="M214"/>
  <c r="M213"/>
  <c r="N213"/>
  <c r="U151"/>
  <c r="M150"/>
  <c r="M202"/>
  <c r="U139"/>
  <c r="U132"/>
  <c r="N132"/>
  <c r="M195"/>
  <c r="N195"/>
  <c r="U113"/>
  <c r="N113"/>
  <c r="U86"/>
  <c r="N86"/>
  <c r="F251"/>
  <c r="M83"/>
  <c r="F80"/>
  <c r="F58"/>
  <c r="M243"/>
  <c r="N243"/>
  <c r="U71"/>
  <c r="N71"/>
  <c r="M239"/>
  <c r="N239"/>
  <c r="U67"/>
  <c r="N67"/>
  <c r="U55"/>
  <c r="U57" s="1"/>
  <c r="V57" s="1"/>
  <c r="N55"/>
  <c r="M184"/>
  <c r="N184"/>
  <c r="U51"/>
  <c r="N51"/>
  <c r="M250"/>
  <c r="U47"/>
  <c r="N47"/>
  <c r="M46"/>
  <c r="M246"/>
  <c r="N246"/>
  <c r="U43"/>
  <c r="N43"/>
  <c r="M42"/>
  <c r="N42"/>
  <c r="M224"/>
  <c r="N224"/>
  <c r="M190"/>
  <c r="N190"/>
  <c r="U35"/>
  <c r="N35"/>
  <c r="M186"/>
  <c r="M32"/>
  <c r="N32"/>
  <c r="U31"/>
  <c r="N31"/>
  <c r="M10"/>
  <c r="N10"/>
  <c r="U9"/>
  <c r="N9"/>
  <c r="AC172"/>
  <c r="AD172" s="1"/>
  <c r="V172"/>
  <c r="U170"/>
  <c r="N170"/>
  <c r="AC129"/>
  <c r="AD129"/>
  <c r="V129"/>
  <c r="AC127"/>
  <c r="AD127"/>
  <c r="V127"/>
  <c r="M237"/>
  <c r="N237"/>
  <c r="U100"/>
  <c r="N100"/>
  <c r="M236"/>
  <c r="N236"/>
  <c r="N99"/>
  <c r="U99"/>
  <c r="F235"/>
  <c r="M98"/>
  <c r="F253"/>
  <c r="M84"/>
  <c r="F233"/>
  <c r="M74"/>
  <c r="M229"/>
  <c r="N229"/>
  <c r="U72"/>
  <c r="N72"/>
  <c r="M232"/>
  <c r="N232"/>
  <c r="U64"/>
  <c r="N64"/>
  <c r="N63"/>
  <c r="U63"/>
  <c r="M252"/>
  <c r="N252"/>
  <c r="U48"/>
  <c r="N48"/>
  <c r="M247"/>
  <c r="N247"/>
  <c r="U44"/>
  <c r="N44"/>
  <c r="M223"/>
  <c r="N223"/>
  <c r="M189"/>
  <c r="N189"/>
  <c r="U34"/>
  <c r="N34"/>
  <c r="O216"/>
  <c r="O212"/>
  <c r="Z153"/>
  <c r="Z149"/>
  <c r="J153"/>
  <c r="J149"/>
  <c r="M11"/>
  <c r="U8"/>
  <c r="N8"/>
  <c r="U174"/>
  <c r="N174"/>
  <c r="M173"/>
  <c r="N173"/>
  <c r="U204"/>
  <c r="V204" s="1"/>
  <c r="AC141"/>
  <c r="V141"/>
  <c r="AC128"/>
  <c r="AD128"/>
  <c r="V128"/>
  <c r="AC114"/>
  <c r="V114"/>
  <c r="AC110"/>
  <c r="AD110" s="1"/>
  <c r="V110"/>
  <c r="AC108"/>
  <c r="AD108"/>
  <c r="V108"/>
  <c r="AC101"/>
  <c r="AD101"/>
  <c r="V101"/>
  <c r="M148"/>
  <c r="N148"/>
  <c r="N14"/>
  <c r="AC15"/>
  <c r="V15"/>
  <c r="AC122"/>
  <c r="AD122"/>
  <c r="V122"/>
  <c r="AC120"/>
  <c r="AD120" s="1"/>
  <c r="V120"/>
  <c r="AC118"/>
  <c r="AD118" s="1"/>
  <c r="V118"/>
  <c r="AC112"/>
  <c r="AD112" s="1"/>
  <c r="V112"/>
  <c r="AC111"/>
  <c r="AD111"/>
  <c r="V111"/>
  <c r="U107"/>
  <c r="U105" s="1"/>
  <c r="N107"/>
  <c r="AC104"/>
  <c r="V104"/>
  <c r="U103"/>
  <c r="V103"/>
  <c r="AC102"/>
  <c r="AD102" s="1"/>
  <c r="V102"/>
  <c r="AC78"/>
  <c r="AD78"/>
  <c r="V78"/>
  <c r="AC59"/>
  <c r="AD59" s="1"/>
  <c r="V59"/>
  <c r="AC19"/>
  <c r="V19"/>
  <c r="U18"/>
  <c r="V18" s="1"/>
  <c r="AC97"/>
  <c r="AD97" s="1"/>
  <c r="V97"/>
  <c r="AC95"/>
  <c r="AD95" s="1"/>
  <c r="V95"/>
  <c r="AC93"/>
  <c r="AD93"/>
  <c r="V93"/>
  <c r="AC88"/>
  <c r="AD88"/>
  <c r="V88"/>
  <c r="AC82"/>
  <c r="AD82" s="1"/>
  <c r="V82"/>
  <c r="AC79"/>
  <c r="AD79" s="1"/>
  <c r="V79"/>
  <c r="AC66"/>
  <c r="AD66" s="1"/>
  <c r="V66"/>
  <c r="AC62"/>
  <c r="AD62" s="1"/>
  <c r="V62"/>
  <c r="AC60"/>
  <c r="AD60" s="1"/>
  <c r="V60"/>
  <c r="AC50"/>
  <c r="AD50" s="1"/>
  <c r="V50"/>
  <c r="AC20"/>
  <c r="AD20" s="1"/>
  <c r="V20"/>
  <c r="AC17"/>
  <c r="AD17" s="1"/>
  <c r="V17"/>
  <c r="AC16"/>
  <c r="AD16" s="1"/>
  <c r="V16"/>
  <c r="AA167"/>
  <c r="AA168"/>
  <c r="AA165"/>
  <c r="K165"/>
  <c r="S166"/>
  <c r="F183"/>
  <c r="E254"/>
  <c r="W254"/>
  <c r="L254"/>
  <c r="B254"/>
  <c r="S33"/>
  <c r="S226"/>
  <c r="P188"/>
  <c r="AJ47" i="102"/>
  <c r="D188" i="101"/>
  <c r="F47" i="102"/>
  <c r="L47"/>
  <c r="S183" i="101"/>
  <c r="M115"/>
  <c r="N115"/>
  <c r="U77"/>
  <c r="Y216"/>
  <c r="Y212"/>
  <c r="C216"/>
  <c r="C212"/>
  <c r="F166"/>
  <c r="F167"/>
  <c r="F168"/>
  <c r="M163"/>
  <c r="H216"/>
  <c r="H212"/>
  <c r="M209"/>
  <c r="N209"/>
  <c r="U146"/>
  <c r="N146"/>
  <c r="U136"/>
  <c r="N136"/>
  <c r="M135"/>
  <c r="M199"/>
  <c r="N199"/>
  <c r="U134"/>
  <c r="N134"/>
  <c r="M197"/>
  <c r="N197"/>
  <c r="U89"/>
  <c r="U91" s="1"/>
  <c r="V91" s="1"/>
  <c r="N89"/>
  <c r="M245"/>
  <c r="U76"/>
  <c r="N76"/>
  <c r="M75"/>
  <c r="N75"/>
  <c r="M240"/>
  <c r="N240"/>
  <c r="U68"/>
  <c r="N68"/>
  <c r="M231"/>
  <c r="N231"/>
  <c r="U65"/>
  <c r="N65"/>
  <c r="M248"/>
  <c r="N248"/>
  <c r="U45"/>
  <c r="N45"/>
  <c r="M238"/>
  <c r="N238"/>
  <c r="U41"/>
  <c r="N41"/>
  <c r="M228"/>
  <c r="N228"/>
  <c r="U39"/>
  <c r="N39"/>
  <c r="M226"/>
  <c r="N226"/>
  <c r="U37"/>
  <c r="N37"/>
  <c r="M183"/>
  <c r="N183"/>
  <c r="U29"/>
  <c r="N29"/>
  <c r="M181"/>
  <c r="N181"/>
  <c r="U27"/>
  <c r="N27"/>
  <c r="V175"/>
  <c r="AC175"/>
  <c r="AD175" s="1"/>
  <c r="V171"/>
  <c r="AC171"/>
  <c r="AD171" s="1"/>
  <c r="AC138"/>
  <c r="AC201" s="1"/>
  <c r="U201"/>
  <c r="N125"/>
  <c r="M116"/>
  <c r="AC126"/>
  <c r="V126"/>
  <c r="U125"/>
  <c r="U73"/>
  <c r="N73"/>
  <c r="M242"/>
  <c r="N242"/>
  <c r="U70"/>
  <c r="N70"/>
  <c r="F241"/>
  <c r="M69"/>
  <c r="AA188"/>
  <c r="AA25"/>
  <c r="AA147"/>
  <c r="K188"/>
  <c r="K25"/>
  <c r="K147"/>
  <c r="M230"/>
  <c r="N230"/>
  <c r="U40"/>
  <c r="N40"/>
  <c r="M227"/>
  <c r="N227"/>
  <c r="U38"/>
  <c r="N38"/>
  <c r="M225"/>
  <c r="N225"/>
  <c r="U36"/>
  <c r="N36"/>
  <c r="M185"/>
  <c r="N185"/>
  <c r="U30"/>
  <c r="N30"/>
  <c r="M182"/>
  <c r="N182"/>
  <c r="U28"/>
  <c r="N28"/>
  <c r="T216"/>
  <c r="T212"/>
  <c r="M180"/>
  <c r="U26"/>
  <c r="N26"/>
  <c r="X153"/>
  <c r="X149"/>
  <c r="H153"/>
  <c r="H149"/>
  <c r="M205"/>
  <c r="N205"/>
  <c r="N142"/>
  <c r="U206"/>
  <c r="V206"/>
  <c r="V143"/>
  <c r="U196"/>
  <c r="V196"/>
  <c r="AC133"/>
  <c r="V133"/>
  <c r="U194"/>
  <c r="V194" s="1"/>
  <c r="AC131"/>
  <c r="V131"/>
  <c r="AC124"/>
  <c r="V124"/>
  <c r="U123"/>
  <c r="V123" s="1"/>
  <c r="AC90"/>
  <c r="V90"/>
  <c r="AC52"/>
  <c r="AD52" s="1"/>
  <c r="V52"/>
  <c r="N105"/>
  <c r="M92"/>
  <c r="AC106"/>
  <c r="V106"/>
  <c r="M234"/>
  <c r="N234"/>
  <c r="M191"/>
  <c r="N191"/>
  <c r="N96"/>
  <c r="U96"/>
  <c r="U234" s="1"/>
  <c r="V234" s="1"/>
  <c r="AC94"/>
  <c r="AD94"/>
  <c r="V94"/>
  <c r="AC87"/>
  <c r="AD87" s="1"/>
  <c r="V87"/>
  <c r="AC56"/>
  <c r="V56"/>
  <c r="AC53"/>
  <c r="AD53"/>
  <c r="V53"/>
  <c r="C167"/>
  <c r="S251"/>
  <c r="S80"/>
  <c r="AB254"/>
  <c r="S250"/>
  <c r="G254"/>
  <c r="S246"/>
  <c r="S244" s="1"/>
  <c r="M130"/>
  <c r="M91"/>
  <c r="N91"/>
  <c r="F92"/>
  <c r="F85"/>
  <c r="M57"/>
  <c r="N57"/>
  <c r="AC187" i="103"/>
  <c r="AJ70" i="102"/>
  <c r="AJ34"/>
  <c r="P168" i="101"/>
  <c r="AJ13" i="102"/>
  <c r="AJ12"/>
  <c r="AJ69"/>
  <c r="AC63" i="103"/>
  <c r="AD63" s="1"/>
  <c r="AJ55" i="104"/>
  <c r="W69"/>
  <c r="W59"/>
  <c r="W60"/>
  <c r="W64"/>
  <c r="W65"/>
  <c r="Z51" i="102"/>
  <c r="W72"/>
  <c r="W73"/>
  <c r="W74"/>
  <c r="W70"/>
  <c r="W71"/>
  <c r="W34"/>
  <c r="J168" i="101"/>
  <c r="W13" i="102"/>
  <c r="W12"/>
  <c r="M121" i="103"/>
  <c r="U121"/>
  <c r="T72" i="102"/>
  <c r="T73"/>
  <c r="AB51"/>
  <c r="AC51"/>
  <c r="T69" i="104"/>
  <c r="T58"/>
  <c r="T60"/>
  <c r="T64"/>
  <c r="T65"/>
  <c r="T70" i="102"/>
  <c r="T71"/>
  <c r="T34"/>
  <c r="Z70"/>
  <c r="AB70"/>
  <c r="AC70"/>
  <c r="I168" i="101"/>
  <c r="T13" i="102"/>
  <c r="T12"/>
  <c r="Z36" i="104"/>
  <c r="AB36"/>
  <c r="AC36"/>
  <c r="Q55"/>
  <c r="Z47" i="102"/>
  <c r="AB47"/>
  <c r="AC47"/>
  <c r="Q69"/>
  <c r="E212" i="101"/>
  <c r="I59" i="104"/>
  <c r="I60"/>
  <c r="I69"/>
  <c r="I58"/>
  <c r="N50" i="102"/>
  <c r="O50"/>
  <c r="AE50"/>
  <c r="I70"/>
  <c r="I34"/>
  <c r="I77"/>
  <c r="E168" i="101"/>
  <c r="I13" i="102"/>
  <c r="I12"/>
  <c r="F59" i="104"/>
  <c r="F60"/>
  <c r="F69"/>
  <c r="F58"/>
  <c r="N47" i="102"/>
  <c r="O47"/>
  <c r="F69"/>
  <c r="N44"/>
  <c r="O44"/>
  <c r="AE44"/>
  <c r="L46"/>
  <c r="N46"/>
  <c r="O46"/>
  <c r="D168" i="101"/>
  <c r="F13" i="102"/>
  <c r="F12"/>
  <c r="C55" i="104"/>
  <c r="L36"/>
  <c r="L70" i="102"/>
  <c r="C71"/>
  <c r="C168" i="101"/>
  <c r="C13" i="102"/>
  <c r="C12"/>
  <c r="BL59" i="104"/>
  <c r="BN59"/>
  <c r="BO59"/>
  <c r="AG35"/>
  <c r="AH35"/>
  <c r="Y156" i="103"/>
  <c r="Y171"/>
  <c r="Y173"/>
  <c r="AC186"/>
  <c r="AD186" s="1"/>
  <c r="AB216"/>
  <c r="AD187"/>
  <c r="AF12" i="102"/>
  <c r="AF13"/>
  <c r="AD51"/>
  <c r="AW51"/>
  <c r="BP51"/>
  <c r="N11"/>
  <c r="O11"/>
  <c r="AW57"/>
  <c r="AW69"/>
  <c r="AG57"/>
  <c r="AH57"/>
  <c r="BP26"/>
  <c r="AZ26"/>
  <c r="BA26" s="1"/>
  <c r="BP28"/>
  <c r="BS28"/>
  <c r="BT28" s="1"/>
  <c r="AZ28"/>
  <c r="BA28" s="1"/>
  <c r="AF72"/>
  <c r="BK76"/>
  <c r="BK77"/>
  <c r="AZ31"/>
  <c r="BA31" s="1"/>
  <c r="L156" i="103"/>
  <c r="AG38" i="104"/>
  <c r="AH38"/>
  <c r="AW25" i="102"/>
  <c r="AW30"/>
  <c r="AG30"/>
  <c r="AH30"/>
  <c r="AY69" i="104"/>
  <c r="BP21"/>
  <c r="BP23"/>
  <c r="AW23"/>
  <c r="BR21"/>
  <c r="BR23"/>
  <c r="AY23"/>
  <c r="BF65"/>
  <c r="BF62"/>
  <c r="D62"/>
  <c r="M60"/>
  <c r="D61"/>
  <c r="R62"/>
  <c r="AA60"/>
  <c r="AA62"/>
  <c r="BJ65"/>
  <c r="BJ62"/>
  <c r="BB65"/>
  <c r="BK64"/>
  <c r="BK65"/>
  <c r="BQ20"/>
  <c r="BS20" s="1"/>
  <c r="BT20" s="1"/>
  <c r="AZ20"/>
  <c r="BA20" s="1"/>
  <c r="K58"/>
  <c r="AD55"/>
  <c r="H65"/>
  <c r="H62"/>
  <c r="BL58"/>
  <c r="BN58"/>
  <c r="BO58"/>
  <c r="BN55"/>
  <c r="BO55"/>
  <c r="J65"/>
  <c r="J62"/>
  <c r="AX21"/>
  <c r="AE23"/>
  <c r="AG23"/>
  <c r="AH23"/>
  <c r="AG21"/>
  <c r="AH21"/>
  <c r="BQ66"/>
  <c r="BS66"/>
  <c r="BT66"/>
  <c r="AZ66"/>
  <c r="BQ67"/>
  <c r="BS67"/>
  <c r="BT67"/>
  <c r="AZ67"/>
  <c r="AF59"/>
  <c r="K69"/>
  <c r="AD69"/>
  <c r="AW69"/>
  <c r="BP69"/>
  <c r="BM69"/>
  <c r="BR69"/>
  <c r="BQ30"/>
  <c r="BS30"/>
  <c r="BT30"/>
  <c r="AZ30"/>
  <c r="BA30"/>
  <c r="AG9"/>
  <c r="AH9"/>
  <c r="BQ11"/>
  <c r="BS11" s="1"/>
  <c r="BT11" s="1"/>
  <c r="AZ11"/>
  <c r="BA11"/>
  <c r="E65"/>
  <c r="E62"/>
  <c r="M58"/>
  <c r="AF55"/>
  <c r="AN65"/>
  <c r="AN62"/>
  <c r="P65"/>
  <c r="Y64"/>
  <c r="Y65"/>
  <c r="AK65"/>
  <c r="AG28"/>
  <c r="AH28"/>
  <c r="BQ68"/>
  <c r="BS68"/>
  <c r="BT68"/>
  <c r="AZ68"/>
  <c r="BQ8"/>
  <c r="BS8" s="1"/>
  <c r="BT8" s="1"/>
  <c r="BA8"/>
  <c r="BQ10"/>
  <c r="BS10" s="1"/>
  <c r="BT10" s="1"/>
  <c r="AZ10"/>
  <c r="BA10"/>
  <c r="AW35"/>
  <c r="BP34"/>
  <c r="BP35"/>
  <c r="AG57"/>
  <c r="AH57"/>
  <c r="B62"/>
  <c r="K60"/>
  <c r="BC62"/>
  <c r="BL60"/>
  <c r="BI65"/>
  <c r="BI62"/>
  <c r="AY35"/>
  <c r="BR34"/>
  <c r="BR35"/>
  <c r="X65"/>
  <c r="X62"/>
  <c r="BD62"/>
  <c r="BM60"/>
  <c r="BM62"/>
  <c r="AI65"/>
  <c r="AR64"/>
  <c r="AR65"/>
  <c r="BQ52"/>
  <c r="BS52"/>
  <c r="BT52"/>
  <c r="AZ52"/>
  <c r="BA52"/>
  <c r="BQ53"/>
  <c r="BS53"/>
  <c r="BT53"/>
  <c r="AZ53"/>
  <c r="BA53"/>
  <c r="BQ54"/>
  <c r="BS54"/>
  <c r="BT54"/>
  <c r="AZ54"/>
  <c r="BA54"/>
  <c r="BL69"/>
  <c r="BN69"/>
  <c r="BO69"/>
  <c r="F15" i="103"/>
  <c r="T146"/>
  <c r="AB18"/>
  <c r="AB146"/>
  <c r="D126"/>
  <c r="D122"/>
  <c r="V51"/>
  <c r="AC51"/>
  <c r="AD51"/>
  <c r="N8"/>
  <c r="U8"/>
  <c r="V65"/>
  <c r="AC65"/>
  <c r="AD65"/>
  <c r="S69"/>
  <c r="T172"/>
  <c r="AB137"/>
  <c r="AB172"/>
  <c r="V11"/>
  <c r="AC11"/>
  <c r="AD11" s="1"/>
  <c r="U149"/>
  <c r="V20"/>
  <c r="AC20"/>
  <c r="T150"/>
  <c r="T22"/>
  <c r="AB21"/>
  <c r="D156"/>
  <c r="F40" i="104"/>
  <c r="L40"/>
  <c r="D171" i="103"/>
  <c r="D173"/>
  <c r="J156"/>
  <c r="W40" i="104"/>
  <c r="J171" i="103"/>
  <c r="J173"/>
  <c r="P156"/>
  <c r="AJ40" i="104"/>
  <c r="P171" i="103"/>
  <c r="P173"/>
  <c r="X156"/>
  <c r="X171"/>
  <c r="X173"/>
  <c r="V26"/>
  <c r="AC26"/>
  <c r="AD26" s="1"/>
  <c r="V204"/>
  <c r="AC204"/>
  <c r="AD204"/>
  <c r="V30"/>
  <c r="AC30"/>
  <c r="AD30" s="1"/>
  <c r="K152"/>
  <c r="M23"/>
  <c r="K15"/>
  <c r="V55"/>
  <c r="AC55"/>
  <c r="AD55"/>
  <c r="U146"/>
  <c r="V18"/>
  <c r="V146"/>
  <c r="AC18"/>
  <c r="T148"/>
  <c r="AB19"/>
  <c r="AB148"/>
  <c r="T149"/>
  <c r="AB20"/>
  <c r="AB149"/>
  <c r="U42"/>
  <c r="V42" s="1"/>
  <c r="V41"/>
  <c r="AC41"/>
  <c r="U155"/>
  <c r="V79"/>
  <c r="V155" s="1"/>
  <c r="AC79"/>
  <c r="V81"/>
  <c r="AC81"/>
  <c r="AD81" s="1"/>
  <c r="M95"/>
  <c r="K88"/>
  <c r="M88"/>
  <c r="V105"/>
  <c r="AC105"/>
  <c r="AD105"/>
  <c r="U158"/>
  <c r="V107"/>
  <c r="V158"/>
  <c r="AC107"/>
  <c r="T159"/>
  <c r="AB108"/>
  <c r="AB159"/>
  <c r="U157"/>
  <c r="V106"/>
  <c r="V157" s="1"/>
  <c r="AC106"/>
  <c r="T158"/>
  <c r="AB107"/>
  <c r="AB158"/>
  <c r="U161"/>
  <c r="V110"/>
  <c r="V161" s="1"/>
  <c r="AC110"/>
  <c r="T162"/>
  <c r="AB111"/>
  <c r="AB162"/>
  <c r="U167"/>
  <c r="V116"/>
  <c r="V167"/>
  <c r="AC116"/>
  <c r="T168"/>
  <c r="AB117"/>
  <c r="AB168"/>
  <c r="N99"/>
  <c r="U99"/>
  <c r="T144"/>
  <c r="AB16"/>
  <c r="AB144"/>
  <c r="H126"/>
  <c r="H122"/>
  <c r="T152"/>
  <c r="AB23"/>
  <c r="AB152"/>
  <c r="Z126"/>
  <c r="Z177"/>
  <c r="Z122"/>
  <c r="V28"/>
  <c r="AC28"/>
  <c r="AD28"/>
  <c r="AA152"/>
  <c r="AA15"/>
  <c r="T147"/>
  <c r="AB36"/>
  <c r="AB147"/>
  <c r="V190"/>
  <c r="AC190"/>
  <c r="AD190"/>
  <c r="V193"/>
  <c r="AC193"/>
  <c r="AD193"/>
  <c r="K34"/>
  <c r="AA34"/>
  <c r="F43"/>
  <c r="F34"/>
  <c r="F210"/>
  <c r="F216"/>
  <c r="T177"/>
  <c r="AB126"/>
  <c r="AB177"/>
  <c r="T145"/>
  <c r="AB17"/>
  <c r="AB145"/>
  <c r="T153"/>
  <c r="AB24"/>
  <c r="AB153"/>
  <c r="V27"/>
  <c r="AC27"/>
  <c r="AD27" s="1"/>
  <c r="V33"/>
  <c r="AC33"/>
  <c r="AD33" s="1"/>
  <c r="V48"/>
  <c r="AC48"/>
  <c r="AD48" s="1"/>
  <c r="V50"/>
  <c r="AC50"/>
  <c r="AD50"/>
  <c r="V52"/>
  <c r="AC52"/>
  <c r="AD52"/>
  <c r="V54"/>
  <c r="AC54"/>
  <c r="AD54"/>
  <c r="V57"/>
  <c r="AC57"/>
  <c r="AD57"/>
  <c r="V214"/>
  <c r="AC214"/>
  <c r="AD214"/>
  <c r="U73"/>
  <c r="V73" s="1"/>
  <c r="V72"/>
  <c r="AC72"/>
  <c r="N69"/>
  <c r="U69"/>
  <c r="V69" s="1"/>
  <c r="U94"/>
  <c r="V94" s="1"/>
  <c r="V93"/>
  <c r="AC93"/>
  <c r="U162"/>
  <c r="V111"/>
  <c r="V162" s="1"/>
  <c r="AC111"/>
  <c r="T163"/>
  <c r="AB112"/>
  <c r="AB163"/>
  <c r="U165"/>
  <c r="AC114"/>
  <c r="AC165" s="1"/>
  <c r="T167"/>
  <c r="AB116"/>
  <c r="AB167"/>
  <c r="M168"/>
  <c r="N117"/>
  <c r="N168"/>
  <c r="U117"/>
  <c r="T169"/>
  <c r="AB118"/>
  <c r="AB169"/>
  <c r="U166"/>
  <c r="AC115"/>
  <c r="AC166" s="1"/>
  <c r="U175"/>
  <c r="V124"/>
  <c r="V175"/>
  <c r="AC124"/>
  <c r="V37"/>
  <c r="AC37"/>
  <c r="AD37" s="1"/>
  <c r="M137"/>
  <c r="L151"/>
  <c r="N150"/>
  <c r="N151"/>
  <c r="N22"/>
  <c r="N205"/>
  <c r="U145"/>
  <c r="V17"/>
  <c r="AC17"/>
  <c r="J126"/>
  <c r="J177"/>
  <c r="J122"/>
  <c r="P126"/>
  <c r="P122"/>
  <c r="X126"/>
  <c r="X122"/>
  <c r="N32"/>
  <c r="K216"/>
  <c r="M216"/>
  <c r="V47"/>
  <c r="AC47"/>
  <c r="AD47"/>
  <c r="V53"/>
  <c r="AC53"/>
  <c r="AD53"/>
  <c r="V60"/>
  <c r="AC60"/>
  <c r="AD60"/>
  <c r="V62"/>
  <c r="AC62"/>
  <c r="AD62"/>
  <c r="U144"/>
  <c r="V16"/>
  <c r="AC16"/>
  <c r="U150"/>
  <c r="V21"/>
  <c r="U22"/>
  <c r="V22" s="1"/>
  <c r="AC21"/>
  <c r="V31"/>
  <c r="AC31"/>
  <c r="AD31"/>
  <c r="U147"/>
  <c r="V36"/>
  <c r="V147" s="1"/>
  <c r="AC36"/>
  <c r="V67"/>
  <c r="AC67"/>
  <c r="AD67"/>
  <c r="V68"/>
  <c r="AC68"/>
  <c r="AD68"/>
  <c r="N100"/>
  <c r="T157"/>
  <c r="AB106"/>
  <c r="AB157"/>
  <c r="U160"/>
  <c r="V109"/>
  <c r="V160"/>
  <c r="AC109"/>
  <c r="T155"/>
  <c r="AB79"/>
  <c r="AB155"/>
  <c r="U159"/>
  <c r="V108"/>
  <c r="V159"/>
  <c r="AC108"/>
  <c r="T160"/>
  <c r="AB109"/>
  <c r="AB160"/>
  <c r="U163"/>
  <c r="V112"/>
  <c r="V163" s="1"/>
  <c r="AC112"/>
  <c r="U164"/>
  <c r="AC113"/>
  <c r="AC164"/>
  <c r="N121"/>
  <c r="N61"/>
  <c r="U61"/>
  <c r="M148"/>
  <c r="N19"/>
  <c r="N148"/>
  <c r="U19"/>
  <c r="H156"/>
  <c r="Q40" i="104"/>
  <c r="H171" i="103"/>
  <c r="H173"/>
  <c r="Z156"/>
  <c r="Z171"/>
  <c r="Z173"/>
  <c r="U153"/>
  <c r="V24"/>
  <c r="AC24"/>
  <c r="T154"/>
  <c r="AB25"/>
  <c r="AB154"/>
  <c r="AA216"/>
  <c r="V56"/>
  <c r="AC56"/>
  <c r="AD56" s="1"/>
  <c r="V58"/>
  <c r="AC58"/>
  <c r="AD58"/>
  <c r="V208"/>
  <c r="AC208"/>
  <c r="AD208"/>
  <c r="N64"/>
  <c r="U64"/>
  <c r="N213"/>
  <c r="U213"/>
  <c r="V9"/>
  <c r="AC9"/>
  <c r="AD9" s="1"/>
  <c r="V10"/>
  <c r="AC10"/>
  <c r="AD10" s="1"/>
  <c r="U154"/>
  <c r="V25"/>
  <c r="AC25"/>
  <c r="V209"/>
  <c r="AC209"/>
  <c r="AD209"/>
  <c r="U75"/>
  <c r="N75"/>
  <c r="V215"/>
  <c r="AC215"/>
  <c r="AD215"/>
  <c r="T161"/>
  <c r="AB110"/>
  <c r="AB161"/>
  <c r="U170"/>
  <c r="V119"/>
  <c r="V170"/>
  <c r="AC119"/>
  <c r="T122"/>
  <c r="AB120"/>
  <c r="AB122"/>
  <c r="U176"/>
  <c r="V125"/>
  <c r="V176"/>
  <c r="AC125"/>
  <c r="V82"/>
  <c r="AC82"/>
  <c r="AD82" s="1"/>
  <c r="U169"/>
  <c r="V118"/>
  <c r="V169"/>
  <c r="AC118"/>
  <c r="T170"/>
  <c r="AB119"/>
  <c r="AB170"/>
  <c r="M151"/>
  <c r="L171"/>
  <c r="L173"/>
  <c r="M174"/>
  <c r="BI76" i="102"/>
  <c r="BI77"/>
  <c r="BI74"/>
  <c r="BM76"/>
  <c r="BM77"/>
  <c r="BM74"/>
  <c r="W76"/>
  <c r="W77"/>
  <c r="Z12"/>
  <c r="AB11"/>
  <c r="AC11"/>
  <c r="AD10"/>
  <c r="AW9"/>
  <c r="AG9"/>
  <c r="AH9"/>
  <c r="AE10"/>
  <c r="AG10"/>
  <c r="BP39"/>
  <c r="N12"/>
  <c r="O12"/>
  <c r="L13"/>
  <c r="N13"/>
  <c r="O13"/>
  <c r="C73"/>
  <c r="Z34"/>
  <c r="AB34"/>
  <c r="AC34"/>
  <c r="AB32"/>
  <c r="AC32"/>
  <c r="AW8"/>
  <c r="AD11"/>
  <c r="AD12"/>
  <c r="AD13"/>
  <c r="T76"/>
  <c r="BF76"/>
  <c r="BF77"/>
  <c r="BF74"/>
  <c r="BL71"/>
  <c r="BN71"/>
  <c r="BO71"/>
  <c r="BN69"/>
  <c r="BO69"/>
  <c r="D76"/>
  <c r="D77"/>
  <c r="D74"/>
  <c r="AA73"/>
  <c r="AA71"/>
  <c r="AN76"/>
  <c r="AN77"/>
  <c r="AN74"/>
  <c r="AG39"/>
  <c r="AH39"/>
  <c r="AR74"/>
  <c r="AR76"/>
  <c r="AR77"/>
  <c r="BP15"/>
  <c r="BP19"/>
  <c r="BP18"/>
  <c r="AW18"/>
  <c r="AW14"/>
  <c r="AX29"/>
  <c r="AG29"/>
  <c r="AH29"/>
  <c r="AW46"/>
  <c r="BP45"/>
  <c r="BP46"/>
  <c r="AY10"/>
  <c r="BR9"/>
  <c r="AT72"/>
  <c r="AT73"/>
  <c r="AK73"/>
  <c r="BQ41"/>
  <c r="BS41"/>
  <c r="BT41"/>
  <c r="AZ41"/>
  <c r="BA41"/>
  <c r="AY11"/>
  <c r="BR8"/>
  <c r="BR11"/>
  <c r="K73"/>
  <c r="K71"/>
  <c r="AD69"/>
  <c r="H74"/>
  <c r="H76"/>
  <c r="H77"/>
  <c r="J76"/>
  <c r="J77"/>
  <c r="J74"/>
  <c r="BD76"/>
  <c r="BD77"/>
  <c r="BD74"/>
  <c r="BQ78"/>
  <c r="BS78"/>
  <c r="AZ78"/>
  <c r="BL72"/>
  <c r="BN72"/>
  <c r="BO72"/>
  <c r="AY81"/>
  <c r="AG8"/>
  <c r="AH8"/>
  <c r="AE11"/>
  <c r="BS31"/>
  <c r="BT31" s="1"/>
  <c r="K81"/>
  <c r="BC73"/>
  <c r="BL12"/>
  <c r="BN11"/>
  <c r="BO11"/>
  <c r="L34"/>
  <c r="N34"/>
  <c r="O34"/>
  <c r="N32"/>
  <c r="O32"/>
  <c r="AE32"/>
  <c r="BL34"/>
  <c r="BN34"/>
  <c r="BO34"/>
  <c r="BN32"/>
  <c r="BO32"/>
  <c r="BP32"/>
  <c r="BQ56"/>
  <c r="BS56"/>
  <c r="BT56"/>
  <c r="AZ56"/>
  <c r="BA56"/>
  <c r="E76"/>
  <c r="E77"/>
  <c r="E74"/>
  <c r="M73"/>
  <c r="M71"/>
  <c r="AF69"/>
  <c r="R76"/>
  <c r="R77"/>
  <c r="R74"/>
  <c r="BJ76"/>
  <c r="BJ77"/>
  <c r="BJ74"/>
  <c r="AW75"/>
  <c r="AZ75"/>
  <c r="BA75"/>
  <c r="BQ79"/>
  <c r="BS79"/>
  <c r="AZ79"/>
  <c r="BR20"/>
  <c r="BR18"/>
  <c r="BR14"/>
  <c r="BR70"/>
  <c r="AY18"/>
  <c r="AY14"/>
  <c r="AY70"/>
  <c r="B74"/>
  <c r="B76"/>
  <c r="B77"/>
  <c r="AY46"/>
  <c r="BR45"/>
  <c r="AY69"/>
  <c r="X76"/>
  <c r="X77"/>
  <c r="X74"/>
  <c r="BQ64"/>
  <c r="BS64"/>
  <c r="BT64"/>
  <c r="AZ64"/>
  <c r="BA64"/>
  <c r="BQ65"/>
  <c r="BS65"/>
  <c r="BT65"/>
  <c r="AZ65"/>
  <c r="BA65"/>
  <c r="BQ68"/>
  <c r="BS68"/>
  <c r="BT68"/>
  <c r="AZ68"/>
  <c r="BA68"/>
  <c r="BQ75"/>
  <c r="BQ80"/>
  <c r="BS80"/>
  <c r="AZ80"/>
  <c r="AY72"/>
  <c r="BR72"/>
  <c r="AG18"/>
  <c r="AH18"/>
  <c r="AY32"/>
  <c r="BM81"/>
  <c r="AD56" i="101"/>
  <c r="U191"/>
  <c r="V191" s="1"/>
  <c r="V96"/>
  <c r="AD106"/>
  <c r="AD90"/>
  <c r="AD124"/>
  <c r="AC123"/>
  <c r="AD123"/>
  <c r="AC196"/>
  <c r="AD196"/>
  <c r="AD133"/>
  <c r="U205"/>
  <c r="V205"/>
  <c r="V142"/>
  <c r="AC206"/>
  <c r="AD206"/>
  <c r="AD143"/>
  <c r="N180"/>
  <c r="U182"/>
  <c r="V182"/>
  <c r="AC28"/>
  <c r="V28"/>
  <c r="U225"/>
  <c r="V225" s="1"/>
  <c r="AC36"/>
  <c r="V36"/>
  <c r="U230"/>
  <c r="V230" s="1"/>
  <c r="AC40"/>
  <c r="V40"/>
  <c r="K153"/>
  <c r="K149"/>
  <c r="AA153"/>
  <c r="AA149"/>
  <c r="M241"/>
  <c r="N241"/>
  <c r="N69"/>
  <c r="U69"/>
  <c r="AC73"/>
  <c r="AD73"/>
  <c r="V73"/>
  <c r="M109"/>
  <c r="N109"/>
  <c r="N116"/>
  <c r="AC29"/>
  <c r="V29"/>
  <c r="U228"/>
  <c r="V228" s="1"/>
  <c r="AC39"/>
  <c r="V39"/>
  <c r="U248"/>
  <c r="V248" s="1"/>
  <c r="AC45"/>
  <c r="V45"/>
  <c r="U240"/>
  <c r="V240" s="1"/>
  <c r="AC68"/>
  <c r="V68"/>
  <c r="U245"/>
  <c r="AC76"/>
  <c r="V76"/>
  <c r="U75"/>
  <c r="V75" s="1"/>
  <c r="U197"/>
  <c r="V197"/>
  <c r="AC134"/>
  <c r="V134"/>
  <c r="M198"/>
  <c r="N198"/>
  <c r="N135"/>
  <c r="U135"/>
  <c r="U199"/>
  <c r="V199"/>
  <c r="AC136"/>
  <c r="V136"/>
  <c r="U209"/>
  <c r="V209"/>
  <c r="AC146"/>
  <c r="V146"/>
  <c r="M166"/>
  <c r="N163"/>
  <c r="U163"/>
  <c r="D192"/>
  <c r="F51" i="102"/>
  <c r="L51"/>
  <c r="D210" i="101"/>
  <c r="AD19"/>
  <c r="AC18"/>
  <c r="AD18" s="1"/>
  <c r="AD15"/>
  <c r="AD114"/>
  <c r="M12"/>
  <c r="N11"/>
  <c r="U223"/>
  <c r="V223" s="1"/>
  <c r="U189"/>
  <c r="V189" s="1"/>
  <c r="AC34"/>
  <c r="V34"/>
  <c r="U247"/>
  <c r="V247"/>
  <c r="AC44"/>
  <c r="V44"/>
  <c r="U232"/>
  <c r="V232"/>
  <c r="AC64"/>
  <c r="V64"/>
  <c r="U186"/>
  <c r="AC31"/>
  <c r="V31"/>
  <c r="U32"/>
  <c r="V32" s="1"/>
  <c r="M187"/>
  <c r="N187"/>
  <c r="N186"/>
  <c r="U224"/>
  <c r="V224" s="1"/>
  <c r="U190"/>
  <c r="V190" s="1"/>
  <c r="AC35"/>
  <c r="V35"/>
  <c r="N250"/>
  <c r="U184"/>
  <c r="V184" s="1"/>
  <c r="AC51"/>
  <c r="V51"/>
  <c r="U243"/>
  <c r="V243" s="1"/>
  <c r="AC71"/>
  <c r="V71"/>
  <c r="F49"/>
  <c r="F147"/>
  <c r="F188"/>
  <c r="F192"/>
  <c r="AC86"/>
  <c r="AD86" s="1"/>
  <c r="V86"/>
  <c r="AC113"/>
  <c r="AD113" s="1"/>
  <c r="V113"/>
  <c r="U202"/>
  <c r="AC139"/>
  <c r="AC202"/>
  <c r="N130"/>
  <c r="M193"/>
  <c r="N193"/>
  <c r="M85"/>
  <c r="N85"/>
  <c r="N92"/>
  <c r="AC194"/>
  <c r="AD194" s="1"/>
  <c r="AD131"/>
  <c r="U180"/>
  <c r="AC26"/>
  <c r="V26"/>
  <c r="AC30"/>
  <c r="V30"/>
  <c r="U227"/>
  <c r="V227" s="1"/>
  <c r="AC38"/>
  <c r="V38"/>
  <c r="K192"/>
  <c r="K210"/>
  <c r="AA192"/>
  <c r="AA210"/>
  <c r="U242"/>
  <c r="V242" s="1"/>
  <c r="AC70"/>
  <c r="V70"/>
  <c r="V125"/>
  <c r="U116"/>
  <c r="AD126"/>
  <c r="AC125"/>
  <c r="U181"/>
  <c r="V181" s="1"/>
  <c r="AC27"/>
  <c r="V27"/>
  <c r="AC37"/>
  <c r="V37"/>
  <c r="U238"/>
  <c r="V238"/>
  <c r="AC41"/>
  <c r="V41"/>
  <c r="U231"/>
  <c r="V231"/>
  <c r="AC65"/>
  <c r="V65"/>
  <c r="N245"/>
  <c r="M244"/>
  <c r="N244"/>
  <c r="V89"/>
  <c r="AC77"/>
  <c r="AD77"/>
  <c r="V77"/>
  <c r="P192"/>
  <c r="AJ51" i="102"/>
  <c r="P210" i="101"/>
  <c r="S25"/>
  <c r="AC103"/>
  <c r="AD103" s="1"/>
  <c r="AD104"/>
  <c r="AC107"/>
  <c r="AD107" s="1"/>
  <c r="V107"/>
  <c r="AC204"/>
  <c r="AD204" s="1"/>
  <c r="AD141"/>
  <c r="AC174"/>
  <c r="V174"/>
  <c r="U173"/>
  <c r="V173" s="1"/>
  <c r="AC8"/>
  <c r="V8"/>
  <c r="U11"/>
  <c r="U252"/>
  <c r="V252" s="1"/>
  <c r="AC48"/>
  <c r="V48"/>
  <c r="AC63"/>
  <c r="AD63" s="1"/>
  <c r="V63"/>
  <c r="U229"/>
  <c r="V229"/>
  <c r="AC72"/>
  <c r="V72"/>
  <c r="M233"/>
  <c r="N233"/>
  <c r="N74"/>
  <c r="U74"/>
  <c r="M253"/>
  <c r="N253"/>
  <c r="U84"/>
  <c r="N84"/>
  <c r="M235"/>
  <c r="N235"/>
  <c r="N98"/>
  <c r="U98"/>
  <c r="U236"/>
  <c r="V236" s="1"/>
  <c r="AC99"/>
  <c r="V99"/>
  <c r="U237"/>
  <c r="V237"/>
  <c r="AC100"/>
  <c r="V100"/>
  <c r="AC170"/>
  <c r="V170"/>
  <c r="AC9"/>
  <c r="U10"/>
  <c r="V10"/>
  <c r="V9"/>
  <c r="U246"/>
  <c r="V246" s="1"/>
  <c r="AC43"/>
  <c r="V43"/>
  <c r="U42"/>
  <c r="V42"/>
  <c r="N46"/>
  <c r="M33"/>
  <c r="AC47"/>
  <c r="V47"/>
  <c r="U46"/>
  <c r="AC55"/>
  <c r="AD55" s="1"/>
  <c r="V55"/>
  <c r="U239"/>
  <c r="V239" s="1"/>
  <c r="AC67"/>
  <c r="V67"/>
  <c r="M251"/>
  <c r="N251"/>
  <c r="U83"/>
  <c r="N83"/>
  <c r="M80"/>
  <c r="U195"/>
  <c r="V195" s="1"/>
  <c r="AC132"/>
  <c r="V132"/>
  <c r="U214"/>
  <c r="AC151"/>
  <c r="U150"/>
  <c r="U164"/>
  <c r="M165"/>
  <c r="N165"/>
  <c r="N164"/>
  <c r="U14"/>
  <c r="F249"/>
  <c r="F254"/>
  <c r="U130"/>
  <c r="U115"/>
  <c r="V115" s="1"/>
  <c r="M169"/>
  <c r="U200"/>
  <c r="V200" s="1"/>
  <c r="AC137"/>
  <c r="V137"/>
  <c r="U215"/>
  <c r="AC152"/>
  <c r="AC215"/>
  <c r="U203"/>
  <c r="AC140"/>
  <c r="AC203" s="1"/>
  <c r="AJ81" i="102"/>
  <c r="AJ72"/>
  <c r="AJ71"/>
  <c r="AJ73"/>
  <c r="AJ59" i="104"/>
  <c r="AJ69"/>
  <c r="AJ58"/>
  <c r="Z40"/>
  <c r="AB40"/>
  <c r="AC40"/>
  <c r="W62"/>
  <c r="T77" i="102"/>
  <c r="T74"/>
  <c r="U151" i="103"/>
  <c r="T62" i="104"/>
  <c r="AE47" i="102"/>
  <c r="Q59" i="104"/>
  <c r="Z59"/>
  <c r="AB59"/>
  <c r="AC59"/>
  <c r="Q69"/>
  <c r="Z69"/>
  <c r="AB69"/>
  <c r="AC69"/>
  <c r="Q58"/>
  <c r="Z55"/>
  <c r="Q81" i="102"/>
  <c r="Z81"/>
  <c r="AB81"/>
  <c r="AC81"/>
  <c r="Q71"/>
  <c r="Q72"/>
  <c r="Z69"/>
  <c r="AC14" i="101"/>
  <c r="AC148" s="1"/>
  <c r="AD148" s="1"/>
  <c r="M210" i="103"/>
  <c r="N210"/>
  <c r="I64" i="104"/>
  <c r="I65"/>
  <c r="I62"/>
  <c r="AG50" i="102"/>
  <c r="AH50"/>
  <c r="I71"/>
  <c r="I74"/>
  <c r="AE40" i="104"/>
  <c r="N40"/>
  <c r="O40"/>
  <c r="F64"/>
  <c r="F65"/>
  <c r="F62"/>
  <c r="AE51" i="102"/>
  <c r="N51"/>
  <c r="O51"/>
  <c r="F81"/>
  <c r="L81"/>
  <c r="F72"/>
  <c r="L72"/>
  <c r="L69"/>
  <c r="F71"/>
  <c r="AG44"/>
  <c r="AH44"/>
  <c r="AE46"/>
  <c r="AG46"/>
  <c r="AH46"/>
  <c r="AE36" i="104"/>
  <c r="N36"/>
  <c r="O36"/>
  <c r="C59"/>
  <c r="C69"/>
  <c r="L69"/>
  <c r="N69"/>
  <c r="O69"/>
  <c r="L55"/>
  <c r="C58"/>
  <c r="N70" i="102"/>
  <c r="O70"/>
  <c r="L71"/>
  <c r="AE70"/>
  <c r="N71"/>
  <c r="O71"/>
  <c r="AC115" i="101"/>
  <c r="AD115" s="1"/>
  <c r="BP25" i="102"/>
  <c r="BP57"/>
  <c r="BP30"/>
  <c r="AZ30"/>
  <c r="BA30" s="1"/>
  <c r="BR81"/>
  <c r="AB156" i="103"/>
  <c r="T151"/>
  <c r="BD65" i="104"/>
  <c r="BM64"/>
  <c r="BM65"/>
  <c r="AY55"/>
  <c r="AF58"/>
  <c r="AZ21"/>
  <c r="BA21" s="1"/>
  <c r="BQ21"/>
  <c r="AW55"/>
  <c r="AD58"/>
  <c r="R65"/>
  <c r="AA64"/>
  <c r="AA65"/>
  <c r="M62"/>
  <c r="AF60"/>
  <c r="D65"/>
  <c r="M64"/>
  <c r="BL62"/>
  <c r="BN62"/>
  <c r="BO62"/>
  <c r="BN60"/>
  <c r="BO60"/>
  <c r="BC65"/>
  <c r="BL64"/>
  <c r="K62"/>
  <c r="AD60"/>
  <c r="B65"/>
  <c r="K64"/>
  <c r="AC169" i="103"/>
  <c r="AD118"/>
  <c r="AD169"/>
  <c r="AC170"/>
  <c r="AD119"/>
  <c r="AD170"/>
  <c r="V75"/>
  <c r="AC75"/>
  <c r="AD75" s="1"/>
  <c r="V213"/>
  <c r="AC213"/>
  <c r="AD213"/>
  <c r="V64"/>
  <c r="AC64"/>
  <c r="AD64" s="1"/>
  <c r="AC153"/>
  <c r="AD24"/>
  <c r="V61"/>
  <c r="AC61"/>
  <c r="AD61" s="1"/>
  <c r="V121"/>
  <c r="AC121"/>
  <c r="AD121" s="1"/>
  <c r="AC163"/>
  <c r="AD112"/>
  <c r="AD163" s="1"/>
  <c r="AC160"/>
  <c r="AD109"/>
  <c r="AD160"/>
  <c r="AC150"/>
  <c r="AC22"/>
  <c r="AD21"/>
  <c r="AC144"/>
  <c r="AD16"/>
  <c r="N216"/>
  <c r="X177"/>
  <c r="AA126"/>
  <c r="P177"/>
  <c r="M172"/>
  <c r="N137"/>
  <c r="N172"/>
  <c r="U137"/>
  <c r="U168"/>
  <c r="V117"/>
  <c r="V168"/>
  <c r="AC117"/>
  <c r="AD93"/>
  <c r="AC94"/>
  <c r="AD94" s="1"/>
  <c r="AA120"/>
  <c r="AA156"/>
  <c r="AA171"/>
  <c r="AA173"/>
  <c r="H177"/>
  <c r="K126"/>
  <c r="AC161"/>
  <c r="AD110"/>
  <c r="AD161" s="1"/>
  <c r="AC158"/>
  <c r="AD107"/>
  <c r="AD158"/>
  <c r="N95"/>
  <c r="AC42"/>
  <c r="AD42" s="1"/>
  <c r="AD41"/>
  <c r="K120"/>
  <c r="M15"/>
  <c r="K156"/>
  <c r="K171"/>
  <c r="K173"/>
  <c r="AC149"/>
  <c r="AD20"/>
  <c r="D177"/>
  <c r="F126"/>
  <c r="F177"/>
  <c r="V150"/>
  <c r="AC69"/>
  <c r="AD69" s="1"/>
  <c r="V174"/>
  <c r="M34"/>
  <c r="T156"/>
  <c r="T171"/>
  <c r="T173"/>
  <c r="F152"/>
  <c r="AC176"/>
  <c r="AD125"/>
  <c r="AD176"/>
  <c r="AC154"/>
  <c r="AD25"/>
  <c r="U148"/>
  <c r="V19"/>
  <c r="AC19"/>
  <c r="AC159"/>
  <c r="AD108"/>
  <c r="AD159" s="1"/>
  <c r="AC147"/>
  <c r="AD36"/>
  <c r="AD147" s="1"/>
  <c r="AC145"/>
  <c r="AD17"/>
  <c r="AC175"/>
  <c r="AC174"/>
  <c r="AD124"/>
  <c r="AD175"/>
  <c r="AC162"/>
  <c r="AD111"/>
  <c r="AD162"/>
  <c r="AC73"/>
  <c r="AD73" s="1"/>
  <c r="AD72"/>
  <c r="V99"/>
  <c r="AC99"/>
  <c r="AD99" s="1"/>
  <c r="AC167"/>
  <c r="AD116"/>
  <c r="AD167"/>
  <c r="AC157"/>
  <c r="AD106"/>
  <c r="AD157" s="1"/>
  <c r="N88"/>
  <c r="AC155"/>
  <c r="AD79"/>
  <c r="AD155" s="1"/>
  <c r="AC146"/>
  <c r="AD18"/>
  <c r="AD146"/>
  <c r="N23"/>
  <c r="AB150"/>
  <c r="AB151"/>
  <c r="AB22"/>
  <c r="V8"/>
  <c r="AC8"/>
  <c r="AD8" s="1"/>
  <c r="U174"/>
  <c r="M43"/>
  <c r="AB171"/>
  <c r="AB173"/>
  <c r="F120"/>
  <c r="F122"/>
  <c r="AW70" i="102"/>
  <c r="AW71"/>
  <c r="AW34"/>
  <c r="AF73"/>
  <c r="AF71"/>
  <c r="AY73"/>
  <c r="AY71"/>
  <c r="BN12"/>
  <c r="BO12"/>
  <c r="BL13"/>
  <c r="BN13"/>
  <c r="BO13"/>
  <c r="BC76"/>
  <c r="BC77"/>
  <c r="BC74"/>
  <c r="AD81"/>
  <c r="AK76"/>
  <c r="AK77"/>
  <c r="AK74"/>
  <c r="C76"/>
  <c r="C77"/>
  <c r="C74"/>
  <c r="AB12"/>
  <c r="AC12"/>
  <c r="Z13"/>
  <c r="AB13"/>
  <c r="AC13"/>
  <c r="BR12"/>
  <c r="BR13"/>
  <c r="BR10"/>
  <c r="BL73"/>
  <c r="BR32"/>
  <c r="BR34"/>
  <c r="AY34"/>
  <c r="BR46"/>
  <c r="BR69"/>
  <c r="BP75"/>
  <c r="BS75"/>
  <c r="BT75"/>
  <c r="M76"/>
  <c r="M77"/>
  <c r="M74"/>
  <c r="AX32"/>
  <c r="AE34"/>
  <c r="AG34"/>
  <c r="AH34"/>
  <c r="AG32"/>
  <c r="AH32"/>
  <c r="AG11"/>
  <c r="AH11"/>
  <c r="AE12"/>
  <c r="AD73"/>
  <c r="AD71"/>
  <c r="K74"/>
  <c r="K76"/>
  <c r="K77"/>
  <c r="AT74"/>
  <c r="AT76"/>
  <c r="AT77"/>
  <c r="AZ29"/>
  <c r="BA29" s="1"/>
  <c r="BQ29"/>
  <c r="BS29"/>
  <c r="BT29" s="1"/>
  <c r="AA76"/>
  <c r="AA77"/>
  <c r="AA74"/>
  <c r="AW11"/>
  <c r="AW12"/>
  <c r="AW13"/>
  <c r="BP8"/>
  <c r="AW73"/>
  <c r="AW10"/>
  <c r="BP9"/>
  <c r="AY12"/>
  <c r="AY13"/>
  <c r="BP14"/>
  <c r="BP70"/>
  <c r="AC200" i="101"/>
  <c r="AD200" s="1"/>
  <c r="AD137"/>
  <c r="M211"/>
  <c r="N211"/>
  <c r="N169"/>
  <c r="V130"/>
  <c r="U193"/>
  <c r="V193"/>
  <c r="AD132"/>
  <c r="AC195"/>
  <c r="AD195" s="1"/>
  <c r="M58"/>
  <c r="N80"/>
  <c r="U251"/>
  <c r="V251" s="1"/>
  <c r="AC83"/>
  <c r="V83"/>
  <c r="AD170"/>
  <c r="AC237"/>
  <c r="AD237"/>
  <c r="AD100"/>
  <c r="AC252"/>
  <c r="AD252" s="1"/>
  <c r="AD48"/>
  <c r="U12"/>
  <c r="V11"/>
  <c r="AD8"/>
  <c r="AC11"/>
  <c r="P216"/>
  <c r="P212"/>
  <c r="AC238"/>
  <c r="AD238"/>
  <c r="AD41"/>
  <c r="AC181"/>
  <c r="AD181" s="1"/>
  <c r="AD27"/>
  <c r="AD125"/>
  <c r="AC116"/>
  <c r="V116"/>
  <c r="U109"/>
  <c r="V109" s="1"/>
  <c r="AC227"/>
  <c r="AD227" s="1"/>
  <c r="AD38"/>
  <c r="AC180"/>
  <c r="AD26"/>
  <c r="F153"/>
  <c r="F149"/>
  <c r="AC243"/>
  <c r="AD243" s="1"/>
  <c r="AD71"/>
  <c r="AC224"/>
  <c r="AD224" s="1"/>
  <c r="AC190"/>
  <c r="AD190" s="1"/>
  <c r="AD35"/>
  <c r="V186"/>
  <c r="AC232"/>
  <c r="AD232"/>
  <c r="AD64"/>
  <c r="AC223"/>
  <c r="AD223" s="1"/>
  <c r="AC189"/>
  <c r="AD189" s="1"/>
  <c r="AD34"/>
  <c r="M13"/>
  <c r="N13"/>
  <c r="N12"/>
  <c r="AD136"/>
  <c r="AC135"/>
  <c r="AC199"/>
  <c r="AD199" s="1"/>
  <c r="U198"/>
  <c r="V198" s="1"/>
  <c r="V135"/>
  <c r="AD134"/>
  <c r="AC197"/>
  <c r="AD197"/>
  <c r="AC245"/>
  <c r="AD76"/>
  <c r="AC75"/>
  <c r="AD75" s="1"/>
  <c r="AC248"/>
  <c r="AD248" s="1"/>
  <c r="AD45"/>
  <c r="AD29"/>
  <c r="U241"/>
  <c r="V241" s="1"/>
  <c r="AC69"/>
  <c r="V69"/>
  <c r="AC230"/>
  <c r="AD230" s="1"/>
  <c r="AD40"/>
  <c r="AC182"/>
  <c r="AD182"/>
  <c r="AD28"/>
  <c r="AC205"/>
  <c r="AD205"/>
  <c r="AD142"/>
  <c r="F210"/>
  <c r="U213"/>
  <c r="V213"/>
  <c r="U169"/>
  <c r="AC130"/>
  <c r="U148"/>
  <c r="V148" s="1"/>
  <c r="V14"/>
  <c r="AC164"/>
  <c r="U165"/>
  <c r="V165" s="1"/>
  <c r="V164"/>
  <c r="AC214"/>
  <c r="AC213"/>
  <c r="AD213"/>
  <c r="AC150"/>
  <c r="AC239"/>
  <c r="AD239" s="1"/>
  <c r="AD67"/>
  <c r="V46"/>
  <c r="U33"/>
  <c r="AD47"/>
  <c r="AC46"/>
  <c r="M188"/>
  <c r="M25"/>
  <c r="N33"/>
  <c r="AC246"/>
  <c r="AD246" s="1"/>
  <c r="AD43"/>
  <c r="AC42"/>
  <c r="AD42" s="1"/>
  <c r="AC10"/>
  <c r="AD10" s="1"/>
  <c r="AD9"/>
  <c r="AC236"/>
  <c r="AD236" s="1"/>
  <c r="AD99"/>
  <c r="U235"/>
  <c r="V235" s="1"/>
  <c r="AC98"/>
  <c r="V98"/>
  <c r="U253"/>
  <c r="V253" s="1"/>
  <c r="AC84"/>
  <c r="V84"/>
  <c r="U233"/>
  <c r="V233" s="1"/>
  <c r="AC74"/>
  <c r="V74"/>
  <c r="AC229"/>
  <c r="AD229"/>
  <c r="AD72"/>
  <c r="AD174"/>
  <c r="AC173"/>
  <c r="AD173" s="1"/>
  <c r="AC231"/>
  <c r="AD231" s="1"/>
  <c r="AD65"/>
  <c r="AD37"/>
  <c r="AC242"/>
  <c r="AD242" s="1"/>
  <c r="AD70"/>
  <c r="AA216"/>
  <c r="AA212"/>
  <c r="K216"/>
  <c r="K212"/>
  <c r="AD30"/>
  <c r="V180"/>
  <c r="AC184"/>
  <c r="AD184" s="1"/>
  <c r="AD51"/>
  <c r="AC186"/>
  <c r="AC32"/>
  <c r="AD32" s="1"/>
  <c r="AD31"/>
  <c r="AC247"/>
  <c r="AD247"/>
  <c r="AD44"/>
  <c r="D216"/>
  <c r="D212"/>
  <c r="U166"/>
  <c r="V163"/>
  <c r="AC163"/>
  <c r="M167"/>
  <c r="N166"/>
  <c r="AC209"/>
  <c r="AD209"/>
  <c r="AD146"/>
  <c r="V245"/>
  <c r="U244"/>
  <c r="V244" s="1"/>
  <c r="AC240"/>
  <c r="AD240"/>
  <c r="AD68"/>
  <c r="AC228"/>
  <c r="AD228" s="1"/>
  <c r="AD39"/>
  <c r="AC225"/>
  <c r="AD225" s="1"/>
  <c r="AD36"/>
  <c r="M249"/>
  <c r="AC105"/>
  <c r="AC57"/>
  <c r="AD57" s="1"/>
  <c r="AJ76" i="102"/>
  <c r="AJ77"/>
  <c r="AJ74"/>
  <c r="AJ60" i="104"/>
  <c r="AJ64"/>
  <c r="AD14" i="101"/>
  <c r="AE81" i="102"/>
  <c r="AG47"/>
  <c r="AH47"/>
  <c r="Q60" i="104"/>
  <c r="Q64"/>
  <c r="Z58"/>
  <c r="AB58"/>
  <c r="AC58"/>
  <c r="AB55"/>
  <c r="AC55"/>
  <c r="AE69"/>
  <c r="AG69"/>
  <c r="AH69"/>
  <c r="Z72" i="102"/>
  <c r="AE72"/>
  <c r="Q73"/>
  <c r="Z71"/>
  <c r="AB71"/>
  <c r="AC71"/>
  <c r="AB69"/>
  <c r="AC69"/>
  <c r="AG40" i="104"/>
  <c r="AH40"/>
  <c r="N72" i="102"/>
  <c r="O72"/>
  <c r="N81"/>
  <c r="O81"/>
  <c r="L73"/>
  <c r="N73"/>
  <c r="O73"/>
  <c r="F73"/>
  <c r="F76"/>
  <c r="F77"/>
  <c r="AG51"/>
  <c r="AH51"/>
  <c r="N69"/>
  <c r="O69"/>
  <c r="AE69"/>
  <c r="AG69"/>
  <c r="AH69"/>
  <c r="L58" i="104"/>
  <c r="N58"/>
  <c r="O58"/>
  <c r="AE55"/>
  <c r="N55"/>
  <c r="O55"/>
  <c r="C60"/>
  <c r="L59"/>
  <c r="AG36"/>
  <c r="AH36"/>
  <c r="AG70" i="102"/>
  <c r="AH70"/>
  <c r="AE71"/>
  <c r="AG71"/>
  <c r="AH71"/>
  <c r="BP69"/>
  <c r="BP73"/>
  <c r="BP74"/>
  <c r="AW74"/>
  <c r="BP11"/>
  <c r="BP12"/>
  <c r="BP13"/>
  <c r="BP34"/>
  <c r="AC169" i="101"/>
  <c r="AC211" s="1"/>
  <c r="AD211" s="1"/>
  <c r="K65" i="104"/>
  <c r="AD64"/>
  <c r="AD62"/>
  <c r="AW60"/>
  <c r="BN64"/>
  <c r="BO64"/>
  <c r="BL65"/>
  <c r="BN65"/>
  <c r="BO65"/>
  <c r="M65"/>
  <c r="AF64"/>
  <c r="AF62"/>
  <c r="BS21"/>
  <c r="BT21" s="1"/>
  <c r="AY58"/>
  <c r="BR55"/>
  <c r="BR58"/>
  <c r="AW58"/>
  <c r="BP55"/>
  <c r="BP58"/>
  <c r="AD19" i="103"/>
  <c r="N34"/>
  <c r="N15"/>
  <c r="K177"/>
  <c r="M126"/>
  <c r="AC168"/>
  <c r="AD117"/>
  <c r="AD168"/>
  <c r="AA177"/>
  <c r="AD174"/>
  <c r="AD150"/>
  <c r="AC151"/>
  <c r="N43"/>
  <c r="N152"/>
  <c r="F156"/>
  <c r="F171"/>
  <c r="F173"/>
  <c r="K122"/>
  <c r="M120"/>
  <c r="AA122"/>
  <c r="U172"/>
  <c r="V137"/>
  <c r="V172" s="1"/>
  <c r="AC137"/>
  <c r="M152"/>
  <c r="AD22"/>
  <c r="L74" i="102"/>
  <c r="N74"/>
  <c r="O74"/>
  <c r="AD74"/>
  <c r="AD76"/>
  <c r="AD77"/>
  <c r="BR73"/>
  <c r="BR71"/>
  <c r="AW81"/>
  <c r="AY74"/>
  <c r="AY76"/>
  <c r="AY77"/>
  <c r="AF74"/>
  <c r="AF76"/>
  <c r="AF77"/>
  <c r="BP10"/>
  <c r="AE13"/>
  <c r="AG13"/>
  <c r="AG12"/>
  <c r="AH12"/>
  <c r="AZ32"/>
  <c r="BA32" s="1"/>
  <c r="BQ32"/>
  <c r="BL74"/>
  <c r="BN74"/>
  <c r="BO74"/>
  <c r="BN73"/>
  <c r="BO73"/>
  <c r="BL76"/>
  <c r="AW76"/>
  <c r="AW77"/>
  <c r="AC166" i="101"/>
  <c r="AD163"/>
  <c r="U167"/>
  <c r="V166"/>
  <c r="AC253"/>
  <c r="AD253" s="1"/>
  <c r="AD84"/>
  <c r="M192"/>
  <c r="N192"/>
  <c r="N188"/>
  <c r="M210"/>
  <c r="U25"/>
  <c r="V33"/>
  <c r="AC165"/>
  <c r="AD165" s="1"/>
  <c r="AD164"/>
  <c r="U211"/>
  <c r="V211" s="1"/>
  <c r="V169"/>
  <c r="F216"/>
  <c r="F212"/>
  <c r="AD180"/>
  <c r="U13"/>
  <c r="V13" s="1"/>
  <c r="V12"/>
  <c r="M49"/>
  <c r="N49"/>
  <c r="N58"/>
  <c r="AD105"/>
  <c r="M254"/>
  <c r="N254"/>
  <c r="N249"/>
  <c r="M168"/>
  <c r="N168"/>
  <c r="N167"/>
  <c r="AD186"/>
  <c r="AC233"/>
  <c r="AD233" s="1"/>
  <c r="AD74"/>
  <c r="AC235"/>
  <c r="AD235" s="1"/>
  <c r="AD98"/>
  <c r="N25"/>
  <c r="AD46"/>
  <c r="AC33"/>
  <c r="AD130"/>
  <c r="AC193"/>
  <c r="AD193" s="1"/>
  <c r="AC241"/>
  <c r="AD241"/>
  <c r="AD69"/>
  <c r="AD245"/>
  <c r="AC244"/>
  <c r="AD244" s="1"/>
  <c r="AC198"/>
  <c r="AD198" s="1"/>
  <c r="AD135"/>
  <c r="AD116"/>
  <c r="AC109"/>
  <c r="AD109" s="1"/>
  <c r="AC12"/>
  <c r="AD11"/>
  <c r="AC251"/>
  <c r="AD251" s="1"/>
  <c r="AD83"/>
  <c r="AJ62" i="104"/>
  <c r="AJ65"/>
  <c r="AG81" i="102"/>
  <c r="AH81"/>
  <c r="AG72"/>
  <c r="AH72"/>
  <c r="AE73"/>
  <c r="AE74"/>
  <c r="AG74"/>
  <c r="AH74"/>
  <c r="Z60" i="104"/>
  <c r="Z62"/>
  <c r="AB62"/>
  <c r="AC62"/>
  <c r="Q62"/>
  <c r="Q65"/>
  <c r="Z64"/>
  <c r="AB72" i="102"/>
  <c r="AC72"/>
  <c r="Z73"/>
  <c r="Q74"/>
  <c r="Q76"/>
  <c r="Q77"/>
  <c r="AD169" i="101"/>
  <c r="L76" i="102"/>
  <c r="N76"/>
  <c r="O76"/>
  <c r="M147" i="101"/>
  <c r="M153"/>
  <c r="F74" i="102"/>
  <c r="N59" i="104"/>
  <c r="O59"/>
  <c r="AE59"/>
  <c r="C64"/>
  <c r="C61"/>
  <c r="C62"/>
  <c r="L60"/>
  <c r="AE58"/>
  <c r="AG58"/>
  <c r="AH58"/>
  <c r="AG55"/>
  <c r="AH55"/>
  <c r="BP71" i="102"/>
  <c r="BP76"/>
  <c r="BP77"/>
  <c r="AF65" i="104"/>
  <c r="AW62"/>
  <c r="BP60"/>
  <c r="BP62"/>
  <c r="AD65"/>
  <c r="AW64"/>
  <c r="N156" i="103"/>
  <c r="N171"/>
  <c r="N173"/>
  <c r="M122"/>
  <c r="N122"/>
  <c r="N120"/>
  <c r="M156"/>
  <c r="M171"/>
  <c r="M173"/>
  <c r="AC172"/>
  <c r="AD137"/>
  <c r="AD172"/>
  <c r="M177"/>
  <c r="N126"/>
  <c r="N177"/>
  <c r="BL77" i="102"/>
  <c r="BN77"/>
  <c r="BO77"/>
  <c r="BN76"/>
  <c r="BO76"/>
  <c r="BP81"/>
  <c r="BR74"/>
  <c r="BR76"/>
  <c r="BR77"/>
  <c r="L77"/>
  <c r="N77"/>
  <c r="O77"/>
  <c r="BS32"/>
  <c r="BT32" s="1"/>
  <c r="AC13" i="101"/>
  <c r="AD13" s="1"/>
  <c r="AD12"/>
  <c r="V25"/>
  <c r="N210"/>
  <c r="M216"/>
  <c r="N216"/>
  <c r="M212"/>
  <c r="N212"/>
  <c r="U168"/>
  <c r="V168" s="1"/>
  <c r="V167"/>
  <c r="AC167"/>
  <c r="AD167" s="1"/>
  <c r="AD166"/>
  <c r="AC25"/>
  <c r="AD25" s="1"/>
  <c r="AD33"/>
  <c r="AG73" i="102"/>
  <c r="AH73"/>
  <c r="AE76"/>
  <c r="AE77"/>
  <c r="AG77"/>
  <c r="AH77"/>
  <c r="AB60" i="104"/>
  <c r="AC60"/>
  <c r="AB64"/>
  <c r="AC64"/>
  <c r="Z65"/>
  <c r="AB65"/>
  <c r="AC65"/>
  <c r="AB73" i="102"/>
  <c r="AC73"/>
  <c r="Z74"/>
  <c r="AB74"/>
  <c r="AC74"/>
  <c r="Z76"/>
  <c r="M149" i="101"/>
  <c r="N149"/>
  <c r="N147"/>
  <c r="N153"/>
  <c r="C65" i="104"/>
  <c r="L64"/>
  <c r="AE60"/>
  <c r="L62"/>
  <c r="N62"/>
  <c r="O62"/>
  <c r="N60"/>
  <c r="O60"/>
  <c r="AG59"/>
  <c r="AH59"/>
  <c r="AW65"/>
  <c r="BP64"/>
  <c r="BP65"/>
  <c r="AG76" i="102"/>
  <c r="AH76"/>
  <c r="AC168" i="101"/>
  <c r="AD168" s="1"/>
  <c r="AB76" i="102"/>
  <c r="AC76"/>
  <c r="Z77"/>
  <c r="AB77"/>
  <c r="AC77"/>
  <c r="AE62" i="104"/>
  <c r="AG62"/>
  <c r="AH62"/>
  <c r="AG60"/>
  <c r="AH60"/>
  <c r="L65"/>
  <c r="N65"/>
  <c r="O65"/>
  <c r="N64"/>
  <c r="O64"/>
  <c r="AE64"/>
  <c r="AE65"/>
  <c r="AG65"/>
  <c r="AH65"/>
  <c r="AG64"/>
  <c r="AH64"/>
  <c r="S26" i="99"/>
  <c r="P26"/>
  <c r="S25"/>
  <c r="P25"/>
  <c r="S24"/>
  <c r="P24"/>
  <c r="S23"/>
  <c r="P23"/>
  <c r="N26"/>
  <c r="K26"/>
  <c r="N25"/>
  <c r="K25"/>
  <c r="N24"/>
  <c r="K24"/>
  <c r="N23"/>
  <c r="K23"/>
  <c r="I26"/>
  <c r="F26"/>
  <c r="I25"/>
  <c r="F25"/>
  <c r="I24"/>
  <c r="F24"/>
  <c r="E26"/>
  <c r="B26"/>
  <c r="C26"/>
  <c r="E25"/>
  <c r="B25"/>
  <c r="E24"/>
  <c r="B24"/>
  <c r="C24"/>
  <c r="I23"/>
  <c r="F23"/>
  <c r="E23"/>
  <c r="B23"/>
  <c r="R16"/>
  <c r="Q16"/>
  <c r="P16"/>
  <c r="M16"/>
  <c r="L16"/>
  <c r="K16"/>
  <c r="H16"/>
  <c r="G16"/>
  <c r="F16"/>
  <c r="D16"/>
  <c r="C16"/>
  <c r="B16"/>
  <c r="R15"/>
  <c r="Q15"/>
  <c r="P15"/>
  <c r="M15"/>
  <c r="L15"/>
  <c r="K15"/>
  <c r="H15"/>
  <c r="G15"/>
  <c r="F15"/>
  <c r="D15"/>
  <c r="C15"/>
  <c r="B15"/>
  <c r="S13"/>
  <c r="P13"/>
  <c r="N13"/>
  <c r="K13"/>
  <c r="I13"/>
  <c r="F13"/>
  <c r="E13"/>
  <c r="B13"/>
  <c r="C13"/>
  <c r="R12"/>
  <c r="Q12"/>
  <c r="S12"/>
  <c r="P12"/>
  <c r="M12"/>
  <c r="L12"/>
  <c r="K12"/>
  <c r="N12"/>
  <c r="H12"/>
  <c r="G12"/>
  <c r="F12"/>
  <c r="D12"/>
  <c r="C12"/>
  <c r="B12"/>
  <c r="E12"/>
  <c r="R11"/>
  <c r="Q11"/>
  <c r="P11"/>
  <c r="M11"/>
  <c r="L11"/>
  <c r="K11"/>
  <c r="H11"/>
  <c r="G11"/>
  <c r="F11"/>
  <c r="D11"/>
  <c r="C11"/>
  <c r="B11"/>
  <c r="R9"/>
  <c r="Q9"/>
  <c r="P9"/>
  <c r="M9"/>
  <c r="L9"/>
  <c r="K9"/>
  <c r="H9"/>
  <c r="G9"/>
  <c r="F9"/>
  <c r="D9"/>
  <c r="C9"/>
  <c r="B9"/>
  <c r="R10"/>
  <c r="Q10"/>
  <c r="P10"/>
  <c r="M10"/>
  <c r="L10"/>
  <c r="K10"/>
  <c r="H10"/>
  <c r="G10"/>
  <c r="F10"/>
  <c r="D10"/>
  <c r="C10"/>
  <c r="B10"/>
  <c r="Q23"/>
  <c r="R23"/>
  <c r="P22"/>
  <c r="Q25"/>
  <c r="R25"/>
  <c r="R24"/>
  <c r="Q24"/>
  <c r="R26"/>
  <c r="Q26"/>
  <c r="L23"/>
  <c r="K22"/>
  <c r="M23"/>
  <c r="L25"/>
  <c r="M25"/>
  <c r="M24"/>
  <c r="L24"/>
  <c r="M26"/>
  <c r="L26"/>
  <c r="G23"/>
  <c r="H23"/>
  <c r="F22"/>
  <c r="G25"/>
  <c r="H25"/>
  <c r="H24"/>
  <c r="G24"/>
  <c r="H26"/>
  <c r="G26"/>
  <c r="D25"/>
  <c r="C25"/>
  <c r="D23"/>
  <c r="B22"/>
  <c r="C23"/>
  <c r="D24"/>
  <c r="D26"/>
  <c r="J25"/>
  <c r="O25"/>
  <c r="T25"/>
  <c r="I10"/>
  <c r="S10"/>
  <c r="I12"/>
  <c r="J12"/>
  <c r="E10"/>
  <c r="N10"/>
  <c r="D13"/>
  <c r="D20"/>
  <c r="R13"/>
  <c r="R8"/>
  <c r="Q13"/>
  <c r="Q20"/>
  <c r="M13"/>
  <c r="M8"/>
  <c r="L13"/>
  <c r="L20"/>
  <c r="H13"/>
  <c r="H8"/>
  <c r="G13"/>
  <c r="G20"/>
  <c r="O12"/>
  <c r="T12"/>
  <c r="V36" i="92"/>
  <c r="U36"/>
  <c r="T36"/>
  <c r="S36"/>
  <c r="R36"/>
  <c r="Q36"/>
  <c r="P36"/>
  <c r="O36"/>
  <c r="N36"/>
  <c r="M36"/>
  <c r="L36"/>
  <c r="K36"/>
  <c r="J36"/>
  <c r="I36"/>
  <c r="H36"/>
  <c r="G36"/>
  <c r="F36"/>
  <c r="E36"/>
  <c r="D21" i="100"/>
  <c r="C21"/>
  <c r="B21"/>
  <c r="E20"/>
  <c r="E19"/>
  <c r="E18"/>
  <c r="D16"/>
  <c r="C16"/>
  <c r="E16"/>
  <c r="B16"/>
  <c r="E15"/>
  <c r="E14"/>
  <c r="E13"/>
  <c r="D11"/>
  <c r="C11"/>
  <c r="B11"/>
  <c r="E10"/>
  <c r="E9"/>
  <c r="E8"/>
  <c r="D7"/>
  <c r="D12"/>
  <c r="D17"/>
  <c r="D22"/>
  <c r="C7"/>
  <c r="C12"/>
  <c r="C17"/>
  <c r="C22"/>
  <c r="B7"/>
  <c r="E6"/>
  <c r="E5"/>
  <c r="E4"/>
  <c r="S32" i="99"/>
  <c r="N32"/>
  <c r="I32"/>
  <c r="E32"/>
  <c r="S31"/>
  <c r="N31"/>
  <c r="I31"/>
  <c r="E31"/>
  <c r="P20"/>
  <c r="K20"/>
  <c r="F20"/>
  <c r="C20"/>
  <c r="B20"/>
  <c r="R19"/>
  <c r="Q19"/>
  <c r="P19"/>
  <c r="M19"/>
  <c r="L19"/>
  <c r="K19"/>
  <c r="H19"/>
  <c r="G19"/>
  <c r="F19"/>
  <c r="D19"/>
  <c r="C19"/>
  <c r="B19"/>
  <c r="R18"/>
  <c r="Q18"/>
  <c r="P18"/>
  <c r="M18"/>
  <c r="L18"/>
  <c r="K18"/>
  <c r="H18"/>
  <c r="G18"/>
  <c r="F18"/>
  <c r="D18"/>
  <c r="C18"/>
  <c r="C17"/>
  <c r="B18"/>
  <c r="S16"/>
  <c r="N16"/>
  <c r="I16"/>
  <c r="E16"/>
  <c r="S15"/>
  <c r="N15"/>
  <c r="I15"/>
  <c r="E15"/>
  <c r="R14"/>
  <c r="Q14"/>
  <c r="P14"/>
  <c r="M14"/>
  <c r="L14"/>
  <c r="K14"/>
  <c r="H14"/>
  <c r="G14"/>
  <c r="F14"/>
  <c r="D14"/>
  <c r="C14"/>
  <c r="B14"/>
  <c r="S11"/>
  <c r="N11"/>
  <c r="I11"/>
  <c r="E11"/>
  <c r="S9"/>
  <c r="N9"/>
  <c r="I9"/>
  <c r="E9"/>
  <c r="P8"/>
  <c r="K8"/>
  <c r="F8"/>
  <c r="C8"/>
  <c r="B8"/>
  <c r="E36" i="98"/>
  <c r="G36"/>
  <c r="I36"/>
  <c r="I30"/>
  <c r="H30"/>
  <c r="G30"/>
  <c r="F30"/>
  <c r="E30"/>
  <c r="D30"/>
  <c r="C30"/>
  <c r="I27"/>
  <c r="H27"/>
  <c r="G27"/>
  <c r="F27"/>
  <c r="E27"/>
  <c r="D27"/>
  <c r="C27"/>
  <c r="I18"/>
  <c r="H18"/>
  <c r="G18"/>
  <c r="F18"/>
  <c r="E18"/>
  <c r="D18"/>
  <c r="C18"/>
  <c r="I16"/>
  <c r="H16"/>
  <c r="G16"/>
  <c r="F16"/>
  <c r="E16"/>
  <c r="D16"/>
  <c r="C16"/>
  <c r="R22" i="99"/>
  <c r="Q22"/>
  <c r="M22"/>
  <c r="L22"/>
  <c r="H22"/>
  <c r="G22"/>
  <c r="C22"/>
  <c r="C27"/>
  <c r="C28"/>
  <c r="C29"/>
  <c r="D22"/>
  <c r="H20"/>
  <c r="H17"/>
  <c r="M20"/>
  <c r="N20"/>
  <c r="R20"/>
  <c r="J10"/>
  <c r="O10"/>
  <c r="T10"/>
  <c r="L8"/>
  <c r="E21"/>
  <c r="D8"/>
  <c r="E8"/>
  <c r="G8"/>
  <c r="I8"/>
  <c r="D17"/>
  <c r="K17"/>
  <c r="K27"/>
  <c r="S14"/>
  <c r="N14"/>
  <c r="Q17"/>
  <c r="Q8"/>
  <c r="S8"/>
  <c r="L17"/>
  <c r="G17"/>
  <c r="E20"/>
  <c r="I19"/>
  <c r="S19"/>
  <c r="I14"/>
  <c r="S20"/>
  <c r="N19"/>
  <c r="J11"/>
  <c r="O11"/>
  <c r="T11"/>
  <c r="J13"/>
  <c r="O13"/>
  <c r="T13"/>
  <c r="E14"/>
  <c r="J15"/>
  <c r="O15"/>
  <c r="T15"/>
  <c r="J16"/>
  <c r="O16"/>
  <c r="T16"/>
  <c r="I18"/>
  <c r="S18"/>
  <c r="R17"/>
  <c r="E19"/>
  <c r="I20"/>
  <c r="I21"/>
  <c r="N21"/>
  <c r="S21"/>
  <c r="J23"/>
  <c r="J24"/>
  <c r="O24"/>
  <c r="T24"/>
  <c r="J26"/>
  <c r="O26"/>
  <c r="T26"/>
  <c r="J31"/>
  <c r="O31"/>
  <c r="T31"/>
  <c r="J32"/>
  <c r="O32"/>
  <c r="T32"/>
  <c r="N8"/>
  <c r="J9"/>
  <c r="O9"/>
  <c r="T9"/>
  <c r="E18"/>
  <c r="E7" i="100"/>
  <c r="E11"/>
  <c r="E21"/>
  <c r="B12"/>
  <c r="N18" i="99"/>
  <c r="B17"/>
  <c r="B27"/>
  <c r="F17"/>
  <c r="F27"/>
  <c r="P17"/>
  <c r="P27"/>
  <c r="E37" i="98"/>
  <c r="G37"/>
  <c r="I37"/>
  <c r="E35"/>
  <c r="G35"/>
  <c r="I35"/>
  <c r="E34"/>
  <c r="G34"/>
  <c r="H33"/>
  <c r="H38"/>
  <c r="F33"/>
  <c r="F38"/>
  <c r="D33"/>
  <c r="D38"/>
  <c r="C33"/>
  <c r="C38"/>
  <c r="H31"/>
  <c r="F31"/>
  <c r="D31"/>
  <c r="C31"/>
  <c r="H23"/>
  <c r="H29"/>
  <c r="H28"/>
  <c r="F23"/>
  <c r="F29"/>
  <c r="F28"/>
  <c r="D23"/>
  <c r="D29"/>
  <c r="D28"/>
  <c r="C23"/>
  <c r="C29"/>
  <c r="C28"/>
  <c r="H22"/>
  <c r="F22"/>
  <c r="D22"/>
  <c r="C22"/>
  <c r="C21"/>
  <c r="H21"/>
  <c r="E20"/>
  <c r="E31"/>
  <c r="H19"/>
  <c r="F19"/>
  <c r="D19"/>
  <c r="C19"/>
  <c r="H17"/>
  <c r="F17"/>
  <c r="D17"/>
  <c r="C17"/>
  <c r="I14"/>
  <c r="H14"/>
  <c r="G14"/>
  <c r="F14"/>
  <c r="E14"/>
  <c r="D14"/>
  <c r="C14"/>
  <c r="I13"/>
  <c r="H13"/>
  <c r="G13"/>
  <c r="F13"/>
  <c r="E13"/>
  <c r="D13"/>
  <c r="C13"/>
  <c r="F28" i="99"/>
  <c r="F29"/>
  <c r="R27"/>
  <c r="R28"/>
  <c r="R29"/>
  <c r="L27"/>
  <c r="L28"/>
  <c r="L29"/>
  <c r="Q27"/>
  <c r="Q28"/>
  <c r="Q29"/>
  <c r="D27"/>
  <c r="D28"/>
  <c r="D29"/>
  <c r="H27"/>
  <c r="H28"/>
  <c r="H29"/>
  <c r="P28"/>
  <c r="P29"/>
  <c r="S27"/>
  <c r="B28"/>
  <c r="B29"/>
  <c r="E27"/>
  <c r="G27"/>
  <c r="G28"/>
  <c r="G29"/>
  <c r="K28"/>
  <c r="K29"/>
  <c r="J21"/>
  <c r="I22"/>
  <c r="N22"/>
  <c r="S22"/>
  <c r="E22"/>
  <c r="M17"/>
  <c r="J19"/>
  <c r="J20"/>
  <c r="O20"/>
  <c r="T20"/>
  <c r="O23"/>
  <c r="T23"/>
  <c r="N17"/>
  <c r="J14"/>
  <c r="O14"/>
  <c r="T14"/>
  <c r="J8"/>
  <c r="O8"/>
  <c r="T8"/>
  <c r="O21"/>
  <c r="T21"/>
  <c r="J18"/>
  <c r="O18"/>
  <c r="T18"/>
  <c r="O19"/>
  <c r="T19"/>
  <c r="B17" i="100"/>
  <c r="E12"/>
  <c r="I17" i="99"/>
  <c r="S17"/>
  <c r="E17"/>
  <c r="J17"/>
  <c r="F21" i="98"/>
  <c r="C26"/>
  <c r="C25"/>
  <c r="F15"/>
  <c r="F26"/>
  <c r="F25"/>
  <c r="C15"/>
  <c r="D21"/>
  <c r="D15"/>
  <c r="H15"/>
  <c r="E19"/>
  <c r="G19"/>
  <c r="I19"/>
  <c r="E33"/>
  <c r="E38"/>
  <c r="D26"/>
  <c r="D25"/>
  <c r="H26"/>
  <c r="H25"/>
  <c r="E17"/>
  <c r="G17"/>
  <c r="E22"/>
  <c r="E26"/>
  <c r="E25"/>
  <c r="E23"/>
  <c r="I34"/>
  <c r="I33"/>
  <c r="I38"/>
  <c r="G33"/>
  <c r="G38"/>
  <c r="G20"/>
  <c r="M27" i="99"/>
  <c r="I27"/>
  <c r="J27"/>
  <c r="J22"/>
  <c r="O22"/>
  <c r="T22"/>
  <c r="O17"/>
  <c r="T17"/>
  <c r="B22" i="100"/>
  <c r="E22"/>
  <c r="E17"/>
  <c r="E28" i="99"/>
  <c r="S28"/>
  <c r="I28"/>
  <c r="G23" i="98"/>
  <c r="E29"/>
  <c r="E28"/>
  <c r="H39"/>
  <c r="H41"/>
  <c r="H44"/>
  <c r="H24"/>
  <c r="C39"/>
  <c r="C24"/>
  <c r="F39"/>
  <c r="F41"/>
  <c r="F44"/>
  <c r="F24"/>
  <c r="D24"/>
  <c r="G22"/>
  <c r="G21"/>
  <c r="F40"/>
  <c r="D39"/>
  <c r="D40"/>
  <c r="E15"/>
  <c r="E21"/>
  <c r="G31"/>
  <c r="I20"/>
  <c r="I31"/>
  <c r="I17"/>
  <c r="I15"/>
  <c r="G15"/>
  <c r="M28" i="99"/>
  <c r="N27"/>
  <c r="O27"/>
  <c r="T27"/>
  <c r="I29"/>
  <c r="I30"/>
  <c r="E29"/>
  <c r="S29"/>
  <c r="S30"/>
  <c r="J28"/>
  <c r="G24" i="98"/>
  <c r="I22"/>
  <c r="I21"/>
  <c r="I24"/>
  <c r="E24"/>
  <c r="H40"/>
  <c r="C40"/>
  <c r="C41"/>
  <c r="C44"/>
  <c r="I23"/>
  <c r="I29"/>
  <c r="I28"/>
  <c r="G29"/>
  <c r="G28"/>
  <c r="G26"/>
  <c r="G25"/>
  <c r="D41"/>
  <c r="D44"/>
  <c r="E39"/>
  <c r="E40"/>
  <c r="G39"/>
  <c r="I26"/>
  <c r="I25"/>
  <c r="M29" i="99"/>
  <c r="N28"/>
  <c r="O28"/>
  <c r="T28"/>
  <c r="J29"/>
  <c r="E30"/>
  <c r="E41" i="98"/>
  <c r="E44"/>
  <c r="G41"/>
  <c r="G44"/>
  <c r="G40"/>
  <c r="I39"/>
  <c r="N29" i="99"/>
  <c r="N30"/>
  <c r="J30"/>
  <c r="O29"/>
  <c r="T29"/>
  <c r="I41" i="98"/>
  <c r="I44"/>
  <c r="I40"/>
  <c r="O30" i="99"/>
  <c r="T30"/>
  <c r="R49" i="96"/>
  <c r="P49"/>
  <c r="N49"/>
  <c r="M49"/>
  <c r="R50"/>
  <c r="R52"/>
  <c r="P50"/>
  <c r="P52"/>
  <c r="N50"/>
  <c r="N52"/>
  <c r="M50"/>
  <c r="M52"/>
  <c r="R53"/>
  <c r="P53"/>
  <c r="N53"/>
  <c r="M53"/>
  <c r="R55"/>
  <c r="Q55"/>
  <c r="P55"/>
  <c r="N55"/>
  <c r="M55"/>
  <c r="R54"/>
  <c r="P54"/>
  <c r="N54"/>
  <c r="M54"/>
  <c r="S48"/>
  <c r="Q48"/>
  <c r="O48"/>
  <c r="R48"/>
  <c r="P48"/>
  <c r="N48"/>
  <c r="M48"/>
  <c r="R47"/>
  <c r="P47"/>
  <c r="N47"/>
  <c r="M47"/>
  <c r="O47"/>
  <c r="Q47"/>
  <c r="S47"/>
  <c r="R46"/>
  <c r="P46"/>
  <c r="N46"/>
  <c r="M46"/>
  <c r="O46"/>
  <c r="Q46"/>
  <c r="S46"/>
  <c r="R45"/>
  <c r="P45"/>
  <c r="N45"/>
  <c r="M45"/>
  <c r="O45"/>
  <c r="Q45"/>
  <c r="S45"/>
  <c r="R44"/>
  <c r="P44"/>
  <c r="N44"/>
  <c r="M44"/>
  <c r="O44"/>
  <c r="Q44"/>
  <c r="S44"/>
  <c r="R43"/>
  <c r="P43"/>
  <c r="N43"/>
  <c r="M43"/>
  <c r="O43"/>
  <c r="Q43"/>
  <c r="S43"/>
  <c r="R42"/>
  <c r="P42"/>
  <c r="N42"/>
  <c r="M42"/>
  <c r="O42"/>
  <c r="Q42"/>
  <c r="S42"/>
  <c r="R41"/>
  <c r="P41"/>
  <c r="N41"/>
  <c r="M41"/>
  <c r="O41"/>
  <c r="Q41"/>
  <c r="S41"/>
  <c r="R40"/>
  <c r="P40"/>
  <c r="N40"/>
  <c r="M40"/>
  <c r="O40"/>
  <c r="Q40"/>
  <c r="S40"/>
  <c r="R39"/>
  <c r="P39"/>
  <c r="N39"/>
  <c r="M39"/>
  <c r="O39"/>
  <c r="Q39"/>
  <c r="S39"/>
  <c r="R38"/>
  <c r="P38"/>
  <c r="N38"/>
  <c r="M38"/>
  <c r="O38"/>
  <c r="Q38"/>
  <c r="S38"/>
  <c r="R37"/>
  <c r="P37"/>
  <c r="N37"/>
  <c r="M37"/>
  <c r="O37"/>
  <c r="Q37"/>
  <c r="S37"/>
  <c r="R36"/>
  <c r="P36"/>
  <c r="N36"/>
  <c r="M36"/>
  <c r="O36"/>
  <c r="Q36"/>
  <c r="S36"/>
  <c r="R35"/>
  <c r="P35"/>
  <c r="N35"/>
  <c r="M35"/>
  <c r="O35"/>
  <c r="Q35"/>
  <c r="S35"/>
  <c r="R34"/>
  <c r="P34"/>
  <c r="N34"/>
  <c r="M34"/>
  <c r="O34"/>
  <c r="Q34"/>
  <c r="S34"/>
  <c r="R33"/>
  <c r="P33"/>
  <c r="N33"/>
  <c r="M33"/>
  <c r="O33"/>
  <c r="Q33"/>
  <c r="S33"/>
  <c r="R32"/>
  <c r="P32"/>
  <c r="N32"/>
  <c r="M32"/>
  <c r="O32"/>
  <c r="Q32"/>
  <c r="S32"/>
  <c r="R31"/>
  <c r="P31"/>
  <c r="N31"/>
  <c r="M31"/>
  <c r="O31"/>
  <c r="Q31"/>
  <c r="S31"/>
  <c r="R30"/>
  <c r="P30"/>
  <c r="N30"/>
  <c r="M30"/>
  <c r="O30"/>
  <c r="Q30"/>
  <c r="S30"/>
  <c r="R29"/>
  <c r="P29"/>
  <c r="N29"/>
  <c r="M29"/>
  <c r="R28"/>
  <c r="P28"/>
  <c r="N28"/>
  <c r="M28"/>
  <c r="O28"/>
  <c r="Q28"/>
  <c r="S28"/>
  <c r="S29"/>
  <c r="R27"/>
  <c r="P27"/>
  <c r="N27"/>
  <c r="M27"/>
  <c r="O27"/>
  <c r="Q27"/>
  <c r="S27"/>
  <c r="R26"/>
  <c r="P26"/>
  <c r="N26"/>
  <c r="M26"/>
  <c r="O26"/>
  <c r="Q26"/>
  <c r="S26"/>
  <c r="R25"/>
  <c r="P25"/>
  <c r="N25"/>
  <c r="M25"/>
  <c r="O25"/>
  <c r="Q25"/>
  <c r="S25"/>
  <c r="R24"/>
  <c r="P24"/>
  <c r="N24"/>
  <c r="M24"/>
  <c r="O24"/>
  <c r="Q24"/>
  <c r="S24"/>
  <c r="R23"/>
  <c r="P23"/>
  <c r="N23"/>
  <c r="M23"/>
  <c r="O23"/>
  <c r="Q23"/>
  <c r="S23"/>
  <c r="R22"/>
  <c r="P22"/>
  <c r="N22"/>
  <c r="M22"/>
  <c r="R18"/>
  <c r="P18"/>
  <c r="N18"/>
  <c r="M18"/>
  <c r="O18"/>
  <c r="Q18"/>
  <c r="S18"/>
  <c r="R17"/>
  <c r="P17"/>
  <c r="N17"/>
  <c r="M17"/>
  <c r="O17"/>
  <c r="Q17"/>
  <c r="S17"/>
  <c r="R16"/>
  <c r="P16"/>
  <c r="N16"/>
  <c r="M16"/>
  <c r="R15"/>
  <c r="P15"/>
  <c r="N15"/>
  <c r="M15"/>
  <c r="O29"/>
  <c r="Q29"/>
  <c r="Q59" i="95"/>
  <c r="O59"/>
  <c r="M59"/>
  <c r="L59"/>
  <c r="Q62"/>
  <c r="O62"/>
  <c r="M62"/>
  <c r="L62"/>
  <c r="N62"/>
  <c r="Q63"/>
  <c r="O63"/>
  <c r="M63"/>
  <c r="Q60"/>
  <c r="O60"/>
  <c r="M60"/>
  <c r="Q61"/>
  <c r="O61"/>
  <c r="M61"/>
  <c r="L61"/>
  <c r="N61"/>
  <c r="P61"/>
  <c r="R61"/>
  <c r="Q56"/>
  <c r="O56"/>
  <c r="M56"/>
  <c r="L56"/>
  <c r="N56"/>
  <c r="P56"/>
  <c r="R56"/>
  <c r="Q54"/>
  <c r="O54"/>
  <c r="M54"/>
  <c r="L54"/>
  <c r="N54"/>
  <c r="P54"/>
  <c r="R54"/>
  <c r="Q53"/>
  <c r="O53"/>
  <c r="M53"/>
  <c r="L53"/>
  <c r="N53"/>
  <c r="P53"/>
  <c r="R53"/>
  <c r="Q52"/>
  <c r="O52"/>
  <c r="M52"/>
  <c r="L52"/>
  <c r="N52"/>
  <c r="P52"/>
  <c r="R52"/>
  <c r="Q51"/>
  <c r="O51"/>
  <c r="M51"/>
  <c r="L51"/>
  <c r="N51"/>
  <c r="P51"/>
  <c r="R51"/>
  <c r="Q50"/>
  <c r="O50"/>
  <c r="M50"/>
  <c r="L50"/>
  <c r="N50"/>
  <c r="P50"/>
  <c r="R50"/>
  <c r="Q49"/>
  <c r="O49"/>
  <c r="M49"/>
  <c r="L49"/>
  <c r="N49"/>
  <c r="P49"/>
  <c r="R49"/>
  <c r="Q48"/>
  <c r="O48"/>
  <c r="M48"/>
  <c r="L48"/>
  <c r="N48"/>
  <c r="P48"/>
  <c r="R48"/>
  <c r="Q47"/>
  <c r="O47"/>
  <c r="M47"/>
  <c r="L47"/>
  <c r="N47"/>
  <c r="P47"/>
  <c r="R47"/>
  <c r="Q46"/>
  <c r="O46"/>
  <c r="M46"/>
  <c r="L46"/>
  <c r="N46"/>
  <c r="P46"/>
  <c r="R46"/>
  <c r="Q45"/>
  <c r="O45"/>
  <c r="M45"/>
  <c r="L45"/>
  <c r="N45"/>
  <c r="P45"/>
  <c r="R45"/>
  <c r="Q44"/>
  <c r="O44"/>
  <c r="M44"/>
  <c r="L44"/>
  <c r="N44"/>
  <c r="P44"/>
  <c r="R44"/>
  <c r="Q43"/>
  <c r="O43"/>
  <c r="M43"/>
  <c r="L43"/>
  <c r="N43"/>
  <c r="P43"/>
  <c r="R43"/>
  <c r="Q42"/>
  <c r="O42"/>
  <c r="M42"/>
  <c r="L42"/>
  <c r="N42"/>
  <c r="P42"/>
  <c r="R42"/>
  <c r="Q41"/>
  <c r="O41"/>
  <c r="M41"/>
  <c r="L41"/>
  <c r="N41"/>
  <c r="P41"/>
  <c r="R41"/>
  <c r="Q38"/>
  <c r="O38"/>
  <c r="M38"/>
  <c r="L38"/>
  <c r="N38"/>
  <c r="P38"/>
  <c r="R38"/>
  <c r="Q37"/>
  <c r="O37"/>
  <c r="M37"/>
  <c r="L37"/>
  <c r="N37"/>
  <c r="P37"/>
  <c r="R37"/>
  <c r="Q34"/>
  <c r="O34"/>
  <c r="M34"/>
  <c r="L34"/>
  <c r="N34"/>
  <c r="P34"/>
  <c r="R34"/>
  <c r="Q33"/>
  <c r="O33"/>
  <c r="M33"/>
  <c r="L33"/>
  <c r="N33"/>
  <c r="Q32"/>
  <c r="O32"/>
  <c r="M32"/>
  <c r="L32"/>
  <c r="N32"/>
  <c r="P32"/>
  <c r="R32"/>
  <c r="Q31"/>
  <c r="O31"/>
  <c r="M31"/>
  <c r="L31"/>
  <c r="N31"/>
  <c r="P31"/>
  <c r="R31"/>
  <c r="Q30"/>
  <c r="O30"/>
  <c r="M30"/>
  <c r="L30"/>
  <c r="N30"/>
  <c r="P30"/>
  <c r="R30"/>
  <c r="Q29"/>
  <c r="O29"/>
  <c r="M29"/>
  <c r="L29"/>
  <c r="N29"/>
  <c r="P29"/>
  <c r="R29"/>
  <c r="Q25"/>
  <c r="Q24"/>
  <c r="O25"/>
  <c r="O24"/>
  <c r="M25"/>
  <c r="M24"/>
  <c r="L25"/>
  <c r="L24"/>
  <c r="N24"/>
  <c r="P24"/>
  <c r="R24"/>
  <c r="Q23"/>
  <c r="O23"/>
  <c r="M23"/>
  <c r="L23"/>
  <c r="N23"/>
  <c r="P23"/>
  <c r="R23"/>
  <c r="Q22"/>
  <c r="O22"/>
  <c r="M22"/>
  <c r="L22"/>
  <c r="N22"/>
  <c r="P22"/>
  <c r="R22"/>
  <c r="Q21"/>
  <c r="O21"/>
  <c r="M21"/>
  <c r="L21"/>
  <c r="N21"/>
  <c r="P21"/>
  <c r="R21"/>
  <c r="Q20"/>
  <c r="O20"/>
  <c r="M20"/>
  <c r="L20"/>
  <c r="N20"/>
  <c r="P20"/>
  <c r="R20"/>
  <c r="Q19"/>
  <c r="O19"/>
  <c r="M19"/>
  <c r="L19"/>
  <c r="N19"/>
  <c r="P19"/>
  <c r="V16" i="92"/>
  <c r="Q17" i="95"/>
  <c r="O17"/>
  <c r="M17"/>
  <c r="L17"/>
  <c r="Q16"/>
  <c r="O16"/>
  <c r="M16"/>
  <c r="L16"/>
  <c r="N16"/>
  <c r="P16"/>
  <c r="R16"/>
  <c r="Q14"/>
  <c r="O14"/>
  <c r="M14"/>
  <c r="L14"/>
  <c r="N14"/>
  <c r="Q13"/>
  <c r="O13"/>
  <c r="M13"/>
  <c r="L13"/>
  <c r="N13"/>
  <c r="P13"/>
  <c r="R13"/>
  <c r="S51" i="96"/>
  <c r="R51"/>
  <c r="P51"/>
  <c r="N51"/>
  <c r="M51"/>
  <c r="O50"/>
  <c r="O52"/>
  <c r="O49"/>
  <c r="Q49"/>
  <c r="S49"/>
  <c r="O22"/>
  <c r="Q22"/>
  <c r="S22"/>
  <c r="G18"/>
  <c r="F18"/>
  <c r="O16"/>
  <c r="Q16"/>
  <c r="S16"/>
  <c r="G16"/>
  <c r="F16"/>
  <c r="O15"/>
  <c r="Q15"/>
  <c r="S15"/>
  <c r="K15"/>
  <c r="I15"/>
  <c r="H15"/>
  <c r="G15"/>
  <c r="F15"/>
  <c r="N25" i="95"/>
  <c r="P25"/>
  <c r="R25"/>
  <c r="Q18"/>
  <c r="O18"/>
  <c r="M18"/>
  <c r="L18"/>
  <c r="Q15"/>
  <c r="O15"/>
  <c r="M15"/>
  <c r="L15"/>
  <c r="O51" i="96"/>
  <c r="Q51"/>
  <c r="O53"/>
  <c r="Q53"/>
  <c r="S53"/>
  <c r="O54"/>
  <c r="O55"/>
  <c r="L60" i="95"/>
  <c r="N59"/>
  <c r="P59"/>
  <c r="P62"/>
  <c r="N63"/>
  <c r="L63"/>
  <c r="N60"/>
  <c r="P33"/>
  <c r="R33"/>
  <c r="N17"/>
  <c r="R19"/>
  <c r="Q54" i="96"/>
  <c r="Q50"/>
  <c r="Q52"/>
  <c r="N15" i="95"/>
  <c r="P14"/>
  <c r="P17"/>
  <c r="N18"/>
  <c r="R59"/>
  <c r="R60"/>
  <c r="P60"/>
  <c r="R62"/>
  <c r="R63"/>
  <c r="P63"/>
  <c r="S50" i="96"/>
  <c r="S52"/>
  <c r="S54"/>
  <c r="S55"/>
  <c r="R17" i="95"/>
  <c r="R18"/>
  <c r="P18"/>
  <c r="P15"/>
  <c r="R14"/>
  <c r="R15"/>
  <c r="V113" i="94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C113"/>
  <c r="B113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C111"/>
  <c r="B111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D106"/>
  <c r="C106"/>
  <c r="D105"/>
  <c r="C105"/>
  <c r="B105"/>
  <c r="D104"/>
  <c r="C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D96"/>
  <c r="C96"/>
  <c r="B96"/>
  <c r="D95"/>
  <c r="C95"/>
  <c r="B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C90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C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U66"/>
  <c r="T66"/>
  <c r="S66"/>
  <c r="P66"/>
  <c r="O66"/>
  <c r="N66"/>
  <c r="K66"/>
  <c r="J66"/>
  <c r="I66"/>
  <c r="G66"/>
  <c r="F66"/>
  <c r="E66"/>
  <c r="D66"/>
  <c r="C66"/>
  <c r="B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187" i="93"/>
  <c r="C187"/>
  <c r="C186"/>
  <c r="B186"/>
  <c r="D159"/>
  <c r="D182"/>
  <c r="C182"/>
  <c r="B164"/>
  <c r="C164"/>
  <c r="B163"/>
  <c r="C163"/>
  <c r="C159"/>
  <c r="U144"/>
  <c r="T144"/>
  <c r="S144"/>
  <c r="P144"/>
  <c r="O144"/>
  <c r="N144"/>
  <c r="K144"/>
  <c r="J144"/>
  <c r="I144"/>
  <c r="G144"/>
  <c r="F144"/>
  <c r="E144"/>
  <c r="E141"/>
  <c r="F141"/>
  <c r="G141"/>
  <c r="I141"/>
  <c r="J141"/>
  <c r="K141"/>
  <c r="N141"/>
  <c r="O141"/>
  <c r="P141"/>
  <c r="S141"/>
  <c r="T141"/>
  <c r="U141"/>
  <c r="D128"/>
  <c r="C128"/>
  <c r="B128"/>
  <c r="D127"/>
  <c r="C127"/>
  <c r="B127"/>
  <c r="D126"/>
  <c r="C126"/>
  <c r="B126"/>
  <c r="D125"/>
  <c r="C125"/>
  <c r="B125"/>
  <c r="E131"/>
  <c r="E130"/>
  <c r="N111"/>
  <c r="E111"/>
  <c r="N90"/>
  <c r="E90"/>
  <c r="T89"/>
  <c r="P89"/>
  <c r="N89"/>
  <c r="J89"/>
  <c r="F89"/>
  <c r="G89"/>
  <c r="E89"/>
  <c r="U89"/>
  <c r="N59"/>
  <c r="E59"/>
  <c r="N39"/>
  <c r="E39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145"/>
  <c r="C145"/>
  <c r="B145"/>
  <c r="D144"/>
  <c r="C144"/>
  <c r="B144"/>
  <c r="D142"/>
  <c r="C142"/>
  <c r="B142"/>
  <c r="D141"/>
  <c r="C141"/>
  <c r="B141"/>
  <c r="D140"/>
  <c r="C140"/>
  <c r="B140"/>
  <c r="D139"/>
  <c r="C139"/>
  <c r="H89"/>
  <c r="I89"/>
  <c r="K89"/>
  <c r="O89"/>
  <c r="Q89"/>
  <c r="S89"/>
  <c r="V89"/>
  <c r="L89"/>
  <c r="M89"/>
  <c r="R89"/>
  <c r="W137"/>
  <c r="E137"/>
  <c r="T137"/>
  <c r="D137"/>
  <c r="C137"/>
  <c r="B137"/>
  <c r="B139"/>
  <c r="D136"/>
  <c r="C136"/>
  <c r="B136"/>
  <c r="D135"/>
  <c r="C135"/>
  <c r="B135"/>
  <c r="C134"/>
  <c r="B134"/>
  <c r="D133"/>
  <c r="C133"/>
  <c r="B133"/>
  <c r="BW48" i="8"/>
  <c r="K25" i="36"/>
  <c r="K18"/>
  <c r="I137" i="93"/>
  <c r="K137"/>
  <c r="O137"/>
  <c r="S137"/>
  <c r="V137"/>
  <c r="U137"/>
  <c r="F137"/>
  <c r="G137"/>
  <c r="J137"/>
  <c r="N137"/>
  <c r="P137"/>
  <c r="Q137"/>
  <c r="H137"/>
  <c r="M137"/>
  <c r="R137"/>
  <c r="L137"/>
  <c r="BY48" i="7"/>
  <c r="BN11" i="19"/>
  <c r="BN10"/>
  <c r="BM11"/>
  <c r="BM10"/>
  <c r="D129" i="93"/>
  <c r="D132"/>
  <c r="C129"/>
  <c r="B129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23"/>
  <c r="C123"/>
  <c r="B123"/>
  <c r="D122"/>
  <c r="C122"/>
  <c r="B122"/>
  <c r="D121"/>
  <c r="C121"/>
  <c r="B121"/>
  <c r="D120"/>
  <c r="C120"/>
  <c r="B120"/>
  <c r="D119"/>
  <c r="C119"/>
  <c r="B119"/>
  <c r="D118"/>
  <c r="C118"/>
  <c r="B118"/>
  <c r="D117"/>
  <c r="C117"/>
  <c r="B117"/>
  <c r="D116"/>
  <c r="C116"/>
  <c r="B116"/>
  <c r="D115"/>
  <c r="C115"/>
  <c r="B115"/>
  <c r="D114"/>
  <c r="C114"/>
  <c r="B114"/>
  <c r="D113"/>
  <c r="C113"/>
  <c r="B113"/>
  <c r="D112"/>
  <c r="C112"/>
  <c r="B112"/>
  <c r="D111"/>
  <c r="C111"/>
  <c r="B111"/>
  <c r="D110"/>
  <c r="C110"/>
  <c r="B110"/>
  <c r="D109"/>
  <c r="C109"/>
  <c r="B109"/>
  <c r="D108"/>
  <c r="C108"/>
  <c r="B108"/>
  <c r="D107"/>
  <c r="C107"/>
  <c r="B107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B106"/>
  <c r="B105"/>
  <c r="D104"/>
  <c r="C104"/>
  <c r="B104"/>
  <c r="D103"/>
  <c r="C103"/>
  <c r="B103"/>
  <c r="D102"/>
  <c r="C102"/>
  <c r="B102"/>
  <c r="D101"/>
  <c r="C101"/>
  <c r="B101"/>
  <c r="D100"/>
  <c r="C100"/>
  <c r="B100"/>
  <c r="D99"/>
  <c r="C99"/>
  <c r="B99"/>
  <c r="D98"/>
  <c r="C98"/>
  <c r="B98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91"/>
  <c r="C91"/>
  <c r="B91"/>
  <c r="D90"/>
  <c r="C90"/>
  <c r="B90"/>
  <c r="D89"/>
  <c r="C89"/>
  <c r="B89"/>
  <c r="D88"/>
  <c r="C88"/>
  <c r="B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87"/>
  <c r="C87"/>
  <c r="B87"/>
  <c r="D86"/>
  <c r="C86"/>
  <c r="B86"/>
  <c r="D85"/>
  <c r="C85"/>
  <c r="B85"/>
  <c r="D84"/>
  <c r="C84"/>
  <c r="B84"/>
  <c r="D83"/>
  <c r="C83"/>
  <c r="B83"/>
  <c r="D82"/>
  <c r="C82"/>
  <c r="B82"/>
  <c r="D81"/>
  <c r="C81"/>
  <c r="B81"/>
  <c r="D80"/>
  <c r="C80"/>
  <c r="B80"/>
  <c r="D79"/>
  <c r="C79"/>
  <c r="B79"/>
  <c r="D78"/>
  <c r="C78"/>
  <c r="B78"/>
  <c r="D77"/>
  <c r="C77"/>
  <c r="B77"/>
  <c r="D76"/>
  <c r="C76"/>
  <c r="B76"/>
  <c r="D75"/>
  <c r="C75"/>
  <c r="B75"/>
  <c r="D74"/>
  <c r="C74"/>
  <c r="B74"/>
  <c r="D73"/>
  <c r="C73"/>
  <c r="B73"/>
  <c r="D72"/>
  <c r="C72"/>
  <c r="B72"/>
  <c r="D71"/>
  <c r="C71"/>
  <c r="B71"/>
  <c r="D70"/>
  <c r="C70"/>
  <c r="B70"/>
  <c r="D69"/>
  <c r="C69"/>
  <c r="B69"/>
  <c r="D68"/>
  <c r="C68"/>
  <c r="B68"/>
  <c r="D67"/>
  <c r="C67"/>
  <c r="B67"/>
  <c r="D66"/>
  <c r="C66"/>
  <c r="B66"/>
  <c r="D65"/>
  <c r="C65"/>
  <c r="B65"/>
  <c r="D64"/>
  <c r="C64"/>
  <c r="B64"/>
  <c r="D63"/>
  <c r="C63"/>
  <c r="B63"/>
  <c r="D62"/>
  <c r="C62"/>
  <c r="B62"/>
  <c r="D61"/>
  <c r="C61"/>
  <c r="B61"/>
  <c r="D60"/>
  <c r="C60"/>
  <c r="B60"/>
  <c r="D59"/>
  <c r="C59"/>
  <c r="B59"/>
  <c r="D58"/>
  <c r="C58"/>
  <c r="B58"/>
  <c r="D57"/>
  <c r="C57"/>
  <c r="B57"/>
  <c r="D56"/>
  <c r="C56"/>
  <c r="B56"/>
  <c r="D55"/>
  <c r="C55"/>
  <c r="B55"/>
  <c r="D54"/>
  <c r="C54"/>
  <c r="B54"/>
  <c r="D53"/>
  <c r="C53"/>
  <c r="B53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V125" i="92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D118"/>
  <c r="C118"/>
  <c r="D117"/>
  <c r="C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D115"/>
  <c r="C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D108"/>
  <c r="C108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D106"/>
  <c r="C106"/>
  <c r="B125"/>
  <c r="B124"/>
  <c r="B123"/>
  <c r="B122"/>
  <c r="B121"/>
  <c r="B120"/>
  <c r="B119"/>
  <c r="B116"/>
  <c r="B114"/>
  <c r="B113"/>
  <c r="B112"/>
  <c r="B111"/>
  <c r="B110"/>
  <c r="B109"/>
  <c r="B107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C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C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C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C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C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C96"/>
  <c r="D95"/>
  <c r="C95"/>
  <c r="D94"/>
  <c r="C94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D92"/>
  <c r="C92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C91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C90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D85"/>
  <c r="C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D83"/>
  <c r="C83"/>
  <c r="B102"/>
  <c r="B101"/>
  <c r="B100"/>
  <c r="B99"/>
  <c r="B98"/>
  <c r="B97"/>
  <c r="B96"/>
  <c r="B93"/>
  <c r="B91"/>
  <c r="B90"/>
  <c r="B89"/>
  <c r="B88"/>
  <c r="B87"/>
  <c r="B86"/>
  <c r="B84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D74"/>
  <c r="C74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V69"/>
  <c r="V68"/>
  <c r="V67"/>
  <c r="V66"/>
  <c r="V61"/>
  <c r="V60"/>
  <c r="V59"/>
  <c r="V58"/>
  <c r="V57"/>
  <c r="V54"/>
  <c r="V48"/>
  <c r="W70"/>
  <c r="W69"/>
  <c r="W68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B69"/>
  <c r="C69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B68"/>
  <c r="C68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D62"/>
  <c r="C62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D55"/>
  <c r="C55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D51"/>
  <c r="C51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190" i="91"/>
  <c r="C189"/>
  <c r="C213"/>
  <c r="C212"/>
  <c r="B208"/>
  <c r="B199"/>
  <c r="D208"/>
  <c r="C208"/>
  <c r="B185"/>
  <c r="B176"/>
  <c r="D185"/>
  <c r="C185"/>
  <c r="D171"/>
  <c r="C171"/>
  <c r="D169"/>
  <c r="C169"/>
  <c r="B169"/>
  <c r="D170"/>
  <c r="C170"/>
  <c r="D168"/>
  <c r="C168"/>
  <c r="D167"/>
  <c r="C167"/>
  <c r="D166"/>
  <c r="C166"/>
  <c r="B166"/>
  <c r="D165"/>
  <c r="C165"/>
  <c r="D163"/>
  <c r="C163"/>
  <c r="D162"/>
  <c r="C162"/>
  <c r="B162"/>
  <c r="D158"/>
  <c r="C158"/>
  <c r="E161"/>
  <c r="T161"/>
  <c r="B161"/>
  <c r="E160"/>
  <c r="T160"/>
  <c r="C161"/>
  <c r="C160"/>
  <c r="B160"/>
  <c r="C159"/>
  <c r="B159"/>
  <c r="B158"/>
  <c r="BN51" i="19"/>
  <c r="AS57"/>
  <c r="AS56"/>
  <c r="AT58"/>
  <c r="I161" i="91"/>
  <c r="K161"/>
  <c r="O161"/>
  <c r="S161"/>
  <c r="V161"/>
  <c r="U161"/>
  <c r="F161"/>
  <c r="J161"/>
  <c r="N161"/>
  <c r="P161"/>
  <c r="I160"/>
  <c r="K160"/>
  <c r="O160"/>
  <c r="S160"/>
  <c r="V160"/>
  <c r="U160"/>
  <c r="F160"/>
  <c r="G160"/>
  <c r="H160"/>
  <c r="J160"/>
  <c r="N160"/>
  <c r="Q160"/>
  <c r="P160"/>
  <c r="AS60" i="19"/>
  <c r="D154" i="91"/>
  <c r="C154"/>
  <c r="G161"/>
  <c r="W161"/>
  <c r="Q161"/>
  <c r="H161"/>
  <c r="M161"/>
  <c r="R161"/>
  <c r="L161"/>
  <c r="W160"/>
  <c r="L160"/>
  <c r="M160"/>
  <c r="R160"/>
  <c r="AT59" i="19"/>
  <c r="AU59"/>
  <c r="AT57"/>
  <c r="AT56"/>
  <c r="D153" i="91"/>
  <c r="C153"/>
  <c r="B153"/>
  <c r="D152"/>
  <c r="C152"/>
  <c r="B152"/>
  <c r="D151"/>
  <c r="C151"/>
  <c r="B151"/>
  <c r="D150"/>
  <c r="C150"/>
  <c r="B150"/>
  <c r="D149"/>
  <c r="C149"/>
  <c r="B149"/>
  <c r="AT60" i="19"/>
  <c r="D128" i="91"/>
  <c r="C128"/>
  <c r="B128"/>
  <c r="E148"/>
  <c r="S148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47"/>
  <c r="C147"/>
  <c r="B147"/>
  <c r="D146"/>
  <c r="C146"/>
  <c r="B146"/>
  <c r="D145"/>
  <c r="C145"/>
  <c r="B145"/>
  <c r="D144"/>
  <c r="C144"/>
  <c r="B144"/>
  <c r="D143"/>
  <c r="C143"/>
  <c r="B143"/>
  <c r="D142"/>
  <c r="C142"/>
  <c r="B142"/>
  <c r="D141"/>
  <c r="C141"/>
  <c r="B141"/>
  <c r="D140"/>
  <c r="C140"/>
  <c r="B140"/>
  <c r="D139"/>
  <c r="C139"/>
  <c r="B139"/>
  <c r="D138"/>
  <c r="C138"/>
  <c r="B138"/>
  <c r="D137"/>
  <c r="C137"/>
  <c r="B137"/>
  <c r="D136"/>
  <c r="C136"/>
  <c r="B136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D131"/>
  <c r="C131"/>
  <c r="B131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27"/>
  <c r="C127"/>
  <c r="B127"/>
  <c r="D126"/>
  <c r="C126"/>
  <c r="B126"/>
  <c r="D125"/>
  <c r="C125"/>
  <c r="B125"/>
  <c r="D124"/>
  <c r="C124"/>
  <c r="B124"/>
  <c r="D123"/>
  <c r="C123"/>
  <c r="B123"/>
  <c r="D122"/>
  <c r="C122"/>
  <c r="B122"/>
  <c r="D121"/>
  <c r="C121"/>
  <c r="B121"/>
  <c r="D120"/>
  <c r="C120"/>
  <c r="B120"/>
  <c r="D119"/>
  <c r="C119"/>
  <c r="B119"/>
  <c r="D118"/>
  <c r="C118"/>
  <c r="B118"/>
  <c r="D117"/>
  <c r="C117"/>
  <c r="B117"/>
  <c r="D116"/>
  <c r="C116"/>
  <c r="B116"/>
  <c r="D115"/>
  <c r="C115"/>
  <c r="B115"/>
  <c r="D114"/>
  <c r="C114"/>
  <c r="B114"/>
  <c r="D113"/>
  <c r="C113"/>
  <c r="B113"/>
  <c r="D112"/>
  <c r="C112"/>
  <c r="B112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D104"/>
  <c r="C104"/>
  <c r="B104"/>
  <c r="D105"/>
  <c r="C105"/>
  <c r="B105"/>
  <c r="E105"/>
  <c r="U105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103"/>
  <c r="C103"/>
  <c r="B103"/>
  <c r="D102"/>
  <c r="C102"/>
  <c r="B102"/>
  <c r="D101"/>
  <c r="C101"/>
  <c r="B101"/>
  <c r="D100"/>
  <c r="C100"/>
  <c r="B100"/>
  <c r="D99"/>
  <c r="C99"/>
  <c r="B99"/>
  <c r="D98"/>
  <c r="C98"/>
  <c r="B98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91"/>
  <c r="C91"/>
  <c r="B91"/>
  <c r="D90"/>
  <c r="C90"/>
  <c r="B90"/>
  <c r="D89"/>
  <c r="C89"/>
  <c r="B89"/>
  <c r="D88"/>
  <c r="C88"/>
  <c r="B88"/>
  <c r="D87"/>
  <c r="C87"/>
  <c r="B87"/>
  <c r="D86"/>
  <c r="C86"/>
  <c r="B86"/>
  <c r="D85"/>
  <c r="C85"/>
  <c r="B85"/>
  <c r="D84"/>
  <c r="C84"/>
  <c r="B84"/>
  <c r="D83"/>
  <c r="C83"/>
  <c r="B83"/>
  <c r="D82"/>
  <c r="C82"/>
  <c r="B82"/>
  <c r="D81"/>
  <c r="C81"/>
  <c r="B81"/>
  <c r="D80"/>
  <c r="C80"/>
  <c r="B80"/>
  <c r="D79"/>
  <c r="C79"/>
  <c r="B79"/>
  <c r="D78"/>
  <c r="C78"/>
  <c r="B78"/>
  <c r="F105"/>
  <c r="N105"/>
  <c r="T105"/>
  <c r="J105"/>
  <c r="P105"/>
  <c r="U148"/>
  <c r="F148"/>
  <c r="G148"/>
  <c r="H148"/>
  <c r="J148"/>
  <c r="N148"/>
  <c r="Q148"/>
  <c r="P148"/>
  <c r="T148"/>
  <c r="V148"/>
  <c r="I148"/>
  <c r="K148"/>
  <c r="O148"/>
  <c r="G105"/>
  <c r="H105"/>
  <c r="I105"/>
  <c r="K105"/>
  <c r="O105"/>
  <c r="S105"/>
  <c r="V105"/>
  <c r="Q105"/>
  <c r="L105"/>
  <c r="M105"/>
  <c r="R105"/>
  <c r="L148"/>
  <c r="M148"/>
  <c r="R148"/>
  <c r="D77"/>
  <c r="C77"/>
  <c r="B77"/>
  <c r="D68"/>
  <c r="C68"/>
  <c r="B68"/>
  <c r="D73"/>
  <c r="C73"/>
  <c r="B73"/>
  <c r="D70"/>
  <c r="C70"/>
  <c r="B70"/>
  <c r="D44"/>
  <c r="C44"/>
  <c r="B44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67"/>
  <c r="B66"/>
  <c r="B65"/>
  <c r="B64"/>
  <c r="B63"/>
  <c r="B62"/>
  <c r="B61"/>
  <c r="B60"/>
  <c r="B59"/>
  <c r="B58"/>
  <c r="B57"/>
  <c r="B56"/>
  <c r="B55"/>
  <c r="B54"/>
  <c r="B53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B248" i="6"/>
  <c r="V247"/>
  <c r="V246"/>
  <c r="X244"/>
  <c r="X243"/>
  <c r="X242"/>
  <c r="X241"/>
  <c r="X240"/>
  <c r="X239"/>
  <c r="X238"/>
  <c r="X234"/>
  <c r="X235"/>
  <c r="V234"/>
  <c r="AQ225"/>
  <c r="AP225"/>
  <c r="AM225"/>
  <c r="AG225"/>
  <c r="AF225"/>
  <c r="AD225"/>
  <c r="AC225"/>
  <c r="AB225"/>
  <c r="AB209"/>
  <c r="X209"/>
  <c r="X208"/>
  <c r="V208"/>
  <c r="AB198"/>
  <c r="V197"/>
  <c r="U123" i="5"/>
  <c r="U106"/>
  <c r="AN97"/>
  <c r="AM97"/>
  <c r="AJ97"/>
  <c r="AD97"/>
  <c r="AC97"/>
  <c r="AA97"/>
  <c r="Z97"/>
  <c r="Y97"/>
  <c r="Y80"/>
  <c r="U79"/>
  <c r="W73"/>
  <c r="W106"/>
  <c r="W135"/>
  <c r="W128"/>
  <c r="W123"/>
  <c r="W122"/>
  <c r="W115"/>
  <c r="W114"/>
  <c r="W78"/>
  <c r="W77"/>
  <c r="W76"/>
  <c r="W75"/>
  <c r="W74"/>
  <c r="W72"/>
  <c r="W71"/>
  <c r="W70"/>
  <c r="W69"/>
  <c r="W68"/>
  <c r="W67"/>
  <c r="W66"/>
  <c r="W65"/>
  <c r="AO135"/>
  <c r="AQ135"/>
  <c r="AN135"/>
  <c r="AP135"/>
  <c r="AM135"/>
  <c r="AL135"/>
  <c r="AO128"/>
  <c r="AQ128"/>
  <c r="AN128"/>
  <c r="AP128"/>
  <c r="AM128"/>
  <c r="AL128"/>
  <c r="AO122"/>
  <c r="AQ122"/>
  <c r="AN122"/>
  <c r="AP122"/>
  <c r="AM122"/>
  <c r="AL122"/>
  <c r="AO115"/>
  <c r="AQ115"/>
  <c r="AN115"/>
  <c r="AP115"/>
  <c r="AM115"/>
  <c r="AL115"/>
  <c r="AO114"/>
  <c r="AQ114"/>
  <c r="AN114"/>
  <c r="AP114"/>
  <c r="AM114"/>
  <c r="AL114"/>
  <c r="AO92"/>
  <c r="AQ92"/>
  <c r="AN92"/>
  <c r="AP92"/>
  <c r="AM92"/>
  <c r="AL92"/>
  <c r="AO91"/>
  <c r="AQ91"/>
  <c r="AN91"/>
  <c r="AP91"/>
  <c r="AM91"/>
  <c r="AL91"/>
  <c r="AO78"/>
  <c r="AQ78"/>
  <c r="AN78"/>
  <c r="AP78"/>
  <c r="AM78"/>
  <c r="AL78"/>
  <c r="AO77"/>
  <c r="AQ77"/>
  <c r="AN77"/>
  <c r="AP77"/>
  <c r="AM77"/>
  <c r="AL77"/>
  <c r="AO76"/>
  <c r="AQ76"/>
  <c r="AN76"/>
  <c r="AP76"/>
  <c r="AM76"/>
  <c r="AL76"/>
  <c r="AO75"/>
  <c r="AQ75"/>
  <c r="AN75"/>
  <c r="AP75"/>
  <c r="AM75"/>
  <c r="AL75"/>
  <c r="AO74"/>
  <c r="AQ74"/>
  <c r="AN74"/>
  <c r="AP74"/>
  <c r="AM74"/>
  <c r="AL74"/>
  <c r="AO73"/>
  <c r="AQ73"/>
  <c r="AN73"/>
  <c r="AP73"/>
  <c r="AM73"/>
  <c r="AL73"/>
  <c r="AO72"/>
  <c r="AQ72"/>
  <c r="AN72"/>
  <c r="AP72"/>
  <c r="AM72"/>
  <c r="AL72"/>
  <c r="AO71"/>
  <c r="AQ71"/>
  <c r="AN71"/>
  <c r="AP71"/>
  <c r="AM71"/>
  <c r="AL71"/>
  <c r="AO70"/>
  <c r="AQ70"/>
  <c r="AN70"/>
  <c r="AP70"/>
  <c r="AM70"/>
  <c r="AL70"/>
  <c r="AP69"/>
  <c r="AO69"/>
  <c r="AQ69"/>
  <c r="AN69"/>
  <c r="AM69"/>
  <c r="AL69"/>
  <c r="AO68"/>
  <c r="AQ68"/>
  <c r="AN68"/>
  <c r="AP68"/>
  <c r="AM68"/>
  <c r="AL68"/>
  <c r="AO67"/>
  <c r="AQ67"/>
  <c r="AN67"/>
  <c r="AP67"/>
  <c r="AM67"/>
  <c r="AL67"/>
  <c r="AO66"/>
  <c r="AQ66"/>
  <c r="AN66"/>
  <c r="AP66"/>
  <c r="AM66"/>
  <c r="AL66"/>
  <c r="AO65"/>
  <c r="AQ65"/>
  <c r="AN65"/>
  <c r="AP65"/>
  <c r="AM65"/>
  <c r="AL65"/>
  <c r="AO64"/>
  <c r="AQ64"/>
  <c r="AN64"/>
  <c r="AP64"/>
  <c r="AM64"/>
  <c r="AL64"/>
  <c r="AO63"/>
  <c r="AN63"/>
  <c r="AM63"/>
  <c r="AL63"/>
  <c r="Y64"/>
  <c r="W64"/>
  <c r="W63"/>
  <c r="U63"/>
  <c r="D133" i="91"/>
  <c r="C133"/>
  <c r="B133"/>
  <c r="D109"/>
  <c r="C109"/>
  <c r="B109"/>
  <c r="D75"/>
  <c r="C75"/>
  <c r="B75"/>
  <c r="D50"/>
  <c r="C50"/>
  <c r="B50"/>
  <c r="E132"/>
  <c r="D132"/>
  <c r="C132"/>
  <c r="B132"/>
  <c r="E108"/>
  <c r="D108"/>
  <c r="C108"/>
  <c r="B108"/>
  <c r="E74"/>
  <c r="D74"/>
  <c r="C74"/>
  <c r="B74"/>
  <c r="E49"/>
  <c r="D49"/>
  <c r="C49"/>
  <c r="B49"/>
  <c r="D48"/>
  <c r="C48"/>
  <c r="B48"/>
  <c r="D129"/>
  <c r="C129"/>
  <c r="B129"/>
  <c r="D106"/>
  <c r="C106"/>
  <c r="B106"/>
  <c r="D71"/>
  <c r="C71"/>
  <c r="B71"/>
  <c r="D46"/>
  <c r="C46"/>
  <c r="B46"/>
  <c r="D69"/>
  <c r="C69"/>
  <c r="B69"/>
  <c r="D45"/>
  <c r="C45"/>
  <c r="B45"/>
  <c r="AQ63" i="5"/>
  <c r="AP63"/>
  <c r="V30" i="94"/>
  <c r="U30"/>
  <c r="T30"/>
  <c r="S30"/>
  <c r="P30"/>
  <c r="Q30"/>
  <c r="R30"/>
  <c r="O30"/>
  <c r="K30"/>
  <c r="L30"/>
  <c r="M30"/>
  <c r="J30"/>
  <c r="I30"/>
  <c r="I28"/>
  <c r="G30"/>
  <c r="H30"/>
  <c r="F30"/>
  <c r="T29"/>
  <c r="S29"/>
  <c r="U29"/>
  <c r="P29"/>
  <c r="Q29"/>
  <c r="R29"/>
  <c r="O29"/>
  <c r="K29"/>
  <c r="L29"/>
  <c r="M29"/>
  <c r="J29"/>
  <c r="I29"/>
  <c r="G29"/>
  <c r="H29"/>
  <c r="F29"/>
  <c r="N28"/>
  <c r="J28"/>
  <c r="F28"/>
  <c r="E28"/>
  <c r="T27"/>
  <c r="T28"/>
  <c r="S27"/>
  <c r="S28"/>
  <c r="P27"/>
  <c r="Q27"/>
  <c r="R27"/>
  <c r="O27"/>
  <c r="O28"/>
  <c r="K27"/>
  <c r="L27"/>
  <c r="M27"/>
  <c r="J27"/>
  <c r="I27"/>
  <c r="G27"/>
  <c r="H27"/>
  <c r="F27"/>
  <c r="U25"/>
  <c r="T25"/>
  <c r="S25"/>
  <c r="V25"/>
  <c r="Q25"/>
  <c r="P25"/>
  <c r="O25"/>
  <c r="N25"/>
  <c r="K25"/>
  <c r="J25"/>
  <c r="I25"/>
  <c r="L25"/>
  <c r="G25"/>
  <c r="F25"/>
  <c r="E25"/>
  <c r="H25"/>
  <c r="E25" i="93"/>
  <c r="V41" i="92"/>
  <c r="U41"/>
  <c r="T41"/>
  <c r="S41"/>
  <c r="P41"/>
  <c r="Q41"/>
  <c r="R41"/>
  <c r="O41"/>
  <c r="K41"/>
  <c r="L41"/>
  <c r="M41"/>
  <c r="J41"/>
  <c r="I41"/>
  <c r="G41"/>
  <c r="H41"/>
  <c r="F41"/>
  <c r="V40"/>
  <c r="U40"/>
  <c r="T40"/>
  <c r="S40"/>
  <c r="P40"/>
  <c r="Q40"/>
  <c r="R40"/>
  <c r="O40"/>
  <c r="K40"/>
  <c r="L40"/>
  <c r="M40"/>
  <c r="J40"/>
  <c r="I40"/>
  <c r="I39"/>
  <c r="G40"/>
  <c r="H40"/>
  <c r="F40"/>
  <c r="N39"/>
  <c r="J39"/>
  <c r="F39"/>
  <c r="E39"/>
  <c r="T38"/>
  <c r="T39"/>
  <c r="S38"/>
  <c r="S39"/>
  <c r="P38"/>
  <c r="Q38"/>
  <c r="R38"/>
  <c r="O38"/>
  <c r="O39"/>
  <c r="K38"/>
  <c r="L38"/>
  <c r="M38"/>
  <c r="J38"/>
  <c r="I38"/>
  <c r="G38"/>
  <c r="H38"/>
  <c r="F38"/>
  <c r="CC134" i="9"/>
  <c r="CD134"/>
  <c r="BO124"/>
  <c r="BO116"/>
  <c r="BO103"/>
  <c r="BJ127"/>
  <c r="BJ122"/>
  <c r="BJ121"/>
  <c r="BJ120"/>
  <c r="BJ119"/>
  <c r="BJ114"/>
  <c r="BJ113"/>
  <c r="BJ112"/>
  <c r="BJ111"/>
  <c r="BJ110"/>
  <c r="BJ106"/>
  <c r="BJ101"/>
  <c r="BJ100"/>
  <c r="BJ99"/>
  <c r="BJ98"/>
  <c r="BO95"/>
  <c r="C25" i="94"/>
  <c r="B25"/>
  <c r="M25"/>
  <c r="R25"/>
  <c r="V29"/>
  <c r="P28"/>
  <c r="U27"/>
  <c r="G28"/>
  <c r="K28"/>
  <c r="C36" i="92"/>
  <c r="B36"/>
  <c r="P39"/>
  <c r="U38"/>
  <c r="G39"/>
  <c r="K39"/>
  <c r="BJ93" i="9"/>
  <c r="H28" i="94"/>
  <c r="L28"/>
  <c r="M28"/>
  <c r="U28"/>
  <c r="V27"/>
  <c r="Q28"/>
  <c r="R28"/>
  <c r="H39" i="92"/>
  <c r="L39"/>
  <c r="M39"/>
  <c r="U39"/>
  <c r="V38"/>
  <c r="Q39"/>
  <c r="R39"/>
  <c r="BX124" i="9"/>
  <c r="BN124"/>
  <c r="BN119"/>
  <c r="BN116"/>
  <c r="BN122"/>
  <c r="BN114"/>
  <c r="BN112"/>
  <c r="BN111"/>
  <c r="BX103"/>
  <c r="BN103"/>
  <c r="V28" i="94"/>
  <c r="V39" i="92"/>
  <c r="BN99" i="9"/>
  <c r="BN98"/>
  <c r="D16" i="94"/>
  <c r="C15"/>
  <c r="D14"/>
  <c r="C16" i="93"/>
  <c r="C16" i="94"/>
  <c r="D15" i="93"/>
  <c r="D15" i="94"/>
  <c r="C14" i="93"/>
  <c r="C14" i="94"/>
  <c r="D24" i="92"/>
  <c r="D23"/>
  <c r="C21"/>
  <c r="D19"/>
  <c r="D16"/>
  <c r="D13"/>
  <c r="C23" i="91"/>
  <c r="C24" i="92"/>
  <c r="C22" i="91"/>
  <c r="C23" i="92"/>
  <c r="D19" i="91"/>
  <c r="D20"/>
  <c r="C19"/>
  <c r="C20" i="92"/>
  <c r="C18" i="91"/>
  <c r="C19" i="92"/>
  <c r="C15" i="91"/>
  <c r="C16" i="92"/>
  <c r="C12" i="91"/>
  <c r="C13" i="92"/>
  <c r="D11" i="91"/>
  <c r="D12" i="92"/>
  <c r="C11" i="91"/>
  <c r="C12" i="92"/>
  <c r="W109" i="94"/>
  <c r="W108"/>
  <c r="W86"/>
  <c r="W85"/>
  <c r="W81"/>
  <c r="W63"/>
  <c r="V63"/>
  <c r="Q63"/>
  <c r="L63"/>
  <c r="H63"/>
  <c r="B43"/>
  <c r="W36"/>
  <c r="V36"/>
  <c r="Q36"/>
  <c r="L36"/>
  <c r="H36"/>
  <c r="M36"/>
  <c r="R36"/>
  <c r="B36"/>
  <c r="T57"/>
  <c r="P57"/>
  <c r="N57"/>
  <c r="J57"/>
  <c r="F57"/>
  <c r="D57"/>
  <c r="D191" i="93"/>
  <c r="D113" i="94"/>
  <c r="C188" i="93"/>
  <c r="B188"/>
  <c r="E187"/>
  <c r="W187"/>
  <c r="E186"/>
  <c r="W186"/>
  <c r="B182"/>
  <c r="D178"/>
  <c r="D168"/>
  <c r="D90" i="94"/>
  <c r="C165" i="93"/>
  <c r="B165"/>
  <c r="E164"/>
  <c r="E163"/>
  <c r="W163"/>
  <c r="D155"/>
  <c r="D181"/>
  <c r="C181"/>
  <c r="B181"/>
  <c r="D172"/>
  <c r="C172"/>
  <c r="B172"/>
  <c r="B143"/>
  <c r="N143"/>
  <c r="D158"/>
  <c r="C158"/>
  <c r="B158"/>
  <c r="D149"/>
  <c r="C149"/>
  <c r="B149"/>
  <c r="E135"/>
  <c r="J135"/>
  <c r="E134"/>
  <c r="T134"/>
  <c r="D134"/>
  <c r="E133"/>
  <c r="N133"/>
  <c r="G128"/>
  <c r="G127"/>
  <c r="G126"/>
  <c r="T125"/>
  <c r="S125"/>
  <c r="O125"/>
  <c r="N125"/>
  <c r="J125"/>
  <c r="I125"/>
  <c r="F125"/>
  <c r="E125"/>
  <c r="W124"/>
  <c r="E113"/>
  <c r="U113"/>
  <c r="F111"/>
  <c r="E110"/>
  <c r="E109"/>
  <c r="P109"/>
  <c r="E108"/>
  <c r="W105"/>
  <c r="W103"/>
  <c r="W101"/>
  <c r="W99"/>
  <c r="W97"/>
  <c r="W95"/>
  <c r="E93"/>
  <c r="E92"/>
  <c r="U92"/>
  <c r="F90"/>
  <c r="E61"/>
  <c r="A61"/>
  <c r="A92"/>
  <c r="A113"/>
  <c r="E60"/>
  <c r="E58"/>
  <c r="E57"/>
  <c r="E56"/>
  <c r="E55"/>
  <c r="E41"/>
  <c r="E38"/>
  <c r="E37"/>
  <c r="P37"/>
  <c r="E36"/>
  <c r="U30"/>
  <c r="V30"/>
  <c r="T30"/>
  <c r="S30"/>
  <c r="Q30"/>
  <c r="R30"/>
  <c r="P30"/>
  <c r="O30"/>
  <c r="K30"/>
  <c r="L30"/>
  <c r="M30"/>
  <c r="J30"/>
  <c r="I30"/>
  <c r="G30"/>
  <c r="H30"/>
  <c r="F30"/>
  <c r="T29"/>
  <c r="S29"/>
  <c r="U29"/>
  <c r="V29"/>
  <c r="R29"/>
  <c r="P29"/>
  <c r="Q29"/>
  <c r="O29"/>
  <c r="K29"/>
  <c r="L29"/>
  <c r="M29"/>
  <c r="J29"/>
  <c r="I29"/>
  <c r="G29"/>
  <c r="H29"/>
  <c r="F29"/>
  <c r="N28"/>
  <c r="E28"/>
  <c r="S27"/>
  <c r="U27"/>
  <c r="V27"/>
  <c r="P27"/>
  <c r="O27"/>
  <c r="K27"/>
  <c r="L27"/>
  <c r="M27"/>
  <c r="J27"/>
  <c r="I27"/>
  <c r="G27"/>
  <c r="H27"/>
  <c r="F27"/>
  <c r="B16"/>
  <c r="N16"/>
  <c r="N16" i="94"/>
  <c r="N23"/>
  <c r="B15" i="93"/>
  <c r="B15" i="94"/>
  <c r="B14" i="93"/>
  <c r="T14"/>
  <c r="T14" i="94"/>
  <c r="D13" i="93"/>
  <c r="D138"/>
  <c r="W125" i="92"/>
  <c r="W123"/>
  <c r="W121"/>
  <c r="W120"/>
  <c r="W116"/>
  <c r="W98"/>
  <c r="W97"/>
  <c r="W93"/>
  <c r="B77"/>
  <c r="B74"/>
  <c r="B72"/>
  <c r="B67"/>
  <c r="W66"/>
  <c r="B66"/>
  <c r="W61"/>
  <c r="B61"/>
  <c r="W60"/>
  <c r="B60"/>
  <c r="W59"/>
  <c r="B59"/>
  <c r="W58"/>
  <c r="B58"/>
  <c r="W57"/>
  <c r="B57"/>
  <c r="B55"/>
  <c r="W54"/>
  <c r="B54"/>
  <c r="D56"/>
  <c r="C56"/>
  <c r="W50"/>
  <c r="W47"/>
  <c r="B47"/>
  <c r="C214" i="91"/>
  <c r="B213"/>
  <c r="B212"/>
  <c r="E212"/>
  <c r="W212"/>
  <c r="E208"/>
  <c r="D204"/>
  <c r="D190"/>
  <c r="D98" i="92"/>
  <c r="D189" i="91"/>
  <c r="D97" i="92"/>
  <c r="B189" i="91"/>
  <c r="E189"/>
  <c r="D188"/>
  <c r="D96" i="92"/>
  <c r="E185" i="91"/>
  <c r="D183"/>
  <c r="D91" i="92"/>
  <c r="D182" i="91"/>
  <c r="D90" i="92"/>
  <c r="D181" i="91"/>
  <c r="D207"/>
  <c r="C207"/>
  <c r="D198"/>
  <c r="C198"/>
  <c r="E169"/>
  <c r="D184"/>
  <c r="C184"/>
  <c r="D175"/>
  <c r="C175"/>
  <c r="E162"/>
  <c r="J162"/>
  <c r="E158"/>
  <c r="N158"/>
  <c r="G153"/>
  <c r="P153"/>
  <c r="Q153"/>
  <c r="G152"/>
  <c r="H152"/>
  <c r="G151"/>
  <c r="P151"/>
  <c r="Q151"/>
  <c r="G150"/>
  <c r="H150"/>
  <c r="T149"/>
  <c r="S149"/>
  <c r="O149"/>
  <c r="N149"/>
  <c r="J149"/>
  <c r="I149"/>
  <c r="F149"/>
  <c r="E149"/>
  <c r="W148"/>
  <c r="D134"/>
  <c r="C134"/>
  <c r="B134"/>
  <c r="E134"/>
  <c r="E133"/>
  <c r="E55" i="92"/>
  <c r="E56"/>
  <c r="E131" i="91"/>
  <c r="E130"/>
  <c r="E129"/>
  <c r="D110"/>
  <c r="C110"/>
  <c r="B110"/>
  <c r="E110"/>
  <c r="E109"/>
  <c r="E107"/>
  <c r="E106"/>
  <c r="D76"/>
  <c r="C76"/>
  <c r="B76"/>
  <c r="E76"/>
  <c r="A76"/>
  <c r="A134"/>
  <c r="E75"/>
  <c r="E73"/>
  <c r="E72"/>
  <c r="E71"/>
  <c r="E70"/>
  <c r="W67"/>
  <c r="W65"/>
  <c r="W63"/>
  <c r="W61"/>
  <c r="W59"/>
  <c r="W57"/>
  <c r="W55"/>
  <c r="W53"/>
  <c r="D51"/>
  <c r="C51"/>
  <c r="B51"/>
  <c r="E51"/>
  <c r="E50"/>
  <c r="E51" i="92"/>
  <c r="E48" i="91"/>
  <c r="F47"/>
  <c r="E47"/>
  <c r="T47"/>
  <c r="E46"/>
  <c r="U40"/>
  <c r="V40"/>
  <c r="T40"/>
  <c r="S40"/>
  <c r="P40"/>
  <c r="Q40"/>
  <c r="R40"/>
  <c r="O40"/>
  <c r="L40"/>
  <c r="M40"/>
  <c r="K40"/>
  <c r="J40"/>
  <c r="I40"/>
  <c r="H40"/>
  <c r="G40"/>
  <c r="F40"/>
  <c r="U39"/>
  <c r="V39"/>
  <c r="T39"/>
  <c r="S39"/>
  <c r="P39"/>
  <c r="Q39"/>
  <c r="R39"/>
  <c r="O39"/>
  <c r="K39"/>
  <c r="L39"/>
  <c r="M39"/>
  <c r="J39"/>
  <c r="I39"/>
  <c r="G39"/>
  <c r="H39"/>
  <c r="F39"/>
  <c r="N38"/>
  <c r="E38"/>
  <c r="S37"/>
  <c r="P37"/>
  <c r="Q37"/>
  <c r="R37"/>
  <c r="O37"/>
  <c r="O38"/>
  <c r="K37"/>
  <c r="K38"/>
  <c r="L38"/>
  <c r="M38"/>
  <c r="J37"/>
  <c r="I37"/>
  <c r="I38"/>
  <c r="G37"/>
  <c r="G38"/>
  <c r="H38"/>
  <c r="F37"/>
  <c r="F38"/>
  <c r="B23"/>
  <c r="S23"/>
  <c r="S24" i="92"/>
  <c r="S34"/>
  <c r="B22" i="91"/>
  <c r="B23" i="92"/>
  <c r="D21" i="91"/>
  <c r="D22" i="92"/>
  <c r="D17" i="91"/>
  <c r="D164"/>
  <c r="B18"/>
  <c r="B19" i="92"/>
  <c r="B15" i="91"/>
  <c r="B16" i="92"/>
  <c r="D13" i="91"/>
  <c r="D14" i="92"/>
  <c r="C14" i="91"/>
  <c r="E182" i="93"/>
  <c r="E104" i="94"/>
  <c r="W104"/>
  <c r="B104"/>
  <c r="T20"/>
  <c r="T21"/>
  <c r="B14"/>
  <c r="B16"/>
  <c r="D13"/>
  <c r="E40" i="93"/>
  <c r="B46" i="94"/>
  <c r="B47"/>
  <c r="W47"/>
  <c r="B48"/>
  <c r="B49"/>
  <c r="B50"/>
  <c r="B51"/>
  <c r="W51"/>
  <c r="B52"/>
  <c r="B61"/>
  <c r="D21" i="92"/>
  <c r="B20" i="91"/>
  <c r="C15" i="92"/>
  <c r="BN105" i="9"/>
  <c r="BN101"/>
  <c r="D20" i="92"/>
  <c r="B24"/>
  <c r="W78" i="91"/>
  <c r="W80"/>
  <c r="W82"/>
  <c r="W84"/>
  <c r="W86"/>
  <c r="W88"/>
  <c r="W90"/>
  <c r="W92"/>
  <c r="W94"/>
  <c r="W96"/>
  <c r="W98"/>
  <c r="W100"/>
  <c r="W102"/>
  <c r="W142"/>
  <c r="W144"/>
  <c r="W146"/>
  <c r="C71" i="92"/>
  <c r="W45"/>
  <c r="B46"/>
  <c r="W46"/>
  <c r="B48"/>
  <c r="W48"/>
  <c r="B49"/>
  <c r="W49"/>
  <c r="W35" i="93"/>
  <c r="B40" i="94"/>
  <c r="C45"/>
  <c r="E45"/>
  <c r="G45"/>
  <c r="I45"/>
  <c r="K45"/>
  <c r="O45"/>
  <c r="S45"/>
  <c r="U45"/>
  <c r="B65"/>
  <c r="W111" i="91"/>
  <c r="W113"/>
  <c r="W115"/>
  <c r="W117"/>
  <c r="W119"/>
  <c r="W121"/>
  <c r="W123"/>
  <c r="W125"/>
  <c r="W127"/>
  <c r="W135"/>
  <c r="N169"/>
  <c r="E35"/>
  <c r="S38"/>
  <c r="J38"/>
  <c r="E159"/>
  <c r="W36" i="92"/>
  <c r="W86"/>
  <c r="W25" i="94"/>
  <c r="C57"/>
  <c r="C62"/>
  <c r="E57"/>
  <c r="G57"/>
  <c r="I57"/>
  <c r="K57"/>
  <c r="O57"/>
  <c r="S57"/>
  <c r="S62"/>
  <c r="U57"/>
  <c r="B39"/>
  <c r="B41"/>
  <c r="W39"/>
  <c r="B44"/>
  <c r="W44"/>
  <c r="W42" i="93"/>
  <c r="W44"/>
  <c r="W46"/>
  <c r="W48"/>
  <c r="W50"/>
  <c r="W52"/>
  <c r="W54"/>
  <c r="D53" i="94"/>
  <c r="F53"/>
  <c r="H53"/>
  <c r="J53"/>
  <c r="L53"/>
  <c r="N53"/>
  <c r="P53"/>
  <c r="R53"/>
  <c r="T53"/>
  <c r="V53"/>
  <c r="B56"/>
  <c r="B59"/>
  <c r="W59"/>
  <c r="W71"/>
  <c r="W73"/>
  <c r="W75"/>
  <c r="W77"/>
  <c r="W79"/>
  <c r="W89"/>
  <c r="W67" i="92"/>
  <c r="B70"/>
  <c r="W88"/>
  <c r="W90"/>
  <c r="W101"/>
  <c r="W110"/>
  <c r="W112"/>
  <c r="W114"/>
  <c r="B34" i="94"/>
  <c r="W94"/>
  <c r="W98"/>
  <c r="W100"/>
  <c r="W102"/>
  <c r="W112"/>
  <c r="D18" i="92"/>
  <c r="F162" i="91"/>
  <c r="G162"/>
  <c r="D41" i="94"/>
  <c r="F41"/>
  <c r="H41"/>
  <c r="J41"/>
  <c r="L41"/>
  <c r="N41"/>
  <c r="P41"/>
  <c r="R41"/>
  <c r="T41"/>
  <c r="V41"/>
  <c r="W49"/>
  <c r="B35"/>
  <c r="W35"/>
  <c r="B37"/>
  <c r="W37"/>
  <c r="B38"/>
  <c r="W38"/>
  <c r="C41"/>
  <c r="E41"/>
  <c r="G41"/>
  <c r="I41"/>
  <c r="K41"/>
  <c r="M41"/>
  <c r="O41"/>
  <c r="Q41"/>
  <c r="S41"/>
  <c r="U41"/>
  <c r="B42"/>
  <c r="D45"/>
  <c r="F45"/>
  <c r="H45"/>
  <c r="J45"/>
  <c r="N45"/>
  <c r="P45"/>
  <c r="T45"/>
  <c r="V45"/>
  <c r="W43"/>
  <c r="W46"/>
  <c r="W48"/>
  <c r="C53"/>
  <c r="B53"/>
  <c r="E53"/>
  <c r="G53"/>
  <c r="I53"/>
  <c r="K53"/>
  <c r="M53"/>
  <c r="O53"/>
  <c r="Q53"/>
  <c r="S53"/>
  <c r="U53"/>
  <c r="W52"/>
  <c r="B54"/>
  <c r="W56"/>
  <c r="W61"/>
  <c r="M63"/>
  <c r="R63"/>
  <c r="W65"/>
  <c r="W72"/>
  <c r="W74"/>
  <c r="W76"/>
  <c r="W82"/>
  <c r="W83"/>
  <c r="W78"/>
  <c r="W87"/>
  <c r="W88"/>
  <c r="W90"/>
  <c r="W97"/>
  <c r="W99"/>
  <c r="W101"/>
  <c r="W110"/>
  <c r="W111"/>
  <c r="W113"/>
  <c r="I28" i="93"/>
  <c r="W62"/>
  <c r="W64"/>
  <c r="W66"/>
  <c r="W68"/>
  <c r="W70"/>
  <c r="W72"/>
  <c r="W74"/>
  <c r="W76"/>
  <c r="W78"/>
  <c r="W80"/>
  <c r="W82"/>
  <c r="W84"/>
  <c r="W86"/>
  <c r="W89"/>
  <c r="W115"/>
  <c r="W117"/>
  <c r="W119"/>
  <c r="W121"/>
  <c r="W123"/>
  <c r="F186"/>
  <c r="N186"/>
  <c r="V186"/>
  <c r="O28"/>
  <c r="J186"/>
  <c r="R186"/>
  <c r="T27"/>
  <c r="T28"/>
  <c r="F28"/>
  <c r="J28"/>
  <c r="F37"/>
  <c r="N37"/>
  <c r="T37"/>
  <c r="F39"/>
  <c r="W43"/>
  <c r="W45"/>
  <c r="W47"/>
  <c r="W49"/>
  <c r="W51"/>
  <c r="W94"/>
  <c r="W96"/>
  <c r="W98"/>
  <c r="W100"/>
  <c r="W102"/>
  <c r="W104"/>
  <c r="W106"/>
  <c r="F109"/>
  <c r="G109"/>
  <c r="H109"/>
  <c r="N109"/>
  <c r="T109"/>
  <c r="W114"/>
  <c r="W116"/>
  <c r="W118"/>
  <c r="W120"/>
  <c r="W122"/>
  <c r="F135"/>
  <c r="G135"/>
  <c r="N135"/>
  <c r="F163"/>
  <c r="J163"/>
  <c r="N163"/>
  <c r="R163"/>
  <c r="V163"/>
  <c r="S28"/>
  <c r="J37"/>
  <c r="J39"/>
  <c r="W63"/>
  <c r="W65"/>
  <c r="W67"/>
  <c r="W69"/>
  <c r="W71"/>
  <c r="W73"/>
  <c r="W75"/>
  <c r="W77"/>
  <c r="W79"/>
  <c r="W81"/>
  <c r="W83"/>
  <c r="W85"/>
  <c r="W87"/>
  <c r="E91"/>
  <c r="J90"/>
  <c r="J109"/>
  <c r="E112"/>
  <c r="E107"/>
  <c r="J111"/>
  <c r="H163"/>
  <c r="L163"/>
  <c r="P163"/>
  <c r="T163"/>
  <c r="E165"/>
  <c r="H186"/>
  <c r="L186"/>
  <c r="P186"/>
  <c r="T186"/>
  <c r="C52" i="92"/>
  <c r="E52"/>
  <c r="W87"/>
  <c r="W89"/>
  <c r="W91"/>
  <c r="W100"/>
  <c r="W102"/>
  <c r="W107"/>
  <c r="W109"/>
  <c r="W111"/>
  <c r="W113"/>
  <c r="W72"/>
  <c r="W84"/>
  <c r="W124"/>
  <c r="C21" i="91"/>
  <c r="N47"/>
  <c r="F49"/>
  <c r="W103"/>
  <c r="W105"/>
  <c r="C191"/>
  <c r="W137"/>
  <c r="W139"/>
  <c r="W141"/>
  <c r="N162"/>
  <c r="C13"/>
  <c r="C14" i="92"/>
  <c r="D14" i="91"/>
  <c r="J47"/>
  <c r="P47"/>
  <c r="J49"/>
  <c r="W52"/>
  <c r="W54"/>
  <c r="W56"/>
  <c r="W58"/>
  <c r="W60"/>
  <c r="W62"/>
  <c r="W64"/>
  <c r="W66"/>
  <c r="W77"/>
  <c r="W79"/>
  <c r="W81"/>
  <c r="W83"/>
  <c r="W85"/>
  <c r="W87"/>
  <c r="W89"/>
  <c r="W91"/>
  <c r="W93"/>
  <c r="W95"/>
  <c r="W97"/>
  <c r="W99"/>
  <c r="W101"/>
  <c r="W112"/>
  <c r="W114"/>
  <c r="W116"/>
  <c r="W118"/>
  <c r="W120"/>
  <c r="W122"/>
  <c r="W124"/>
  <c r="W126"/>
  <c r="W136"/>
  <c r="W138"/>
  <c r="W140"/>
  <c r="P150"/>
  <c r="H151"/>
  <c r="P152"/>
  <c r="Q152"/>
  <c r="H153"/>
  <c r="D193"/>
  <c r="D101" i="92"/>
  <c r="B214" i="91"/>
  <c r="T37"/>
  <c r="T38"/>
  <c r="W143"/>
  <c r="W145"/>
  <c r="W147"/>
  <c r="B190"/>
  <c r="B191"/>
  <c r="E213"/>
  <c r="W213"/>
  <c r="D62" i="94"/>
  <c r="D60"/>
  <c r="F62"/>
  <c r="F60"/>
  <c r="J62"/>
  <c r="J60"/>
  <c r="N62"/>
  <c r="N60"/>
  <c r="Q57"/>
  <c r="Q60"/>
  <c r="P62"/>
  <c r="P60"/>
  <c r="T62"/>
  <c r="T60"/>
  <c r="B45"/>
  <c r="B55"/>
  <c r="W55"/>
  <c r="C60"/>
  <c r="E62"/>
  <c r="E60"/>
  <c r="G60"/>
  <c r="I62"/>
  <c r="I60"/>
  <c r="O62"/>
  <c r="O60"/>
  <c r="V57"/>
  <c r="V60"/>
  <c r="U62"/>
  <c r="U60"/>
  <c r="W34"/>
  <c r="W40"/>
  <c r="W41"/>
  <c r="W42"/>
  <c r="W50"/>
  <c r="W54"/>
  <c r="T178" i="93"/>
  <c r="T155"/>
  <c r="T21"/>
  <c r="T20"/>
  <c r="T15"/>
  <c r="P15"/>
  <c r="N15"/>
  <c r="N15" i="94"/>
  <c r="N22"/>
  <c r="U15" i="93"/>
  <c r="J15"/>
  <c r="F15"/>
  <c r="S15"/>
  <c r="S15" i="94"/>
  <c r="S22"/>
  <c r="O15" i="93"/>
  <c r="K15"/>
  <c r="I15"/>
  <c r="I15" i="94"/>
  <c r="I22"/>
  <c r="G15" i="93"/>
  <c r="E15"/>
  <c r="E15" i="94"/>
  <c r="N23" i="93"/>
  <c r="C178"/>
  <c r="C155"/>
  <c r="T56"/>
  <c r="P56"/>
  <c r="N56"/>
  <c r="J56"/>
  <c r="F56"/>
  <c r="G56"/>
  <c r="U56"/>
  <c r="S56"/>
  <c r="O56"/>
  <c r="K56"/>
  <c r="I56"/>
  <c r="T61"/>
  <c r="P61"/>
  <c r="N61"/>
  <c r="J61"/>
  <c r="F61"/>
  <c r="U61"/>
  <c r="S61"/>
  <c r="O61"/>
  <c r="K61"/>
  <c r="I61"/>
  <c r="G61"/>
  <c r="P127"/>
  <c r="Q127"/>
  <c r="H127"/>
  <c r="U127"/>
  <c r="V127"/>
  <c r="K127"/>
  <c r="L127"/>
  <c r="N25"/>
  <c r="D12"/>
  <c r="D12" i="94"/>
  <c r="C13" i="93"/>
  <c r="C13" i="94"/>
  <c r="F14" i="93"/>
  <c r="F14" i="94"/>
  <c r="J14" i="93"/>
  <c r="J14" i="94"/>
  <c r="N14" i="93"/>
  <c r="N14" i="94"/>
  <c r="P14" i="93"/>
  <c r="P14" i="94"/>
  <c r="F16" i="93"/>
  <c r="J16"/>
  <c r="G28"/>
  <c r="H28"/>
  <c r="K28"/>
  <c r="L28"/>
  <c r="M28"/>
  <c r="U28"/>
  <c r="V28"/>
  <c r="D152"/>
  <c r="D175"/>
  <c r="B155"/>
  <c r="B178"/>
  <c r="U16"/>
  <c r="S16"/>
  <c r="S16" i="94"/>
  <c r="S23"/>
  <c r="O16" i="93"/>
  <c r="K16"/>
  <c r="I16"/>
  <c r="I16" i="94"/>
  <c r="I23"/>
  <c r="G16" i="93"/>
  <c r="E16"/>
  <c r="E16" i="94"/>
  <c r="E23"/>
  <c r="P28" i="93"/>
  <c r="Q28"/>
  <c r="R28"/>
  <c r="Q27"/>
  <c r="R27"/>
  <c r="T38"/>
  <c r="P38"/>
  <c r="N38"/>
  <c r="J38"/>
  <c r="F38"/>
  <c r="G38"/>
  <c r="E34"/>
  <c r="U38"/>
  <c r="S38"/>
  <c r="O38"/>
  <c r="K38"/>
  <c r="I38"/>
  <c r="T41"/>
  <c r="P41"/>
  <c r="N41"/>
  <c r="J41"/>
  <c r="F41"/>
  <c r="F40"/>
  <c r="U41"/>
  <c r="S41"/>
  <c r="O41"/>
  <c r="K41"/>
  <c r="I41"/>
  <c r="G41"/>
  <c r="T55"/>
  <c r="P55"/>
  <c r="N55"/>
  <c r="J55"/>
  <c r="F55"/>
  <c r="U55"/>
  <c r="S55"/>
  <c r="O55"/>
  <c r="K55"/>
  <c r="I55"/>
  <c r="E53"/>
  <c r="E88"/>
  <c r="T110"/>
  <c r="P110"/>
  <c r="N110"/>
  <c r="J110"/>
  <c r="F110"/>
  <c r="G110"/>
  <c r="U110"/>
  <c r="S110"/>
  <c r="O110"/>
  <c r="K110"/>
  <c r="I110"/>
  <c r="P126"/>
  <c r="H126"/>
  <c r="U126"/>
  <c r="K126"/>
  <c r="G125"/>
  <c r="H125"/>
  <c r="P128"/>
  <c r="Q128"/>
  <c r="U128"/>
  <c r="V128"/>
  <c r="H128"/>
  <c r="K128"/>
  <c r="L128"/>
  <c r="E14"/>
  <c r="E14" i="94"/>
  <c r="G14" i="93"/>
  <c r="G14" i="94"/>
  <c r="I14" i="93"/>
  <c r="I14" i="94"/>
  <c r="K14" i="93"/>
  <c r="K14" i="94"/>
  <c r="O14" i="93"/>
  <c r="O14" i="94"/>
  <c r="S14" i="93"/>
  <c r="S14" i="94"/>
  <c r="U14" i="93"/>
  <c r="U14" i="94"/>
  <c r="P16" i="93"/>
  <c r="T16"/>
  <c r="U135"/>
  <c r="S135"/>
  <c r="O135"/>
  <c r="K135"/>
  <c r="I135"/>
  <c r="F36"/>
  <c r="J36"/>
  <c r="N36"/>
  <c r="P36"/>
  <c r="T36"/>
  <c r="G37"/>
  <c r="H37"/>
  <c r="I37"/>
  <c r="K37"/>
  <c r="O37"/>
  <c r="Q37"/>
  <c r="S37"/>
  <c r="U37"/>
  <c r="G39"/>
  <c r="H39"/>
  <c r="I39"/>
  <c r="K39"/>
  <c r="F57"/>
  <c r="G57"/>
  <c r="J57"/>
  <c r="N57"/>
  <c r="P57"/>
  <c r="T57"/>
  <c r="F58"/>
  <c r="G58"/>
  <c r="J58"/>
  <c r="N58"/>
  <c r="P58"/>
  <c r="T58"/>
  <c r="F59"/>
  <c r="J59"/>
  <c r="G90"/>
  <c r="I90"/>
  <c r="K90"/>
  <c r="F92"/>
  <c r="F91"/>
  <c r="J92"/>
  <c r="J91"/>
  <c r="N92"/>
  <c r="P92"/>
  <c r="T92"/>
  <c r="F93"/>
  <c r="G93"/>
  <c r="J93"/>
  <c r="N93"/>
  <c r="P93"/>
  <c r="T93"/>
  <c r="F108"/>
  <c r="J108"/>
  <c r="N108"/>
  <c r="P108"/>
  <c r="T108"/>
  <c r="I109"/>
  <c r="K109"/>
  <c r="O109"/>
  <c r="Q109"/>
  <c r="S109"/>
  <c r="U109"/>
  <c r="G111"/>
  <c r="I111"/>
  <c r="K111"/>
  <c r="F113"/>
  <c r="F112"/>
  <c r="J113"/>
  <c r="N113"/>
  <c r="P113"/>
  <c r="T113"/>
  <c r="F133"/>
  <c r="G133"/>
  <c r="J133"/>
  <c r="P134"/>
  <c r="H135"/>
  <c r="P135"/>
  <c r="T135"/>
  <c r="F143"/>
  <c r="J143"/>
  <c r="U133"/>
  <c r="S133"/>
  <c r="O133"/>
  <c r="K133"/>
  <c r="I133"/>
  <c r="U134"/>
  <c r="S134"/>
  <c r="O134"/>
  <c r="K134"/>
  <c r="I134"/>
  <c r="T143"/>
  <c r="U143"/>
  <c r="S143"/>
  <c r="O143"/>
  <c r="K143"/>
  <c r="I143"/>
  <c r="G36"/>
  <c r="I36"/>
  <c r="K36"/>
  <c r="O36"/>
  <c r="S36"/>
  <c r="U36"/>
  <c r="I57"/>
  <c r="K57"/>
  <c r="O57"/>
  <c r="S57"/>
  <c r="V57"/>
  <c r="U57"/>
  <c r="I58"/>
  <c r="K58"/>
  <c r="O58"/>
  <c r="S58"/>
  <c r="U58"/>
  <c r="G59"/>
  <c r="G60"/>
  <c r="I59"/>
  <c r="K59"/>
  <c r="K60"/>
  <c r="H90"/>
  <c r="G92"/>
  <c r="I92"/>
  <c r="K92"/>
  <c r="O92"/>
  <c r="S92"/>
  <c r="I93"/>
  <c r="K93"/>
  <c r="O93"/>
  <c r="S93"/>
  <c r="U93"/>
  <c r="I108"/>
  <c r="K108"/>
  <c r="O108"/>
  <c r="S108"/>
  <c r="U108"/>
  <c r="G113"/>
  <c r="I113"/>
  <c r="K113"/>
  <c r="O113"/>
  <c r="S113"/>
  <c r="P133"/>
  <c r="T133"/>
  <c r="F134"/>
  <c r="G134"/>
  <c r="J134"/>
  <c r="N134"/>
  <c r="P143"/>
  <c r="V182"/>
  <c r="V104" i="94"/>
  <c r="T182" i="93"/>
  <c r="T104" i="94"/>
  <c r="R182" i="93"/>
  <c r="R104" i="94"/>
  <c r="P182" i="93"/>
  <c r="P104" i="94"/>
  <c r="N182" i="93"/>
  <c r="N104" i="94"/>
  <c r="L182" i="93"/>
  <c r="L104" i="94"/>
  <c r="J182" i="93"/>
  <c r="J104" i="94"/>
  <c r="H182" i="93"/>
  <c r="H104" i="94"/>
  <c r="F182" i="93"/>
  <c r="F104" i="94"/>
  <c r="W182" i="93"/>
  <c r="U182"/>
  <c r="U104" i="94"/>
  <c r="S182" i="93"/>
  <c r="S104" i="94"/>
  <c r="Q182" i="93"/>
  <c r="Q104" i="94"/>
  <c r="O182" i="93"/>
  <c r="O104" i="94"/>
  <c r="M182" i="93"/>
  <c r="M104" i="94"/>
  <c r="K182" i="93"/>
  <c r="K104" i="94"/>
  <c r="I182" i="93"/>
  <c r="I104" i="94"/>
  <c r="G182" i="93"/>
  <c r="G104" i="94"/>
  <c r="G163" i="93"/>
  <c r="I163"/>
  <c r="K163"/>
  <c r="M163"/>
  <c r="O163"/>
  <c r="Q163"/>
  <c r="S163"/>
  <c r="U163"/>
  <c r="F164"/>
  <c r="F165"/>
  <c r="H164"/>
  <c r="H165"/>
  <c r="J164"/>
  <c r="J165"/>
  <c r="L164"/>
  <c r="L165"/>
  <c r="N164"/>
  <c r="N165"/>
  <c r="P164"/>
  <c r="P165"/>
  <c r="R164"/>
  <c r="R165"/>
  <c r="T164"/>
  <c r="T165"/>
  <c r="V164"/>
  <c r="V165"/>
  <c r="D179"/>
  <c r="D180"/>
  <c r="D156"/>
  <c r="D167"/>
  <c r="D166"/>
  <c r="D88" i="94"/>
  <c r="G164" i="93"/>
  <c r="I164"/>
  <c r="K164"/>
  <c r="M164"/>
  <c r="O164"/>
  <c r="Q164"/>
  <c r="S164"/>
  <c r="U164"/>
  <c r="W164"/>
  <c r="W165"/>
  <c r="W188"/>
  <c r="G186"/>
  <c r="I186"/>
  <c r="K186"/>
  <c r="M186"/>
  <c r="O186"/>
  <c r="Q186"/>
  <c r="S186"/>
  <c r="U186"/>
  <c r="F187"/>
  <c r="F188"/>
  <c r="H187"/>
  <c r="H188"/>
  <c r="J187"/>
  <c r="J188"/>
  <c r="L187"/>
  <c r="L188"/>
  <c r="N187"/>
  <c r="N188"/>
  <c r="P187"/>
  <c r="P188"/>
  <c r="R187"/>
  <c r="R188"/>
  <c r="T187"/>
  <c r="T188"/>
  <c r="V187"/>
  <c r="V188"/>
  <c r="E188"/>
  <c r="G187"/>
  <c r="G188"/>
  <c r="I187"/>
  <c r="K187"/>
  <c r="K188"/>
  <c r="M187"/>
  <c r="O187"/>
  <c r="O188"/>
  <c r="Q187"/>
  <c r="S187"/>
  <c r="S188"/>
  <c r="U187"/>
  <c r="W96" i="92"/>
  <c r="C75"/>
  <c r="C73"/>
  <c r="B56"/>
  <c r="W99"/>
  <c r="W122"/>
  <c r="B45"/>
  <c r="B51"/>
  <c r="B53"/>
  <c r="B62"/>
  <c r="W77"/>
  <c r="W53"/>
  <c r="U22" i="91"/>
  <c r="U23" i="92"/>
  <c r="U33"/>
  <c r="S22" i="91"/>
  <c r="S23" i="92"/>
  <c r="S33"/>
  <c r="S32"/>
  <c r="O22" i="91"/>
  <c r="O23" i="92"/>
  <c r="O33"/>
  <c r="K22" i="91"/>
  <c r="K23" i="92"/>
  <c r="K33"/>
  <c r="I22" i="91"/>
  <c r="I23" i="92"/>
  <c r="I33"/>
  <c r="G22" i="91"/>
  <c r="G23" i="92"/>
  <c r="G33"/>
  <c r="E22" i="91"/>
  <c r="E23" i="92"/>
  <c r="B21" i="91"/>
  <c r="B22" i="92"/>
  <c r="T22" i="91"/>
  <c r="T23" i="92"/>
  <c r="T33"/>
  <c r="P22" i="91"/>
  <c r="P23" i="92"/>
  <c r="P33"/>
  <c r="N22" i="91"/>
  <c r="N23" i="92"/>
  <c r="N33"/>
  <c r="J22" i="91"/>
  <c r="J23" i="92"/>
  <c r="J33"/>
  <c r="F22" i="91"/>
  <c r="F23" i="92"/>
  <c r="F33"/>
  <c r="C16" i="91"/>
  <c r="C17" i="92"/>
  <c r="B181" i="91"/>
  <c r="B204"/>
  <c r="U18"/>
  <c r="U19" i="92"/>
  <c r="S18" i="91"/>
  <c r="S19" i="92"/>
  <c r="O18" i="91"/>
  <c r="O19" i="92"/>
  <c r="K18" i="91"/>
  <c r="K19" i="92"/>
  <c r="I18" i="91"/>
  <c r="I19" i="92"/>
  <c r="G18" i="91"/>
  <c r="G19" i="92"/>
  <c r="E18" i="91"/>
  <c r="E19" i="92"/>
  <c r="T18" i="91"/>
  <c r="T19" i="92"/>
  <c r="P18" i="91"/>
  <c r="P19" i="92"/>
  <c r="N18" i="91"/>
  <c r="N19" i="92"/>
  <c r="J18" i="91"/>
  <c r="J19" i="92"/>
  <c r="F18" i="91"/>
  <c r="F19" i="92"/>
  <c r="D178" i="91"/>
  <c r="D201"/>
  <c r="S33"/>
  <c r="T48"/>
  <c r="P48"/>
  <c r="N48"/>
  <c r="J48"/>
  <c r="F48"/>
  <c r="G48"/>
  <c r="U48"/>
  <c r="S48"/>
  <c r="O48"/>
  <c r="K48"/>
  <c r="I48"/>
  <c r="T51"/>
  <c r="P51"/>
  <c r="N51"/>
  <c r="J51"/>
  <c r="F51"/>
  <c r="U51"/>
  <c r="S51"/>
  <c r="O51"/>
  <c r="K51"/>
  <c r="I51"/>
  <c r="G51"/>
  <c r="T71"/>
  <c r="P71"/>
  <c r="N71"/>
  <c r="J71"/>
  <c r="F71"/>
  <c r="U71"/>
  <c r="S71"/>
  <c r="O71"/>
  <c r="K71"/>
  <c r="I71"/>
  <c r="G71"/>
  <c r="T76"/>
  <c r="P76"/>
  <c r="N76"/>
  <c r="J76"/>
  <c r="F76"/>
  <c r="U76"/>
  <c r="S76"/>
  <c r="O76"/>
  <c r="K76"/>
  <c r="I76"/>
  <c r="G76"/>
  <c r="T106"/>
  <c r="P106"/>
  <c r="N106"/>
  <c r="J106"/>
  <c r="F106"/>
  <c r="U106"/>
  <c r="S106"/>
  <c r="O106"/>
  <c r="K106"/>
  <c r="I106"/>
  <c r="E104"/>
  <c r="T129"/>
  <c r="P129"/>
  <c r="N129"/>
  <c r="J129"/>
  <c r="F129"/>
  <c r="U129"/>
  <c r="S129"/>
  <c r="O129"/>
  <c r="K129"/>
  <c r="I129"/>
  <c r="E128"/>
  <c r="U159"/>
  <c r="S159"/>
  <c r="O159"/>
  <c r="K159"/>
  <c r="I159"/>
  <c r="N159"/>
  <c r="J159"/>
  <c r="F159"/>
  <c r="G159"/>
  <c r="T159"/>
  <c r="P159"/>
  <c r="N35"/>
  <c r="B19"/>
  <c r="B20" i="92"/>
  <c r="E23" i="91"/>
  <c r="E24" i="92"/>
  <c r="E34"/>
  <c r="G23" i="91"/>
  <c r="K23"/>
  <c r="O23"/>
  <c r="U23"/>
  <c r="B11"/>
  <c r="B12"/>
  <c r="B13" i="92"/>
  <c r="F23" i="91"/>
  <c r="J23"/>
  <c r="N23"/>
  <c r="N24" i="92"/>
  <c r="N34"/>
  <c r="P23" i="91"/>
  <c r="T23"/>
  <c r="C204"/>
  <c r="C181"/>
  <c r="T70"/>
  <c r="P70"/>
  <c r="N70"/>
  <c r="J70"/>
  <c r="F70"/>
  <c r="U70"/>
  <c r="S70"/>
  <c r="O70"/>
  <c r="K70"/>
  <c r="I70"/>
  <c r="G70"/>
  <c r="T110"/>
  <c r="P110"/>
  <c r="N110"/>
  <c r="J110"/>
  <c r="F110"/>
  <c r="U110"/>
  <c r="S110"/>
  <c r="O110"/>
  <c r="K110"/>
  <c r="I110"/>
  <c r="G110"/>
  <c r="T134"/>
  <c r="P134"/>
  <c r="N134"/>
  <c r="J134"/>
  <c r="F134"/>
  <c r="U134"/>
  <c r="S134"/>
  <c r="O134"/>
  <c r="K134"/>
  <c r="I134"/>
  <c r="G134"/>
  <c r="I23"/>
  <c r="I24" i="92"/>
  <c r="I34"/>
  <c r="U150" i="91"/>
  <c r="K150"/>
  <c r="G149"/>
  <c r="H149"/>
  <c r="U151"/>
  <c r="V151"/>
  <c r="K151"/>
  <c r="L151"/>
  <c r="U152"/>
  <c r="V152"/>
  <c r="K152"/>
  <c r="L152"/>
  <c r="M152"/>
  <c r="R152"/>
  <c r="U153"/>
  <c r="V153"/>
  <c r="K153"/>
  <c r="L153"/>
  <c r="M153"/>
  <c r="R153"/>
  <c r="U162"/>
  <c r="S162"/>
  <c r="O162"/>
  <c r="K162"/>
  <c r="I162"/>
  <c r="V185"/>
  <c r="T185"/>
  <c r="R185"/>
  <c r="P185"/>
  <c r="N185"/>
  <c r="L185"/>
  <c r="J185"/>
  <c r="H185"/>
  <c r="F185"/>
  <c r="W185"/>
  <c r="U185"/>
  <c r="S185"/>
  <c r="Q185"/>
  <c r="O185"/>
  <c r="M185"/>
  <c r="K185"/>
  <c r="I185"/>
  <c r="G185"/>
  <c r="V189"/>
  <c r="T189"/>
  <c r="R189"/>
  <c r="P189"/>
  <c r="N189"/>
  <c r="L189"/>
  <c r="J189"/>
  <c r="H189"/>
  <c r="F189"/>
  <c r="W189"/>
  <c r="U189"/>
  <c r="S189"/>
  <c r="Q189"/>
  <c r="O189"/>
  <c r="M189"/>
  <c r="K189"/>
  <c r="I189"/>
  <c r="G189"/>
  <c r="H37"/>
  <c r="L37"/>
  <c r="M37"/>
  <c r="U37"/>
  <c r="P38"/>
  <c r="Q38"/>
  <c r="R38"/>
  <c r="F46"/>
  <c r="J46"/>
  <c r="N46"/>
  <c r="P46"/>
  <c r="T46"/>
  <c r="G47"/>
  <c r="I47"/>
  <c r="K47"/>
  <c r="O47"/>
  <c r="Q47"/>
  <c r="S47"/>
  <c r="U47"/>
  <c r="G49"/>
  <c r="I49"/>
  <c r="K49"/>
  <c r="F72"/>
  <c r="G72"/>
  <c r="J72"/>
  <c r="N72"/>
  <c r="P72"/>
  <c r="T72"/>
  <c r="F73"/>
  <c r="G73"/>
  <c r="J73"/>
  <c r="N73"/>
  <c r="P73"/>
  <c r="T73"/>
  <c r="F74"/>
  <c r="F75"/>
  <c r="J74"/>
  <c r="F107"/>
  <c r="G107"/>
  <c r="J107"/>
  <c r="N107"/>
  <c r="P107"/>
  <c r="T107"/>
  <c r="F108"/>
  <c r="F109"/>
  <c r="J108"/>
  <c r="J109"/>
  <c r="A110"/>
  <c r="F130"/>
  <c r="G130"/>
  <c r="H130"/>
  <c r="J130"/>
  <c r="N130"/>
  <c r="P130"/>
  <c r="T130"/>
  <c r="F131"/>
  <c r="G131"/>
  <c r="J131"/>
  <c r="N131"/>
  <c r="P131"/>
  <c r="T131"/>
  <c r="F132"/>
  <c r="J132"/>
  <c r="F158"/>
  <c r="G158"/>
  <c r="J158"/>
  <c r="H162"/>
  <c r="P162"/>
  <c r="T162"/>
  <c r="F169"/>
  <c r="J169"/>
  <c r="U158"/>
  <c r="S158"/>
  <c r="O158"/>
  <c r="K158"/>
  <c r="I158"/>
  <c r="U169"/>
  <c r="S169"/>
  <c r="O169"/>
  <c r="K169"/>
  <c r="I169"/>
  <c r="G46"/>
  <c r="I46"/>
  <c r="K46"/>
  <c r="O46"/>
  <c r="S46"/>
  <c r="U46"/>
  <c r="H49"/>
  <c r="I72"/>
  <c r="K72"/>
  <c r="O72"/>
  <c r="S72"/>
  <c r="U72"/>
  <c r="I73"/>
  <c r="K73"/>
  <c r="O73"/>
  <c r="S73"/>
  <c r="U73"/>
  <c r="G74"/>
  <c r="G75"/>
  <c r="I74"/>
  <c r="K74"/>
  <c r="K75"/>
  <c r="I107"/>
  <c r="K107"/>
  <c r="O107"/>
  <c r="S107"/>
  <c r="U107"/>
  <c r="G108"/>
  <c r="I108"/>
  <c r="K108"/>
  <c r="I130"/>
  <c r="K130"/>
  <c r="O130"/>
  <c r="S130"/>
  <c r="U130"/>
  <c r="I131"/>
  <c r="K131"/>
  <c r="O131"/>
  <c r="S131"/>
  <c r="U131"/>
  <c r="G132"/>
  <c r="I132"/>
  <c r="K132"/>
  <c r="M151"/>
  <c r="R151"/>
  <c r="P158"/>
  <c r="T158"/>
  <c r="P169"/>
  <c r="T169"/>
  <c r="E190"/>
  <c r="D205"/>
  <c r="D206"/>
  <c r="V208"/>
  <c r="T208"/>
  <c r="R208"/>
  <c r="P208"/>
  <c r="N208"/>
  <c r="L208"/>
  <c r="J208"/>
  <c r="H208"/>
  <c r="F208"/>
  <c r="W208"/>
  <c r="U208"/>
  <c r="S208"/>
  <c r="Q208"/>
  <c r="O208"/>
  <c r="M208"/>
  <c r="K208"/>
  <c r="I208"/>
  <c r="G208"/>
  <c r="W214"/>
  <c r="F212"/>
  <c r="H212"/>
  <c r="J212"/>
  <c r="L212"/>
  <c r="N212"/>
  <c r="P212"/>
  <c r="R212"/>
  <c r="T212"/>
  <c r="V212"/>
  <c r="F213"/>
  <c r="H213"/>
  <c r="J213"/>
  <c r="L213"/>
  <c r="N213"/>
  <c r="P213"/>
  <c r="R213"/>
  <c r="T213"/>
  <c r="V213"/>
  <c r="E214"/>
  <c r="G212"/>
  <c r="I212"/>
  <c r="K212"/>
  <c r="M212"/>
  <c r="O212"/>
  <c r="Q212"/>
  <c r="S212"/>
  <c r="U212"/>
  <c r="G213"/>
  <c r="G214"/>
  <c r="I213"/>
  <c r="I214"/>
  <c r="K213"/>
  <c r="K214"/>
  <c r="M213"/>
  <c r="M214"/>
  <c r="O213"/>
  <c r="O214"/>
  <c r="Q213"/>
  <c r="Q214"/>
  <c r="S213"/>
  <c r="S214"/>
  <c r="U213"/>
  <c r="U214"/>
  <c r="P23" i="93"/>
  <c r="P16" i="94"/>
  <c r="P23"/>
  <c r="S20"/>
  <c r="S21"/>
  <c r="K20"/>
  <c r="K21"/>
  <c r="G20"/>
  <c r="G21"/>
  <c r="G23" i="93"/>
  <c r="G16" i="94"/>
  <c r="G23"/>
  <c r="K23" i="93"/>
  <c r="K16" i="94"/>
  <c r="K23"/>
  <c r="F23" i="93"/>
  <c r="F16" i="94"/>
  <c r="F23"/>
  <c r="N21"/>
  <c r="N20"/>
  <c r="F21"/>
  <c r="F20"/>
  <c r="E22"/>
  <c r="O22" i="93"/>
  <c r="O15" i="94"/>
  <c r="O22"/>
  <c r="F22" i="93"/>
  <c r="F15" i="94"/>
  <c r="F22"/>
  <c r="U22" i="93"/>
  <c r="U15" i="94"/>
  <c r="U22"/>
  <c r="P22" i="93"/>
  <c r="P15" i="94"/>
  <c r="P22"/>
  <c r="Q134" i="93"/>
  <c r="T23"/>
  <c r="T16" i="94"/>
  <c r="T23"/>
  <c r="V23"/>
  <c r="U20"/>
  <c r="U21"/>
  <c r="V21"/>
  <c r="O20"/>
  <c r="O21"/>
  <c r="O24"/>
  <c r="I20"/>
  <c r="I21"/>
  <c r="E21"/>
  <c r="E20"/>
  <c r="W14"/>
  <c r="O23" i="93"/>
  <c r="O16" i="94"/>
  <c r="O23"/>
  <c r="U23" i="93"/>
  <c r="U16" i="94"/>
  <c r="U23"/>
  <c r="J23" i="93"/>
  <c r="J16" i="94"/>
  <c r="J23"/>
  <c r="P20"/>
  <c r="P24"/>
  <c r="P21"/>
  <c r="J21"/>
  <c r="J20"/>
  <c r="G22" i="93"/>
  <c r="G15" i="94"/>
  <c r="G22"/>
  <c r="K22" i="93"/>
  <c r="K15" i="94"/>
  <c r="K22"/>
  <c r="J22" i="93"/>
  <c r="J15" i="94"/>
  <c r="J22"/>
  <c r="T22" i="93"/>
  <c r="T15" i="94"/>
  <c r="T22"/>
  <c r="L23"/>
  <c r="V22"/>
  <c r="Q22"/>
  <c r="J133" i="91"/>
  <c r="J55" i="92"/>
  <c r="J56"/>
  <c r="J75" i="91"/>
  <c r="H133" i="93"/>
  <c r="L58"/>
  <c r="V134"/>
  <c r="F60"/>
  <c r="H60"/>
  <c r="W84" i="94"/>
  <c r="T33" i="91"/>
  <c r="T24" i="92"/>
  <c r="T34"/>
  <c r="T32"/>
  <c r="F33" i="91"/>
  <c r="F24" i="92"/>
  <c r="F34"/>
  <c r="F32"/>
  <c r="BN97" i="9"/>
  <c r="B12" i="92"/>
  <c r="O33" i="91"/>
  <c r="O24" i="92"/>
  <c r="O34"/>
  <c r="O32"/>
  <c r="G33" i="91"/>
  <c r="G24" i="92"/>
  <c r="G34"/>
  <c r="H34"/>
  <c r="F29"/>
  <c r="F28"/>
  <c r="N29"/>
  <c r="N28"/>
  <c r="T28"/>
  <c r="T29"/>
  <c r="G28"/>
  <c r="G29"/>
  <c r="K28"/>
  <c r="K29"/>
  <c r="S28"/>
  <c r="S29"/>
  <c r="P33" i="91"/>
  <c r="P24" i="92"/>
  <c r="P34"/>
  <c r="J33" i="91"/>
  <c r="J24" i="92"/>
  <c r="J34"/>
  <c r="J32"/>
  <c r="U33" i="91"/>
  <c r="U24" i="92"/>
  <c r="U34"/>
  <c r="U32"/>
  <c r="K33" i="91"/>
  <c r="K24" i="92"/>
  <c r="K34"/>
  <c r="K32"/>
  <c r="J29"/>
  <c r="J28"/>
  <c r="P28"/>
  <c r="P29"/>
  <c r="E29"/>
  <c r="E28"/>
  <c r="W19"/>
  <c r="I29"/>
  <c r="I28"/>
  <c r="O28"/>
  <c r="O29"/>
  <c r="U28"/>
  <c r="U29"/>
  <c r="Q33"/>
  <c r="N32"/>
  <c r="V33"/>
  <c r="E33"/>
  <c r="W23"/>
  <c r="I32"/>
  <c r="L33"/>
  <c r="CE101" i="9"/>
  <c r="CC101"/>
  <c r="CA101"/>
  <c r="BY101"/>
  <c r="BW101"/>
  <c r="BU101"/>
  <c r="BS101"/>
  <c r="BQ101"/>
  <c r="BO101"/>
  <c r="CF101"/>
  <c r="CD101"/>
  <c r="CB101"/>
  <c r="BZ101"/>
  <c r="BX101"/>
  <c r="BV101"/>
  <c r="BT101"/>
  <c r="BR101"/>
  <c r="BP101"/>
  <c r="E20" i="91"/>
  <c r="B21" i="92"/>
  <c r="W24"/>
  <c r="L57" i="94"/>
  <c r="L60"/>
  <c r="H57"/>
  <c r="H60"/>
  <c r="F133" i="91"/>
  <c r="F55" i="92"/>
  <c r="J40" i="93"/>
  <c r="S60" i="94"/>
  <c r="K62"/>
  <c r="K67"/>
  <c r="W57"/>
  <c r="W60"/>
  <c r="Q133" i="93"/>
  <c r="L56"/>
  <c r="W119" i="92"/>
  <c r="J50" i="91"/>
  <c r="W45" i="94"/>
  <c r="K133" i="91"/>
  <c r="K55" i="92"/>
  <c r="K56"/>
  <c r="G133" i="91"/>
  <c r="G55" i="92"/>
  <c r="G56"/>
  <c r="H131" i="91"/>
  <c r="J112" i="93"/>
  <c r="J60"/>
  <c r="J53"/>
  <c r="K40"/>
  <c r="K34"/>
  <c r="G40"/>
  <c r="G34"/>
  <c r="K60" i="94"/>
  <c r="G62"/>
  <c r="G64"/>
  <c r="L45"/>
  <c r="M45"/>
  <c r="B57"/>
  <c r="B60"/>
  <c r="W107"/>
  <c r="D16" i="91"/>
  <c r="D17" i="92"/>
  <c r="D15"/>
  <c r="C17" i="91"/>
  <c r="C22" i="92"/>
  <c r="L110" i="93"/>
  <c r="Q45" i="94"/>
  <c r="W53"/>
  <c r="S165" i="93"/>
  <c r="O165"/>
  <c r="K165"/>
  <c r="G165"/>
  <c r="V37"/>
  <c r="H38"/>
  <c r="D157"/>
  <c r="V93"/>
  <c r="W133"/>
  <c r="V133"/>
  <c r="Q135"/>
  <c r="V109"/>
  <c r="J107"/>
  <c r="J88"/>
  <c r="F34"/>
  <c r="W135"/>
  <c r="V135"/>
  <c r="W128"/>
  <c r="H110"/>
  <c r="L38"/>
  <c r="T214" i="91"/>
  <c r="P214"/>
  <c r="L214"/>
  <c r="H214"/>
  <c r="D216"/>
  <c r="K109"/>
  <c r="G109"/>
  <c r="H109"/>
  <c r="V107"/>
  <c r="Q162"/>
  <c r="L71"/>
  <c r="F50"/>
  <c r="F51" i="92"/>
  <c r="W48" i="91"/>
  <c r="V48"/>
  <c r="Q150"/>
  <c r="P149"/>
  <c r="Q149"/>
  <c r="Q131"/>
  <c r="V162"/>
  <c r="H158"/>
  <c r="V131"/>
  <c r="L130"/>
  <c r="L73"/>
  <c r="V72"/>
  <c r="L158"/>
  <c r="Q158"/>
  <c r="Q107"/>
  <c r="H107"/>
  <c r="K50"/>
  <c r="K51" i="92"/>
  <c r="K52"/>
  <c r="G50" i="91"/>
  <c r="V47"/>
  <c r="W47"/>
  <c r="B17"/>
  <c r="H159"/>
  <c r="H71"/>
  <c r="B14"/>
  <c r="W162"/>
  <c r="U67" i="94"/>
  <c r="U64"/>
  <c r="V62"/>
  <c r="V64"/>
  <c r="S64"/>
  <c r="G67"/>
  <c r="B62"/>
  <c r="C67"/>
  <c r="C64"/>
  <c r="C63"/>
  <c r="N64"/>
  <c r="Q62"/>
  <c r="Q64"/>
  <c r="J67"/>
  <c r="J64"/>
  <c r="F67"/>
  <c r="F64"/>
  <c r="D67"/>
  <c r="D64"/>
  <c r="D63"/>
  <c r="O67"/>
  <c r="O64"/>
  <c r="I64"/>
  <c r="E64"/>
  <c r="T67"/>
  <c r="T64"/>
  <c r="P67"/>
  <c r="P64"/>
  <c r="F88" i="93"/>
  <c r="P25"/>
  <c r="V108"/>
  <c r="L36"/>
  <c r="L143"/>
  <c r="I25"/>
  <c r="O25"/>
  <c r="U25"/>
  <c r="G143"/>
  <c r="F25"/>
  <c r="L111"/>
  <c r="I112"/>
  <c r="I107"/>
  <c r="Q108"/>
  <c r="K91"/>
  <c r="K88"/>
  <c r="G91"/>
  <c r="H91"/>
  <c r="L39"/>
  <c r="I40"/>
  <c r="L40"/>
  <c r="Q36"/>
  <c r="S178"/>
  <c r="S155"/>
  <c r="S20"/>
  <c r="S21"/>
  <c r="V14"/>
  <c r="V14" i="94"/>
  <c r="S13" i="93"/>
  <c r="K178"/>
  <c r="K155"/>
  <c r="K20"/>
  <c r="K21"/>
  <c r="K13"/>
  <c r="G178"/>
  <c r="G155"/>
  <c r="G20"/>
  <c r="G21"/>
  <c r="G13"/>
  <c r="L126"/>
  <c r="M126"/>
  <c r="K125"/>
  <c r="L125"/>
  <c r="M125"/>
  <c r="P125"/>
  <c r="Q125"/>
  <c r="Q126"/>
  <c r="L55"/>
  <c r="F53"/>
  <c r="G55"/>
  <c r="W16"/>
  <c r="E23"/>
  <c r="H16"/>
  <c r="H16" i="94"/>
  <c r="I23" i="93"/>
  <c r="L16"/>
  <c r="L16" i="94"/>
  <c r="B156" i="93"/>
  <c r="B157"/>
  <c r="D153"/>
  <c r="D150"/>
  <c r="P178"/>
  <c r="P155"/>
  <c r="P21"/>
  <c r="P13"/>
  <c r="P20"/>
  <c r="J155"/>
  <c r="J178"/>
  <c r="J21"/>
  <c r="J20"/>
  <c r="J13"/>
  <c r="C138"/>
  <c r="B13"/>
  <c r="C180"/>
  <c r="C179"/>
  <c r="H15"/>
  <c r="E22"/>
  <c r="W15"/>
  <c r="L15"/>
  <c r="L15" i="94"/>
  <c r="I22" i="93"/>
  <c r="L22"/>
  <c r="T179"/>
  <c r="T180"/>
  <c r="U188"/>
  <c r="Q188"/>
  <c r="M188"/>
  <c r="I188"/>
  <c r="U165"/>
  <c r="Q165"/>
  <c r="M165"/>
  <c r="I165"/>
  <c r="D190"/>
  <c r="D189"/>
  <c r="D111" i="94"/>
  <c r="H111" i="93"/>
  <c r="L93"/>
  <c r="V58"/>
  <c r="L57"/>
  <c r="L134"/>
  <c r="L133"/>
  <c r="M133"/>
  <c r="R133"/>
  <c r="H134"/>
  <c r="M134"/>
  <c r="R134"/>
  <c r="L109"/>
  <c r="M109"/>
  <c r="R109"/>
  <c r="Q93"/>
  <c r="H93"/>
  <c r="M93"/>
  <c r="H59"/>
  <c r="Q58"/>
  <c r="H58"/>
  <c r="Q57"/>
  <c r="H57"/>
  <c r="L37"/>
  <c r="M37"/>
  <c r="R37"/>
  <c r="H36"/>
  <c r="L135"/>
  <c r="M135"/>
  <c r="W109"/>
  <c r="W58"/>
  <c r="M128"/>
  <c r="R128"/>
  <c r="W126"/>
  <c r="V110"/>
  <c r="W110"/>
  <c r="V38"/>
  <c r="W38"/>
  <c r="W36"/>
  <c r="M127"/>
  <c r="R127"/>
  <c r="V56"/>
  <c r="W56"/>
  <c r="H56"/>
  <c r="Q56"/>
  <c r="Q23"/>
  <c r="T24"/>
  <c r="L108"/>
  <c r="I60"/>
  <c r="L59"/>
  <c r="V36"/>
  <c r="K25"/>
  <c r="V143"/>
  <c r="S25"/>
  <c r="T25"/>
  <c r="J25"/>
  <c r="G108"/>
  <c r="W108"/>
  <c r="F107"/>
  <c r="L90"/>
  <c r="M90"/>
  <c r="I91"/>
  <c r="U178"/>
  <c r="U155"/>
  <c r="U20"/>
  <c r="U21"/>
  <c r="U13"/>
  <c r="O178"/>
  <c r="O155"/>
  <c r="O20"/>
  <c r="O21"/>
  <c r="O13"/>
  <c r="I178"/>
  <c r="I155"/>
  <c r="I20"/>
  <c r="I21"/>
  <c r="L14"/>
  <c r="L14" i="94"/>
  <c r="I13" i="93"/>
  <c r="E178"/>
  <c r="E155"/>
  <c r="E20"/>
  <c r="E21"/>
  <c r="W14"/>
  <c r="H14"/>
  <c r="H14" i="94"/>
  <c r="E13" i="93"/>
  <c r="V126"/>
  <c r="U125"/>
  <c r="V125"/>
  <c r="V55"/>
  <c r="Q55"/>
  <c r="S23"/>
  <c r="V23"/>
  <c r="V16"/>
  <c r="V16" i="94"/>
  <c r="B179" i="93"/>
  <c r="B180"/>
  <c r="D176"/>
  <c r="D173"/>
  <c r="D174"/>
  <c r="N155"/>
  <c r="N178"/>
  <c r="N21"/>
  <c r="N20"/>
  <c r="Q14"/>
  <c r="Q14" i="94"/>
  <c r="N13" i="93"/>
  <c r="F155"/>
  <c r="F178"/>
  <c r="F21"/>
  <c r="F20"/>
  <c r="F13"/>
  <c r="C156"/>
  <c r="C157"/>
  <c r="V15"/>
  <c r="V15" i="94"/>
  <c r="S22" i="93"/>
  <c r="V22"/>
  <c r="N22"/>
  <c r="Q22"/>
  <c r="Q15"/>
  <c r="Q15" i="94"/>
  <c r="T156" i="93"/>
  <c r="T157"/>
  <c r="M39"/>
  <c r="W134"/>
  <c r="K112"/>
  <c r="K107"/>
  <c r="G112"/>
  <c r="H112"/>
  <c r="J34"/>
  <c r="W57"/>
  <c r="W37"/>
  <c r="M110"/>
  <c r="Q110"/>
  <c r="K53"/>
  <c r="Q38"/>
  <c r="W93"/>
  <c r="Q143"/>
  <c r="W127"/>
  <c r="Q16"/>
  <c r="Q16" i="94"/>
  <c r="T13" i="93"/>
  <c r="C78" i="92"/>
  <c r="C79"/>
  <c r="C76"/>
  <c r="E191" i="91"/>
  <c r="V190"/>
  <c r="V191"/>
  <c r="T190"/>
  <c r="T191"/>
  <c r="R190"/>
  <c r="R191"/>
  <c r="P190"/>
  <c r="P191"/>
  <c r="N190"/>
  <c r="N191"/>
  <c r="L190"/>
  <c r="L191"/>
  <c r="J190"/>
  <c r="J191"/>
  <c r="H190"/>
  <c r="H191"/>
  <c r="F190"/>
  <c r="F191"/>
  <c r="W190"/>
  <c r="W191"/>
  <c r="U190"/>
  <c r="U191"/>
  <c r="S190"/>
  <c r="S191"/>
  <c r="Q190"/>
  <c r="Q191"/>
  <c r="O190"/>
  <c r="O191"/>
  <c r="M190"/>
  <c r="M191"/>
  <c r="K190"/>
  <c r="K191"/>
  <c r="I190"/>
  <c r="I191"/>
  <c r="G190"/>
  <c r="G191"/>
  <c r="V46"/>
  <c r="P35"/>
  <c r="I133"/>
  <c r="L132"/>
  <c r="I109"/>
  <c r="I104"/>
  <c r="L108"/>
  <c r="L46"/>
  <c r="L169"/>
  <c r="I35"/>
  <c r="O35"/>
  <c r="U35"/>
  <c r="G169"/>
  <c r="F35"/>
  <c r="L49"/>
  <c r="M49"/>
  <c r="N49"/>
  <c r="I50"/>
  <c r="Q46"/>
  <c r="K149"/>
  <c r="L150"/>
  <c r="M150"/>
  <c r="L70"/>
  <c r="C182"/>
  <c r="C183"/>
  <c r="B13"/>
  <c r="B14" i="92"/>
  <c r="E12" i="91"/>
  <c r="E13" i="92"/>
  <c r="E33" i="91"/>
  <c r="W23"/>
  <c r="H23"/>
  <c r="H24" i="92"/>
  <c r="L129" i="91"/>
  <c r="G129"/>
  <c r="V106"/>
  <c r="Q106"/>
  <c r="D179"/>
  <c r="D176"/>
  <c r="D177"/>
  <c r="J181"/>
  <c r="J204"/>
  <c r="J28"/>
  <c r="J27"/>
  <c r="P204"/>
  <c r="P181"/>
  <c r="P28"/>
  <c r="P27"/>
  <c r="G204"/>
  <c r="G181"/>
  <c r="G28"/>
  <c r="G27"/>
  <c r="K204"/>
  <c r="K181"/>
  <c r="K28"/>
  <c r="K27"/>
  <c r="S204"/>
  <c r="S181"/>
  <c r="S27"/>
  <c r="S28"/>
  <c r="V18"/>
  <c r="V19" i="92"/>
  <c r="B205" i="91"/>
  <c r="B206"/>
  <c r="F32"/>
  <c r="F31"/>
  <c r="F21"/>
  <c r="F22" i="92"/>
  <c r="N32" i="91"/>
  <c r="Q22"/>
  <c r="Q23" i="92"/>
  <c r="N21" i="91"/>
  <c r="N22" i="92"/>
  <c r="T32" i="91"/>
  <c r="T31"/>
  <c r="T21"/>
  <c r="T22" i="92"/>
  <c r="E32" i="91"/>
  <c r="H22"/>
  <c r="H23" i="92"/>
  <c r="E21" i="91"/>
  <c r="E22" i="92"/>
  <c r="W22" i="91"/>
  <c r="I32"/>
  <c r="L22"/>
  <c r="L23" i="92"/>
  <c r="I21" i="91"/>
  <c r="I22" i="92"/>
  <c r="O32" i="91"/>
  <c r="O31"/>
  <c r="O21"/>
  <c r="O22" i="92"/>
  <c r="U32" i="91"/>
  <c r="U31"/>
  <c r="U21"/>
  <c r="U22" i="92"/>
  <c r="V214" i="91"/>
  <c r="R214"/>
  <c r="N214"/>
  <c r="J214"/>
  <c r="F214"/>
  <c r="L131"/>
  <c r="V130"/>
  <c r="L107"/>
  <c r="M107"/>
  <c r="R107"/>
  <c r="V73"/>
  <c r="L72"/>
  <c r="V158"/>
  <c r="W158"/>
  <c r="H74"/>
  <c r="Q73"/>
  <c r="H73"/>
  <c r="M73"/>
  <c r="Q72"/>
  <c r="H72"/>
  <c r="L47"/>
  <c r="H46"/>
  <c r="M46"/>
  <c r="L162"/>
  <c r="M162"/>
  <c r="W153"/>
  <c r="W151"/>
  <c r="W150"/>
  <c r="W131"/>
  <c r="W107"/>
  <c r="W72"/>
  <c r="H47"/>
  <c r="H75"/>
  <c r="Q35"/>
  <c r="Q159"/>
  <c r="V159"/>
  <c r="W159"/>
  <c r="J128"/>
  <c r="K104"/>
  <c r="V71"/>
  <c r="W71"/>
  <c r="Q71"/>
  <c r="L48"/>
  <c r="H48"/>
  <c r="Q48"/>
  <c r="V33"/>
  <c r="T35"/>
  <c r="I75"/>
  <c r="L75"/>
  <c r="L74"/>
  <c r="K35"/>
  <c r="S35"/>
  <c r="V35"/>
  <c r="V169"/>
  <c r="J35"/>
  <c r="U38"/>
  <c r="V38"/>
  <c r="V37"/>
  <c r="U149"/>
  <c r="V149"/>
  <c r="V150"/>
  <c r="I33"/>
  <c r="L33"/>
  <c r="L23"/>
  <c r="L24" i="92"/>
  <c r="V70" i="91"/>
  <c r="Q70"/>
  <c r="C205"/>
  <c r="C206"/>
  <c r="N33"/>
  <c r="Q33"/>
  <c r="Q23"/>
  <c r="Q24" i="92"/>
  <c r="N19" i="91"/>
  <c r="J19"/>
  <c r="U19"/>
  <c r="S19"/>
  <c r="S20" i="92"/>
  <c r="O19" i="91"/>
  <c r="K19"/>
  <c r="I19"/>
  <c r="I20" i="92"/>
  <c r="G19" i="91"/>
  <c r="E19"/>
  <c r="E20" i="92"/>
  <c r="T19" i="91"/>
  <c r="P19"/>
  <c r="F19"/>
  <c r="V129"/>
  <c r="Q129"/>
  <c r="L106"/>
  <c r="F104"/>
  <c r="G106"/>
  <c r="D202"/>
  <c r="D199"/>
  <c r="D200"/>
  <c r="F181"/>
  <c r="F204"/>
  <c r="F27"/>
  <c r="F28"/>
  <c r="N181"/>
  <c r="N204"/>
  <c r="N28"/>
  <c r="Q18"/>
  <c r="Q19" i="92"/>
  <c r="N27" i="91"/>
  <c r="T204"/>
  <c r="T181"/>
  <c r="T27"/>
  <c r="T28"/>
  <c r="E204"/>
  <c r="E181"/>
  <c r="E17"/>
  <c r="E18" i="92"/>
  <c r="E27" i="91"/>
  <c r="W18"/>
  <c r="E28"/>
  <c r="H18"/>
  <c r="H19" i="92"/>
  <c r="I204" i="91"/>
  <c r="I181"/>
  <c r="I27"/>
  <c r="I28"/>
  <c r="L18"/>
  <c r="L19" i="92"/>
  <c r="I17" i="91"/>
  <c r="I18" i="92"/>
  <c r="O204" i="91"/>
  <c r="O181"/>
  <c r="O27"/>
  <c r="O28"/>
  <c r="U204"/>
  <c r="U181"/>
  <c r="U27"/>
  <c r="U28"/>
  <c r="B182"/>
  <c r="B183"/>
  <c r="J32"/>
  <c r="J31"/>
  <c r="J21"/>
  <c r="J22" i="92"/>
  <c r="P32" i="91"/>
  <c r="P31"/>
  <c r="P21"/>
  <c r="P22" i="92"/>
  <c r="G32" i="91"/>
  <c r="G31"/>
  <c r="G21"/>
  <c r="G22" i="92"/>
  <c r="K32" i="91"/>
  <c r="K31"/>
  <c r="K21"/>
  <c r="K22" i="92"/>
  <c r="S32" i="91"/>
  <c r="V22"/>
  <c r="V23" i="92"/>
  <c r="S21" i="91"/>
  <c r="S22" i="92"/>
  <c r="H132" i="91"/>
  <c r="M132"/>
  <c r="N132"/>
  <c r="Q130"/>
  <c r="M130"/>
  <c r="H108"/>
  <c r="M108"/>
  <c r="N108"/>
  <c r="W152"/>
  <c r="W130"/>
  <c r="W73"/>
  <c r="W70"/>
  <c r="H70"/>
  <c r="W46"/>
  <c r="Q169"/>
  <c r="L159"/>
  <c r="M159"/>
  <c r="K128"/>
  <c r="J104"/>
  <c r="V23"/>
  <c r="V24" i="92"/>
  <c r="G104" i="91"/>
  <c r="J51" i="92"/>
  <c r="J52"/>
  <c r="W62" i="94"/>
  <c r="W64"/>
  <c r="W80"/>
  <c r="T24"/>
  <c r="Q23"/>
  <c r="W22"/>
  <c r="G24"/>
  <c r="K24"/>
  <c r="W23"/>
  <c r="K64"/>
  <c r="L62"/>
  <c r="L64"/>
  <c r="D151" i="93"/>
  <c r="B150"/>
  <c r="B159"/>
  <c r="CD118" i="9"/>
  <c r="T13" i="94"/>
  <c r="BP118" i="9"/>
  <c r="F13" i="94"/>
  <c r="BY118" i="9"/>
  <c r="O13" i="94"/>
  <c r="BX118" i="9"/>
  <c r="N13" i="94"/>
  <c r="BO118" i="9"/>
  <c r="E13" i="94"/>
  <c r="CE118" i="9"/>
  <c r="U13" i="94"/>
  <c r="B138" i="93"/>
  <c r="B152"/>
  <c r="BN118" i="9"/>
  <c r="B13" i="94"/>
  <c r="BT118" i="9"/>
  <c r="J13" i="94"/>
  <c r="BZ118" i="9"/>
  <c r="P13" i="94"/>
  <c r="P26"/>
  <c r="BU118" i="9"/>
  <c r="K13" i="94"/>
  <c r="K26"/>
  <c r="L20"/>
  <c r="I24"/>
  <c r="N24"/>
  <c r="Q20"/>
  <c r="M56" i="93"/>
  <c r="M36"/>
  <c r="R36"/>
  <c r="M57"/>
  <c r="R57"/>
  <c r="M58"/>
  <c r="L23"/>
  <c r="W16" i="94"/>
  <c r="W30"/>
  <c r="L22"/>
  <c r="H22"/>
  <c r="J24"/>
  <c r="W21"/>
  <c r="W28"/>
  <c r="U24"/>
  <c r="U26"/>
  <c r="W15"/>
  <c r="F24"/>
  <c r="F26"/>
  <c r="H23"/>
  <c r="H21"/>
  <c r="L21"/>
  <c r="C21"/>
  <c r="BS118" i="9"/>
  <c r="I13" i="94"/>
  <c r="M15" i="93"/>
  <c r="M15" i="94"/>
  <c r="H15"/>
  <c r="BQ118" i="9"/>
  <c r="G13" i="94"/>
  <c r="CC118" i="9"/>
  <c r="S13" i="94"/>
  <c r="E24"/>
  <c r="H20"/>
  <c r="M20"/>
  <c r="R20"/>
  <c r="W20"/>
  <c r="W27"/>
  <c r="S24"/>
  <c r="V20"/>
  <c r="T26"/>
  <c r="O26"/>
  <c r="W29"/>
  <c r="Q21"/>
  <c r="G26"/>
  <c r="L133" i="91"/>
  <c r="L55" i="92"/>
  <c r="I55"/>
  <c r="I56"/>
  <c r="I51"/>
  <c r="I52"/>
  <c r="L91" i="93"/>
  <c r="H61"/>
  <c r="H62" i="94"/>
  <c r="H64"/>
  <c r="M57"/>
  <c r="M60"/>
  <c r="G51" i="92"/>
  <c r="G52"/>
  <c r="F52"/>
  <c r="F56"/>
  <c r="L34"/>
  <c r="V29"/>
  <c r="R58" i="93"/>
  <c r="R162" i="91"/>
  <c r="I128"/>
  <c r="L50"/>
  <c r="Q34" i="92"/>
  <c r="G32"/>
  <c r="H133" i="91"/>
  <c r="H55" i="92"/>
  <c r="W34"/>
  <c r="U20"/>
  <c r="F20"/>
  <c r="T20"/>
  <c r="G20"/>
  <c r="K20"/>
  <c r="J20"/>
  <c r="L28"/>
  <c r="Q28"/>
  <c r="M34"/>
  <c r="R34"/>
  <c r="W22"/>
  <c r="F128" i="91"/>
  <c r="H50"/>
  <c r="M50"/>
  <c r="V32" i="92"/>
  <c r="W29"/>
  <c r="W39"/>
  <c r="L29"/>
  <c r="H29"/>
  <c r="V34"/>
  <c r="C34"/>
  <c r="B34"/>
  <c r="P20"/>
  <c r="O29" i="91"/>
  <c r="O20" i="92"/>
  <c r="N17" i="91"/>
  <c r="N18" i="92"/>
  <c r="N20"/>
  <c r="E21"/>
  <c r="O20" i="91"/>
  <c r="T20"/>
  <c r="T29"/>
  <c r="N20"/>
  <c r="F20"/>
  <c r="F29"/>
  <c r="U20"/>
  <c r="S20"/>
  <c r="K20"/>
  <c r="P20"/>
  <c r="J20"/>
  <c r="E30"/>
  <c r="I20"/>
  <c r="E32" i="92"/>
  <c r="H33"/>
  <c r="W33"/>
  <c r="H28"/>
  <c r="W28"/>
  <c r="W38"/>
  <c r="V28"/>
  <c r="L32"/>
  <c r="P32"/>
  <c r="Q32"/>
  <c r="Q29"/>
  <c r="D203" i="91"/>
  <c r="M111" i="93"/>
  <c r="R110"/>
  <c r="L21"/>
  <c r="J24"/>
  <c r="J26"/>
  <c r="D154"/>
  <c r="D160"/>
  <c r="D161"/>
  <c r="R126"/>
  <c r="L41"/>
  <c r="G88"/>
  <c r="H88"/>
  <c r="Q25"/>
  <c r="R45" i="94"/>
  <c r="H34" i="93"/>
  <c r="M38"/>
  <c r="R159" i="91"/>
  <c r="M70"/>
  <c r="M131"/>
  <c r="R131"/>
  <c r="L60" i="93"/>
  <c r="H40"/>
  <c r="H41"/>
  <c r="B16" i="91"/>
  <c r="B17" i="92"/>
  <c r="B15"/>
  <c r="L76" i="91"/>
  <c r="B164"/>
  <c r="B178"/>
  <c r="B179"/>
  <c r="B18" i="92"/>
  <c r="C164" i="91"/>
  <c r="C18" i="92"/>
  <c r="P24" i="93"/>
  <c r="P26"/>
  <c r="Q21"/>
  <c r="T17" i="91"/>
  <c r="T18" i="92"/>
  <c r="R38" i="93"/>
  <c r="F24"/>
  <c r="F26"/>
  <c r="D177"/>
  <c r="D183"/>
  <c r="D184"/>
  <c r="M14"/>
  <c r="O24"/>
  <c r="O26"/>
  <c r="I88"/>
  <c r="L88"/>
  <c r="R135"/>
  <c r="R125"/>
  <c r="G24"/>
  <c r="G26"/>
  <c r="W125"/>
  <c r="R130" i="91"/>
  <c r="U17"/>
  <c r="R150"/>
  <c r="L109"/>
  <c r="M109"/>
  <c r="M71"/>
  <c r="R71"/>
  <c r="M133"/>
  <c r="H51"/>
  <c r="R70"/>
  <c r="V21"/>
  <c r="V22" i="92"/>
  <c r="O17" i="91"/>
  <c r="Q28"/>
  <c r="S17"/>
  <c r="R46"/>
  <c r="M72"/>
  <c r="R72"/>
  <c r="R73"/>
  <c r="M74"/>
  <c r="N74"/>
  <c r="D180"/>
  <c r="D186"/>
  <c r="M158"/>
  <c r="R158"/>
  <c r="Q21"/>
  <c r="Q22" i="92"/>
  <c r="P17" i="91"/>
  <c r="L66" i="94"/>
  <c r="L67"/>
  <c r="I67"/>
  <c r="R57"/>
  <c r="R60"/>
  <c r="H66"/>
  <c r="E67"/>
  <c r="W66"/>
  <c r="W67"/>
  <c r="W103"/>
  <c r="N67"/>
  <c r="Q66"/>
  <c r="Q67"/>
  <c r="B67"/>
  <c r="B64"/>
  <c r="B63"/>
  <c r="V66"/>
  <c r="V67"/>
  <c r="S67"/>
  <c r="H113" i="93"/>
  <c r="H92"/>
  <c r="M91"/>
  <c r="T162"/>
  <c r="T167"/>
  <c r="C162"/>
  <c r="C167"/>
  <c r="B167"/>
  <c r="F138"/>
  <c r="F12"/>
  <c r="F12" i="94"/>
  <c r="F156" i="93"/>
  <c r="F157"/>
  <c r="N156"/>
  <c r="N157"/>
  <c r="Q155"/>
  <c r="E138"/>
  <c r="H13"/>
  <c r="H13" i="94"/>
  <c r="E12" i="93"/>
  <c r="E12" i="94"/>
  <c r="W13" i="93"/>
  <c r="E24"/>
  <c r="W20"/>
  <c r="W27"/>
  <c r="H20"/>
  <c r="E179"/>
  <c r="E180"/>
  <c r="W178"/>
  <c r="H178"/>
  <c r="I24"/>
  <c r="L20"/>
  <c r="I179"/>
  <c r="I180"/>
  <c r="L178"/>
  <c r="O156"/>
  <c r="O157"/>
  <c r="U138"/>
  <c r="U12"/>
  <c r="U12" i="94"/>
  <c r="U179" i="93"/>
  <c r="U180"/>
  <c r="H22"/>
  <c r="W22"/>
  <c r="W29"/>
  <c r="B190"/>
  <c r="C185"/>
  <c r="C190"/>
  <c r="B175"/>
  <c r="J138"/>
  <c r="J12"/>
  <c r="J12" i="94"/>
  <c r="J156" i="93"/>
  <c r="J157"/>
  <c r="P138"/>
  <c r="P12"/>
  <c r="P12" i="94"/>
  <c r="P156" i="93"/>
  <c r="P157"/>
  <c r="G156"/>
  <c r="G157"/>
  <c r="K138"/>
  <c r="K12"/>
  <c r="K12" i="94"/>
  <c r="K179" i="93"/>
  <c r="K180"/>
  <c r="S24"/>
  <c r="V20"/>
  <c r="S179"/>
  <c r="S180"/>
  <c r="V178"/>
  <c r="G25"/>
  <c r="H25"/>
  <c r="W143"/>
  <c r="H143"/>
  <c r="M143"/>
  <c r="R143"/>
  <c r="B185"/>
  <c r="U24"/>
  <c r="U26"/>
  <c r="L92"/>
  <c r="V25"/>
  <c r="L61"/>
  <c r="L107"/>
  <c r="R56"/>
  <c r="R93"/>
  <c r="H108"/>
  <c r="M108"/>
  <c r="R108"/>
  <c r="B162"/>
  <c r="M16"/>
  <c r="K24"/>
  <c r="K26"/>
  <c r="L25"/>
  <c r="I34"/>
  <c r="T138"/>
  <c r="T12"/>
  <c r="T12" i="94"/>
  <c r="F179" i="93"/>
  <c r="F180"/>
  <c r="N138"/>
  <c r="Q13"/>
  <c r="N12"/>
  <c r="N12" i="94"/>
  <c r="Q20" i="93"/>
  <c r="N24"/>
  <c r="Q178"/>
  <c r="N179"/>
  <c r="N180"/>
  <c r="H21"/>
  <c r="W21"/>
  <c r="W28"/>
  <c r="H155"/>
  <c r="E156"/>
  <c r="E157"/>
  <c r="W155"/>
  <c r="I138"/>
  <c r="L13"/>
  <c r="I12"/>
  <c r="I12" i="94"/>
  <c r="L155" i="93"/>
  <c r="I156"/>
  <c r="I157"/>
  <c r="O138"/>
  <c r="O12"/>
  <c r="O12" i="94"/>
  <c r="O179" i="93"/>
  <c r="O180"/>
  <c r="U156"/>
  <c r="U157"/>
  <c r="T190"/>
  <c r="T185"/>
  <c r="C175"/>
  <c r="C152"/>
  <c r="J179"/>
  <c r="J180"/>
  <c r="P179"/>
  <c r="P180"/>
  <c r="H23"/>
  <c r="W23"/>
  <c r="W30"/>
  <c r="G53"/>
  <c r="H55"/>
  <c r="M55"/>
  <c r="R55"/>
  <c r="W55"/>
  <c r="G138"/>
  <c r="G12"/>
  <c r="G12" i="94"/>
  <c r="G179" i="93"/>
  <c r="G180"/>
  <c r="K156"/>
  <c r="K157"/>
  <c r="S138"/>
  <c r="V13"/>
  <c r="S12"/>
  <c r="S12" i="94"/>
  <c r="V155" i="93"/>
  <c r="S156"/>
  <c r="S157"/>
  <c r="G107"/>
  <c r="T26"/>
  <c r="M59"/>
  <c r="R15"/>
  <c r="R15" i="94"/>
  <c r="I53" i="93"/>
  <c r="L53"/>
  <c r="V21"/>
  <c r="L112"/>
  <c r="L113"/>
  <c r="M60"/>
  <c r="O205" i="91"/>
  <c r="O206"/>
  <c r="L27"/>
  <c r="W28"/>
  <c r="W38"/>
  <c r="H28"/>
  <c r="W27"/>
  <c r="W37"/>
  <c r="H27"/>
  <c r="H181"/>
  <c r="E182"/>
  <c r="E183"/>
  <c r="W181"/>
  <c r="T164"/>
  <c r="T205"/>
  <c r="T206"/>
  <c r="N5"/>
  <c r="N11"/>
  <c r="N182"/>
  <c r="N183"/>
  <c r="Q181"/>
  <c r="F205"/>
  <c r="F206"/>
  <c r="U205"/>
  <c r="U206"/>
  <c r="O182"/>
  <c r="O183"/>
  <c r="I164"/>
  <c r="I5"/>
  <c r="I11"/>
  <c r="L181"/>
  <c r="I182"/>
  <c r="I183"/>
  <c r="E164"/>
  <c r="E5"/>
  <c r="E205"/>
  <c r="E206"/>
  <c r="W204"/>
  <c r="H204"/>
  <c r="T182"/>
  <c r="T183"/>
  <c r="Q27"/>
  <c r="Q204"/>
  <c r="N205"/>
  <c r="N206"/>
  <c r="F182"/>
  <c r="F183"/>
  <c r="E29"/>
  <c r="W19"/>
  <c r="H19"/>
  <c r="H20" i="92"/>
  <c r="I29" i="91"/>
  <c r="L19"/>
  <c r="L20" i="92"/>
  <c r="Q19" i="91"/>
  <c r="Q20" i="92"/>
  <c r="N29" i="91"/>
  <c r="H110"/>
  <c r="L32"/>
  <c r="I31"/>
  <c r="L31"/>
  <c r="W21"/>
  <c r="H21"/>
  <c r="H22" i="92"/>
  <c r="W32" i="91"/>
  <c r="H32"/>
  <c r="E31"/>
  <c r="V181"/>
  <c r="S182"/>
  <c r="S183"/>
  <c r="K205"/>
  <c r="K206"/>
  <c r="G182"/>
  <c r="G183"/>
  <c r="P205"/>
  <c r="P206"/>
  <c r="J205"/>
  <c r="J206"/>
  <c r="N12"/>
  <c r="N13" i="92"/>
  <c r="U12" i="91"/>
  <c r="U13" i="92"/>
  <c r="S12" i="91"/>
  <c r="S13" i="92"/>
  <c r="O12" i="91"/>
  <c r="O13" i="92"/>
  <c r="K12" i="91"/>
  <c r="K13" i="92"/>
  <c r="I12" i="91"/>
  <c r="I13" i="92"/>
  <c r="T12" i="91"/>
  <c r="T13" i="92"/>
  <c r="P12" i="91"/>
  <c r="P13" i="92"/>
  <c r="J12" i="91"/>
  <c r="J13" i="92"/>
  <c r="F12" i="91"/>
  <c r="F13" i="92"/>
  <c r="C188" i="91"/>
  <c r="B193"/>
  <c r="C193"/>
  <c r="G35"/>
  <c r="H35"/>
  <c r="W169"/>
  <c r="H169"/>
  <c r="M169"/>
  <c r="R169"/>
  <c r="W106"/>
  <c r="B188"/>
  <c r="L28"/>
  <c r="M18"/>
  <c r="F17"/>
  <c r="F18" i="92"/>
  <c r="D209" i="91"/>
  <c r="M48"/>
  <c r="R48"/>
  <c r="M47"/>
  <c r="R47"/>
  <c r="L21"/>
  <c r="L22" i="92"/>
  <c r="V28" i="91"/>
  <c r="J17"/>
  <c r="J18" i="92"/>
  <c r="L128" i="91"/>
  <c r="L51"/>
  <c r="L35"/>
  <c r="L110"/>
  <c r="L134"/>
  <c r="H134"/>
  <c r="V32"/>
  <c r="S31"/>
  <c r="V31"/>
  <c r="U182"/>
  <c r="U183"/>
  <c r="I205"/>
  <c r="I206"/>
  <c r="L204"/>
  <c r="S29"/>
  <c r="V19"/>
  <c r="V20" i="92"/>
  <c r="B216" i="91"/>
  <c r="C211"/>
  <c r="C216"/>
  <c r="H76"/>
  <c r="M75"/>
  <c r="Q32"/>
  <c r="N31"/>
  <c r="Q31"/>
  <c r="V27"/>
  <c r="S205"/>
  <c r="S206"/>
  <c r="V204"/>
  <c r="K182"/>
  <c r="K183"/>
  <c r="G205"/>
  <c r="G206"/>
  <c r="P5"/>
  <c r="P11"/>
  <c r="P182"/>
  <c r="P183"/>
  <c r="J182"/>
  <c r="J183"/>
  <c r="G128"/>
  <c r="H129"/>
  <c r="W129"/>
  <c r="H33"/>
  <c r="W33"/>
  <c r="L149"/>
  <c r="M149"/>
  <c r="R149"/>
  <c r="W149"/>
  <c r="M22"/>
  <c r="B211"/>
  <c r="K17"/>
  <c r="K18" i="92"/>
  <c r="G17" i="91"/>
  <c r="G18" i="92"/>
  <c r="M23" i="91"/>
  <c r="H106"/>
  <c r="H56" i="92"/>
  <c r="L40" i="95"/>
  <c r="L39"/>
  <c r="L56" i="92"/>
  <c r="M40" i="95"/>
  <c r="M39"/>
  <c r="M62" i="94"/>
  <c r="M64"/>
  <c r="H51" i="92"/>
  <c r="B21" i="94"/>
  <c r="B28"/>
  <c r="C28"/>
  <c r="L12" i="93"/>
  <c r="L12" i="94"/>
  <c r="L13"/>
  <c r="Q12" i="93"/>
  <c r="Q12" i="94"/>
  <c r="Q13"/>
  <c r="R16" i="93"/>
  <c r="R16" i="94"/>
  <c r="M16"/>
  <c r="E26"/>
  <c r="H24"/>
  <c r="W24"/>
  <c r="N26"/>
  <c r="Q24"/>
  <c r="C20"/>
  <c r="M21"/>
  <c r="R21"/>
  <c r="J26"/>
  <c r="W13"/>
  <c r="V12" i="93"/>
  <c r="V12" i="94"/>
  <c r="V13"/>
  <c r="R14" i="93"/>
  <c r="R14" i="94"/>
  <c r="M14"/>
  <c r="S26"/>
  <c r="V24"/>
  <c r="V26"/>
  <c r="C23"/>
  <c r="M23"/>
  <c r="R23"/>
  <c r="D22"/>
  <c r="M22"/>
  <c r="R22"/>
  <c r="I26"/>
  <c r="L24"/>
  <c r="W12"/>
  <c r="M51" i="91"/>
  <c r="M51" i="92"/>
  <c r="M52"/>
  <c r="M134" i="91"/>
  <c r="M55" i="92"/>
  <c r="M56"/>
  <c r="L51"/>
  <c r="M88" i="93"/>
  <c r="H32" i="92"/>
  <c r="W20"/>
  <c r="C32"/>
  <c r="B32"/>
  <c r="R23" i="91"/>
  <c r="R24" i="92"/>
  <c r="M24"/>
  <c r="N12"/>
  <c r="BX97" i="9"/>
  <c r="R22" i="91"/>
  <c r="R23" i="92"/>
  <c r="M23"/>
  <c r="P12"/>
  <c r="BZ97" i="9"/>
  <c r="I12" i="92"/>
  <c r="BS97" i="9"/>
  <c r="P164" i="91"/>
  <c r="P18" i="92"/>
  <c r="P6"/>
  <c r="U164" i="91"/>
  <c r="U18" i="92"/>
  <c r="U6"/>
  <c r="M33"/>
  <c r="R33"/>
  <c r="C33"/>
  <c r="B33"/>
  <c r="I21"/>
  <c r="L20" i="91"/>
  <c r="L21" i="92"/>
  <c r="I30" i="91"/>
  <c r="J30"/>
  <c r="J21" i="92"/>
  <c r="J31"/>
  <c r="K30" i="91"/>
  <c r="K21" i="92"/>
  <c r="K31"/>
  <c r="U30" i="91"/>
  <c r="U21" i="92"/>
  <c r="U31"/>
  <c r="N21"/>
  <c r="N31"/>
  <c r="N30" i="91"/>
  <c r="Q20"/>
  <c r="Q21" i="92"/>
  <c r="O30" i="91"/>
  <c r="O34"/>
  <c r="O36"/>
  <c r="O21" i="92"/>
  <c r="O31"/>
  <c r="C29"/>
  <c r="M29"/>
  <c r="R29"/>
  <c r="N164" i="91"/>
  <c r="T5"/>
  <c r="T11"/>
  <c r="M32" i="92"/>
  <c r="R32"/>
  <c r="O30"/>
  <c r="O35"/>
  <c r="J29" i="91"/>
  <c r="K29"/>
  <c r="U29"/>
  <c r="R18"/>
  <c r="R19" i="92"/>
  <c r="M19"/>
  <c r="S164" i="91"/>
  <c r="S18" i="92"/>
  <c r="O5" i="91"/>
  <c r="O11"/>
  <c r="O18" i="92"/>
  <c r="O6"/>
  <c r="M28"/>
  <c r="R28"/>
  <c r="C28"/>
  <c r="P30" i="91"/>
  <c r="P21" i="92"/>
  <c r="P31"/>
  <c r="S21"/>
  <c r="V20" i="91"/>
  <c r="V21" i="92"/>
  <c r="S30" i="91"/>
  <c r="F21" i="92"/>
  <c r="F31"/>
  <c r="F30" i="91"/>
  <c r="F34"/>
  <c r="F36"/>
  <c r="G20"/>
  <c r="T30"/>
  <c r="T34"/>
  <c r="T36"/>
  <c r="T21" i="92"/>
  <c r="T31"/>
  <c r="E31"/>
  <c r="W32"/>
  <c r="E30"/>
  <c r="P29" i="91"/>
  <c r="K30" i="92"/>
  <c r="K35"/>
  <c r="K37"/>
  <c r="U30"/>
  <c r="U35"/>
  <c r="U37"/>
  <c r="L104" i="91"/>
  <c r="M40" i="93"/>
  <c r="M41"/>
  <c r="B201" i="91"/>
  <c r="B202"/>
  <c r="T6" i="92"/>
  <c r="N6"/>
  <c r="J6"/>
  <c r="F6"/>
  <c r="S6"/>
  <c r="K6"/>
  <c r="I6"/>
  <c r="G6"/>
  <c r="E6"/>
  <c r="C178" i="91"/>
  <c r="C201"/>
  <c r="T13"/>
  <c r="T14" i="92"/>
  <c r="O164" i="91"/>
  <c r="O178"/>
  <c r="Q17"/>
  <c r="S5"/>
  <c r="S11"/>
  <c r="V17"/>
  <c r="O14"/>
  <c r="BY105" i="9"/>
  <c r="W25" i="93"/>
  <c r="L157"/>
  <c r="B180" i="91"/>
  <c r="V206"/>
  <c r="H17"/>
  <c r="H18" i="92"/>
  <c r="H6"/>
  <c r="U5" i="91"/>
  <c r="U11"/>
  <c r="CE97" i="9"/>
  <c r="W35" i="91"/>
  <c r="P13"/>
  <c r="P14" i="92"/>
  <c r="Q183" i="91"/>
  <c r="M181"/>
  <c r="R181"/>
  <c r="H67" i="94"/>
  <c r="M66"/>
  <c r="R62"/>
  <c r="R64"/>
  <c r="C25" i="93"/>
  <c r="B25"/>
  <c r="M25"/>
  <c r="R25"/>
  <c r="H107"/>
  <c r="M107"/>
  <c r="H157"/>
  <c r="W157"/>
  <c r="M61"/>
  <c r="V156"/>
  <c r="S167"/>
  <c r="S162"/>
  <c r="K167"/>
  <c r="K162"/>
  <c r="G190"/>
  <c r="G185"/>
  <c r="H53"/>
  <c r="M53"/>
  <c r="C23"/>
  <c r="M23"/>
  <c r="R23"/>
  <c r="J190"/>
  <c r="J185"/>
  <c r="C176"/>
  <c r="C173"/>
  <c r="O175"/>
  <c r="O152"/>
  <c r="I175"/>
  <c r="I152"/>
  <c r="L138"/>
  <c r="E162"/>
  <c r="H156"/>
  <c r="W156"/>
  <c r="E167"/>
  <c r="C21"/>
  <c r="M21"/>
  <c r="R21"/>
  <c r="Q179"/>
  <c r="N190"/>
  <c r="N185"/>
  <c r="Q24"/>
  <c r="Q26"/>
  <c r="N26"/>
  <c r="N175"/>
  <c r="N152"/>
  <c r="Q138"/>
  <c r="F190"/>
  <c r="F185"/>
  <c r="T152"/>
  <c r="T175"/>
  <c r="V179"/>
  <c r="S190"/>
  <c r="S185"/>
  <c r="K190"/>
  <c r="K185"/>
  <c r="G167"/>
  <c r="G162"/>
  <c r="P167"/>
  <c r="P162"/>
  <c r="J167"/>
  <c r="J162"/>
  <c r="B153"/>
  <c r="D22"/>
  <c r="M22"/>
  <c r="R22"/>
  <c r="U175"/>
  <c r="U152"/>
  <c r="L179"/>
  <c r="I190"/>
  <c r="I185"/>
  <c r="E185"/>
  <c r="W179"/>
  <c r="H179"/>
  <c r="E190"/>
  <c r="M20"/>
  <c r="R20"/>
  <c r="C20"/>
  <c r="E26"/>
  <c r="W24"/>
  <c r="W26"/>
  <c r="H24"/>
  <c r="E175"/>
  <c r="E152"/>
  <c r="W138"/>
  <c r="H138"/>
  <c r="Q156"/>
  <c r="N162"/>
  <c r="N167"/>
  <c r="F162"/>
  <c r="F167"/>
  <c r="M155"/>
  <c r="R155"/>
  <c r="M178"/>
  <c r="R178"/>
  <c r="W12"/>
  <c r="S175"/>
  <c r="S152"/>
  <c r="V138"/>
  <c r="G175"/>
  <c r="G152"/>
  <c r="P190"/>
  <c r="P185"/>
  <c r="C153"/>
  <c r="C150"/>
  <c r="C151"/>
  <c r="U162"/>
  <c r="U167"/>
  <c r="O190"/>
  <c r="O185"/>
  <c r="L156"/>
  <c r="I167"/>
  <c r="I162"/>
  <c r="N40"/>
  <c r="N34"/>
  <c r="T39"/>
  <c r="P39"/>
  <c r="U39"/>
  <c r="S39"/>
  <c r="O39"/>
  <c r="L34"/>
  <c r="M34"/>
  <c r="S26"/>
  <c r="V24"/>
  <c r="V26"/>
  <c r="K175"/>
  <c r="K152"/>
  <c r="P152"/>
  <c r="P175"/>
  <c r="J175"/>
  <c r="J152"/>
  <c r="B176"/>
  <c r="N112"/>
  <c r="T111"/>
  <c r="P111"/>
  <c r="U111"/>
  <c r="S111"/>
  <c r="O111"/>
  <c r="N107"/>
  <c r="U190"/>
  <c r="U185"/>
  <c r="O167"/>
  <c r="O162"/>
  <c r="I26"/>
  <c r="L24"/>
  <c r="L26"/>
  <c r="W180"/>
  <c r="H180"/>
  <c r="M13"/>
  <c r="M13" i="94"/>
  <c r="H12" i="93"/>
  <c r="H12" i="94"/>
  <c r="F175" i="93"/>
  <c r="F152"/>
  <c r="M92"/>
  <c r="N91"/>
  <c r="N88"/>
  <c r="T90"/>
  <c r="P90"/>
  <c r="U90"/>
  <c r="S90"/>
  <c r="O90"/>
  <c r="V157"/>
  <c r="Q180"/>
  <c r="V180"/>
  <c r="L180"/>
  <c r="Q157"/>
  <c r="M112"/>
  <c r="M35" i="91"/>
  <c r="R35"/>
  <c r="C35"/>
  <c r="B35"/>
  <c r="H183"/>
  <c r="W183"/>
  <c r="L206"/>
  <c r="K164"/>
  <c r="K5"/>
  <c r="K11"/>
  <c r="BU97" i="9"/>
  <c r="M76" i="91"/>
  <c r="M106"/>
  <c r="H104"/>
  <c r="G164"/>
  <c r="G5"/>
  <c r="G11"/>
  <c r="J193"/>
  <c r="J188"/>
  <c r="P193"/>
  <c r="P188"/>
  <c r="G216"/>
  <c r="G211"/>
  <c r="K193"/>
  <c r="K188"/>
  <c r="O201"/>
  <c r="D187"/>
  <c r="D194"/>
  <c r="D217"/>
  <c r="D215"/>
  <c r="D210"/>
  <c r="F164"/>
  <c r="F5"/>
  <c r="F11"/>
  <c r="BP97" i="9"/>
  <c r="V12" i="91"/>
  <c r="V13" i="92"/>
  <c r="S13" i="91"/>
  <c r="S14" i="92"/>
  <c r="P211" i="91"/>
  <c r="P216"/>
  <c r="G193"/>
  <c r="G188"/>
  <c r="K211"/>
  <c r="K216"/>
  <c r="V182"/>
  <c r="S193"/>
  <c r="S188"/>
  <c r="M32"/>
  <c r="R32"/>
  <c r="C32"/>
  <c r="B32"/>
  <c r="M110"/>
  <c r="Q205"/>
  <c r="N211"/>
  <c r="N216"/>
  <c r="T193"/>
  <c r="T188"/>
  <c r="E211"/>
  <c r="W205"/>
  <c r="H205"/>
  <c r="E216"/>
  <c r="E11"/>
  <c r="L182"/>
  <c r="I193"/>
  <c r="I188"/>
  <c r="I14"/>
  <c r="O193"/>
  <c r="O188"/>
  <c r="U216"/>
  <c r="U211"/>
  <c r="U132"/>
  <c r="S132"/>
  <c r="O132"/>
  <c r="N133"/>
  <c r="T132"/>
  <c r="P132"/>
  <c r="U108"/>
  <c r="S108"/>
  <c r="O108"/>
  <c r="N109"/>
  <c r="N104"/>
  <c r="T108"/>
  <c r="P108"/>
  <c r="N14"/>
  <c r="Q11"/>
  <c r="Q12" i="92"/>
  <c r="T211" i="91"/>
  <c r="T216"/>
  <c r="M27"/>
  <c r="R27"/>
  <c r="C27"/>
  <c r="V11"/>
  <c r="V12" i="92"/>
  <c r="S201" i="91"/>
  <c r="S178"/>
  <c r="V164"/>
  <c r="P14"/>
  <c r="BZ105" i="9"/>
  <c r="S34" i="91"/>
  <c r="M21"/>
  <c r="M19"/>
  <c r="M204"/>
  <c r="R204"/>
  <c r="W17"/>
  <c r="W5"/>
  <c r="T14"/>
  <c r="CD105" i="9"/>
  <c r="E34" i="91"/>
  <c r="I34"/>
  <c r="C33"/>
  <c r="B33"/>
  <c r="M33"/>
  <c r="R33"/>
  <c r="H128"/>
  <c r="M129"/>
  <c r="P178"/>
  <c r="P201"/>
  <c r="V205"/>
  <c r="S216"/>
  <c r="S211"/>
  <c r="N50"/>
  <c r="T49"/>
  <c r="P49"/>
  <c r="U49"/>
  <c r="S49"/>
  <c r="O49"/>
  <c r="U74"/>
  <c r="S74"/>
  <c r="O74"/>
  <c r="N75"/>
  <c r="T74"/>
  <c r="P74"/>
  <c r="L205"/>
  <c r="I216"/>
  <c r="I211"/>
  <c r="U193"/>
  <c r="U188"/>
  <c r="J164"/>
  <c r="J5"/>
  <c r="J11"/>
  <c r="BT97" i="9"/>
  <c r="G12" i="91"/>
  <c r="G13" i="92"/>
  <c r="W13"/>
  <c r="I13" i="91"/>
  <c r="I14" i="92"/>
  <c r="L12" i="91"/>
  <c r="L13" i="92"/>
  <c r="Q12" i="91"/>
  <c r="Q13" i="92"/>
  <c r="N13" i="91"/>
  <c r="N14" i="92"/>
  <c r="J216" i="91"/>
  <c r="J211"/>
  <c r="W31"/>
  <c r="H31"/>
  <c r="F193"/>
  <c r="F188"/>
  <c r="W206"/>
  <c r="H206"/>
  <c r="H5"/>
  <c r="E201"/>
  <c r="E178"/>
  <c r="I201"/>
  <c r="I178"/>
  <c r="U201"/>
  <c r="U178"/>
  <c r="F216"/>
  <c r="F211"/>
  <c r="Q182"/>
  <c r="Q188"/>
  <c r="N193"/>
  <c r="N188"/>
  <c r="N201"/>
  <c r="N178"/>
  <c r="Q164"/>
  <c r="T178"/>
  <c r="T201"/>
  <c r="H182"/>
  <c r="W182"/>
  <c r="E188"/>
  <c r="E193"/>
  <c r="C28"/>
  <c r="M28"/>
  <c r="R28"/>
  <c r="O211"/>
  <c r="O216"/>
  <c r="O13"/>
  <c r="O14" i="92"/>
  <c r="V183" i="91"/>
  <c r="Q206"/>
  <c r="N34"/>
  <c r="L183"/>
  <c r="L17"/>
  <c r="L52" i="92"/>
  <c r="M36" i="95"/>
  <c r="M35"/>
  <c r="H52" i="92"/>
  <c r="L36" i="95"/>
  <c r="L35"/>
  <c r="N35"/>
  <c r="N40"/>
  <c r="N39"/>
  <c r="C174" i="93"/>
  <c r="B173"/>
  <c r="B174"/>
  <c r="L26" i="94"/>
  <c r="Q26"/>
  <c r="W26"/>
  <c r="B22"/>
  <c r="B29"/>
  <c r="D24"/>
  <c r="D26"/>
  <c r="D29"/>
  <c r="B23"/>
  <c r="B30"/>
  <c r="C30"/>
  <c r="B20"/>
  <c r="C24"/>
  <c r="C26"/>
  <c r="C27"/>
  <c r="H26"/>
  <c r="M24"/>
  <c r="N51" i="92"/>
  <c r="Q39" i="93"/>
  <c r="R39"/>
  <c r="D192" i="91"/>
  <c r="D100" i="92"/>
  <c r="D102"/>
  <c r="N128" i="91"/>
  <c r="N55" i="92"/>
  <c r="N52"/>
  <c r="T30"/>
  <c r="J30"/>
  <c r="J35"/>
  <c r="J37"/>
  <c r="P34" i="91"/>
  <c r="P36"/>
  <c r="W18" i="92"/>
  <c r="W6"/>
  <c r="U34" i="91"/>
  <c r="U36"/>
  <c r="J34"/>
  <c r="J36"/>
  <c r="I15" i="92"/>
  <c r="BS105" i="9"/>
  <c r="E12" i="92"/>
  <c r="BO97" i="9"/>
  <c r="V5" i="91"/>
  <c r="V18" i="92"/>
  <c r="V6"/>
  <c r="S12"/>
  <c r="CC97" i="9"/>
  <c r="T35" i="92"/>
  <c r="T37"/>
  <c r="G21"/>
  <c r="G30" i="91"/>
  <c r="G29"/>
  <c r="W20"/>
  <c r="H20"/>
  <c r="B38" i="92"/>
  <c r="C38"/>
  <c r="B28"/>
  <c r="O37"/>
  <c r="V29" i="91"/>
  <c r="Q31" i="92"/>
  <c r="L5" i="91"/>
  <c r="L18" i="92"/>
  <c r="L6"/>
  <c r="R19" i="91"/>
  <c r="R20" i="92"/>
  <c r="M20"/>
  <c r="R21" i="91"/>
  <c r="R22" i="92"/>
  <c r="M22"/>
  <c r="N15"/>
  <c r="BX105" i="9"/>
  <c r="G12" i="92"/>
  <c r="BQ97" i="9"/>
  <c r="Q5" i="91"/>
  <c r="Q18" i="92"/>
  <c r="Q6"/>
  <c r="E35"/>
  <c r="S31"/>
  <c r="V31"/>
  <c r="S30"/>
  <c r="O12"/>
  <c r="BY97" i="9"/>
  <c r="T12" i="92"/>
  <c r="CD97" i="9"/>
  <c r="B29" i="92"/>
  <c r="B39"/>
  <c r="C39"/>
  <c r="I31"/>
  <c r="L31"/>
  <c r="I30"/>
  <c r="S14" i="91"/>
  <c r="S15"/>
  <c r="S16" i="92"/>
  <c r="B203" i="91"/>
  <c r="F30" i="92"/>
  <c r="F35"/>
  <c r="F37"/>
  <c r="V30" i="91"/>
  <c r="K34"/>
  <c r="K36"/>
  <c r="P30" i="92"/>
  <c r="P35"/>
  <c r="P37"/>
  <c r="N30"/>
  <c r="L29" i="91"/>
  <c r="Q29"/>
  <c r="Q30"/>
  <c r="L30"/>
  <c r="C177" i="93"/>
  <c r="C183"/>
  <c r="W108" i="91"/>
  <c r="J14"/>
  <c r="BT105" i="9"/>
  <c r="J12" i="92"/>
  <c r="T15" i="91"/>
  <c r="T15" i="92"/>
  <c r="P15" i="91"/>
  <c r="P15" i="92"/>
  <c r="F14" i="91"/>
  <c r="BP105" i="9"/>
  <c r="F12" i="92"/>
  <c r="K14" i="91"/>
  <c r="BU105" i="9"/>
  <c r="K12" i="92"/>
  <c r="C179" i="91"/>
  <c r="C176"/>
  <c r="C177"/>
  <c r="U13"/>
  <c r="U14" i="92"/>
  <c r="U12"/>
  <c r="O15" i="91"/>
  <c r="O15" i="92"/>
  <c r="C202" i="91"/>
  <c r="C199"/>
  <c r="C200"/>
  <c r="W39" i="93"/>
  <c r="M157"/>
  <c r="B177"/>
  <c r="L162"/>
  <c r="C154"/>
  <c r="C160"/>
  <c r="M206" i="91"/>
  <c r="H164"/>
  <c r="W188"/>
  <c r="F13"/>
  <c r="F14" i="92"/>
  <c r="L164" i="91"/>
  <c r="G13"/>
  <c r="G14" i="92"/>
  <c r="U14" i="91"/>
  <c r="CE105" i="9"/>
  <c r="Q90" i="93"/>
  <c r="R90"/>
  <c r="W185"/>
  <c r="B154"/>
  <c r="M180"/>
  <c r="R180"/>
  <c r="L185"/>
  <c r="Q111"/>
  <c r="R111"/>
  <c r="Q49" i="91"/>
  <c r="R49"/>
  <c r="V211"/>
  <c r="W132"/>
  <c r="R206"/>
  <c r="W74"/>
  <c r="W49"/>
  <c r="Q132"/>
  <c r="R132"/>
  <c r="L188"/>
  <c r="V188"/>
  <c r="W164"/>
  <c r="R66" i="94"/>
  <c r="R67"/>
  <c r="M67"/>
  <c r="M113" i="93"/>
  <c r="U91"/>
  <c r="U88"/>
  <c r="P91"/>
  <c r="P88"/>
  <c r="F176"/>
  <c r="F173"/>
  <c r="F95" i="94"/>
  <c r="R13" i="93"/>
  <c r="M12"/>
  <c r="U112"/>
  <c r="U107"/>
  <c r="T112"/>
  <c r="T107"/>
  <c r="J153"/>
  <c r="P176"/>
  <c r="P173"/>
  <c r="P95" i="94"/>
  <c r="K153" i="93"/>
  <c r="O40"/>
  <c r="O34"/>
  <c r="V39"/>
  <c r="S40"/>
  <c r="S34"/>
  <c r="P40"/>
  <c r="P34"/>
  <c r="L167"/>
  <c r="G153"/>
  <c r="S176"/>
  <c r="S177"/>
  <c r="V175"/>
  <c r="H152"/>
  <c r="E153"/>
  <c r="E154"/>
  <c r="W152"/>
  <c r="M24"/>
  <c r="H26"/>
  <c r="M179"/>
  <c r="H185"/>
  <c r="L190"/>
  <c r="U153"/>
  <c r="T153"/>
  <c r="N153"/>
  <c r="N154"/>
  <c r="Q152"/>
  <c r="C28"/>
  <c r="B21"/>
  <c r="B28"/>
  <c r="L152"/>
  <c r="I153"/>
  <c r="I154"/>
  <c r="O153"/>
  <c r="V167"/>
  <c r="W90"/>
  <c r="W111"/>
  <c r="M138"/>
  <c r="R138"/>
  <c r="V185"/>
  <c r="Q185"/>
  <c r="W162"/>
  <c r="R157"/>
  <c r="O91"/>
  <c r="V90"/>
  <c r="S91"/>
  <c r="S88"/>
  <c r="T91"/>
  <c r="T88"/>
  <c r="F153"/>
  <c r="O112"/>
  <c r="O107"/>
  <c r="V111"/>
  <c r="S112"/>
  <c r="P112"/>
  <c r="P107"/>
  <c r="J176"/>
  <c r="J173"/>
  <c r="J95" i="94"/>
  <c r="P153" i="93"/>
  <c r="K176"/>
  <c r="K173"/>
  <c r="K95" i="94"/>
  <c r="U40" i="93"/>
  <c r="U34"/>
  <c r="T40"/>
  <c r="G176"/>
  <c r="G173"/>
  <c r="G95" i="94"/>
  <c r="V152" i="93"/>
  <c r="S153"/>
  <c r="S154"/>
  <c r="U59"/>
  <c r="S59"/>
  <c r="O59"/>
  <c r="N60"/>
  <c r="N53"/>
  <c r="T59"/>
  <c r="P59"/>
  <c r="Q167"/>
  <c r="E176"/>
  <c r="E177"/>
  <c r="W175"/>
  <c r="H175"/>
  <c r="C24"/>
  <c r="C26"/>
  <c r="B20"/>
  <c r="C27"/>
  <c r="H190"/>
  <c r="W190"/>
  <c r="U176"/>
  <c r="U173"/>
  <c r="U95" i="94"/>
  <c r="B22" i="93"/>
  <c r="D29"/>
  <c r="D24"/>
  <c r="D26"/>
  <c r="V190"/>
  <c r="T176"/>
  <c r="T173"/>
  <c r="T95" i="94"/>
  <c r="Q175" i="93"/>
  <c r="N176"/>
  <c r="N177"/>
  <c r="Q190"/>
  <c r="W167"/>
  <c r="H167"/>
  <c r="M167"/>
  <c r="M156"/>
  <c r="H162"/>
  <c r="I176"/>
  <c r="I177"/>
  <c r="L175"/>
  <c r="O176"/>
  <c r="O173"/>
  <c r="O95" i="94"/>
  <c r="C30" i="93"/>
  <c r="B23"/>
  <c r="Q162"/>
  <c r="V162"/>
  <c r="W193" i="91"/>
  <c r="H193"/>
  <c r="T202"/>
  <c r="T199"/>
  <c r="Q201"/>
  <c r="N202"/>
  <c r="N203"/>
  <c r="Q193"/>
  <c r="U179"/>
  <c r="U176"/>
  <c r="I202"/>
  <c r="I203"/>
  <c r="E202"/>
  <c r="E203"/>
  <c r="J201"/>
  <c r="J178"/>
  <c r="T75"/>
  <c r="O75"/>
  <c r="S75"/>
  <c r="V74"/>
  <c r="O50"/>
  <c r="V49"/>
  <c r="S50"/>
  <c r="P50"/>
  <c r="V216"/>
  <c r="P202"/>
  <c r="P199"/>
  <c r="R129"/>
  <c r="M128"/>
  <c r="E36"/>
  <c r="S202"/>
  <c r="S203"/>
  <c r="V201"/>
  <c r="N15"/>
  <c r="N16" i="92"/>
  <c r="Q14" i="91"/>
  <c r="Q15" i="92"/>
  <c r="T109" i="91"/>
  <c r="T104"/>
  <c r="O109"/>
  <c r="O104"/>
  <c r="S109"/>
  <c r="V108"/>
  <c r="S104"/>
  <c r="P133"/>
  <c r="U133"/>
  <c r="I15"/>
  <c r="I16" i="92"/>
  <c r="L193" i="91"/>
  <c r="E14"/>
  <c r="H11"/>
  <c r="H12" i="92"/>
  <c r="W11" i="91"/>
  <c r="E13"/>
  <c r="E14" i="92"/>
  <c r="H216" i="91"/>
  <c r="W216"/>
  <c r="Q216"/>
  <c r="V193"/>
  <c r="O202"/>
  <c r="O199"/>
  <c r="G201"/>
  <c r="G178"/>
  <c r="R106"/>
  <c r="M104"/>
  <c r="K201"/>
  <c r="K178"/>
  <c r="L178"/>
  <c r="Q13"/>
  <c r="Q14" i="92"/>
  <c r="L211" i="91"/>
  <c r="K13"/>
  <c r="K14" i="92"/>
  <c r="W211" i="91"/>
  <c r="Q211"/>
  <c r="H12"/>
  <c r="H13" i="92"/>
  <c r="N36" i="91"/>
  <c r="Q34"/>
  <c r="Q36"/>
  <c r="B38"/>
  <c r="C38"/>
  <c r="B28"/>
  <c r="M182"/>
  <c r="H188"/>
  <c r="T179"/>
  <c r="T176"/>
  <c r="N179"/>
  <c r="N180"/>
  <c r="Q178"/>
  <c r="U202"/>
  <c r="U199"/>
  <c r="I179"/>
  <c r="I180"/>
  <c r="E179"/>
  <c r="E180"/>
  <c r="M31"/>
  <c r="R31"/>
  <c r="C31"/>
  <c r="B31"/>
  <c r="L216"/>
  <c r="P75"/>
  <c r="U75"/>
  <c r="U50"/>
  <c r="T50"/>
  <c r="P179"/>
  <c r="P176"/>
  <c r="I36"/>
  <c r="L34"/>
  <c r="L36"/>
  <c r="S36"/>
  <c r="V34"/>
  <c r="V36"/>
  <c r="V178"/>
  <c r="S179"/>
  <c r="S180"/>
  <c r="C37"/>
  <c r="B37"/>
  <c r="B27"/>
  <c r="P109"/>
  <c r="P104"/>
  <c r="U109"/>
  <c r="T133"/>
  <c r="O133"/>
  <c r="O55" i="92"/>
  <c r="O56"/>
  <c r="S133" i="91"/>
  <c r="V132"/>
  <c r="M205"/>
  <c r="H211"/>
  <c r="F201"/>
  <c r="F178"/>
  <c r="O179"/>
  <c r="O176"/>
  <c r="M17"/>
  <c r="M18" i="92"/>
  <c r="M6"/>
  <c r="Q74" i="91"/>
  <c r="R74"/>
  <c r="W12"/>
  <c r="J13"/>
  <c r="J14" i="92"/>
  <c r="Q108" i="91"/>
  <c r="L11"/>
  <c r="B5"/>
  <c r="V13"/>
  <c r="V14" i="92"/>
  <c r="G14" i="91"/>
  <c r="BQ105" i="9"/>
  <c r="M183" i="91"/>
  <c r="R183"/>
  <c r="N36" i="95"/>
  <c r="B183" i="93"/>
  <c r="B184"/>
  <c r="B106" i="94"/>
  <c r="C12" i="93"/>
  <c r="M12" i="94"/>
  <c r="R12" i="93"/>
  <c r="R12" i="94"/>
  <c r="R13"/>
  <c r="R24"/>
  <c r="M26"/>
  <c r="B24"/>
  <c r="B26"/>
  <c r="B27"/>
  <c r="J154" i="93"/>
  <c r="F177"/>
  <c r="H177"/>
  <c r="T51" i="92"/>
  <c r="T52"/>
  <c r="S51"/>
  <c r="S52"/>
  <c r="S128" i="91"/>
  <c r="S55" i="92"/>
  <c r="S56"/>
  <c r="T128" i="91"/>
  <c r="T55" i="92"/>
  <c r="T56"/>
  <c r="U128" i="91"/>
  <c r="U55" i="92"/>
  <c r="U56"/>
  <c r="U51"/>
  <c r="U52"/>
  <c r="P51"/>
  <c r="P52"/>
  <c r="M190" i="93"/>
  <c r="Q91"/>
  <c r="Q92"/>
  <c r="P128" i="91"/>
  <c r="P55" i="92"/>
  <c r="P56"/>
  <c r="N56"/>
  <c r="W55"/>
  <c r="O51"/>
  <c r="S35"/>
  <c r="M164" i="91"/>
  <c r="R164"/>
  <c r="E15" i="92"/>
  <c r="BO105" i="9"/>
  <c r="Q30" i="92"/>
  <c r="N35"/>
  <c r="L30"/>
  <c r="I35"/>
  <c r="M20" i="91"/>
  <c r="H21" i="92"/>
  <c r="H29" i="91"/>
  <c r="G34"/>
  <c r="W29"/>
  <c r="W39"/>
  <c r="G31" i="92"/>
  <c r="G30"/>
  <c r="W21"/>
  <c r="L14" i="91"/>
  <c r="L15" i="92"/>
  <c r="C203" i="91"/>
  <c r="C180"/>
  <c r="W12" i="92"/>
  <c r="W14"/>
  <c r="W30"/>
  <c r="V30"/>
  <c r="S15"/>
  <c r="CC105" i="9"/>
  <c r="S37" i="92"/>
  <c r="V35"/>
  <c r="V37"/>
  <c r="E37"/>
  <c r="H30" i="91"/>
  <c r="W30"/>
  <c r="W40"/>
  <c r="C209"/>
  <c r="J217"/>
  <c r="J215"/>
  <c r="C186"/>
  <c r="K194"/>
  <c r="K192"/>
  <c r="V133"/>
  <c r="V55" i="92"/>
  <c r="Q50" i="91"/>
  <c r="W75"/>
  <c r="W76"/>
  <c r="G15"/>
  <c r="G15" i="92"/>
  <c r="L13" i="91"/>
  <c r="L14" i="92"/>
  <c r="L12"/>
  <c r="U15" i="91"/>
  <c r="U15" i="92"/>
  <c r="O16" i="91"/>
  <c r="O17" i="92"/>
  <c r="O16"/>
  <c r="K15" i="91"/>
  <c r="K15" i="92"/>
  <c r="F15" i="91"/>
  <c r="F15" i="92"/>
  <c r="P16" i="91"/>
  <c r="P17" i="92"/>
  <c r="P16"/>
  <c r="T16" i="91"/>
  <c r="T17" i="92"/>
  <c r="T16"/>
  <c r="J15" i="91"/>
  <c r="J15" i="92"/>
  <c r="P217" i="91"/>
  <c r="P215"/>
  <c r="B217"/>
  <c r="B215"/>
  <c r="K217"/>
  <c r="K215"/>
  <c r="C217"/>
  <c r="C215"/>
  <c r="N217"/>
  <c r="U217"/>
  <c r="U215"/>
  <c r="I217"/>
  <c r="C210"/>
  <c r="S194"/>
  <c r="O194"/>
  <c r="O192"/>
  <c r="W178"/>
  <c r="O203"/>
  <c r="W13"/>
  <c r="V14"/>
  <c r="V15" i="92"/>
  <c r="O177" i="93"/>
  <c r="U177"/>
  <c r="Q59"/>
  <c r="R59"/>
  <c r="G177"/>
  <c r="K177"/>
  <c r="P154"/>
  <c r="J177"/>
  <c r="L177"/>
  <c r="W59"/>
  <c r="R167"/>
  <c r="T177"/>
  <c r="W40"/>
  <c r="W41"/>
  <c r="Q112"/>
  <c r="Q113"/>
  <c r="V112"/>
  <c r="V113"/>
  <c r="V177"/>
  <c r="K154"/>
  <c r="Q107"/>
  <c r="R107"/>
  <c r="L154"/>
  <c r="H201" i="91"/>
  <c r="Q133"/>
  <c r="W109"/>
  <c r="W110"/>
  <c r="O180"/>
  <c r="V128"/>
  <c r="O128"/>
  <c r="W128"/>
  <c r="U104"/>
  <c r="U203"/>
  <c r="V109"/>
  <c r="V110"/>
  <c r="W133"/>
  <c r="W134"/>
  <c r="W104"/>
  <c r="V50"/>
  <c r="V75"/>
  <c r="V76"/>
  <c r="L201"/>
  <c r="R91" i="93"/>
  <c r="R92"/>
  <c r="Q34"/>
  <c r="R34"/>
  <c r="B30"/>
  <c r="R156"/>
  <c r="R162"/>
  <c r="M162"/>
  <c r="Q176"/>
  <c r="N173"/>
  <c r="B27"/>
  <c r="B24"/>
  <c r="W176"/>
  <c r="E173"/>
  <c r="E95" i="94"/>
  <c r="H176" i="93"/>
  <c r="P60"/>
  <c r="P53"/>
  <c r="U60"/>
  <c r="U53"/>
  <c r="R179"/>
  <c r="R185"/>
  <c r="M185"/>
  <c r="M26"/>
  <c r="R24"/>
  <c r="R26"/>
  <c r="H153"/>
  <c r="W153"/>
  <c r="R190"/>
  <c r="M175"/>
  <c r="R175"/>
  <c r="T34"/>
  <c r="W34"/>
  <c r="W112"/>
  <c r="W113"/>
  <c r="S107"/>
  <c r="V107"/>
  <c r="F154"/>
  <c r="W154"/>
  <c r="V91"/>
  <c r="V92"/>
  <c r="O88"/>
  <c r="O154"/>
  <c r="T154"/>
  <c r="U154"/>
  <c r="M152"/>
  <c r="R152"/>
  <c r="G154"/>
  <c r="Q40"/>
  <c r="V40"/>
  <c r="V41"/>
  <c r="P177"/>
  <c r="W91"/>
  <c r="W92"/>
  <c r="I173"/>
  <c r="L176"/>
  <c r="B29"/>
  <c r="T60"/>
  <c r="T53"/>
  <c r="O60"/>
  <c r="S60"/>
  <c r="V59"/>
  <c r="S53"/>
  <c r="V153"/>
  <c r="T191"/>
  <c r="T189"/>
  <c r="P191"/>
  <c r="P189"/>
  <c r="N191"/>
  <c r="J191"/>
  <c r="J189"/>
  <c r="F191"/>
  <c r="F189"/>
  <c r="B191"/>
  <c r="B189"/>
  <c r="U191"/>
  <c r="U189"/>
  <c r="S191"/>
  <c r="O191"/>
  <c r="O189"/>
  <c r="K191"/>
  <c r="K189"/>
  <c r="I191"/>
  <c r="G191"/>
  <c r="G189"/>
  <c r="E191"/>
  <c r="C191"/>
  <c r="C189"/>
  <c r="C184"/>
  <c r="U168"/>
  <c r="U166"/>
  <c r="S168"/>
  <c r="O168"/>
  <c r="O166"/>
  <c r="K168"/>
  <c r="K166"/>
  <c r="I168"/>
  <c r="G168"/>
  <c r="G166"/>
  <c r="E168"/>
  <c r="C168"/>
  <c r="C166"/>
  <c r="N168"/>
  <c r="J168"/>
  <c r="J166"/>
  <c r="F168"/>
  <c r="F166"/>
  <c r="B168"/>
  <c r="B166"/>
  <c r="T168"/>
  <c r="T166"/>
  <c r="P168"/>
  <c r="P166"/>
  <c r="C161"/>
  <c r="L153"/>
  <c r="Q153"/>
  <c r="S173"/>
  <c r="V176"/>
  <c r="V34"/>
  <c r="V88"/>
  <c r="R133" i="91"/>
  <c r="R108"/>
  <c r="M5"/>
  <c r="R17"/>
  <c r="F179"/>
  <c r="F176"/>
  <c r="E176"/>
  <c r="R182"/>
  <c r="R188"/>
  <c r="M188"/>
  <c r="K179"/>
  <c r="K176"/>
  <c r="G179"/>
  <c r="G176"/>
  <c r="E15"/>
  <c r="E16" i="92"/>
  <c r="W14" i="91"/>
  <c r="H14"/>
  <c r="I16"/>
  <c r="I17" i="92"/>
  <c r="L15" i="91"/>
  <c r="J179"/>
  <c r="J176"/>
  <c r="E199"/>
  <c r="V134"/>
  <c r="Q109"/>
  <c r="P180"/>
  <c r="Q75"/>
  <c r="H178"/>
  <c r="M178"/>
  <c r="R178"/>
  <c r="T180"/>
  <c r="M216"/>
  <c r="R216"/>
  <c r="P203"/>
  <c r="W50"/>
  <c r="W51"/>
  <c r="U180"/>
  <c r="T203"/>
  <c r="M193"/>
  <c r="R193"/>
  <c r="F202"/>
  <c r="F199"/>
  <c r="R205"/>
  <c r="R211"/>
  <c r="M211"/>
  <c r="V179"/>
  <c r="S176"/>
  <c r="V176"/>
  <c r="I176"/>
  <c r="N176"/>
  <c r="Q176"/>
  <c r="Q179"/>
  <c r="M12"/>
  <c r="M13" i="92"/>
  <c r="H13" i="91"/>
  <c r="H14" i="92"/>
  <c r="K202" i="91"/>
  <c r="K199"/>
  <c r="G202"/>
  <c r="G199"/>
  <c r="N16"/>
  <c r="N17" i="92"/>
  <c r="Q15" i="91"/>
  <c r="S16"/>
  <c r="S17" i="92"/>
  <c r="V15" i="91"/>
  <c r="S199"/>
  <c r="V199"/>
  <c r="V202"/>
  <c r="J202"/>
  <c r="J199"/>
  <c r="I199"/>
  <c r="Q202"/>
  <c r="N199"/>
  <c r="Q199"/>
  <c r="M11"/>
  <c r="W201"/>
  <c r="V56" i="92"/>
  <c r="Q40" i="95"/>
  <c r="Q39"/>
  <c r="L173" i="93"/>
  <c r="L95" i="94"/>
  <c r="I95"/>
  <c r="V173" i="93"/>
  <c r="V95" i="94"/>
  <c r="S95"/>
  <c r="Q173" i="93"/>
  <c r="Q95" i="94"/>
  <c r="N95"/>
  <c r="B12" i="93"/>
  <c r="B12" i="94"/>
  <c r="C12"/>
  <c r="R26"/>
  <c r="Q177" i="93"/>
  <c r="R134" i="91"/>
  <c r="R55" i="92"/>
  <c r="R56"/>
  <c r="O52"/>
  <c r="W51"/>
  <c r="W52"/>
  <c r="W56"/>
  <c r="V51" i="91"/>
  <c r="V51" i="92"/>
  <c r="Q134" i="91"/>
  <c r="Q55" i="92"/>
  <c r="R50" i="91"/>
  <c r="Q51" i="92"/>
  <c r="W40"/>
  <c r="E217" i="91"/>
  <c r="O217"/>
  <c r="O215"/>
  <c r="F217"/>
  <c r="F215"/>
  <c r="T217"/>
  <c r="T215"/>
  <c r="G217"/>
  <c r="G215"/>
  <c r="S217"/>
  <c r="F194"/>
  <c r="F192"/>
  <c r="J194"/>
  <c r="J192"/>
  <c r="Q51"/>
  <c r="C187"/>
  <c r="E194"/>
  <c r="P194"/>
  <c r="P192"/>
  <c r="G194"/>
  <c r="G192"/>
  <c r="W15" i="92"/>
  <c r="R5" i="91"/>
  <c r="R18" i="92"/>
  <c r="R6"/>
  <c r="D30" i="91"/>
  <c r="M30"/>
  <c r="R30"/>
  <c r="H30" i="92"/>
  <c r="G35"/>
  <c r="M29" i="91"/>
  <c r="R29"/>
  <c r="C29"/>
  <c r="R20"/>
  <c r="R21" i="92"/>
  <c r="M21"/>
  <c r="L202" i="91"/>
  <c r="V104"/>
  <c r="M201"/>
  <c r="R201"/>
  <c r="T194"/>
  <c r="T192"/>
  <c r="N194"/>
  <c r="I194"/>
  <c r="I192"/>
  <c r="L192"/>
  <c r="U194"/>
  <c r="U192"/>
  <c r="B194"/>
  <c r="B192"/>
  <c r="C194"/>
  <c r="C192"/>
  <c r="H31" i="92"/>
  <c r="W31"/>
  <c r="W41"/>
  <c r="G36" i="91"/>
  <c r="W34"/>
  <c r="W36"/>
  <c r="H34"/>
  <c r="L35" i="92"/>
  <c r="L37"/>
  <c r="I37"/>
  <c r="N37"/>
  <c r="Q35"/>
  <c r="Q37"/>
  <c r="Q60" i="93"/>
  <c r="Q61"/>
  <c r="R11" i="91"/>
  <c r="R12" i="92"/>
  <c r="M12"/>
  <c r="L16" i="91"/>
  <c r="L17" i="92"/>
  <c r="L16"/>
  <c r="M14" i="91"/>
  <c r="H15" i="92"/>
  <c r="N192" i="91"/>
  <c r="Q194"/>
  <c r="L217"/>
  <c r="I215"/>
  <c r="L215"/>
  <c r="N215"/>
  <c r="J16"/>
  <c r="J17" i="92"/>
  <c r="J16"/>
  <c r="F16" i="91"/>
  <c r="F17" i="92"/>
  <c r="F16"/>
  <c r="K16" i="91"/>
  <c r="K17" i="92"/>
  <c r="K16"/>
  <c r="U16" i="91"/>
  <c r="U17" i="92"/>
  <c r="U16"/>
  <c r="G16" i="91"/>
  <c r="G17" i="92"/>
  <c r="G16"/>
  <c r="Q16" i="91"/>
  <c r="Q17" i="92"/>
  <c r="Q16"/>
  <c r="E192" i="91"/>
  <c r="H194"/>
  <c r="S192"/>
  <c r="E215"/>
  <c r="H217"/>
  <c r="W217"/>
  <c r="S215"/>
  <c r="V217"/>
  <c r="W177" i="93"/>
  <c r="Q203" i="91"/>
  <c r="V16"/>
  <c r="V17" i="92"/>
  <c r="R112" i="93"/>
  <c r="R113"/>
  <c r="V60"/>
  <c r="H154"/>
  <c r="M154"/>
  <c r="Q154"/>
  <c r="M177"/>
  <c r="R177"/>
  <c r="M176"/>
  <c r="R176"/>
  <c r="O53"/>
  <c r="V154"/>
  <c r="W60"/>
  <c r="W61"/>
  <c r="L176" i="91"/>
  <c r="V203"/>
  <c r="V180"/>
  <c r="Q180"/>
  <c r="Q128"/>
  <c r="G180"/>
  <c r="K180"/>
  <c r="R60" i="93"/>
  <c r="R61"/>
  <c r="Q168"/>
  <c r="N166"/>
  <c r="Q166"/>
  <c r="W168"/>
  <c r="H168"/>
  <c r="E166"/>
  <c r="L168"/>
  <c r="I166"/>
  <c r="L166"/>
  <c r="V191"/>
  <c r="S189"/>
  <c r="V189"/>
  <c r="Q41"/>
  <c r="R40"/>
  <c r="R41"/>
  <c r="W88"/>
  <c r="Q88"/>
  <c r="R88"/>
  <c r="W173"/>
  <c r="H173"/>
  <c r="V53"/>
  <c r="V61"/>
  <c r="M153"/>
  <c r="R153"/>
  <c r="V168"/>
  <c r="S166"/>
  <c r="V166"/>
  <c r="H191"/>
  <c r="W191"/>
  <c r="E189"/>
  <c r="L191"/>
  <c r="I189"/>
  <c r="L189"/>
  <c r="Q191"/>
  <c r="N189"/>
  <c r="Q189"/>
  <c r="B26"/>
  <c r="W107"/>
  <c r="R12" i="91"/>
  <c r="M13"/>
  <c r="M14" i="92"/>
  <c r="Q76" i="91"/>
  <c r="R75"/>
  <c r="R76"/>
  <c r="H176"/>
  <c r="W176"/>
  <c r="R128"/>
  <c r="L199"/>
  <c r="J203"/>
  <c r="G203"/>
  <c r="K203"/>
  <c r="L179"/>
  <c r="F203"/>
  <c r="H202"/>
  <c r="M202"/>
  <c r="R202"/>
  <c r="W202"/>
  <c r="J180"/>
  <c r="H179"/>
  <c r="F180"/>
  <c r="Q110"/>
  <c r="R109"/>
  <c r="W199"/>
  <c r="H199"/>
  <c r="E16"/>
  <c r="E17" i="92"/>
  <c r="W15" i="91"/>
  <c r="W16"/>
  <c r="H15"/>
  <c r="H16" i="92"/>
  <c r="W179" i="91"/>
  <c r="Q104"/>
  <c r="Q52" i="92"/>
  <c r="O36" i="95"/>
  <c r="O35"/>
  <c r="P35"/>
  <c r="Q56" i="92"/>
  <c r="O40" i="95"/>
  <c r="P40"/>
  <c r="R40"/>
  <c r="O39"/>
  <c r="P39"/>
  <c r="R39"/>
  <c r="V52" i="92"/>
  <c r="Q36" i="95"/>
  <c r="Q35"/>
  <c r="W95" i="94"/>
  <c r="M173" i="93"/>
  <c r="H95" i="94"/>
  <c r="R154" i="93"/>
  <c r="R51" i="91"/>
  <c r="R51" i="92"/>
  <c r="R52"/>
  <c r="V215" i="91"/>
  <c r="Q215"/>
  <c r="Q217"/>
  <c r="V192"/>
  <c r="L194"/>
  <c r="M194"/>
  <c r="R194"/>
  <c r="Q192"/>
  <c r="R13"/>
  <c r="R14" i="92"/>
  <c r="R13"/>
  <c r="G37"/>
  <c r="W35"/>
  <c r="W37"/>
  <c r="H35"/>
  <c r="C30"/>
  <c r="M30"/>
  <c r="R30"/>
  <c r="D34" i="91"/>
  <c r="B30"/>
  <c r="B40"/>
  <c r="V194"/>
  <c r="W194"/>
  <c r="M34"/>
  <c r="H36"/>
  <c r="D31" i="92"/>
  <c r="M31"/>
  <c r="R31"/>
  <c r="B29" i="91"/>
  <c r="B39"/>
  <c r="C39"/>
  <c r="C34"/>
  <c r="W16" i="92"/>
  <c r="W17"/>
  <c r="M217" i="91"/>
  <c r="R217"/>
  <c r="W192"/>
  <c r="H192"/>
  <c r="M192"/>
  <c r="R14"/>
  <c r="R15" i="92"/>
  <c r="M15"/>
  <c r="W215" i="91"/>
  <c r="H215"/>
  <c r="M215"/>
  <c r="M199"/>
  <c r="R199"/>
  <c r="M179"/>
  <c r="R179"/>
  <c r="L180"/>
  <c r="W53" i="93"/>
  <c r="Q53"/>
  <c r="R53"/>
  <c r="M176" i="91"/>
  <c r="R176"/>
  <c r="H189" i="93"/>
  <c r="M189"/>
  <c r="R189"/>
  <c r="W189"/>
  <c r="W166"/>
  <c r="H166"/>
  <c r="M166"/>
  <c r="R166"/>
  <c r="M191"/>
  <c r="R191"/>
  <c r="M168"/>
  <c r="R168"/>
  <c r="H16" i="91"/>
  <c r="H17" i="92"/>
  <c r="M15" i="91"/>
  <c r="M16" i="92"/>
  <c r="H180" i="91"/>
  <c r="W180"/>
  <c r="R110"/>
  <c r="R104"/>
  <c r="W203"/>
  <c r="H203"/>
  <c r="L203"/>
  <c r="R35" i="95"/>
  <c r="R36"/>
  <c r="P36"/>
  <c r="R173" i="93"/>
  <c r="R95" i="94"/>
  <c r="M95"/>
  <c r="R215" i="91"/>
  <c r="R192"/>
  <c r="D40"/>
  <c r="D36"/>
  <c r="C40" i="92"/>
  <c r="B30"/>
  <c r="B40"/>
  <c r="C35"/>
  <c r="C36" i="91"/>
  <c r="B34"/>
  <c r="B36"/>
  <c r="B31" i="92"/>
  <c r="B41"/>
  <c r="D35"/>
  <c r="R34" i="91"/>
  <c r="R36"/>
  <c r="M36"/>
  <c r="H37" i="92"/>
  <c r="M35"/>
  <c r="M180" i="91"/>
  <c r="R180"/>
  <c r="R15"/>
  <c r="M16"/>
  <c r="M17" i="92"/>
  <c r="M203" i="91"/>
  <c r="R203"/>
  <c r="R35" i="92"/>
  <c r="R37"/>
  <c r="M37"/>
  <c r="D41"/>
  <c r="D37"/>
  <c r="B35"/>
  <c r="B37"/>
  <c r="C37"/>
  <c r="R16" i="91"/>
  <c r="R17" i="92"/>
  <c r="R16"/>
  <c r="BN95" i="9"/>
  <c r="BN93"/>
  <c r="CF93"/>
  <c r="CD93"/>
  <c r="CB93"/>
  <c r="BZ93"/>
  <c r="BX93"/>
  <c r="BV93"/>
  <c r="BT93"/>
  <c r="BR93"/>
  <c r="BP93"/>
  <c r="CE93"/>
  <c r="CC93"/>
  <c r="CA93"/>
  <c r="BY93"/>
  <c r="BW93"/>
  <c r="BU93"/>
  <c r="BS93"/>
  <c r="BQ93"/>
  <c r="BO93"/>
  <c r="BN91"/>
  <c r="BT124"/>
  <c r="BP124"/>
  <c r="BT120"/>
  <c r="BP120"/>
  <c r="BO119"/>
  <c r="CD119"/>
  <c r="CE126"/>
  <c r="CD126"/>
  <c r="CC126"/>
  <c r="BZ126"/>
  <c r="BY126"/>
  <c r="BX126"/>
  <c r="BU126"/>
  <c r="BT126"/>
  <c r="BS126"/>
  <c r="BQ126"/>
  <c r="BP126"/>
  <c r="BN126"/>
  <c r="CE114"/>
  <c r="CE115"/>
  <c r="CC114"/>
  <c r="CA114"/>
  <c r="BY114"/>
  <c r="BW114"/>
  <c r="BU114"/>
  <c r="BS114"/>
  <c r="BS115"/>
  <c r="BQ114"/>
  <c r="BO114"/>
  <c r="BO115"/>
  <c r="BO117"/>
  <c r="CF114"/>
  <c r="BO111"/>
  <c r="CF105"/>
  <c r="CA105"/>
  <c r="BV105"/>
  <c r="BO98"/>
  <c r="CF97"/>
  <c r="CA97"/>
  <c r="BV97"/>
  <c r="BT91"/>
  <c r="BP91"/>
  <c r="BO90"/>
  <c r="BQ115"/>
  <c r="BV126"/>
  <c r="CF126"/>
  <c r="BU115"/>
  <c r="BY115"/>
  <c r="CC115"/>
  <c r="BN115"/>
  <c r="BN117"/>
  <c r="BR105"/>
  <c r="BW105"/>
  <c r="CB105"/>
  <c r="CG118"/>
  <c r="BJ118"/>
  <c r="CG97"/>
  <c r="BJ97"/>
  <c r="BN92"/>
  <c r="CD98"/>
  <c r="BX98"/>
  <c r="BT98"/>
  <c r="BP98"/>
  <c r="BO100"/>
  <c r="CE98"/>
  <c r="CC98"/>
  <c r="BY98"/>
  <c r="BU98"/>
  <c r="BS98"/>
  <c r="BQ98"/>
  <c r="BZ98"/>
  <c r="BR98"/>
  <c r="CF94"/>
  <c r="BT103"/>
  <c r="BP103"/>
  <c r="BO113"/>
  <c r="CE111"/>
  <c r="CC111"/>
  <c r="BY111"/>
  <c r="BU111"/>
  <c r="BS111"/>
  <c r="BQ111"/>
  <c r="CD111"/>
  <c r="BZ111"/>
  <c r="BX111"/>
  <c r="BT111"/>
  <c r="BP111"/>
  <c r="BS90"/>
  <c r="CE90"/>
  <c r="BO92"/>
  <c r="BP94"/>
  <c r="BT94"/>
  <c r="BX94"/>
  <c r="BZ94"/>
  <c r="CD94"/>
  <c r="BQ99"/>
  <c r="BU99"/>
  <c r="BX99"/>
  <c r="BN100"/>
  <c r="BS103"/>
  <c r="BP90"/>
  <c r="BP92"/>
  <c r="BT90"/>
  <c r="BT92"/>
  <c r="BX90"/>
  <c r="BZ90"/>
  <c r="CD90"/>
  <c r="BQ91"/>
  <c r="BR91"/>
  <c r="BS91"/>
  <c r="BU91"/>
  <c r="BX91"/>
  <c r="BX95"/>
  <c r="BO94"/>
  <c r="BQ94"/>
  <c r="BS94"/>
  <c r="BU94"/>
  <c r="BY94"/>
  <c r="CA94"/>
  <c r="CC94"/>
  <c r="CE94"/>
  <c r="BN94"/>
  <c r="BR97"/>
  <c r="BP99"/>
  <c r="BT99"/>
  <c r="BQ103"/>
  <c r="BU103"/>
  <c r="CG105"/>
  <c r="BJ105"/>
  <c r="CA126"/>
  <c r="BN123"/>
  <c r="BN125"/>
  <c r="BQ90"/>
  <c r="BQ92"/>
  <c r="BU90"/>
  <c r="BY90"/>
  <c r="CC90"/>
  <c r="BV94"/>
  <c r="BS99"/>
  <c r="BQ112"/>
  <c r="BS112"/>
  <c r="BU112"/>
  <c r="BX112"/>
  <c r="BX116"/>
  <c r="BN113"/>
  <c r="BQ116"/>
  <c r="BQ117"/>
  <c r="BS116"/>
  <c r="BS117"/>
  <c r="BU116"/>
  <c r="BR118"/>
  <c r="BV118"/>
  <c r="CF118"/>
  <c r="CF115"/>
  <c r="BQ119"/>
  <c r="BS119"/>
  <c r="BU119"/>
  <c r="BY119"/>
  <c r="CC119"/>
  <c r="CE119"/>
  <c r="BO121"/>
  <c r="BP122"/>
  <c r="BP123"/>
  <c r="BP125"/>
  <c r="BR122"/>
  <c r="BT122"/>
  <c r="BT123"/>
  <c r="BT125"/>
  <c r="BV122"/>
  <c r="BX122"/>
  <c r="BX123"/>
  <c r="BZ122"/>
  <c r="BZ123"/>
  <c r="CB122"/>
  <c r="CD122"/>
  <c r="CD123"/>
  <c r="CF122"/>
  <c r="CF123"/>
  <c r="BO126"/>
  <c r="BP112"/>
  <c r="BR112"/>
  <c r="BT112"/>
  <c r="BP114"/>
  <c r="BP115"/>
  <c r="BR114"/>
  <c r="BR115"/>
  <c r="BT114"/>
  <c r="BT115"/>
  <c r="BV114"/>
  <c r="BX114"/>
  <c r="BX115"/>
  <c r="BZ114"/>
  <c r="BZ115"/>
  <c r="CB114"/>
  <c r="CD114"/>
  <c r="CD115"/>
  <c r="BP116"/>
  <c r="BT116"/>
  <c r="CA118"/>
  <c r="CA115"/>
  <c r="BP119"/>
  <c r="BP121"/>
  <c r="BT119"/>
  <c r="BT121"/>
  <c r="BX119"/>
  <c r="BZ119"/>
  <c r="BQ120"/>
  <c r="BR120"/>
  <c r="BS120"/>
  <c r="BU120"/>
  <c r="BX120"/>
  <c r="BO122"/>
  <c r="BO123"/>
  <c r="BQ122"/>
  <c r="BQ123"/>
  <c r="BS122"/>
  <c r="BS123"/>
  <c r="BU122"/>
  <c r="BU123"/>
  <c r="BU128"/>
  <c r="BW122"/>
  <c r="BY122"/>
  <c r="BY123"/>
  <c r="CA122"/>
  <c r="CA123"/>
  <c r="CC122"/>
  <c r="CC123"/>
  <c r="CC128"/>
  <c r="CE122"/>
  <c r="CE123"/>
  <c r="BQ124"/>
  <c r="BR124"/>
  <c r="BS124"/>
  <c r="BU124"/>
  <c r="BV123"/>
  <c r="BW120"/>
  <c r="BV120"/>
  <c r="BU121"/>
  <c r="BQ121"/>
  <c r="BP113"/>
  <c r="BT113"/>
  <c r="CH105"/>
  <c r="BW99"/>
  <c r="BQ100"/>
  <c r="BR94"/>
  <c r="BN128"/>
  <c r="BN130"/>
  <c r="BU92"/>
  <c r="BW91"/>
  <c r="BV91"/>
  <c r="CF128"/>
  <c r="CE124"/>
  <c r="CC124"/>
  <c r="BY124"/>
  <c r="CD124"/>
  <c r="BZ124"/>
  <c r="BX117"/>
  <c r="BX128"/>
  <c r="BP117"/>
  <c r="BP130"/>
  <c r="BP128"/>
  <c r="CF119"/>
  <c r="CC99"/>
  <c r="CD99"/>
  <c r="BZ99"/>
  <c r="CE99"/>
  <c r="BY99"/>
  <c r="CF111"/>
  <c r="BO125"/>
  <c r="BO130"/>
  <c r="CG123"/>
  <c r="BJ123"/>
  <c r="CE120"/>
  <c r="CC120"/>
  <c r="BY120"/>
  <c r="CD120"/>
  <c r="CD121"/>
  <c r="BZ120"/>
  <c r="BZ121"/>
  <c r="BX121"/>
  <c r="CA119"/>
  <c r="CD128"/>
  <c r="BZ128"/>
  <c r="BR126"/>
  <c r="BR123"/>
  <c r="CG126"/>
  <c r="BJ126"/>
  <c r="BV119"/>
  <c r="BS121"/>
  <c r="BW118"/>
  <c r="CH118"/>
  <c r="CF90"/>
  <c r="BW97"/>
  <c r="CB97"/>
  <c r="CB94"/>
  <c r="CH97"/>
  <c r="CE95"/>
  <c r="CE96"/>
  <c r="U45" i="91"/>
  <c r="U44"/>
  <c r="CC95" i="9"/>
  <c r="BY95"/>
  <c r="BY96"/>
  <c r="O45" i="91"/>
  <c r="O44"/>
  <c r="CD95" i="9"/>
  <c r="BZ95"/>
  <c r="BZ96"/>
  <c r="P45" i="91"/>
  <c r="P44"/>
  <c r="CG94" i="9"/>
  <c r="BJ94"/>
  <c r="CD91"/>
  <c r="CE91"/>
  <c r="CE92"/>
  <c r="CC91"/>
  <c r="CC92"/>
  <c r="BY91"/>
  <c r="BZ91"/>
  <c r="CD96"/>
  <c r="T45" i="91"/>
  <c r="T44"/>
  <c r="BX96" i="9"/>
  <c r="N45" i="91"/>
  <c r="N44"/>
  <c r="BV90" i="9"/>
  <c r="BV92"/>
  <c r="BS92"/>
  <c r="CA111"/>
  <c r="BX113"/>
  <c r="BS113"/>
  <c r="BV111"/>
  <c r="BS100"/>
  <c r="BV98"/>
  <c r="BQ125"/>
  <c r="BQ130"/>
  <c r="CD125"/>
  <c r="BZ125"/>
  <c r="CG119"/>
  <c r="CD92"/>
  <c r="BR90"/>
  <c r="BW103"/>
  <c r="BU117"/>
  <c r="BU113"/>
  <c r="CG111"/>
  <c r="CG98"/>
  <c r="BW124"/>
  <c r="BV124"/>
  <c r="CE125"/>
  <c r="BS125"/>
  <c r="BS130"/>
  <c r="BR119"/>
  <c r="BR116"/>
  <c r="BR117"/>
  <c r="BV115"/>
  <c r="BX125"/>
  <c r="CE121"/>
  <c r="BY121"/>
  <c r="BW116"/>
  <c r="BV116"/>
  <c r="BW112"/>
  <c r="BV112"/>
  <c r="BV99"/>
  <c r="BO128"/>
  <c r="CB99"/>
  <c r="BR99"/>
  <c r="BR100"/>
  <c r="BW94"/>
  <c r="BV103"/>
  <c r="BY128"/>
  <c r="BQ128"/>
  <c r="CE128"/>
  <c r="BS128"/>
  <c r="BR111"/>
  <c r="BR103"/>
  <c r="CG90"/>
  <c r="BJ90"/>
  <c r="BZ100"/>
  <c r="BY100"/>
  <c r="CE100"/>
  <c r="BT100"/>
  <c r="CD100"/>
  <c r="BT117"/>
  <c r="BT130"/>
  <c r="BT128"/>
  <c r="CD116"/>
  <c r="CD117"/>
  <c r="BZ116"/>
  <c r="BZ117"/>
  <c r="BZ130"/>
  <c r="BZ129"/>
  <c r="CE116"/>
  <c r="CE117"/>
  <c r="CC116"/>
  <c r="BY116"/>
  <c r="BY117"/>
  <c r="CD112"/>
  <c r="CD113"/>
  <c r="BZ112"/>
  <c r="BZ113"/>
  <c r="CE112"/>
  <c r="CE113"/>
  <c r="CC112"/>
  <c r="BY112"/>
  <c r="CB112"/>
  <c r="CA128"/>
  <c r="CD103"/>
  <c r="BZ103"/>
  <c r="CC103"/>
  <c r="BY103"/>
  <c r="CE103"/>
  <c r="CA103"/>
  <c r="BN96"/>
  <c r="BX92"/>
  <c r="CA90"/>
  <c r="CF98"/>
  <c r="CA98"/>
  <c r="BX100"/>
  <c r="BU125"/>
  <c r="BV125"/>
  <c r="BY92"/>
  <c r="CG115"/>
  <c r="BJ115"/>
  <c r="CB120"/>
  <c r="BQ113"/>
  <c r="BU100"/>
  <c r="BP100"/>
  <c r="BN129"/>
  <c r="Q44" i="91"/>
  <c r="CA124" i="9"/>
  <c r="CA125"/>
  <c r="CF124"/>
  <c r="CF125"/>
  <c r="CG120"/>
  <c r="BV121"/>
  <c r="CF120"/>
  <c r="CF121"/>
  <c r="CG121"/>
  <c r="CA120"/>
  <c r="CH120"/>
  <c r="CF112"/>
  <c r="CF113"/>
  <c r="CH94"/>
  <c r="CA95"/>
  <c r="CA96"/>
  <c r="Q45" i="91"/>
  <c r="CG99" i="9"/>
  <c r="CA99"/>
  <c r="CF99"/>
  <c r="CF100"/>
  <c r="BV100"/>
  <c r="CE130"/>
  <c r="CE129"/>
  <c r="CD130"/>
  <c r="CD129"/>
  <c r="BS129"/>
  <c r="BQ129"/>
  <c r="CB91"/>
  <c r="CH123"/>
  <c r="BR125"/>
  <c r="BR128"/>
  <c r="BR130"/>
  <c r="CF116"/>
  <c r="CF117"/>
  <c r="CF130"/>
  <c r="CF129"/>
  <c r="CC117"/>
  <c r="CF103"/>
  <c r="BW111"/>
  <c r="BR113"/>
  <c r="CH111"/>
  <c r="BV117"/>
  <c r="BV130"/>
  <c r="BV128"/>
  <c r="BR121"/>
  <c r="CH119"/>
  <c r="BW119"/>
  <c r="BR92"/>
  <c r="CH90"/>
  <c r="BW90"/>
  <c r="CG103"/>
  <c r="BJ103"/>
  <c r="BU130"/>
  <c r="BU129"/>
  <c r="BV113"/>
  <c r="CA91"/>
  <c r="CH98"/>
  <c r="CG91"/>
  <c r="CC125"/>
  <c r="CA100"/>
  <c r="CC100"/>
  <c r="CA112"/>
  <c r="CA116"/>
  <c r="CA117"/>
  <c r="CA130"/>
  <c r="CA129"/>
  <c r="BT129"/>
  <c r="BY113"/>
  <c r="BZ92"/>
  <c r="CH99"/>
  <c r="CB124"/>
  <c r="CG124"/>
  <c r="BJ124"/>
  <c r="CG116"/>
  <c r="BJ116"/>
  <c r="BY125"/>
  <c r="CG125"/>
  <c r="CF91"/>
  <c r="CF92"/>
  <c r="CF95"/>
  <c r="CF96"/>
  <c r="V45" i="91"/>
  <c r="CH115" i="9"/>
  <c r="BW98"/>
  <c r="CC96"/>
  <c r="S45" i="91"/>
  <c r="S44"/>
  <c r="BP129" i="9"/>
  <c r="BX130"/>
  <c r="BX129"/>
  <c r="CB116"/>
  <c r="BO129"/>
  <c r="CB118"/>
  <c r="CB115"/>
  <c r="BW115"/>
  <c r="CH126"/>
  <c r="BW126"/>
  <c r="CG128"/>
  <c r="BJ128"/>
  <c r="CG100"/>
  <c r="CA121"/>
  <c r="CC113"/>
  <c r="CC121"/>
  <c r="CB103"/>
  <c r="CG112"/>
  <c r="CG113"/>
  <c r="V44" i="91"/>
  <c r="CH125" i="9"/>
  <c r="BJ125"/>
  <c r="CG92"/>
  <c r="BJ92"/>
  <c r="BJ91"/>
  <c r="BY130"/>
  <c r="BY129"/>
  <c r="CH112"/>
  <c r="CH100"/>
  <c r="BV129"/>
  <c r="CC130"/>
  <c r="CC129"/>
  <c r="CG129"/>
  <c r="BJ129"/>
  <c r="CB126"/>
  <c r="CB123"/>
  <c r="CB125"/>
  <c r="BW123"/>
  <c r="BW125"/>
  <c r="BW117"/>
  <c r="CB90"/>
  <c r="CB92"/>
  <c r="BW92"/>
  <c r="BW113"/>
  <c r="CB111"/>
  <c r="CB113"/>
  <c r="CG117"/>
  <c r="CA113"/>
  <c r="CH113"/>
  <c r="CH128"/>
  <c r="CB117"/>
  <c r="CB130"/>
  <c r="BW100"/>
  <c r="CB98"/>
  <c r="CB100"/>
  <c r="CB119"/>
  <c r="CB121"/>
  <c r="BW121"/>
  <c r="BR129"/>
  <c r="CH130"/>
  <c r="CH91"/>
  <c r="CA92"/>
  <c r="CH92"/>
  <c r="CH121"/>
  <c r="CH117"/>
  <c r="BJ117"/>
  <c r="CH129"/>
  <c r="CB128"/>
  <c r="CB129"/>
  <c r="CG130"/>
  <c r="BJ130"/>
  <c r="BW130"/>
  <c r="BW128"/>
  <c r="BW129"/>
  <c r="J33" i="90"/>
  <c r="J28" i="88"/>
  <c r="J27"/>
  <c r="J21"/>
  <c r="J15"/>
  <c r="J12"/>
  <c r="I12"/>
  <c r="I11"/>
  <c r="I13"/>
  <c r="J30" i="87"/>
  <c r="J29"/>
  <c r="J21"/>
  <c r="J20"/>
  <c r="J17"/>
  <c r="J15"/>
  <c r="J14"/>
  <c r="J12"/>
  <c r="BV92" i="8"/>
  <c r="BV89"/>
  <c r="BV87"/>
  <c r="BV83"/>
  <c r="BV81"/>
  <c r="BV80"/>
  <c r="BV79"/>
  <c r="BV78"/>
  <c r="BV77"/>
  <c r="BV76"/>
  <c r="BV75"/>
  <c r="BX86"/>
  <c r="BW86"/>
  <c r="BU86"/>
  <c r="BU46"/>
  <c r="BU50"/>
  <c r="BU44"/>
  <c r="BX42"/>
  <c r="BU45"/>
  <c r="BU41"/>
  <c r="BU38"/>
  <c r="BU35"/>
  <c r="BU33"/>
  <c r="BU32"/>
  <c r="BU29"/>
  <c r="BU26"/>
  <c r="BU23"/>
  <c r="BU22"/>
  <c r="BU20"/>
  <c r="BU19"/>
  <c r="BX51"/>
  <c r="BW51"/>
  <c r="BU18"/>
  <c r="BU16"/>
  <c r="BU13"/>
  <c r="BV61"/>
  <c r="BV60"/>
  <c r="BV55"/>
  <c r="BV54"/>
  <c r="BV53"/>
  <c r="BV52"/>
  <c r="BV44"/>
  <c r="BV43"/>
  <c r="BU9"/>
  <c r="J43" i="89"/>
  <c r="J37"/>
  <c r="J30" i="86"/>
  <c r="J31"/>
  <c r="J28"/>
  <c r="J21"/>
  <c r="J15"/>
  <c r="J12"/>
  <c r="J31" i="85"/>
  <c r="J20"/>
  <c r="J24"/>
  <c r="J29"/>
  <c r="J28"/>
  <c r="J21"/>
  <c r="J17"/>
  <c r="J16"/>
  <c r="J14"/>
  <c r="BY44" i="7"/>
  <c r="BY45"/>
  <c r="BY47"/>
  <c r="BZ47"/>
  <c r="BM8" i="19"/>
  <c r="BE50"/>
  <c r="BF50"/>
  <c r="BN8"/>
  <c r="BL23"/>
  <c r="BL20"/>
  <c r="BL16"/>
  <c r="J12" i="85"/>
  <c r="BZ121" i="7"/>
  <c r="BZ119"/>
  <c r="BZ118"/>
  <c r="BZ114"/>
  <c r="BZ113"/>
  <c r="BZ112"/>
  <c r="BZ111"/>
  <c r="BZ110"/>
  <c r="BZ109"/>
  <c r="CA36"/>
  <c r="BZ50"/>
  <c r="CA50"/>
  <c r="BY50"/>
  <c r="K14" i="36"/>
  <c r="BW49" i="7"/>
  <c r="BZ45"/>
  <c r="BZ44"/>
  <c r="BZ41"/>
  <c r="BZ40"/>
  <c r="CB40"/>
  <c r="CA40"/>
  <c r="BY40"/>
  <c r="BZ39"/>
  <c r="BY39"/>
  <c r="BZ38"/>
  <c r="CA38"/>
  <c r="BY38"/>
  <c r="BZ36"/>
  <c r="BY36"/>
  <c r="BZ33"/>
  <c r="BZ32"/>
  <c r="BY33"/>
  <c r="BY32"/>
  <c r="BZ31"/>
  <c r="BY31"/>
  <c r="BZ29"/>
  <c r="BY29"/>
  <c r="BZ28"/>
  <c r="BY28"/>
  <c r="BZ25"/>
  <c r="BY25"/>
  <c r="CA25"/>
  <c r="BZ24"/>
  <c r="CA24"/>
  <c r="BY24"/>
  <c r="BZ23"/>
  <c r="BY23"/>
  <c r="BY22"/>
  <c r="BZ20"/>
  <c r="BY20"/>
  <c r="BZ19"/>
  <c r="BY19"/>
  <c r="BZ18"/>
  <c r="BY18"/>
  <c r="BZ15"/>
  <c r="BZ14"/>
  <c r="CA15"/>
  <c r="CB15"/>
  <c r="BZ13"/>
  <c r="BY13"/>
  <c r="BY12"/>
  <c r="BZ10"/>
  <c r="BY10"/>
  <c r="BZ9"/>
  <c r="BZ52"/>
  <c r="CB52"/>
  <c r="CA52"/>
  <c r="BY9"/>
  <c r="BU51" i="8"/>
  <c r="BW19"/>
  <c r="BX19"/>
  <c r="BP48" i="19"/>
  <c r="BO48"/>
  <c r="BP39"/>
  <c r="BO39"/>
  <c r="BP20"/>
  <c r="BO20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L31"/>
  <c r="BL30"/>
  <c r="BL29"/>
  <c r="BL28"/>
  <c r="BL27"/>
  <c r="BL26"/>
  <c r="BL25"/>
  <c r="BL24"/>
  <c r="BL22"/>
  <c r="BL21"/>
  <c r="BL19"/>
  <c r="BL18"/>
  <c r="BL17"/>
  <c r="BL15"/>
  <c r="BL14"/>
  <c r="BL12"/>
  <c r="BL11"/>
  <c r="BL10"/>
  <c r="BL9"/>
  <c r="BL8"/>
  <c r="AR54" i="6"/>
  <c r="AR53"/>
  <c r="AS53"/>
  <c r="AR52"/>
  <c r="AR51"/>
  <c r="AS51"/>
  <c r="AQ54" i="5"/>
  <c r="AQ53"/>
  <c r="AQ52"/>
  <c r="AQ51"/>
  <c r="AR51"/>
  <c r="AR44" i="6"/>
  <c r="AS43"/>
  <c r="AR42"/>
  <c r="AR41"/>
  <c r="AR40"/>
  <c r="AR39"/>
  <c r="AS39"/>
  <c r="AR37"/>
  <c r="AS37"/>
  <c r="AR36"/>
  <c r="AR35"/>
  <c r="AS35"/>
  <c r="AR34"/>
  <c r="AR33"/>
  <c r="AS33"/>
  <c r="AR32"/>
  <c r="AR31"/>
  <c r="AR30"/>
  <c r="AS29"/>
  <c r="AR28"/>
  <c r="AR27"/>
  <c r="AS27"/>
  <c r="AR26"/>
  <c r="AR24"/>
  <c r="AR22"/>
  <c r="AR21"/>
  <c r="AS21"/>
  <c r="AR20"/>
  <c r="AS19"/>
  <c r="AR17"/>
  <c r="AR16"/>
  <c r="AR15"/>
  <c r="AR14"/>
  <c r="AR13"/>
  <c r="AR12"/>
  <c r="AR11"/>
  <c r="AS54"/>
  <c r="AS52"/>
  <c r="AS42"/>
  <c r="AS40"/>
  <c r="AS38"/>
  <c r="AS32"/>
  <c r="AS30"/>
  <c r="AS28"/>
  <c r="AS26"/>
  <c r="AS24"/>
  <c r="AS23"/>
  <c r="AS22"/>
  <c r="AS20"/>
  <c r="AS16"/>
  <c r="AS15"/>
  <c r="AS14"/>
  <c r="AS13"/>
  <c r="AS12"/>
  <c r="AS11"/>
  <c r="AS10"/>
  <c r="AS9"/>
  <c r="AR9"/>
  <c r="AR53" i="5"/>
  <c r="AQ44"/>
  <c r="AQ43"/>
  <c r="AR43"/>
  <c r="AQ42"/>
  <c r="AQ40"/>
  <c r="AQ39"/>
  <c r="AQ38"/>
  <c r="AR38"/>
  <c r="AQ37"/>
  <c r="AQ36"/>
  <c r="AQ35"/>
  <c r="AR35"/>
  <c r="AQ34"/>
  <c r="AQ33"/>
  <c r="AR33"/>
  <c r="AQ32"/>
  <c r="AQ31"/>
  <c r="AR31"/>
  <c r="AQ29"/>
  <c r="AR29"/>
  <c r="AQ28"/>
  <c r="AQ27"/>
  <c r="AR27"/>
  <c r="AQ25"/>
  <c r="AQ23"/>
  <c r="AQ22"/>
  <c r="AQ21"/>
  <c r="AQ20"/>
  <c r="AQ19"/>
  <c r="AQ16"/>
  <c r="AQ15"/>
  <c r="AQ14"/>
  <c r="AQ13"/>
  <c r="AR13"/>
  <c r="AQ12"/>
  <c r="AQ11"/>
  <c r="AQ10"/>
  <c r="AR10"/>
  <c r="AR54"/>
  <c r="AR52"/>
  <c r="AR44"/>
  <c r="AR41"/>
  <c r="AR39"/>
  <c r="AR34"/>
  <c r="AR30"/>
  <c r="AR28"/>
  <c r="AR24"/>
  <c r="AR23"/>
  <c r="AR21"/>
  <c r="AR20"/>
  <c r="AR18"/>
  <c r="AR16"/>
  <c r="AR15"/>
  <c r="AR14"/>
  <c r="AR12"/>
  <c r="AR11"/>
  <c r="AR9"/>
  <c r="AR8"/>
  <c r="AQ8"/>
  <c r="AG31" i="10"/>
  <c r="AG30"/>
  <c r="AG29"/>
  <c r="AG28"/>
  <c r="AG27"/>
  <c r="AG26"/>
  <c r="AG25"/>
  <c r="AG24"/>
  <c r="AG23"/>
  <c r="AG22"/>
  <c r="AG21"/>
  <c r="AF25"/>
  <c r="AF30"/>
  <c r="AF31"/>
  <c r="CS33" i="17"/>
  <c r="CS32"/>
  <c r="CS31"/>
  <c r="CS30"/>
  <c r="CS29"/>
  <c r="CS28"/>
  <c r="CS27"/>
  <c r="CS26"/>
  <c r="CS25"/>
  <c r="CS24"/>
  <c r="CR33"/>
  <c r="CR32"/>
  <c r="CR31"/>
  <c r="CR30"/>
  <c r="CR28"/>
  <c r="CR27"/>
  <c r="CR26"/>
  <c r="CR25"/>
  <c r="CL45" i="11"/>
  <c r="CL44"/>
  <c r="CL43"/>
  <c r="CL42"/>
  <c r="CL41"/>
  <c r="CL38"/>
  <c r="CL37"/>
  <c r="CL36"/>
  <c r="CL35"/>
  <c r="CL34"/>
  <c r="CL33"/>
  <c r="CL32"/>
  <c r="CL31"/>
  <c r="CL30"/>
  <c r="CL29"/>
  <c r="CK50" i="72"/>
  <c r="BZ62" i="9"/>
  <c r="BZ61"/>
  <c r="BZ60"/>
  <c r="BZ59"/>
  <c r="BZ58"/>
  <c r="BV58"/>
  <c r="BZ56"/>
  <c r="BX54"/>
  <c r="BN120"/>
  <c r="BN121"/>
  <c r="BX52"/>
  <c r="BX50"/>
  <c r="BX48"/>
  <c r="H34" i="90"/>
  <c r="H33"/>
  <c r="H28"/>
  <c r="H27"/>
  <c r="H21"/>
  <c r="H20"/>
  <c r="G34"/>
  <c r="G33"/>
  <c r="G28"/>
  <c r="G27"/>
  <c r="G21"/>
  <c r="G20"/>
  <c r="F34"/>
  <c r="F33"/>
  <c r="F28"/>
  <c r="F27"/>
  <c r="F21"/>
  <c r="F20"/>
  <c r="H27" i="87"/>
  <c r="H29" i="90"/>
  <c r="H24" i="87"/>
  <c r="H26" i="90"/>
  <c r="H25"/>
  <c r="H20" i="87"/>
  <c r="H22" i="90"/>
  <c r="H17" i="87"/>
  <c r="H19" i="90"/>
  <c r="H30" i="87"/>
  <c r="H29"/>
  <c r="H31" i="90"/>
  <c r="H16" i="87"/>
  <c r="H18" i="90"/>
  <c r="H14" i="87"/>
  <c r="H16" i="90"/>
  <c r="G27" i="87"/>
  <c r="G29" i="90"/>
  <c r="G24" i="87"/>
  <c r="G26" i="90"/>
  <c r="G25"/>
  <c r="G20" i="87"/>
  <c r="G22" i="90"/>
  <c r="G17" i="87"/>
  <c r="G19" i="90"/>
  <c r="G14" i="87"/>
  <c r="G16" i="90"/>
  <c r="F14" i="87"/>
  <c r="F16" i="90"/>
  <c r="G30" i="87"/>
  <c r="G29"/>
  <c r="G31" i="90"/>
  <c r="G16" i="87"/>
  <c r="G18" i="90"/>
  <c r="F30" i="87"/>
  <c r="F29"/>
  <c r="F31" i="90"/>
  <c r="F27" i="87"/>
  <c r="F29" i="90"/>
  <c r="F24" i="87"/>
  <c r="F23"/>
  <c r="F20"/>
  <c r="F22" i="90"/>
  <c r="F17" i="87"/>
  <c r="F19" i="90"/>
  <c r="F16" i="87"/>
  <c r="F18" i="90"/>
  <c r="H28" i="88"/>
  <c r="H23"/>
  <c r="G28"/>
  <c r="G23"/>
  <c r="F28"/>
  <c r="F23"/>
  <c r="G23" i="87"/>
  <c r="F32" i="90"/>
  <c r="G32"/>
  <c r="H32"/>
  <c r="H23" i="87"/>
  <c r="F26" i="90"/>
  <c r="F25"/>
  <c r="H41" i="89"/>
  <c r="H33"/>
  <c r="H32"/>
  <c r="H31"/>
  <c r="H30"/>
  <c r="H29"/>
  <c r="H28"/>
  <c r="H27"/>
  <c r="H26"/>
  <c r="H25"/>
  <c r="H23"/>
  <c r="H22"/>
  <c r="H21"/>
  <c r="H20"/>
  <c r="H19"/>
  <c r="H18"/>
  <c r="H17"/>
  <c r="H16"/>
  <c r="H15"/>
  <c r="H12"/>
  <c r="H9"/>
  <c r="H34"/>
  <c r="H14"/>
  <c r="H13"/>
  <c r="H11"/>
  <c r="H10"/>
  <c r="H35"/>
  <c r="G33"/>
  <c r="G32"/>
  <c r="G31"/>
  <c r="G35"/>
  <c r="G30"/>
  <c r="G29"/>
  <c r="G28"/>
  <c r="G27"/>
  <c r="G26"/>
  <c r="G25"/>
  <c r="G23"/>
  <c r="G22"/>
  <c r="G21"/>
  <c r="G20"/>
  <c r="G19"/>
  <c r="G18"/>
  <c r="G17"/>
  <c r="G16"/>
  <c r="G15"/>
  <c r="G14"/>
  <c r="G13"/>
  <c r="G12"/>
  <c r="G9"/>
  <c r="G34"/>
  <c r="G11"/>
  <c r="G41"/>
  <c r="G10"/>
  <c r="F33"/>
  <c r="F32"/>
  <c r="F31"/>
  <c r="F35"/>
  <c r="F30"/>
  <c r="F29"/>
  <c r="F28"/>
  <c r="F27"/>
  <c r="F26"/>
  <c r="F25"/>
  <c r="F23"/>
  <c r="F22"/>
  <c r="F21"/>
  <c r="F20"/>
  <c r="F19"/>
  <c r="F18"/>
  <c r="F17"/>
  <c r="F16"/>
  <c r="F15"/>
  <c r="F14"/>
  <c r="F13"/>
  <c r="F12"/>
  <c r="F9"/>
  <c r="F34"/>
  <c r="F11"/>
  <c r="F41"/>
  <c r="F10"/>
  <c r="H24" i="85"/>
  <c r="H23"/>
  <c r="H21"/>
  <c r="H20"/>
  <c r="H17"/>
  <c r="H15"/>
  <c r="H12"/>
  <c r="H11"/>
  <c r="H29"/>
  <c r="H28"/>
  <c r="H16"/>
  <c r="H14"/>
  <c r="H13"/>
  <c r="G28"/>
  <c r="F28"/>
  <c r="G24"/>
  <c r="G21"/>
  <c r="G20"/>
  <c r="G17"/>
  <c r="G15"/>
  <c r="G12"/>
  <c r="G11"/>
  <c r="G29"/>
  <c r="G23"/>
  <c r="G16"/>
  <c r="G14"/>
  <c r="G13"/>
  <c r="F21"/>
  <c r="F20"/>
  <c r="F17"/>
  <c r="F15"/>
  <c r="F12"/>
  <c r="F11"/>
  <c r="F29"/>
  <c r="F16"/>
  <c r="F14"/>
  <c r="I15"/>
  <c r="I16"/>
  <c r="F24"/>
  <c r="F23"/>
  <c r="F13"/>
  <c r="H28" i="86"/>
  <c r="H21"/>
  <c r="H15"/>
  <c r="H12"/>
  <c r="H11"/>
  <c r="G28"/>
  <c r="G21"/>
  <c r="G15"/>
  <c r="G12"/>
  <c r="G11"/>
  <c r="F28"/>
  <c r="F21"/>
  <c r="F15"/>
  <c r="F12"/>
  <c r="F11"/>
  <c r="H23"/>
  <c r="H13"/>
  <c r="G23"/>
  <c r="G13"/>
  <c r="F23"/>
  <c r="F13"/>
  <c r="BK46" i="8"/>
  <c r="BN41"/>
  <c r="BK41"/>
  <c r="BN38"/>
  <c r="BK38"/>
  <c r="BK37"/>
  <c r="BN35"/>
  <c r="BK35"/>
  <c r="BN33"/>
  <c r="BK33"/>
  <c r="BN32"/>
  <c r="BK32"/>
  <c r="BN29"/>
  <c r="BK29"/>
  <c r="BN28"/>
  <c r="BN26"/>
  <c r="BK26"/>
  <c r="BN23"/>
  <c r="BK23"/>
  <c r="BN16"/>
  <c r="BK16"/>
  <c r="BN20"/>
  <c r="BK20"/>
  <c r="BZ42" i="11"/>
  <c r="CA42"/>
  <c r="BY42"/>
  <c r="CB42"/>
  <c r="BK19" i="8"/>
  <c r="BN18"/>
  <c r="BK18"/>
  <c r="BL14"/>
  <c r="BO13"/>
  <c r="BN13"/>
  <c r="BL13"/>
  <c r="BK13"/>
  <c r="BK10"/>
  <c r="BN9"/>
  <c r="BK9"/>
  <c r="BR48" i="7"/>
  <c r="BO48"/>
  <c r="H24" i="89"/>
  <c r="G24"/>
  <c r="F24"/>
  <c r="H10" i="85"/>
  <c r="H9"/>
  <c r="H30"/>
  <c r="H22"/>
  <c r="G10"/>
  <c r="G9"/>
  <c r="G30"/>
  <c r="G22"/>
  <c r="F10"/>
  <c r="F9"/>
  <c r="F30"/>
  <c r="H10" i="86"/>
  <c r="H9"/>
  <c r="H30"/>
  <c r="H22"/>
  <c r="G10"/>
  <c r="G9"/>
  <c r="G30"/>
  <c r="F10"/>
  <c r="G22"/>
  <c r="F9"/>
  <c r="F30"/>
  <c r="F22"/>
  <c r="BR42" i="7"/>
  <c r="BO42"/>
  <c r="BR39"/>
  <c r="BO39"/>
  <c r="BR38"/>
  <c r="BO38"/>
  <c r="BR36"/>
  <c r="BO36"/>
  <c r="BR34"/>
  <c r="BO34"/>
  <c r="BR31"/>
  <c r="BO31"/>
  <c r="BR29"/>
  <c r="BO29"/>
  <c r="BO28"/>
  <c r="BR28"/>
  <c r="BP26"/>
  <c r="BO26"/>
  <c r="BR26"/>
  <c r="BS26"/>
  <c r="BR24"/>
  <c r="BO24"/>
  <c r="BS14"/>
  <c r="BO23"/>
  <c r="BR23"/>
  <c r="BS23"/>
  <c r="BP23"/>
  <c r="BO22"/>
  <c r="BR22"/>
  <c r="BO20"/>
  <c r="BR20"/>
  <c r="BS20"/>
  <c r="BP20"/>
  <c r="BR19"/>
  <c r="BO19"/>
  <c r="BS19"/>
  <c r="BP19"/>
  <c r="BR18"/>
  <c r="BO18"/>
  <c r="BS18"/>
  <c r="BP18"/>
  <c r="BR16"/>
  <c r="BO16"/>
  <c r="BT52"/>
  <c r="BS52"/>
  <c r="BQ52"/>
  <c r="BP52"/>
  <c r="BO52"/>
  <c r="BP14"/>
  <c r="BR13"/>
  <c r="BO13"/>
  <c r="F22" i="85"/>
  <c r="BR10" i="7"/>
  <c r="BO10"/>
  <c r="BO9"/>
  <c r="BR9"/>
  <c r="BF48" i="19"/>
  <c r="BE48"/>
  <c r="BF47"/>
  <c r="BE47"/>
  <c r="BF45"/>
  <c r="BE45"/>
  <c r="BF44"/>
  <c r="BE44"/>
  <c r="BF43"/>
  <c r="BE43"/>
  <c r="BF42"/>
  <c r="BE42"/>
  <c r="BF41"/>
  <c r="BE41"/>
  <c r="BF40"/>
  <c r="BE40"/>
  <c r="BF39"/>
  <c r="BE39"/>
  <c r="BF38"/>
  <c r="BE38"/>
  <c r="BF37"/>
  <c r="BE37"/>
  <c r="BF35"/>
  <c r="BE35"/>
  <c r="BF34"/>
  <c r="BE34"/>
  <c r="BF33"/>
  <c r="BE33"/>
  <c r="BF32"/>
  <c r="BE32"/>
  <c r="BF31"/>
  <c r="BE31"/>
  <c r="BF30"/>
  <c r="BE30"/>
  <c r="BF29"/>
  <c r="BE29"/>
  <c r="BF28"/>
  <c r="BE28"/>
  <c r="BF27"/>
  <c r="BE27"/>
  <c r="BF25"/>
  <c r="BE25"/>
  <c r="BF24"/>
  <c r="BE24"/>
  <c r="BF23"/>
  <c r="BE23"/>
  <c r="BF22"/>
  <c r="BE22"/>
  <c r="BF21"/>
  <c r="BE21"/>
  <c r="BF20"/>
  <c r="BE20"/>
  <c r="BF19"/>
  <c r="BE19"/>
  <c r="BF18"/>
  <c r="BE18"/>
  <c r="BF17"/>
  <c r="BE17"/>
  <c r="BF16"/>
  <c r="BE16"/>
  <c r="BF15"/>
  <c r="BE15"/>
  <c r="BF11"/>
  <c r="BE11"/>
  <c r="BF10"/>
  <c r="BE10"/>
  <c r="BF9"/>
  <c r="BE9"/>
  <c r="BF8"/>
  <c r="BE8"/>
  <c r="BC26"/>
  <c r="BB26"/>
  <c r="BC15"/>
  <c r="BB15"/>
  <c r="AO54" i="6"/>
  <c r="AO53"/>
  <c r="AO52"/>
  <c r="AO51"/>
  <c r="AP50"/>
  <c r="AP49"/>
  <c r="AP48"/>
  <c r="AP47"/>
  <c r="AP54"/>
  <c r="AP53"/>
  <c r="AP52"/>
  <c r="AP51"/>
  <c r="AP45"/>
  <c r="AP32"/>
  <c r="AP40"/>
  <c r="AP43"/>
  <c r="AP41"/>
  <c r="AP42"/>
  <c r="AP39"/>
  <c r="AP38"/>
  <c r="AP37"/>
  <c r="AP36"/>
  <c r="AP33"/>
  <c r="AP30"/>
  <c r="AP29"/>
  <c r="AP27"/>
  <c r="AP24"/>
  <c r="AP22"/>
  <c r="AP21"/>
  <c r="AP16"/>
  <c r="AP15"/>
  <c r="AP14"/>
  <c r="AP12"/>
  <c r="AP11"/>
  <c r="AO11"/>
  <c r="AP9"/>
  <c r="AO50" i="5"/>
  <c r="AO49"/>
  <c r="AO48"/>
  <c r="AO47"/>
  <c r="AN54"/>
  <c r="AN53"/>
  <c r="AN52"/>
  <c r="AN51"/>
  <c r="AO44"/>
  <c r="AO34"/>
  <c r="AO39"/>
  <c r="AO28"/>
  <c r="AO37"/>
  <c r="AO36"/>
  <c r="AO31"/>
  <c r="AO35"/>
  <c r="AO29"/>
  <c r="AO38"/>
  <c r="AO30"/>
  <c r="AO41"/>
  <c r="AO23"/>
  <c r="AO33"/>
  <c r="AO21"/>
  <c r="AO20"/>
  <c r="AO16"/>
  <c r="AO15"/>
  <c r="AO14"/>
  <c r="AO13"/>
  <c r="AO11"/>
  <c r="AO10"/>
  <c r="AN10"/>
  <c r="AO8"/>
  <c r="CJ33" i="17"/>
  <c r="CJ32"/>
  <c r="CJ31"/>
  <c r="CJ30"/>
  <c r="CJ28"/>
  <c r="CJ27"/>
  <c r="CJ26"/>
  <c r="CJ25"/>
  <c r="CB44" i="11"/>
  <c r="CB38"/>
  <c r="BV34"/>
  <c r="BR34"/>
  <c r="CB34"/>
  <c r="CB33"/>
  <c r="CB32"/>
  <c r="CB31"/>
  <c r="CB30"/>
  <c r="CA33"/>
  <c r="CA32"/>
  <c r="CA31"/>
  <c r="CA30"/>
  <c r="CA29"/>
  <c r="BQ48" i="9"/>
  <c r="CB29" i="11"/>
  <c r="BY34"/>
  <c r="BY33"/>
  <c r="BY32"/>
  <c r="BY31"/>
  <c r="BY30"/>
  <c r="BY29"/>
  <c r="BZ40"/>
  <c r="BZ46"/>
  <c r="BV46"/>
  <c r="BV40"/>
  <c r="BX35"/>
  <c r="BX34"/>
  <c r="BS60" i="9"/>
  <c r="BS58"/>
  <c r="BS56"/>
  <c r="BR54"/>
  <c r="BQ54"/>
  <c r="BS54"/>
  <c r="BR52"/>
  <c r="BQ52"/>
  <c r="BS52"/>
  <c r="BR50"/>
  <c r="BQ50"/>
  <c r="BS50"/>
  <c r="BS48"/>
  <c r="BQ65"/>
  <c r="BR65"/>
  <c r="BS65"/>
  <c r="BR48"/>
  <c r="BP60"/>
  <c r="BP58"/>
  <c r="BP56"/>
  <c r="AD56" i="3"/>
  <c r="AD60"/>
  <c r="AD59"/>
  <c r="AD58"/>
  <c r="AD57"/>
  <c r="AC57"/>
  <c r="AD53"/>
  <c r="AD51"/>
  <c r="AD50"/>
  <c r="AD49"/>
  <c r="AD41"/>
  <c r="AD40"/>
  <c r="AD39"/>
  <c r="BH46" i="8"/>
  <c r="BH41"/>
  <c r="BH38"/>
  <c r="BH35"/>
  <c r="BH33"/>
  <c r="BH32"/>
  <c r="BH29"/>
  <c r="BH26"/>
  <c r="BH23"/>
  <c r="BH20"/>
  <c r="BH19"/>
  <c r="BH18"/>
  <c r="BH16"/>
  <c r="BH13"/>
  <c r="BI13"/>
  <c r="BH10"/>
  <c r="BH9"/>
  <c r="BN52" i="7"/>
  <c r="BM52"/>
  <c r="BM14"/>
  <c r="BL48"/>
  <c r="BL42"/>
  <c r="BL39"/>
  <c r="BL38"/>
  <c r="BL36"/>
  <c r="BL34"/>
  <c r="BL31"/>
  <c r="BL29"/>
  <c r="BL28"/>
  <c r="BL26"/>
  <c r="BM26"/>
  <c r="BL24"/>
  <c r="BL23"/>
  <c r="BM23"/>
  <c r="BL22"/>
  <c r="BM20"/>
  <c r="BL20"/>
  <c r="BM19"/>
  <c r="BL19"/>
  <c r="BL18"/>
  <c r="BM18"/>
  <c r="BL16"/>
  <c r="BL13"/>
  <c r="BL10"/>
  <c r="BL9"/>
  <c r="AZ15" i="19"/>
  <c r="AY15"/>
  <c r="BC14"/>
  <c r="BC49"/>
  <c r="BB14"/>
  <c r="BB49"/>
  <c r="AZ14"/>
  <c r="AY14"/>
  <c r="AN16" i="6"/>
  <c r="AN36"/>
  <c r="AN11"/>
  <c r="AM31" i="5"/>
  <c r="AM16"/>
  <c r="AM10"/>
  <c r="CA33" i="17"/>
  <c r="CA32"/>
  <c r="CA31"/>
  <c r="CA30"/>
  <c r="CA28"/>
  <c r="CA27"/>
  <c r="CA26"/>
  <c r="CA25"/>
  <c r="BR46" i="11"/>
  <c r="BR40"/>
  <c r="BM60" i="9"/>
  <c r="BM58"/>
  <c r="BM56"/>
  <c r="BD56"/>
  <c r="AM11" i="6"/>
  <c r="L10" i="67"/>
  <c r="K10"/>
  <c r="J10"/>
  <c r="I10"/>
  <c r="J8"/>
  <c r="I8"/>
  <c r="J7"/>
  <c r="I7"/>
  <c r="J5"/>
  <c r="I5"/>
  <c r="J6"/>
  <c r="I6"/>
  <c r="L15"/>
  <c r="L8"/>
  <c r="J15"/>
  <c r="K8"/>
  <c r="K15"/>
  <c r="I15"/>
  <c r="M52" i="90"/>
  <c r="M51"/>
  <c r="M50"/>
  <c r="M34"/>
  <c r="M33"/>
  <c r="M32"/>
  <c r="M31"/>
  <c r="M22"/>
  <c r="M21"/>
  <c r="M20"/>
  <c r="M17" i="87"/>
  <c r="M19" i="90"/>
  <c r="M28" i="88"/>
  <c r="M23"/>
  <c r="M49" i="89"/>
  <c r="M50"/>
  <c r="M33"/>
  <c r="M32"/>
  <c r="M31"/>
  <c r="M30"/>
  <c r="M22"/>
  <c r="M21"/>
  <c r="M20"/>
  <c r="M19"/>
  <c r="M18"/>
  <c r="M16"/>
  <c r="M28" i="86"/>
  <c r="M39" i="85"/>
  <c r="M38"/>
  <c r="M16"/>
  <c r="M14"/>
  <c r="M29"/>
  <c r="M28"/>
  <c r="M17"/>
  <c r="M15"/>
  <c r="M13"/>
  <c r="L28" i="86"/>
  <c r="L50" i="89"/>
  <c r="L49"/>
  <c r="L33"/>
  <c r="L32"/>
  <c r="L31"/>
  <c r="L30"/>
  <c r="L23"/>
  <c r="L22"/>
  <c r="L18"/>
  <c r="L17"/>
  <c r="L16"/>
  <c r="L39" i="85"/>
  <c r="L38"/>
  <c r="M51" i="89"/>
  <c r="M40" i="85"/>
  <c r="L28"/>
  <c r="L29"/>
  <c r="L24"/>
  <c r="L21"/>
  <c r="L20"/>
  <c r="L16"/>
  <c r="L15"/>
  <c r="L14"/>
  <c r="L51" i="89"/>
  <c r="L26"/>
  <c r="L25"/>
  <c r="L21" i="86"/>
  <c r="M21"/>
  <c r="M23" i="89"/>
  <c r="L28" i="88"/>
  <c r="L16" i="87"/>
  <c r="M16"/>
  <c r="M18" i="90"/>
  <c r="L14" i="87"/>
  <c r="M14"/>
  <c r="M16" i="90"/>
  <c r="L51"/>
  <c r="L50"/>
  <c r="L34"/>
  <c r="L33"/>
  <c r="L31"/>
  <c r="L32"/>
  <c r="L26"/>
  <c r="L25"/>
  <c r="L18"/>
  <c r="L16"/>
  <c r="L52"/>
  <c r="L30" i="87"/>
  <c r="M30"/>
  <c r="L29"/>
  <c r="M29"/>
  <c r="L23" i="86"/>
  <c r="L20"/>
  <c r="L15"/>
  <c r="M15"/>
  <c r="L23" i="85"/>
  <c r="L24" i="87"/>
  <c r="L23"/>
  <c r="BS43" i="8"/>
  <c r="BS12"/>
  <c r="BS28"/>
  <c r="BS37"/>
  <c r="D166" i="56"/>
  <c r="D155"/>
  <c r="W133"/>
  <c r="D144"/>
  <c r="D133"/>
  <c r="F165"/>
  <c r="E165"/>
  <c r="D165"/>
  <c r="F154"/>
  <c r="E154"/>
  <c r="D154"/>
  <c r="B154"/>
  <c r="F143"/>
  <c r="D143"/>
  <c r="F132"/>
  <c r="E132"/>
  <c r="D132"/>
  <c r="B132"/>
  <c r="I155"/>
  <c r="S155"/>
  <c r="S144"/>
  <c r="K132"/>
  <c r="BR92" i="8"/>
  <c r="BQ33"/>
  <c r="BR61"/>
  <c r="BR60"/>
  <c r="BR55"/>
  <c r="BR54"/>
  <c r="BR53"/>
  <c r="BR52"/>
  <c r="BR44"/>
  <c r="BR43"/>
  <c r="BR36"/>
  <c r="BR31"/>
  <c r="BT83"/>
  <c r="BT51"/>
  <c r="BQ51"/>
  <c r="BS48"/>
  <c r="BQ48"/>
  <c r="BQ47"/>
  <c r="BS47"/>
  <c r="BS83"/>
  <c r="L17" i="87"/>
  <c r="BQ44" i="8"/>
  <c r="BQ43"/>
  <c r="BQ41"/>
  <c r="BQ37"/>
  <c r="BQ35"/>
  <c r="BQ32"/>
  <c r="BQ28"/>
  <c r="BQ26"/>
  <c r="BQ22"/>
  <c r="BQ20"/>
  <c r="BQ19"/>
  <c r="BQ18"/>
  <c r="BQ16"/>
  <c r="BQ12"/>
  <c r="BQ10"/>
  <c r="BQ9"/>
  <c r="BU38" i="7"/>
  <c r="BU28"/>
  <c r="BU22"/>
  <c r="BU12"/>
  <c r="BV126"/>
  <c r="BV121"/>
  <c r="BV119"/>
  <c r="BV115"/>
  <c r="BV114"/>
  <c r="BV110"/>
  <c r="BV57"/>
  <c r="BV52"/>
  <c r="BV50"/>
  <c r="BV45"/>
  <c r="BV44"/>
  <c r="BV42"/>
  <c r="BV38"/>
  <c r="BV36"/>
  <c r="BV34"/>
  <c r="BV33"/>
  <c r="BV29"/>
  <c r="BV28"/>
  <c r="BV26"/>
  <c r="BV25"/>
  <c r="BV20"/>
  <c r="BV19"/>
  <c r="BV16"/>
  <c r="BV10"/>
  <c r="BX118"/>
  <c r="BW118"/>
  <c r="L17" i="85"/>
  <c r="L13"/>
  <c r="BU52" i="7"/>
  <c r="BX52"/>
  <c r="BW52"/>
  <c r="BU50"/>
  <c r="BU119"/>
  <c r="BQ83" i="8"/>
  <c r="M13" i="86"/>
  <c r="M17" i="89"/>
  <c r="M15"/>
  <c r="L40" i="85"/>
  <c r="L13" i="86"/>
  <c r="K143" i="56"/>
  <c r="G132"/>
  <c r="L132"/>
  <c r="J154"/>
  <c r="D167"/>
  <c r="P132"/>
  <c r="I132"/>
  <c r="N132"/>
  <c r="D134"/>
  <c r="I143"/>
  <c r="N143"/>
  <c r="J165"/>
  <c r="D156"/>
  <c r="C154"/>
  <c r="G154"/>
  <c r="I154"/>
  <c r="K154"/>
  <c r="C165"/>
  <c r="I165"/>
  <c r="N165"/>
  <c r="K165"/>
  <c r="S166"/>
  <c r="C132"/>
  <c r="J132"/>
  <c r="I133"/>
  <c r="D145"/>
  <c r="J18" i="36"/>
  <c r="J13"/>
  <c r="J14"/>
  <c r="J10"/>
  <c r="J7"/>
  <c r="BU49" i="7"/>
  <c r="BU47"/>
  <c r="BU45"/>
  <c r="BU44"/>
  <c r="BU42"/>
  <c r="BU36"/>
  <c r="BU34"/>
  <c r="BU29"/>
  <c r="BW28"/>
  <c r="BX28"/>
  <c r="BU26"/>
  <c r="BW22"/>
  <c r="BU20"/>
  <c r="BU19"/>
  <c r="BW12"/>
  <c r="BU16"/>
  <c r="BU10"/>
  <c r="BU9"/>
  <c r="BK47" i="19"/>
  <c r="BJ47"/>
  <c r="BK46"/>
  <c r="BJ46"/>
  <c r="BK45"/>
  <c r="BJ45"/>
  <c r="BK44"/>
  <c r="BJ44"/>
  <c r="BK43"/>
  <c r="BJ43"/>
  <c r="BK42"/>
  <c r="BJ42"/>
  <c r="BK41"/>
  <c r="BJ41"/>
  <c r="BK40"/>
  <c r="BJ40"/>
  <c r="BK39"/>
  <c r="BJ39"/>
  <c r="BK38"/>
  <c r="BJ38"/>
  <c r="BK37"/>
  <c r="BJ37"/>
  <c r="BK36"/>
  <c r="BJ36"/>
  <c r="BK35"/>
  <c r="BJ35"/>
  <c r="BK34"/>
  <c r="BJ34"/>
  <c r="BK33"/>
  <c r="BJ33"/>
  <c r="BK32"/>
  <c r="BJ32"/>
  <c r="BK31"/>
  <c r="BJ31"/>
  <c r="BK30"/>
  <c r="BJ30"/>
  <c r="BK29"/>
  <c r="BJ29"/>
  <c r="BK28"/>
  <c r="BJ28"/>
  <c r="BK27"/>
  <c r="BJ27"/>
  <c r="BK26"/>
  <c r="BJ26"/>
  <c r="BK25"/>
  <c r="BJ25"/>
  <c r="BK24"/>
  <c r="BJ24"/>
  <c r="BK23"/>
  <c r="BJ23"/>
  <c r="BK22"/>
  <c r="BJ22"/>
  <c r="BK21"/>
  <c r="BJ21"/>
  <c r="BK20"/>
  <c r="BJ20"/>
  <c r="BK19"/>
  <c r="BJ19"/>
  <c r="BK18"/>
  <c r="BJ18"/>
  <c r="BK17"/>
  <c r="BJ17"/>
  <c r="BK16"/>
  <c r="BJ16"/>
  <c r="BK15"/>
  <c r="BJ15"/>
  <c r="BK14"/>
  <c r="BJ14"/>
  <c r="BK13"/>
  <c r="BJ13"/>
  <c r="BK12"/>
  <c r="BJ12"/>
  <c r="BK11"/>
  <c r="BJ11"/>
  <c r="BK10"/>
  <c r="BK9"/>
  <c r="BK8"/>
  <c r="BJ10"/>
  <c r="BJ9"/>
  <c r="BJ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H47"/>
  <c r="BH46"/>
  <c r="BH45"/>
  <c r="BH44"/>
  <c r="BH43"/>
  <c r="BH42"/>
  <c r="BH41"/>
  <c r="BH40"/>
  <c r="BH39"/>
  <c r="BH38"/>
  <c r="BH37"/>
  <c r="BH36"/>
  <c r="BH35"/>
  <c r="BH34"/>
  <c r="BH33"/>
  <c r="BH32"/>
  <c r="BH31"/>
  <c r="BH30"/>
  <c r="BH29"/>
  <c r="BH28"/>
  <c r="BH27"/>
  <c r="BH26"/>
  <c r="BH25"/>
  <c r="BH24"/>
  <c r="BH23"/>
  <c r="BH22"/>
  <c r="BH21"/>
  <c r="BH20"/>
  <c r="BH19"/>
  <c r="BI18"/>
  <c r="BH18"/>
  <c r="BI17"/>
  <c r="BH17"/>
  <c r="BI16"/>
  <c r="BH16"/>
  <c r="BI15"/>
  <c r="BH15"/>
  <c r="BG47"/>
  <c r="BG41"/>
  <c r="BG40"/>
  <c r="BG39"/>
  <c r="BG38"/>
  <c r="BG37"/>
  <c r="BG36"/>
  <c r="BG35"/>
  <c r="BG32"/>
  <c r="BG31"/>
  <c r="BG30"/>
  <c r="BG29"/>
  <c r="BG28"/>
  <c r="BG27"/>
  <c r="BG26"/>
  <c r="BG25"/>
  <c r="BG22"/>
  <c r="BG20"/>
  <c r="BG19"/>
  <c r="BG18"/>
  <c r="BG17"/>
  <c r="BG16"/>
  <c r="BG15"/>
  <c r="BI11"/>
  <c r="BH11"/>
  <c r="BI10"/>
  <c r="BH10"/>
  <c r="BI8"/>
  <c r="BH8"/>
  <c r="BG13"/>
  <c r="BG10"/>
  <c r="BG8"/>
  <c r="BG14"/>
  <c r="BI14"/>
  <c r="BH14"/>
  <c r="AQ43" i="6"/>
  <c r="AQ42"/>
  <c r="AQ41"/>
  <c r="AQ40"/>
  <c r="AQ39"/>
  <c r="AQ38"/>
  <c r="AQ37"/>
  <c r="AQ35"/>
  <c r="AQ34"/>
  <c r="AQ33"/>
  <c r="AQ32"/>
  <c r="AQ30"/>
  <c r="AQ29"/>
  <c r="AQ28"/>
  <c r="AQ27"/>
  <c r="AQ26"/>
  <c r="AQ24"/>
  <c r="AQ22"/>
  <c r="AQ21"/>
  <c r="AQ19"/>
  <c r="AQ16"/>
  <c r="AQ15"/>
  <c r="AQ14"/>
  <c r="AQ9"/>
  <c r="AQ11"/>
  <c r="AP54" i="5"/>
  <c r="AP53"/>
  <c r="AP52"/>
  <c r="AP51"/>
  <c r="AP44"/>
  <c r="AP43"/>
  <c r="AP41"/>
  <c r="AP39"/>
  <c r="AP38"/>
  <c r="AP35"/>
  <c r="AP34"/>
  <c r="AP33"/>
  <c r="AP32"/>
  <c r="AP31"/>
  <c r="AP30"/>
  <c r="AP29"/>
  <c r="AP28"/>
  <c r="AP27"/>
  <c r="AP24"/>
  <c r="AP23"/>
  <c r="AP21"/>
  <c r="AP20"/>
  <c r="AP18"/>
  <c r="AP16"/>
  <c r="AP15"/>
  <c r="AP14"/>
  <c r="AP13"/>
  <c r="AP8"/>
  <c r="AP10"/>
  <c r="L19" i="90"/>
  <c r="L19" i="89"/>
  <c r="L15"/>
  <c r="BV49" i="7"/>
  <c r="BU118"/>
  <c r="BV118"/>
  <c r="P143" i="56"/>
  <c r="N154"/>
  <c r="I145"/>
  <c r="N145"/>
  <c r="N144"/>
  <c r="W144"/>
  <c r="O165"/>
  <c r="I156"/>
  <c r="O154"/>
  <c r="I167"/>
  <c r="N167"/>
  <c r="N166"/>
  <c r="H165"/>
  <c r="M165"/>
  <c r="H154"/>
  <c r="P154"/>
  <c r="P165"/>
  <c r="N156"/>
  <c r="L154"/>
  <c r="S133"/>
  <c r="I134"/>
  <c r="N134"/>
  <c r="N133"/>
  <c r="H132"/>
  <c r="M132"/>
  <c r="O132"/>
  <c r="J25" i="36"/>
  <c r="CL33" i="17"/>
  <c r="CL32"/>
  <c r="CL31"/>
  <c r="CL30"/>
  <c r="CL28"/>
  <c r="CL27"/>
  <c r="CL26"/>
  <c r="CL25"/>
  <c r="AE29" i="10"/>
  <c r="AE28"/>
  <c r="AE27"/>
  <c r="AE26"/>
  <c r="AE24"/>
  <c r="AE23"/>
  <c r="AE22"/>
  <c r="AE21"/>
  <c r="CG38" i="11"/>
  <c r="CG44"/>
  <c r="CF43"/>
  <c r="CF42"/>
  <c r="CF41"/>
  <c r="CF35"/>
  <c r="CF34"/>
  <c r="CF33"/>
  <c r="CF32"/>
  <c r="CF31"/>
  <c r="CF30"/>
  <c r="CF29"/>
  <c r="CG35"/>
  <c r="CG34"/>
  <c r="CC43"/>
  <c r="CC42"/>
  <c r="CC41"/>
  <c r="CC35"/>
  <c r="CC34"/>
  <c r="CC33"/>
  <c r="CC32"/>
  <c r="CC31"/>
  <c r="CC30"/>
  <c r="CC29"/>
  <c r="CD46"/>
  <c r="CD40"/>
  <c r="CE43"/>
  <c r="CE42"/>
  <c r="CE41"/>
  <c r="CE35"/>
  <c r="CE34"/>
  <c r="CE33"/>
  <c r="CE32"/>
  <c r="CE31"/>
  <c r="CE30"/>
  <c r="CE29"/>
  <c r="CD43"/>
  <c r="CD42"/>
  <c r="CD41"/>
  <c r="CD35"/>
  <c r="CD34"/>
  <c r="CD33"/>
  <c r="CD32"/>
  <c r="CD31"/>
  <c r="CD30"/>
  <c r="CD29"/>
  <c r="AE43" i="3"/>
  <c r="BT54" i="9"/>
  <c r="BT52"/>
  <c r="BT50"/>
  <c r="BT48"/>
  <c r="AE38" i="3"/>
  <c r="BV56" i="9"/>
  <c r="BU48"/>
  <c r="BV48"/>
  <c r="N155" i="56"/>
  <c r="M154"/>
  <c r="BG24" i="19"/>
  <c r="BG21"/>
  <c r="BD48"/>
  <c r="BD47"/>
  <c r="BD46"/>
  <c r="BD45"/>
  <c r="BD44"/>
  <c r="BD43"/>
  <c r="BD42"/>
  <c r="BD41"/>
  <c r="BD40"/>
  <c r="BD39"/>
  <c r="BD38"/>
  <c r="BD37"/>
  <c r="BD36"/>
  <c r="BD35"/>
  <c r="BD34"/>
  <c r="BD33"/>
  <c r="BD32"/>
  <c r="BD31"/>
  <c r="BD30"/>
  <c r="BD29"/>
  <c r="BD28"/>
  <c r="BD27"/>
  <c r="BD26"/>
  <c r="BD24"/>
  <c r="BD23"/>
  <c r="BD22"/>
  <c r="BD21"/>
  <c r="BD20"/>
  <c r="BD19"/>
  <c r="BD18"/>
  <c r="BD17"/>
  <c r="BD16"/>
  <c r="BD15"/>
  <c r="BD13"/>
  <c r="BF12"/>
  <c r="BD11"/>
  <c r="BD9"/>
  <c r="BD8"/>
  <c r="BA48"/>
  <c r="BA47"/>
  <c r="BA46"/>
  <c r="BA45"/>
  <c r="BA44"/>
  <c r="BA43"/>
  <c r="BA42"/>
  <c r="BA41"/>
  <c r="BA40"/>
  <c r="BA39"/>
  <c r="BA37"/>
  <c r="BA36"/>
  <c r="BA35"/>
  <c r="BA34"/>
  <c r="BA33"/>
  <c r="BA31"/>
  <c r="BA30"/>
  <c r="BA29"/>
  <c r="BA28"/>
  <c r="BA27"/>
  <c r="BA26"/>
  <c r="BA24"/>
  <c r="BA23"/>
  <c r="BA22"/>
  <c r="BA21"/>
  <c r="BA20"/>
  <c r="BA19"/>
  <c r="BA18"/>
  <c r="BA17"/>
  <c r="BA16"/>
  <c r="BA15"/>
  <c r="BA13"/>
  <c r="BC12"/>
  <c r="BB12"/>
  <c r="BA11"/>
  <c r="BA10"/>
  <c r="BA14"/>
  <c r="BA9"/>
  <c r="BA8"/>
  <c r="AX48"/>
  <c r="AX47"/>
  <c r="AX46"/>
  <c r="AX45"/>
  <c r="AX44"/>
  <c r="AX43"/>
  <c r="AX42"/>
  <c r="AX41"/>
  <c r="AX40"/>
  <c r="AX39"/>
  <c r="AX37"/>
  <c r="AX36"/>
  <c r="AX35"/>
  <c r="AX34"/>
  <c r="AX33"/>
  <c r="AX32"/>
  <c r="AX31"/>
  <c r="AX30"/>
  <c r="AX29"/>
  <c r="AX28"/>
  <c r="AX27"/>
  <c r="AX26"/>
  <c r="AX24"/>
  <c r="AX23"/>
  <c r="AX22"/>
  <c r="AX21"/>
  <c r="AX20"/>
  <c r="AX19"/>
  <c r="AX18"/>
  <c r="AX17"/>
  <c r="AX16"/>
  <c r="AX13"/>
  <c r="AZ12"/>
  <c r="AY12"/>
  <c r="AX11"/>
  <c r="AX10"/>
  <c r="AX9"/>
  <c r="AX8"/>
  <c r="AP25" i="6"/>
  <c r="AP18"/>
  <c r="AO25"/>
  <c r="AO18"/>
  <c r="AN25"/>
  <c r="AN18"/>
  <c r="AQ36"/>
  <c r="AQ31"/>
  <c r="AQ20"/>
  <c r="AQ12"/>
  <c r="AO17" i="5"/>
  <c r="AO26"/>
  <c r="AP37"/>
  <c r="AP36"/>
  <c r="AP25"/>
  <c r="AP22"/>
  <c r="AP19"/>
  <c r="AP17"/>
  <c r="AP11"/>
  <c r="AQ9"/>
  <c r="AN26"/>
  <c r="AM26"/>
  <c r="AN17"/>
  <c r="AM17"/>
  <c r="N45" i="68"/>
  <c r="H45"/>
  <c r="F45"/>
  <c r="BA49" i="19"/>
  <c r="AX14"/>
  <c r="AX25"/>
  <c r="BA25"/>
  <c r="BA32"/>
  <c r="BA38"/>
  <c r="BD25"/>
  <c r="AQ60"/>
  <c r="BA12"/>
  <c r="AZ49"/>
  <c r="AX15"/>
  <c r="AX38"/>
  <c r="AX12"/>
  <c r="AY49"/>
  <c r="AR18" i="6"/>
  <c r="AS18"/>
  <c r="AR25"/>
  <c r="AS25"/>
  <c r="AQ18"/>
  <c r="AQ25"/>
  <c r="AQ26" i="5"/>
  <c r="AR26"/>
  <c r="AQ17"/>
  <c r="AR17"/>
  <c r="AP26"/>
  <c r="AP45"/>
  <c r="CL29" i="17"/>
  <c r="CL24"/>
  <c r="CI33"/>
  <c r="CE33"/>
  <c r="CT33"/>
  <c r="CI32"/>
  <c r="CE32"/>
  <c r="CI31"/>
  <c r="CE31"/>
  <c r="CI30"/>
  <c r="CE30"/>
  <c r="CJ29"/>
  <c r="CH29"/>
  <c r="CF29"/>
  <c r="CD29"/>
  <c r="CB29"/>
  <c r="CA29"/>
  <c r="BZ29"/>
  <c r="CI28"/>
  <c r="CE28"/>
  <c r="CI27"/>
  <c r="CE27"/>
  <c r="CT27"/>
  <c r="CI26"/>
  <c r="CE26"/>
  <c r="CI25"/>
  <c r="CE25"/>
  <c r="CT25"/>
  <c r="CJ24"/>
  <c r="CH24"/>
  <c r="CF24"/>
  <c r="CD24"/>
  <c r="CB24"/>
  <c r="BZ24"/>
  <c r="AE30" i="10"/>
  <c r="AE25"/>
  <c r="AC30"/>
  <c r="AB30"/>
  <c r="AD29"/>
  <c r="AD28"/>
  <c r="AD27"/>
  <c r="AD26"/>
  <c r="BN10" i="8"/>
  <c r="AC25" i="10"/>
  <c r="AC31"/>
  <c r="AB25"/>
  <c r="AD24"/>
  <c r="AD23"/>
  <c r="AD22"/>
  <c r="AD21"/>
  <c r="CG32" i="11"/>
  <c r="CG31"/>
  <c r="BZ43"/>
  <c r="BX43"/>
  <c r="BV43"/>
  <c r="BT43"/>
  <c r="BR43"/>
  <c r="BX42"/>
  <c r="BV42"/>
  <c r="BT42"/>
  <c r="BT45"/>
  <c r="BR42"/>
  <c r="CB41"/>
  <c r="CB45"/>
  <c r="BN19" i="8"/>
  <c r="BN79"/>
  <c r="BZ41" i="11"/>
  <c r="BX41"/>
  <c r="BX45"/>
  <c r="BV41"/>
  <c r="BT41"/>
  <c r="BR41"/>
  <c r="CB39"/>
  <c r="BT35"/>
  <c r="BT34"/>
  <c r="BZ33"/>
  <c r="BX33"/>
  <c r="BV33"/>
  <c r="BT33"/>
  <c r="BR33"/>
  <c r="BZ32"/>
  <c r="BX32"/>
  <c r="BV32"/>
  <c r="BT32"/>
  <c r="BR32"/>
  <c r="BZ31"/>
  <c r="BX31"/>
  <c r="BV31"/>
  <c r="BT31"/>
  <c r="BR31"/>
  <c r="BZ30"/>
  <c r="BX30"/>
  <c r="BV30"/>
  <c r="BT30"/>
  <c r="BR30"/>
  <c r="BZ29"/>
  <c r="BX29"/>
  <c r="BX39"/>
  <c r="BV29"/>
  <c r="BT29"/>
  <c r="BR29"/>
  <c r="BX92" i="8"/>
  <c r="BW92"/>
  <c r="BX89"/>
  <c r="BX87"/>
  <c r="BW87"/>
  <c r="BU87"/>
  <c r="BX84"/>
  <c r="BX83"/>
  <c r="BW83"/>
  <c r="BX82"/>
  <c r="BX79"/>
  <c r="BX76"/>
  <c r="BT92"/>
  <c r="BS92"/>
  <c r="BT84"/>
  <c r="BS84"/>
  <c r="L20" i="87"/>
  <c r="BQ84" i="8"/>
  <c r="BS82"/>
  <c r="BQ80"/>
  <c r="BQ79"/>
  <c r="BQ76"/>
  <c r="BQ75"/>
  <c r="BQ74"/>
  <c r="BT87"/>
  <c r="BP51"/>
  <c r="BN51"/>
  <c r="BO57"/>
  <c r="BN57"/>
  <c r="BP87"/>
  <c r="BO51"/>
  <c r="BN48"/>
  <c r="BO43"/>
  <c r="BN42"/>
  <c r="BO41"/>
  <c r="BN40"/>
  <c r="BO39"/>
  <c r="BO38"/>
  <c r="BN37"/>
  <c r="BN34"/>
  <c r="BO35"/>
  <c r="BP34"/>
  <c r="BO32"/>
  <c r="BN31"/>
  <c r="BN27"/>
  <c r="BO30"/>
  <c r="BO29"/>
  <c r="BN25"/>
  <c r="BN22"/>
  <c r="BN17"/>
  <c r="BO16"/>
  <c r="BN12"/>
  <c r="BO10"/>
  <c r="BO9"/>
  <c r="BP8"/>
  <c r="BM51"/>
  <c r="BL57"/>
  <c r="BK57"/>
  <c r="BK89"/>
  <c r="BK48"/>
  <c r="BL43"/>
  <c r="BK42"/>
  <c r="BK81"/>
  <c r="BL41"/>
  <c r="BK40"/>
  <c r="BL39"/>
  <c r="BL38"/>
  <c r="BL34"/>
  <c r="BL35"/>
  <c r="BM34"/>
  <c r="BK34"/>
  <c r="BL32"/>
  <c r="BK31"/>
  <c r="BL30"/>
  <c r="BL29"/>
  <c r="BK28"/>
  <c r="BK25"/>
  <c r="BK22"/>
  <c r="BK17"/>
  <c r="BL16"/>
  <c r="BK15"/>
  <c r="BL15"/>
  <c r="BK12"/>
  <c r="BK8"/>
  <c r="BL10"/>
  <c r="BL9"/>
  <c r="BM8"/>
  <c r="BP92"/>
  <c r="BO92"/>
  <c r="BN92"/>
  <c r="BP89"/>
  <c r="BO89"/>
  <c r="BN89"/>
  <c r="BP84"/>
  <c r="BO84"/>
  <c r="BN84"/>
  <c r="BN82"/>
  <c r="BN81"/>
  <c r="BN80"/>
  <c r="BN77"/>
  <c r="BP76"/>
  <c r="BO76"/>
  <c r="BN75"/>
  <c r="BN74"/>
  <c r="BJ51"/>
  <c r="BU21" i="7"/>
  <c r="BU30"/>
  <c r="BU37"/>
  <c r="BU43"/>
  <c r="BU57"/>
  <c r="BW19"/>
  <c r="BW20"/>
  <c r="BX20"/>
  <c r="BX17"/>
  <c r="BX24"/>
  <c r="BW26"/>
  <c r="BW50"/>
  <c r="BS45"/>
  <c r="BT45"/>
  <c r="BS54"/>
  <c r="BR43"/>
  <c r="BR41"/>
  <c r="BR35"/>
  <c r="BR33"/>
  <c r="BR27"/>
  <c r="BR25"/>
  <c r="BR17"/>
  <c r="BS25"/>
  <c r="BS17"/>
  <c r="BS21"/>
  <c r="BT17"/>
  <c r="BR15"/>
  <c r="BT14"/>
  <c r="BR12"/>
  <c r="BR8"/>
  <c r="BP45"/>
  <c r="BQ45"/>
  <c r="BP54"/>
  <c r="BO43"/>
  <c r="BO41"/>
  <c r="BO35"/>
  <c r="BO33"/>
  <c r="BO27"/>
  <c r="BO25"/>
  <c r="BP25"/>
  <c r="BP17"/>
  <c r="BP21"/>
  <c r="BQ17"/>
  <c r="BO17"/>
  <c r="BO15"/>
  <c r="BQ14"/>
  <c r="BO12"/>
  <c r="BM92" i="8"/>
  <c r="BL92"/>
  <c r="BK92"/>
  <c r="BM89"/>
  <c r="BM87"/>
  <c r="BM84"/>
  <c r="BL84"/>
  <c r="BK84"/>
  <c r="BK82"/>
  <c r="BK80"/>
  <c r="BK79"/>
  <c r="BK78"/>
  <c r="BK77"/>
  <c r="BM76"/>
  <c r="BL76"/>
  <c r="BK75"/>
  <c r="BK74"/>
  <c r="BJ92"/>
  <c r="BI92"/>
  <c r="BH92"/>
  <c r="BJ89"/>
  <c r="BI89"/>
  <c r="BH89"/>
  <c r="BJ87"/>
  <c r="BJ84"/>
  <c r="BI84"/>
  <c r="BH84"/>
  <c r="BH82"/>
  <c r="BH80"/>
  <c r="BH79"/>
  <c r="BH78"/>
  <c r="BH77"/>
  <c r="BJ76"/>
  <c r="BI76"/>
  <c r="BH75"/>
  <c r="BH74"/>
  <c r="CJ54" i="72"/>
  <c r="CJ52"/>
  <c r="CJ50"/>
  <c r="CJ48"/>
  <c r="CK60"/>
  <c r="CK58"/>
  <c r="CK56"/>
  <c r="CK54"/>
  <c r="CK52"/>
  <c r="CI50"/>
  <c r="CH56"/>
  <c r="CH53"/>
  <c r="CH49"/>
  <c r="CH48"/>
  <c r="CG48"/>
  <c r="CE60"/>
  <c r="CE58"/>
  <c r="CE56"/>
  <c r="CE54"/>
  <c r="CD54"/>
  <c r="CE53"/>
  <c r="CE52"/>
  <c r="CD52"/>
  <c r="CD55"/>
  <c r="CE50"/>
  <c r="CD50"/>
  <c r="CE49"/>
  <c r="CE48"/>
  <c r="CD48"/>
  <c r="CD51"/>
  <c r="CB60"/>
  <c r="CB58"/>
  <c r="CB56"/>
  <c r="CB54"/>
  <c r="CA54"/>
  <c r="CB53"/>
  <c r="CB52"/>
  <c r="CA52"/>
  <c r="CB50"/>
  <c r="CA50"/>
  <c r="CB49"/>
  <c r="CB48"/>
  <c r="CA48"/>
  <c r="BY60"/>
  <c r="BY58"/>
  <c r="BY56"/>
  <c r="BY54"/>
  <c r="BX54"/>
  <c r="BW54"/>
  <c r="BY53"/>
  <c r="BY52"/>
  <c r="BX52"/>
  <c r="BY50"/>
  <c r="BX50"/>
  <c r="BY49"/>
  <c r="BY48"/>
  <c r="BX48"/>
  <c r="BW56" i="9"/>
  <c r="L14" i="90"/>
  <c r="L22"/>
  <c r="L23"/>
  <c r="CK61" i="72"/>
  <c r="CK59"/>
  <c r="CI54"/>
  <c r="CK62"/>
  <c r="CK55"/>
  <c r="CI52"/>
  <c r="CJ51"/>
  <c r="CK57"/>
  <c r="BO40" i="8"/>
  <c r="BL40"/>
  <c r="BL31"/>
  <c r="BK27"/>
  <c r="BL8"/>
  <c r="BR51" i="7"/>
  <c r="BO8"/>
  <c r="BO51"/>
  <c r="BC50" i="19"/>
  <c r="CT32" i="17"/>
  <c r="CT31"/>
  <c r="CT30"/>
  <c r="CT28"/>
  <c r="CT26"/>
  <c r="CE62" i="72"/>
  <c r="CE55"/>
  <c r="CC50"/>
  <c r="CB62"/>
  <c r="CA55"/>
  <c r="CA51"/>
  <c r="BS10" i="7"/>
  <c r="BT10"/>
  <c r="BS44"/>
  <c r="BS9"/>
  <c r="BT9"/>
  <c r="BS32"/>
  <c r="BP10"/>
  <c r="BQ10"/>
  <c r="BP16"/>
  <c r="BQ16"/>
  <c r="BP32"/>
  <c r="BP34"/>
  <c r="BQ34"/>
  <c r="BP47"/>
  <c r="BQ47"/>
  <c r="BP39"/>
  <c r="BQ39"/>
  <c r="BP9"/>
  <c r="BQ9"/>
  <c r="BP42"/>
  <c r="BQ42"/>
  <c r="BY61" i="72"/>
  <c r="BY59"/>
  <c r="BY57"/>
  <c r="AQ45" i="6"/>
  <c r="AQ50"/>
  <c r="AX49" i="19"/>
  <c r="AZ50"/>
  <c r="BB50"/>
  <c r="AR45" i="6"/>
  <c r="AS45"/>
  <c r="AP46" i="5"/>
  <c r="AP50"/>
  <c r="AP49"/>
  <c r="AP48"/>
  <c r="AP47"/>
  <c r="AQ45"/>
  <c r="AR45"/>
  <c r="CI29" i="17"/>
  <c r="CE24"/>
  <c r="CE29"/>
  <c r="CA35"/>
  <c r="CE35"/>
  <c r="CI35"/>
  <c r="CA24"/>
  <c r="CI24"/>
  <c r="CE36"/>
  <c r="CI37"/>
  <c r="AE31" i="10"/>
  <c r="AD30"/>
  <c r="AD25"/>
  <c r="AB31"/>
  <c r="CL39" i="11"/>
  <c r="BT39"/>
  <c r="CG41"/>
  <c r="CG43"/>
  <c r="CG30"/>
  <c r="CG33"/>
  <c r="CG42"/>
  <c r="CG29"/>
  <c r="BX51" i="72"/>
  <c r="BX55"/>
  <c r="CB51"/>
  <c r="BW48"/>
  <c r="BY51"/>
  <c r="BW51"/>
  <c r="BW50"/>
  <c r="BW52"/>
  <c r="BY55"/>
  <c r="BZ50"/>
  <c r="CB55"/>
  <c r="CE51"/>
  <c r="CC51"/>
  <c r="BO46" i="8"/>
  <c r="BO45"/>
  <c r="BP45"/>
  <c r="BO44"/>
  <c r="BO33"/>
  <c r="BP33"/>
  <c r="BO26"/>
  <c r="BO19"/>
  <c r="BO24"/>
  <c r="BO23"/>
  <c r="BP23"/>
  <c r="BP77"/>
  <c r="BO20"/>
  <c r="BP20"/>
  <c r="BP75"/>
  <c r="H21" i="88"/>
  <c r="BO18" i="8"/>
  <c r="BO87"/>
  <c r="BO31"/>
  <c r="BO27"/>
  <c r="BO75"/>
  <c r="H21" i="87"/>
  <c r="H23" i="90"/>
  <c r="BN76" i="8"/>
  <c r="BN87"/>
  <c r="BO34"/>
  <c r="BK49"/>
  <c r="BK76"/>
  <c r="BK85"/>
  <c r="BL89"/>
  <c r="BW46" i="7"/>
  <c r="BX46"/>
  <c r="BW45"/>
  <c r="BX45"/>
  <c r="BW44"/>
  <c r="BW42"/>
  <c r="BX42"/>
  <c r="BW34"/>
  <c r="BX34"/>
  <c r="BW10"/>
  <c r="BX10"/>
  <c r="BW9"/>
  <c r="BX9"/>
  <c r="BW16"/>
  <c r="BX16"/>
  <c r="BR55"/>
  <c r="BS13"/>
  <c r="BS16"/>
  <c r="BT16"/>
  <c r="BT32"/>
  <c r="BS34"/>
  <c r="BT34"/>
  <c r="BS42"/>
  <c r="BT42"/>
  <c r="BR52"/>
  <c r="BR56"/>
  <c r="BS46"/>
  <c r="BT46"/>
  <c r="BS47"/>
  <c r="BT47"/>
  <c r="BP48"/>
  <c r="BQ48"/>
  <c r="BP31"/>
  <c r="BQ31"/>
  <c r="BP36"/>
  <c r="BQ36"/>
  <c r="BP33"/>
  <c r="BP13"/>
  <c r="BQ13"/>
  <c r="BQ15"/>
  <c r="BQ8"/>
  <c r="BP44"/>
  <c r="BP46"/>
  <c r="BQ46"/>
  <c r="BO55"/>
  <c r="BO56"/>
  <c r="BQ32"/>
  <c r="BQ33"/>
  <c r="CJ55" i="72"/>
  <c r="CI55"/>
  <c r="CH57"/>
  <c r="CF48"/>
  <c r="CC55"/>
  <c r="CE57"/>
  <c r="CE59"/>
  <c r="CE61"/>
  <c r="CC48"/>
  <c r="CC52"/>
  <c r="CC54"/>
  <c r="BZ55"/>
  <c r="BZ51"/>
  <c r="CB57"/>
  <c r="CB59"/>
  <c r="CB61"/>
  <c r="BZ48"/>
  <c r="BZ52"/>
  <c r="BZ54"/>
  <c r="BY62"/>
  <c r="BW62" i="9"/>
  <c r="BW61"/>
  <c r="CC56"/>
  <c r="BY55"/>
  <c r="CA50"/>
  <c r="BY51"/>
  <c r="BS61"/>
  <c r="BS62"/>
  <c r="BS59"/>
  <c r="BS57"/>
  <c r="BS55"/>
  <c r="BR55"/>
  <c r="BQ55"/>
  <c r="BS51"/>
  <c r="BR51"/>
  <c r="BP61"/>
  <c r="BP62"/>
  <c r="BP59"/>
  <c r="BP57"/>
  <c r="BP55"/>
  <c r="BO55"/>
  <c r="BN55"/>
  <c r="BN54"/>
  <c r="BN52"/>
  <c r="BP51"/>
  <c r="BO51"/>
  <c r="BN50"/>
  <c r="BN48"/>
  <c r="BM61"/>
  <c r="BM59"/>
  <c r="BM57"/>
  <c r="BM55"/>
  <c r="BL55"/>
  <c r="BK54"/>
  <c r="BK52"/>
  <c r="BM51"/>
  <c r="BL51"/>
  <c r="BK50"/>
  <c r="BK48"/>
  <c r="BV60" i="72"/>
  <c r="BV62"/>
  <c r="BV58"/>
  <c r="BV56"/>
  <c r="BU55"/>
  <c r="BU54"/>
  <c r="BV54"/>
  <c r="BT54"/>
  <c r="BV53"/>
  <c r="BU52"/>
  <c r="BV61"/>
  <c r="BV52"/>
  <c r="BV55"/>
  <c r="BT55"/>
  <c r="BU50"/>
  <c r="BV59"/>
  <c r="BV50"/>
  <c r="BT50"/>
  <c r="BV49"/>
  <c r="BV48"/>
  <c r="BV51"/>
  <c r="BT51"/>
  <c r="BU48"/>
  <c r="BU51"/>
  <c r="BU61" i="8"/>
  <c r="BU92"/>
  <c r="BQ61"/>
  <c r="BQ92"/>
  <c r="BW84"/>
  <c r="BU47"/>
  <c r="BW43"/>
  <c r="BW41"/>
  <c r="BS41"/>
  <c r="BT39"/>
  <c r="BS35"/>
  <c r="BT34"/>
  <c r="BW32"/>
  <c r="BT30"/>
  <c r="BS16"/>
  <c r="BT14"/>
  <c r="BU12"/>
  <c r="BS9"/>
  <c r="BT8"/>
  <c r="BG46"/>
  <c r="BI57"/>
  <c r="BH57"/>
  <c r="BH48"/>
  <c r="BI43"/>
  <c r="BH42"/>
  <c r="BH81"/>
  <c r="BI41"/>
  <c r="BI39"/>
  <c r="BI38"/>
  <c r="BH40"/>
  <c r="BH37"/>
  <c r="BH34"/>
  <c r="BI35"/>
  <c r="BJ34"/>
  <c r="BI32"/>
  <c r="BI30"/>
  <c r="BI29"/>
  <c r="BH31"/>
  <c r="BH28"/>
  <c r="BH25"/>
  <c r="BH22"/>
  <c r="BH17"/>
  <c r="BI16"/>
  <c r="BI14"/>
  <c r="BI15"/>
  <c r="BH12"/>
  <c r="BI10"/>
  <c r="BI9"/>
  <c r="BJ8"/>
  <c r="AF57" i="3"/>
  <c r="B165" i="56"/>
  <c r="AF52" i="3"/>
  <c r="E143" i="56"/>
  <c r="AF43" i="3"/>
  <c r="AF38"/>
  <c r="AF42"/>
  <c r="AE52"/>
  <c r="AE48"/>
  <c r="AD52"/>
  <c r="AC52"/>
  <c r="AC48"/>
  <c r="BM121" i="7"/>
  <c r="AD48" i="3"/>
  <c r="AD44"/>
  <c r="AC44"/>
  <c r="AC43"/>
  <c r="AD43"/>
  <c r="AD46"/>
  <c r="AD47"/>
  <c r="AE42"/>
  <c r="AD38"/>
  <c r="AD42"/>
  <c r="AC38"/>
  <c r="AC42"/>
  <c r="AB52"/>
  <c r="AB48"/>
  <c r="AB38"/>
  <c r="AB42"/>
  <c r="D10"/>
  <c r="G10"/>
  <c r="AB10"/>
  <c r="G11"/>
  <c r="D13"/>
  <c r="G13"/>
  <c r="B15"/>
  <c r="B12"/>
  <c r="C15"/>
  <c r="C12"/>
  <c r="E15"/>
  <c r="E12"/>
  <c r="F15"/>
  <c r="F12"/>
  <c r="H15"/>
  <c r="H12"/>
  <c r="J15"/>
  <c r="J12"/>
  <c r="K15"/>
  <c r="K12"/>
  <c r="K9"/>
  <c r="K27"/>
  <c r="AB15"/>
  <c r="AB12"/>
  <c r="D17"/>
  <c r="G17"/>
  <c r="D18"/>
  <c r="G18"/>
  <c r="D19"/>
  <c r="G19"/>
  <c r="B21"/>
  <c r="C21"/>
  <c r="E21"/>
  <c r="F21"/>
  <c r="H21"/>
  <c r="J21"/>
  <c r="K21"/>
  <c r="D23"/>
  <c r="G23"/>
  <c r="D24"/>
  <c r="G24"/>
  <c r="D25"/>
  <c r="G25"/>
  <c r="AB25"/>
  <c r="AB21"/>
  <c r="D26"/>
  <c r="G26"/>
  <c r="AE57"/>
  <c r="BX121" i="7"/>
  <c r="BK51" i="8"/>
  <c r="AB57" i="3"/>
  <c r="BH51" i="8"/>
  <c r="BH87"/>
  <c r="BQ121" i="7"/>
  <c r="BN121"/>
  <c r="AB44" i="3"/>
  <c r="CB126" i="7"/>
  <c r="BX126"/>
  <c r="BW126"/>
  <c r="CB123"/>
  <c r="CB119"/>
  <c r="BX119"/>
  <c r="BW119"/>
  <c r="CB118"/>
  <c r="CA118"/>
  <c r="BU115"/>
  <c r="CB114"/>
  <c r="BX114"/>
  <c r="BW114"/>
  <c r="BU114"/>
  <c r="CB111"/>
  <c r="BY111"/>
  <c r="BU110"/>
  <c r="CA126"/>
  <c r="CA119"/>
  <c r="BY49"/>
  <c r="BY37"/>
  <c r="BY30"/>
  <c r="BY110"/>
  <c r="CA28"/>
  <c r="CA111"/>
  <c r="BY21"/>
  <c r="CA20"/>
  <c r="CA19"/>
  <c r="CA114"/>
  <c r="BT126"/>
  <c r="BS126"/>
  <c r="BR126"/>
  <c r="BQ126"/>
  <c r="BP126"/>
  <c r="BO126"/>
  <c r="BN126"/>
  <c r="BM126"/>
  <c r="BL126"/>
  <c r="BT123"/>
  <c r="BS123"/>
  <c r="BR123"/>
  <c r="BQ123"/>
  <c r="BP123"/>
  <c r="BO123"/>
  <c r="BN123"/>
  <c r="BM123"/>
  <c r="BL123"/>
  <c r="BT119"/>
  <c r="BS119"/>
  <c r="BR119"/>
  <c r="BQ119"/>
  <c r="BP119"/>
  <c r="BO119"/>
  <c r="BN119"/>
  <c r="BM119"/>
  <c r="BL119"/>
  <c r="BR117"/>
  <c r="BO117"/>
  <c r="BL117"/>
  <c r="BR116"/>
  <c r="BO116"/>
  <c r="BR115"/>
  <c r="BO115"/>
  <c r="BL115"/>
  <c r="BT114"/>
  <c r="BS114"/>
  <c r="BR114"/>
  <c r="BQ114"/>
  <c r="BP114"/>
  <c r="BO114"/>
  <c r="BN114"/>
  <c r="BR113"/>
  <c r="BO113"/>
  <c r="BL113"/>
  <c r="BR112"/>
  <c r="BO112"/>
  <c r="BL112"/>
  <c r="BT111"/>
  <c r="BS111"/>
  <c r="BR111"/>
  <c r="BQ111"/>
  <c r="BP111"/>
  <c r="BO111"/>
  <c r="BN111"/>
  <c r="BM111"/>
  <c r="BR110"/>
  <c r="BO110"/>
  <c r="BL110"/>
  <c r="BR109"/>
  <c r="BM54"/>
  <c r="BL43"/>
  <c r="BL116"/>
  <c r="BL41"/>
  <c r="BL35"/>
  <c r="BL33"/>
  <c r="BL27"/>
  <c r="BL25"/>
  <c r="BM25"/>
  <c r="BM21"/>
  <c r="BN17"/>
  <c r="BL12"/>
  <c r="BL111"/>
  <c r="BO109"/>
  <c r="BL109"/>
  <c r="AK15" i="19"/>
  <c r="AL15"/>
  <c r="AK32"/>
  <c r="E28" i="88"/>
  <c r="D28"/>
  <c r="E19"/>
  <c r="E18"/>
  <c r="D19"/>
  <c r="D18"/>
  <c r="E27"/>
  <c r="E30" i="87"/>
  <c r="E27"/>
  <c r="E24"/>
  <c r="E23"/>
  <c r="D24"/>
  <c r="D23"/>
  <c r="E20"/>
  <c r="D20"/>
  <c r="E17"/>
  <c r="E17" i="88"/>
  <c r="D17" i="87"/>
  <c r="D17" i="88"/>
  <c r="E16" i="87"/>
  <c r="D16"/>
  <c r="D15"/>
  <c r="E14"/>
  <c r="D14"/>
  <c r="E33" i="90"/>
  <c r="AL57" i="8"/>
  <c r="F71" i="56"/>
  <c r="E29" i="90"/>
  <c r="E26"/>
  <c r="D26"/>
  <c r="D25"/>
  <c r="E25"/>
  <c r="E23"/>
  <c r="E22"/>
  <c r="E20" i="88"/>
  <c r="D22" i="90"/>
  <c r="E18"/>
  <c r="D18"/>
  <c r="D17"/>
  <c r="E16"/>
  <c r="D16"/>
  <c r="E14"/>
  <c r="D41" i="87"/>
  <c r="D52" i="90"/>
  <c r="D15" i="88"/>
  <c r="E16"/>
  <c r="BU83" i="8"/>
  <c r="BY118" i="7"/>
  <c r="BZ49"/>
  <c r="G165" i="56"/>
  <c r="L165"/>
  <c r="C143"/>
  <c r="J143"/>
  <c r="O143"/>
  <c r="AF48" i="3"/>
  <c r="B143" i="56"/>
  <c r="G143"/>
  <c r="L143"/>
  <c r="BO120" i="7"/>
  <c r="AD31" i="10"/>
  <c r="BQ51" i="9"/>
  <c r="BK87" i="8"/>
  <c r="BL51"/>
  <c r="BT44" i="7"/>
  <c r="BT43"/>
  <c r="BS43"/>
  <c r="AC46" i="3"/>
  <c r="AC47"/>
  <c r="BO53" i="7"/>
  <c r="BP29"/>
  <c r="BQ29"/>
  <c r="BP40"/>
  <c r="BP41"/>
  <c r="BI34" i="8"/>
  <c r="BH76"/>
  <c r="BH27"/>
  <c r="BH85"/>
  <c r="BH90"/>
  <c r="BH93"/>
  <c r="BH94"/>
  <c r="AY50" i="19"/>
  <c r="CR24" i="17"/>
  <c r="CA37"/>
  <c r="BK55" i="9"/>
  <c r="BK51"/>
  <c r="BI51" i="8"/>
  <c r="BU42"/>
  <c r="BW47" i="7"/>
  <c r="BX47"/>
  <c r="BW38"/>
  <c r="BX38"/>
  <c r="BU48" i="8"/>
  <c r="AQ46" i="6"/>
  <c r="AQ49"/>
  <c r="AQ48"/>
  <c r="AQ47"/>
  <c r="CC58" i="9"/>
  <c r="BQ87" i="8"/>
  <c r="BV60" i="9"/>
  <c r="CH58" i="72"/>
  <c r="BW58" i="9"/>
  <c r="AE47" i="3"/>
  <c r="BW82" i="8"/>
  <c r="BU82"/>
  <c r="BV82"/>
  <c r="BU80"/>
  <c r="AR46" i="6"/>
  <c r="AS46"/>
  <c r="AR50"/>
  <c r="AS50"/>
  <c r="AR49"/>
  <c r="AS49"/>
  <c r="AR48"/>
  <c r="AS48"/>
  <c r="AR47"/>
  <c r="AS47"/>
  <c r="AQ50" i="5"/>
  <c r="AQ49"/>
  <c r="AQ48"/>
  <c r="AQ47"/>
  <c r="AQ46"/>
  <c r="AR46"/>
  <c r="CE37" i="17"/>
  <c r="CR29"/>
  <c r="CI36"/>
  <c r="CA36"/>
  <c r="BW10" i="8"/>
  <c r="BU75"/>
  <c r="CG39" i="11"/>
  <c r="BW79" i="8"/>
  <c r="BU79"/>
  <c r="BY114" i="7"/>
  <c r="CG45" i="11"/>
  <c r="BT52" i="72"/>
  <c r="BV57"/>
  <c r="BW55"/>
  <c r="BT48"/>
  <c r="BO25" i="8"/>
  <c r="BP24"/>
  <c r="BP26"/>
  <c r="BP80"/>
  <c r="BO80"/>
  <c r="BP44"/>
  <c r="BP42"/>
  <c r="BO42"/>
  <c r="BO81"/>
  <c r="H15" i="87"/>
  <c r="BP46" i="8"/>
  <c r="BP82"/>
  <c r="BO82"/>
  <c r="BO77"/>
  <c r="BO17"/>
  <c r="BO74"/>
  <c r="H12" i="87"/>
  <c r="BP18" i="8"/>
  <c r="BP19"/>
  <c r="BP79"/>
  <c r="BO79"/>
  <c r="BK88"/>
  <c r="BK90"/>
  <c r="BK93"/>
  <c r="BK94"/>
  <c r="BK62"/>
  <c r="BK63"/>
  <c r="BK58"/>
  <c r="BK59"/>
  <c r="BK56"/>
  <c r="BI33"/>
  <c r="BJ33"/>
  <c r="BI87"/>
  <c r="BI40"/>
  <c r="BI31"/>
  <c r="BX44" i="7"/>
  <c r="BU111"/>
  <c r="BV111"/>
  <c r="BY57"/>
  <c r="BZ57"/>
  <c r="BU126"/>
  <c r="BS15"/>
  <c r="BS8"/>
  <c r="BT13"/>
  <c r="BT15"/>
  <c r="BT8"/>
  <c r="BR120"/>
  <c r="BR124"/>
  <c r="BS39"/>
  <c r="BT39"/>
  <c r="BS29"/>
  <c r="BS40"/>
  <c r="BS36"/>
  <c r="BS31"/>
  <c r="BS48"/>
  <c r="BT48"/>
  <c r="BR53"/>
  <c r="BQ40"/>
  <c r="BQ41"/>
  <c r="BQ35"/>
  <c r="BP15"/>
  <c r="BP8"/>
  <c r="BQ44"/>
  <c r="BQ43"/>
  <c r="BP43"/>
  <c r="BQ27"/>
  <c r="BP27"/>
  <c r="BQ51"/>
  <c r="BK91" i="8"/>
  <c r="BN51" i="9"/>
  <c r="CC61"/>
  <c r="CA48"/>
  <c r="CA52"/>
  <c r="BW57"/>
  <c r="CC62"/>
  <c r="CK48" i="72"/>
  <c r="CB48" i="9"/>
  <c r="CA54"/>
  <c r="BI8" i="8"/>
  <c r="BM62" i="9"/>
  <c r="E14" i="88"/>
  <c r="D20"/>
  <c r="BS10" i="8"/>
  <c r="BW16"/>
  <c r="BS32"/>
  <c r="BW35"/>
  <c r="BS51"/>
  <c r="BH15"/>
  <c r="BH8"/>
  <c r="BH49"/>
  <c r="BI18"/>
  <c r="BI74"/>
  <c r="F12" i="87"/>
  <c r="BI19" i="8"/>
  <c r="BI20"/>
  <c r="BJ20"/>
  <c r="BJ75"/>
  <c r="F21" i="88"/>
  <c r="BI23" i="8"/>
  <c r="BJ23"/>
  <c r="BJ77"/>
  <c r="B9" i="3"/>
  <c r="B14"/>
  <c r="G21"/>
  <c r="D21"/>
  <c r="J9"/>
  <c r="J27"/>
  <c r="J14"/>
  <c r="H9"/>
  <c r="H27"/>
  <c r="H14"/>
  <c r="E9"/>
  <c r="E14"/>
  <c r="AB9"/>
  <c r="AB27"/>
  <c r="AB14"/>
  <c r="F9"/>
  <c r="G12"/>
  <c r="F14"/>
  <c r="C9"/>
  <c r="D12"/>
  <c r="C14"/>
  <c r="G15"/>
  <c r="D15"/>
  <c r="K14"/>
  <c r="BW121" i="7"/>
  <c r="AB43" i="3"/>
  <c r="AB46"/>
  <c r="AB47"/>
  <c r="BM10" i="7"/>
  <c r="BN10"/>
  <c r="BM13"/>
  <c r="BM32"/>
  <c r="BN32"/>
  <c r="CB121"/>
  <c r="BM9"/>
  <c r="BM109"/>
  <c r="BP109"/>
  <c r="BS121"/>
  <c r="BP121"/>
  <c r="BM42"/>
  <c r="BN42"/>
  <c r="BL52"/>
  <c r="BM29"/>
  <c r="BM47"/>
  <c r="BN47"/>
  <c r="E24" i="88"/>
  <c r="E23"/>
  <c r="D15" i="90"/>
  <c r="D14" i="88"/>
  <c r="D16"/>
  <c r="D24"/>
  <c r="D23"/>
  <c r="CB20" i="7"/>
  <c r="BO124"/>
  <c r="BL15"/>
  <c r="BL8"/>
  <c r="BM16"/>
  <c r="BM34"/>
  <c r="BN34"/>
  <c r="BM44"/>
  <c r="BM45"/>
  <c r="BN45"/>
  <c r="BM46"/>
  <c r="BN46"/>
  <c r="D13" i="87"/>
  <c r="D47" i="90"/>
  <c r="E28" i="86"/>
  <c r="E23"/>
  <c r="E29" i="85"/>
  <c r="E27"/>
  <c r="E20"/>
  <c r="E16"/>
  <c r="E14"/>
  <c r="E24"/>
  <c r="E23"/>
  <c r="E33" i="89"/>
  <c r="E32"/>
  <c r="E23"/>
  <c r="E25"/>
  <c r="E22"/>
  <c r="E18"/>
  <c r="E16"/>
  <c r="E14"/>
  <c r="AM48" i="6"/>
  <c r="AM16"/>
  <c r="AM36"/>
  <c r="AM25"/>
  <c r="AM18"/>
  <c r="AM13"/>
  <c r="AL48" i="5"/>
  <c r="AL31"/>
  <c r="AL16"/>
  <c r="H13" i="87"/>
  <c r="BP81" i="8"/>
  <c r="H15" i="88"/>
  <c r="H13"/>
  <c r="BU84" i="8"/>
  <c r="BV84"/>
  <c r="AR48" i="5"/>
  <c r="BY26" i="7"/>
  <c r="AR50" i="5"/>
  <c r="BY42" i="7"/>
  <c r="BZ42"/>
  <c r="AR47" i="5"/>
  <c r="BY16" i="7"/>
  <c r="AR49" i="5"/>
  <c r="BY34" i="7"/>
  <c r="BZ34"/>
  <c r="H143" i="56"/>
  <c r="M143"/>
  <c r="AF46" i="3"/>
  <c r="AF47"/>
  <c r="BP35" i="7"/>
  <c r="BP51"/>
  <c r="CK51" i="72"/>
  <c r="CI51"/>
  <c r="CI48"/>
  <c r="BL46" i="8"/>
  <c r="BL23"/>
  <c r="BL24"/>
  <c r="BL19"/>
  <c r="BL33"/>
  <c r="BL45"/>
  <c r="BM45"/>
  <c r="BL87"/>
  <c r="BL18"/>
  <c r="BL20"/>
  <c r="BL26"/>
  <c r="BL44"/>
  <c r="BH88"/>
  <c r="BI27"/>
  <c r="CS35" i="17"/>
  <c r="CT35"/>
  <c r="CT36"/>
  <c r="CT37"/>
  <c r="CT29"/>
  <c r="BI46" i="8"/>
  <c r="BI44"/>
  <c r="BI26"/>
  <c r="BI45"/>
  <c r="BJ45"/>
  <c r="BI24"/>
  <c r="BI25"/>
  <c r="BU81"/>
  <c r="BS87"/>
  <c r="BS22"/>
  <c r="BY119" i="7"/>
  <c r="BU54" i="9"/>
  <c r="BU52"/>
  <c r="BW60"/>
  <c r="CH60" i="72"/>
  <c r="CC60" i="9"/>
  <c r="CS37" i="17"/>
  <c r="CS36"/>
  <c r="BH91" i="8"/>
  <c r="BP25"/>
  <c r="BP78"/>
  <c r="H11" i="88"/>
  <c r="BP17" i="8"/>
  <c r="BP49"/>
  <c r="BP74"/>
  <c r="BI77"/>
  <c r="BI75"/>
  <c r="F21" i="87"/>
  <c r="F23" i="90"/>
  <c r="BJ19" i="8"/>
  <c r="BJ79"/>
  <c r="BI79"/>
  <c r="BY126" i="7"/>
  <c r="BZ126"/>
  <c r="BT36"/>
  <c r="BT29"/>
  <c r="BT31"/>
  <c r="BT33"/>
  <c r="BS33"/>
  <c r="BS27"/>
  <c r="BS41"/>
  <c r="BS35"/>
  <c r="BT40"/>
  <c r="BT41"/>
  <c r="BQ58"/>
  <c r="BQ59"/>
  <c r="BQ55"/>
  <c r="BQ53"/>
  <c r="BQ56"/>
  <c r="BZ55" i="9"/>
  <c r="BZ51"/>
  <c r="CC48"/>
  <c r="CC57"/>
  <c r="E20" i="86"/>
  <c r="BW33" i="8"/>
  <c r="BW26"/>
  <c r="BX26"/>
  <c r="BX75"/>
  <c r="BS33"/>
  <c r="BT33"/>
  <c r="BT27"/>
  <c r="BS26"/>
  <c r="BS19"/>
  <c r="BS44"/>
  <c r="BS20"/>
  <c r="BS18"/>
  <c r="BS74"/>
  <c r="L12" i="87"/>
  <c r="M12"/>
  <c r="BH62" i="8"/>
  <c r="BH63"/>
  <c r="BH58"/>
  <c r="BH59"/>
  <c r="BH56"/>
  <c r="BI17"/>
  <c r="BJ18"/>
  <c r="D9" i="3"/>
  <c r="D14"/>
  <c r="E27"/>
  <c r="G9"/>
  <c r="F27"/>
  <c r="BN13" i="7"/>
  <c r="BQ109"/>
  <c r="BP117"/>
  <c r="BP113"/>
  <c r="BO121"/>
  <c r="BO122"/>
  <c r="BN9"/>
  <c r="BN109"/>
  <c r="BQ117"/>
  <c r="BN16"/>
  <c r="BN115"/>
  <c r="BM115"/>
  <c r="BM48"/>
  <c r="BL121"/>
  <c r="BM31"/>
  <c r="BQ115"/>
  <c r="BP115"/>
  <c r="BP110"/>
  <c r="BM40"/>
  <c r="BM39"/>
  <c r="BN39"/>
  <c r="BM36"/>
  <c r="BN36"/>
  <c r="D13" i="88"/>
  <c r="BR127" i="7"/>
  <c r="BO127"/>
  <c r="BP116"/>
  <c r="BQ116"/>
  <c r="BM43"/>
  <c r="BM116"/>
  <c r="BN44"/>
  <c r="BN43"/>
  <c r="BN116"/>
  <c r="BN29"/>
  <c r="D35" i="88"/>
  <c r="D57" i="90"/>
  <c r="D58"/>
  <c r="AM45" i="6"/>
  <c r="AM46"/>
  <c r="AM53"/>
  <c r="AM52"/>
  <c r="AL10" i="5"/>
  <c r="AL26"/>
  <c r="AL17"/>
  <c r="AL12"/>
  <c r="BN33" i="17"/>
  <c r="BN32"/>
  <c r="BN31"/>
  <c r="BN30"/>
  <c r="BN28"/>
  <c r="BN27"/>
  <c r="BN26"/>
  <c r="BN25"/>
  <c r="BJ25"/>
  <c r="BJ26"/>
  <c r="BJ27"/>
  <c r="BJ28"/>
  <c r="BJ30"/>
  <c r="BJ31"/>
  <c r="BJ32"/>
  <c r="BJ33"/>
  <c r="BO29"/>
  <c r="BN29"/>
  <c r="BM29"/>
  <c r="BO24"/>
  <c r="BM24"/>
  <c r="T31" i="10"/>
  <c r="T30"/>
  <c r="T25"/>
  <c r="BA42" i="11"/>
  <c r="BP85" i="8"/>
  <c r="H12" i="88"/>
  <c r="H14" i="90"/>
  <c r="H17"/>
  <c r="H15"/>
  <c r="BW80" i="8"/>
  <c r="BZ16" i="7"/>
  <c r="BY115"/>
  <c r="BZ115"/>
  <c r="BZ26"/>
  <c r="CA26"/>
  <c r="BM33" i="8"/>
  <c r="BL27"/>
  <c r="BP55" i="7"/>
  <c r="BP53"/>
  <c r="BP56"/>
  <c r="BP58"/>
  <c r="BP59"/>
  <c r="BM44" i="8"/>
  <c r="BM42"/>
  <c r="BL42"/>
  <c r="BL81"/>
  <c r="G15" i="87"/>
  <c r="BL75" i="8"/>
  <c r="G21" i="87"/>
  <c r="BM20" i="8"/>
  <c r="BM75"/>
  <c r="G21" i="88"/>
  <c r="BM24" i="8"/>
  <c r="BL25"/>
  <c r="BL78"/>
  <c r="BM46"/>
  <c r="BM82"/>
  <c r="BL82"/>
  <c r="BL80"/>
  <c r="BM26"/>
  <c r="BM80"/>
  <c r="BL17"/>
  <c r="BL74"/>
  <c r="G12" i="87"/>
  <c r="BM18" i="8"/>
  <c r="BL79"/>
  <c r="BM19"/>
  <c r="BM79"/>
  <c r="BM23"/>
  <c r="BM77"/>
  <c r="BL77"/>
  <c r="BI78"/>
  <c r="BJ24"/>
  <c r="BJ26"/>
  <c r="BJ80"/>
  <c r="BI80"/>
  <c r="BI82"/>
  <c r="BJ46"/>
  <c r="BJ82"/>
  <c r="BJ44"/>
  <c r="BJ42"/>
  <c r="BI42"/>
  <c r="BI81"/>
  <c r="F15" i="87"/>
  <c r="BT22" i="8"/>
  <c r="BT76"/>
  <c r="BS76"/>
  <c r="BV52" i="9"/>
  <c r="CG52" i="72"/>
  <c r="BU55" i="9"/>
  <c r="CB55"/>
  <c r="CB52"/>
  <c r="BV54"/>
  <c r="CG54" i="72"/>
  <c r="CH62"/>
  <c r="CB54" i="9"/>
  <c r="BT20" i="8"/>
  <c r="BT75"/>
  <c r="BS75"/>
  <c r="L21" i="87"/>
  <c r="M21"/>
  <c r="BT26" i="8"/>
  <c r="BT80"/>
  <c r="BS80"/>
  <c r="BT19"/>
  <c r="BT79"/>
  <c r="BS79"/>
  <c r="BW75"/>
  <c r="BP90"/>
  <c r="BP88"/>
  <c r="BP62"/>
  <c r="BP63"/>
  <c r="BP58"/>
  <c r="BP59"/>
  <c r="BP56"/>
  <c r="BJ17"/>
  <c r="BJ49"/>
  <c r="BJ58"/>
  <c r="BJ74"/>
  <c r="F12" i="88"/>
  <c r="F14" i="90"/>
  <c r="BS51" i="7"/>
  <c r="BS58"/>
  <c r="BT27"/>
  <c r="BT35"/>
  <c r="BO58"/>
  <c r="BO59"/>
  <c r="BX51" i="9"/>
  <c r="BX55"/>
  <c r="BT18" i="8"/>
  <c r="BT74"/>
  <c r="BX30"/>
  <c r="BW42"/>
  <c r="BW81"/>
  <c r="BX81"/>
  <c r="BT44"/>
  <c r="BX14"/>
  <c r="BX39"/>
  <c r="BX33"/>
  <c r="BX80"/>
  <c r="BW115" i="7"/>
  <c r="BX115"/>
  <c r="BQ110"/>
  <c r="BP112"/>
  <c r="BP120"/>
  <c r="BP124"/>
  <c r="BQ113"/>
  <c r="BO128"/>
  <c r="BO125"/>
  <c r="BM41"/>
  <c r="BM35"/>
  <c r="BX109"/>
  <c r="BT121"/>
  <c r="BM112"/>
  <c r="BM33"/>
  <c r="BM27"/>
  <c r="BN31"/>
  <c r="BN48"/>
  <c r="BN117"/>
  <c r="BM117"/>
  <c r="BQ112"/>
  <c r="BN40"/>
  <c r="BM110"/>
  <c r="BN110"/>
  <c r="AM51" i="6"/>
  <c r="AM54"/>
  <c r="AL45" i="5"/>
  <c r="AL53"/>
  <c r="AL51"/>
  <c r="AL54"/>
  <c r="AL52"/>
  <c r="AL46"/>
  <c r="BN35" i="17"/>
  <c r="BN24"/>
  <c r="BN36"/>
  <c r="BA29" i="11"/>
  <c r="AZ40"/>
  <c r="AZ33"/>
  <c r="BB41"/>
  <c r="AZ30"/>
  <c r="AV37" i="8"/>
  <c r="AW30"/>
  <c r="AW22"/>
  <c r="AW76"/>
  <c r="AW12"/>
  <c r="AX92"/>
  <c r="AW92"/>
  <c r="AV92"/>
  <c r="AX89"/>
  <c r="AW89"/>
  <c r="AV89"/>
  <c r="AX84"/>
  <c r="AW84"/>
  <c r="AV84"/>
  <c r="AV82"/>
  <c r="AV80"/>
  <c r="E13" i="90"/>
  <c r="AV79" i="8"/>
  <c r="AV78"/>
  <c r="AV77"/>
  <c r="AV76"/>
  <c r="AV75"/>
  <c r="AV74"/>
  <c r="AW57"/>
  <c r="AV57"/>
  <c r="AV48"/>
  <c r="AW43"/>
  <c r="AV42"/>
  <c r="AV81"/>
  <c r="E17" i="90"/>
  <c r="AW41" i="8"/>
  <c r="AV40"/>
  <c r="AW39"/>
  <c r="AW38"/>
  <c r="AW35"/>
  <c r="AX34"/>
  <c r="AW32"/>
  <c r="AV31"/>
  <c r="AW29"/>
  <c r="AV28"/>
  <c r="AV27"/>
  <c r="AV25"/>
  <c r="AV17"/>
  <c r="AW16"/>
  <c r="AV15"/>
  <c r="AW14"/>
  <c r="AW15"/>
  <c r="AW13"/>
  <c r="AW10"/>
  <c r="AW9"/>
  <c r="AX8"/>
  <c r="S57" i="3"/>
  <c r="E34" i="90"/>
  <c r="R57" i="3"/>
  <c r="BJ56" i="9"/>
  <c r="BJ57"/>
  <c r="BJ55"/>
  <c r="BI55"/>
  <c r="BH54"/>
  <c r="BH52"/>
  <c r="BJ51"/>
  <c r="BI51"/>
  <c r="BH50"/>
  <c r="BH48"/>
  <c r="BA38" i="7"/>
  <c r="BA21"/>
  <c r="BA22"/>
  <c r="S43" i="3"/>
  <c r="R43"/>
  <c r="S48"/>
  <c r="BB52" i="7"/>
  <c r="R52" i="3"/>
  <c r="R48"/>
  <c r="BA52" i="7"/>
  <c r="BA121"/>
  <c r="R44" i="3"/>
  <c r="S42"/>
  <c r="R42"/>
  <c r="AZ57" i="7"/>
  <c r="BA54"/>
  <c r="AZ54"/>
  <c r="E29" i="89"/>
  <c r="E27" i="86"/>
  <c r="AZ43" i="7"/>
  <c r="AZ116"/>
  <c r="E17" i="89"/>
  <c r="AZ41" i="7"/>
  <c r="AZ35"/>
  <c r="AZ33"/>
  <c r="BA26"/>
  <c r="AZ25"/>
  <c r="AZ17"/>
  <c r="BA24"/>
  <c r="BA23"/>
  <c r="BA20"/>
  <c r="BA19"/>
  <c r="BA18"/>
  <c r="BB17"/>
  <c r="AZ15"/>
  <c r="AZ12"/>
  <c r="BB126"/>
  <c r="BA126"/>
  <c r="AZ126"/>
  <c r="BB123"/>
  <c r="BA123"/>
  <c r="AZ123"/>
  <c r="BB119"/>
  <c r="BA119"/>
  <c r="AZ119"/>
  <c r="AZ117"/>
  <c r="AZ115"/>
  <c r="BB114"/>
  <c r="BA114"/>
  <c r="AZ114"/>
  <c r="AZ113"/>
  <c r="AZ112"/>
  <c r="E13" i="89"/>
  <c r="BB111" i="7"/>
  <c r="AZ109"/>
  <c r="D32" i="86"/>
  <c r="I34"/>
  <c r="D31"/>
  <c r="D28"/>
  <c r="D39" i="85"/>
  <c r="D38"/>
  <c r="D51" i="89"/>
  <c r="D43"/>
  <c r="D42"/>
  <c r="AN101" i="7"/>
  <c r="D36" i="89"/>
  <c r="D23" i="86"/>
  <c r="D29" i="85"/>
  <c r="D32" i="89"/>
  <c r="D33"/>
  <c r="D24" i="85"/>
  <c r="D26" i="89"/>
  <c r="D25"/>
  <c r="D23" i="85"/>
  <c r="D20"/>
  <c r="D22" i="89"/>
  <c r="D16" i="85"/>
  <c r="D18" i="89"/>
  <c r="D14" i="85"/>
  <c r="D16" i="89"/>
  <c r="AJ48" i="19"/>
  <c r="AJ47"/>
  <c r="AJ46"/>
  <c r="AJ45"/>
  <c r="AJ44"/>
  <c r="AJ43"/>
  <c r="AJ42"/>
  <c r="AJ41"/>
  <c r="AJ40"/>
  <c r="AJ39"/>
  <c r="AJ37"/>
  <c r="AJ36"/>
  <c r="AJ35"/>
  <c r="AJ34"/>
  <c r="AJ33"/>
  <c r="AJ31"/>
  <c r="AJ30"/>
  <c r="AJ29"/>
  <c r="AJ28"/>
  <c r="AJ27"/>
  <c r="AJ24"/>
  <c r="AJ23"/>
  <c r="AJ22"/>
  <c r="AJ21"/>
  <c r="AJ20"/>
  <c r="AJ19"/>
  <c r="AJ18"/>
  <c r="AJ17"/>
  <c r="AJ16"/>
  <c r="AJ15"/>
  <c r="AJ13"/>
  <c r="AJ11"/>
  <c r="AJ10"/>
  <c r="AJ9"/>
  <c r="AJ8"/>
  <c r="AK25"/>
  <c r="AJ25"/>
  <c r="AL25"/>
  <c r="AL32"/>
  <c r="AJ32"/>
  <c r="AK38"/>
  <c r="AL38"/>
  <c r="AK26"/>
  <c r="AL26"/>
  <c r="AL14"/>
  <c r="AK14"/>
  <c r="AL12"/>
  <c r="AK12"/>
  <c r="I37" i="90"/>
  <c r="I40"/>
  <c r="K28"/>
  <c r="J28"/>
  <c r="I28"/>
  <c r="K27"/>
  <c r="J27"/>
  <c r="I27"/>
  <c r="K26"/>
  <c r="J26"/>
  <c r="K22"/>
  <c r="J22"/>
  <c r="K21"/>
  <c r="J21"/>
  <c r="I21"/>
  <c r="K20"/>
  <c r="J20"/>
  <c r="I20"/>
  <c r="K28" i="89"/>
  <c r="J28"/>
  <c r="I28"/>
  <c r="K27"/>
  <c r="J27"/>
  <c r="I27"/>
  <c r="K26"/>
  <c r="J26"/>
  <c r="K22"/>
  <c r="J22"/>
  <c r="K21"/>
  <c r="J21"/>
  <c r="I21"/>
  <c r="K20"/>
  <c r="J20"/>
  <c r="I20"/>
  <c r="J16"/>
  <c r="I51" i="90"/>
  <c r="I52"/>
  <c r="I50" i="89"/>
  <c r="I51"/>
  <c r="I36"/>
  <c r="I39"/>
  <c r="J29" i="88"/>
  <c r="K29"/>
  <c r="K23"/>
  <c r="J23"/>
  <c r="I23"/>
  <c r="J16"/>
  <c r="K16"/>
  <c r="J14"/>
  <c r="K14"/>
  <c r="K16" i="90"/>
  <c r="G11" i="87"/>
  <c r="F11"/>
  <c r="BJ81" i="8"/>
  <c r="F15" i="88"/>
  <c r="F13"/>
  <c r="BM81" i="8"/>
  <c r="G15" i="88"/>
  <c r="G13"/>
  <c r="G23" i="90"/>
  <c r="H10" i="88"/>
  <c r="F13" i="87"/>
  <c r="F17" i="90"/>
  <c r="F15"/>
  <c r="G13" i="87"/>
  <c r="G10"/>
  <c r="BL49" i="8"/>
  <c r="BL56"/>
  <c r="BM78"/>
  <c r="G11" i="88"/>
  <c r="BM25" i="8"/>
  <c r="BL85"/>
  <c r="BM74"/>
  <c r="G12" i="88"/>
  <c r="G14" i="90"/>
  <c r="BM17" i="8"/>
  <c r="BM49"/>
  <c r="BS55" i="7"/>
  <c r="BS53"/>
  <c r="BS56"/>
  <c r="BI85" i="8"/>
  <c r="BI88"/>
  <c r="BJ78"/>
  <c r="F11" i="88"/>
  <c r="BJ25" i="8"/>
  <c r="BJ85"/>
  <c r="BJ90"/>
  <c r="BI49"/>
  <c r="D46" i="89"/>
  <c r="D35" i="86"/>
  <c r="CH54" i="72"/>
  <c r="CF54"/>
  <c r="BW54" i="9"/>
  <c r="CC54"/>
  <c r="CH52" i="72"/>
  <c r="BW52" i="9"/>
  <c r="BV55"/>
  <c r="CC52"/>
  <c r="CG55" i="72"/>
  <c r="CH61"/>
  <c r="AJ26" i="19"/>
  <c r="AJ38"/>
  <c r="AJ14"/>
  <c r="BP91" i="8"/>
  <c r="BP93"/>
  <c r="BP94"/>
  <c r="BJ59"/>
  <c r="BJ62"/>
  <c r="BJ63"/>
  <c r="BJ56"/>
  <c r="BT51" i="7"/>
  <c r="BT55"/>
  <c r="BS59"/>
  <c r="BT58"/>
  <c r="BT59"/>
  <c r="BX8" i="8"/>
  <c r="BX34"/>
  <c r="BX27"/>
  <c r="BP122" i="7"/>
  <c r="AX51" i="8"/>
  <c r="AX87"/>
  <c r="AZ46" i="11"/>
  <c r="AZ42"/>
  <c r="R46" i="3"/>
  <c r="AV51" i="8"/>
  <c r="AZ32" i="11"/>
  <c r="E30" i="89"/>
  <c r="E31"/>
  <c r="E28" i="85"/>
  <c r="BJ60" i="9"/>
  <c r="BJ61"/>
  <c r="E29" i="87"/>
  <c r="E32" i="90"/>
  <c r="E31"/>
  <c r="AZ29" i="11"/>
  <c r="AZ31"/>
  <c r="BR121" i="7"/>
  <c r="BS113"/>
  <c r="BS116"/>
  <c r="BT116"/>
  <c r="BT115"/>
  <c r="BS115"/>
  <c r="BT109"/>
  <c r="BS109"/>
  <c r="BN33"/>
  <c r="BN27"/>
  <c r="BN112"/>
  <c r="BQ120"/>
  <c r="BN41"/>
  <c r="BN35"/>
  <c r="BP127"/>
  <c r="BP128"/>
  <c r="BP125"/>
  <c r="D20" i="86"/>
  <c r="D40" i="85"/>
  <c r="J49" i="89"/>
  <c r="K49"/>
  <c r="K50"/>
  <c r="K51"/>
  <c r="J16" i="90"/>
  <c r="J50"/>
  <c r="J52"/>
  <c r="E15"/>
  <c r="E12"/>
  <c r="E15" i="89"/>
  <c r="E12"/>
  <c r="AL49" i="19"/>
  <c r="AK49"/>
  <c r="AJ12"/>
  <c r="AJ49"/>
  <c r="BJ58" i="9"/>
  <c r="BJ59"/>
  <c r="BN37" i="17"/>
  <c r="AW34" i="8"/>
  <c r="AW40"/>
  <c r="AW31"/>
  <c r="AX22"/>
  <c r="AX76"/>
  <c r="AV85"/>
  <c r="AV90"/>
  <c r="AW8"/>
  <c r="AV8"/>
  <c r="AV34"/>
  <c r="BH55" i="9"/>
  <c r="BH51"/>
  <c r="BA25" i="7"/>
  <c r="BA17"/>
  <c r="BA9"/>
  <c r="BA109"/>
  <c r="E12" i="85"/>
  <c r="E12" i="86"/>
  <c r="BA13" i="7"/>
  <c r="BB13"/>
  <c r="BA34"/>
  <c r="BB34"/>
  <c r="BB121"/>
  <c r="AZ52"/>
  <c r="BA48"/>
  <c r="BA14"/>
  <c r="BB14"/>
  <c r="BA42"/>
  <c r="BB42"/>
  <c r="BA47"/>
  <c r="BB47"/>
  <c r="BB9"/>
  <c r="AZ8"/>
  <c r="BA10"/>
  <c r="BA16"/>
  <c r="BA32"/>
  <c r="BA44"/>
  <c r="BA45"/>
  <c r="BB45"/>
  <c r="BA46"/>
  <c r="BB46"/>
  <c r="D31" i="85"/>
  <c r="D39" i="89"/>
  <c r="J25" i="90"/>
  <c r="K25"/>
  <c r="K25" i="89"/>
  <c r="J25"/>
  <c r="K50" i="90"/>
  <c r="K51"/>
  <c r="K52"/>
  <c r="J51" i="89"/>
  <c r="I40" i="87"/>
  <c r="I24"/>
  <c r="K23"/>
  <c r="J23"/>
  <c r="I16"/>
  <c r="I14"/>
  <c r="K29" i="86"/>
  <c r="K23"/>
  <c r="J23"/>
  <c r="I23"/>
  <c r="K16"/>
  <c r="J16"/>
  <c r="K14"/>
  <c r="K16" i="89"/>
  <c r="I39" i="85"/>
  <c r="I40"/>
  <c r="J38"/>
  <c r="I31"/>
  <c r="I24"/>
  <c r="K23"/>
  <c r="J23"/>
  <c r="I14"/>
  <c r="I16" i="89"/>
  <c r="I41" i="87"/>
  <c r="L39"/>
  <c r="L40"/>
  <c r="F10"/>
  <c r="I16" i="90"/>
  <c r="I11" i="87"/>
  <c r="BJ88" i="8"/>
  <c r="G10" i="88"/>
  <c r="G13" i="90"/>
  <c r="G9" i="87"/>
  <c r="G22"/>
  <c r="F10" i="88"/>
  <c r="G17" i="90"/>
  <c r="G15"/>
  <c r="G12"/>
  <c r="F13"/>
  <c r="F12"/>
  <c r="H22" i="88"/>
  <c r="H9"/>
  <c r="F9" i="87"/>
  <c r="F22"/>
  <c r="BL62" i="8"/>
  <c r="BL63"/>
  <c r="BL58"/>
  <c r="BL59"/>
  <c r="BT53" i="7"/>
  <c r="BM85" i="8"/>
  <c r="BM90"/>
  <c r="BM62"/>
  <c r="BM63"/>
  <c r="BM59"/>
  <c r="BM58"/>
  <c r="BM56"/>
  <c r="BL90"/>
  <c r="BL88"/>
  <c r="BT56" i="7"/>
  <c r="BI90" i="8"/>
  <c r="BI93"/>
  <c r="BI94"/>
  <c r="BI59"/>
  <c r="BI62"/>
  <c r="BI63"/>
  <c r="BI56"/>
  <c r="BI58"/>
  <c r="BW55" i="9"/>
  <c r="BT55"/>
  <c r="CA55"/>
  <c r="CC55"/>
  <c r="CH55" i="72"/>
  <c r="CF55"/>
  <c r="CF52"/>
  <c r="BX74" i="8"/>
  <c r="BU74"/>
  <c r="BV74"/>
  <c r="BW9"/>
  <c r="BJ91"/>
  <c r="BJ93"/>
  <c r="BJ94"/>
  <c r="BR58" i="7"/>
  <c r="BR59"/>
  <c r="BS112"/>
  <c r="BA39"/>
  <c r="BB39"/>
  <c r="BJ62" i="9"/>
  <c r="AZ43" i="11"/>
  <c r="BS110" i="7"/>
  <c r="AZ41" i="11"/>
  <c r="AW51" i="8"/>
  <c r="AV87"/>
  <c r="AV88"/>
  <c r="AZ121" i="7"/>
  <c r="BA29"/>
  <c r="BB29"/>
  <c r="BR122"/>
  <c r="BR125"/>
  <c r="BR128"/>
  <c r="BT110"/>
  <c r="BT112"/>
  <c r="BS117"/>
  <c r="BT117"/>
  <c r="BQ122"/>
  <c r="BQ124"/>
  <c r="J39" i="87"/>
  <c r="K39"/>
  <c r="K40"/>
  <c r="K41"/>
  <c r="E24" i="90"/>
  <c r="E9"/>
  <c r="E35"/>
  <c r="E9" i="89"/>
  <c r="E24"/>
  <c r="AL50" i="19"/>
  <c r="AK50"/>
  <c r="AV93" i="8"/>
  <c r="AV91"/>
  <c r="AV49"/>
  <c r="J16" i="87"/>
  <c r="I18" i="90"/>
  <c r="I23" i="87"/>
  <c r="I26" i="90"/>
  <c r="I25"/>
  <c r="BA15" i="7"/>
  <c r="BA8"/>
  <c r="BB48"/>
  <c r="BB117"/>
  <c r="BA117"/>
  <c r="BA40"/>
  <c r="BA36"/>
  <c r="BA31"/>
  <c r="BB31"/>
  <c r="BA43"/>
  <c r="BA116"/>
  <c r="E15" i="85"/>
  <c r="BB44" i="7"/>
  <c r="BB43"/>
  <c r="BB116"/>
  <c r="BB32"/>
  <c r="BA115"/>
  <c r="BB16"/>
  <c r="BB115"/>
  <c r="BB10"/>
  <c r="BB15"/>
  <c r="BB109"/>
  <c r="J18" i="89"/>
  <c r="I18"/>
  <c r="I23" i="85"/>
  <c r="I26" i="89"/>
  <c r="I25"/>
  <c r="J41" i="87"/>
  <c r="K38" i="85"/>
  <c r="K39"/>
  <c r="K40"/>
  <c r="J40"/>
  <c r="M39" i="87"/>
  <c r="M40"/>
  <c r="M41"/>
  <c r="L41"/>
  <c r="H30" i="88"/>
  <c r="H11" i="90"/>
  <c r="H42"/>
  <c r="F9"/>
  <c r="F35"/>
  <c r="F24"/>
  <c r="F9" i="88"/>
  <c r="F22"/>
  <c r="G31" i="87"/>
  <c r="G10" i="90"/>
  <c r="G36"/>
  <c r="G9" i="88"/>
  <c r="G22"/>
  <c r="F31" i="87"/>
  <c r="F10" i="90"/>
  <c r="F36"/>
  <c r="G9"/>
  <c r="G35"/>
  <c r="G24"/>
  <c r="BM88" i="8"/>
  <c r="BS120" i="7"/>
  <c r="BS122"/>
  <c r="BM93" i="8"/>
  <c r="BM94"/>
  <c r="BM91"/>
  <c r="BL93"/>
  <c r="BL94"/>
  <c r="BL91"/>
  <c r="BI91"/>
  <c r="BW74"/>
  <c r="BA41" i="7"/>
  <c r="BA112"/>
  <c r="BA33"/>
  <c r="AW46" i="8"/>
  <c r="AW20"/>
  <c r="AW23"/>
  <c r="AW24"/>
  <c r="AW44"/>
  <c r="AW26"/>
  <c r="AW87"/>
  <c r="AW19"/>
  <c r="AW33"/>
  <c r="AW18"/>
  <c r="AW45"/>
  <c r="AX45"/>
  <c r="AV94"/>
  <c r="BA113" i="7"/>
  <c r="BB40"/>
  <c r="BB41"/>
  <c r="BT113"/>
  <c r="BT120"/>
  <c r="BQ127"/>
  <c r="BQ128"/>
  <c r="BQ125"/>
  <c r="E13" i="85"/>
  <c r="E15" i="86"/>
  <c r="E13"/>
  <c r="E34" i="89"/>
  <c r="AV62" i="8"/>
  <c r="AV63"/>
  <c r="AV58"/>
  <c r="AV59"/>
  <c r="AV56"/>
  <c r="K16" i="87"/>
  <c r="K18" i="90"/>
  <c r="J18"/>
  <c r="BA35" i="7"/>
  <c r="BB36"/>
  <c r="BB8"/>
  <c r="BB33"/>
  <c r="BB112"/>
  <c r="K16" i="85"/>
  <c r="G30" i="88"/>
  <c r="G11" i="90"/>
  <c r="G42"/>
  <c r="F30" i="88"/>
  <c r="F11" i="90"/>
  <c r="F42"/>
  <c r="BS124" i="7"/>
  <c r="BS125"/>
  <c r="BS127"/>
  <c r="BS128"/>
  <c r="BT122"/>
  <c r="BT124"/>
  <c r="E11" i="85"/>
  <c r="E11" i="86"/>
  <c r="E10"/>
  <c r="BB113" i="7"/>
  <c r="AW27" i="8"/>
  <c r="AX27"/>
  <c r="AX33"/>
  <c r="AX44"/>
  <c r="AX42"/>
  <c r="AX81"/>
  <c r="AW42"/>
  <c r="AW81"/>
  <c r="E15" i="87"/>
  <c r="AW77" i="8"/>
  <c r="AX23"/>
  <c r="AX77"/>
  <c r="AW82"/>
  <c r="AX46"/>
  <c r="AX82"/>
  <c r="AW74"/>
  <c r="AX18"/>
  <c r="AW17"/>
  <c r="AX19"/>
  <c r="AX79"/>
  <c r="AW79"/>
  <c r="AW80"/>
  <c r="AX26"/>
  <c r="AX24"/>
  <c r="AW78"/>
  <c r="AW25"/>
  <c r="AW75"/>
  <c r="E21" i="87"/>
  <c r="E21" i="88"/>
  <c r="AX20" i="8"/>
  <c r="AX75"/>
  <c r="BB35" i="7"/>
  <c r="K18" i="89"/>
  <c r="BT125" i="7"/>
  <c r="BT127"/>
  <c r="BT128"/>
  <c r="E10" i="85"/>
  <c r="AX80" i="8"/>
  <c r="AW49"/>
  <c r="AW56"/>
  <c r="AX78"/>
  <c r="AX25"/>
  <c r="AX74"/>
  <c r="AX17"/>
  <c r="AX49"/>
  <c r="E11" i="87"/>
  <c r="AW59" i="8"/>
  <c r="E12" i="87"/>
  <c r="E12" i="88"/>
  <c r="AW85" i="8"/>
  <c r="E13" i="87"/>
  <c r="E15" i="88"/>
  <c r="E13"/>
  <c r="AX85" i="8"/>
  <c r="AW58"/>
  <c r="AW62"/>
  <c r="E10" i="90"/>
  <c r="E36"/>
  <c r="AW90" i="8"/>
  <c r="AW88"/>
  <c r="AW63"/>
  <c r="E11" i="88"/>
  <c r="E10"/>
  <c r="E10" i="87"/>
  <c r="AX56" i="8"/>
  <c r="AX59"/>
  <c r="AX58"/>
  <c r="AX62"/>
  <c r="AX90"/>
  <c r="AX88"/>
  <c r="E22" i="88"/>
  <c r="E9"/>
  <c r="E30"/>
  <c r="AW91" i="8"/>
  <c r="AW93"/>
  <c r="AW94"/>
  <c r="E11" i="90"/>
  <c r="E42"/>
  <c r="AX63" i="8"/>
  <c r="E22" i="87"/>
  <c r="E9"/>
  <c r="E31"/>
  <c r="AX93" i="8"/>
  <c r="AX94"/>
  <c r="AX91"/>
  <c r="V200" i="6"/>
  <c r="V199"/>
  <c r="V198"/>
  <c r="V207"/>
  <c r="V205"/>
  <c r="V204"/>
  <c r="V202"/>
  <c r="AB202"/>
  <c r="V201"/>
  <c r="AR202"/>
  <c r="AM202"/>
  <c r="AG202"/>
  <c r="AQ202"/>
  <c r="AK202"/>
  <c r="AC202"/>
  <c r="X202"/>
  <c r="AA202"/>
  <c r="AD202"/>
  <c r="AF202"/>
  <c r="AI202"/>
  <c r="AH202"/>
  <c r="AL202"/>
  <c r="AN202"/>
  <c r="AP202"/>
  <c r="AS202"/>
  <c r="AE202"/>
  <c r="AJ202"/>
  <c r="AO202"/>
  <c r="AT202"/>
  <c r="AK237"/>
  <c r="AK207"/>
  <c r="AB222"/>
  <c r="AB221"/>
  <c r="AB216"/>
  <c r="AB207"/>
  <c r="AB205"/>
  <c r="AB204"/>
  <c r="AB201"/>
  <c r="AB200"/>
  <c r="AB199"/>
  <c r="AB206"/>
  <c r="AB203"/>
  <c r="AB197"/>
  <c r="AH55"/>
  <c r="X247"/>
  <c r="AA247"/>
  <c r="Z237"/>
  <c r="V216"/>
  <c r="Z222"/>
  <c r="Z221"/>
  <c r="AH237"/>
  <c r="AG237"/>
  <c r="AI237"/>
  <c r="AF237"/>
  <c r="AD237"/>
  <c r="AC237"/>
  <c r="AE237"/>
  <c r="AH236"/>
  <c r="AG236"/>
  <c r="AI236"/>
  <c r="AF236"/>
  <c r="AD236"/>
  <c r="AC236"/>
  <c r="AE236"/>
  <c r="AJ236"/>
  <c r="AP222"/>
  <c r="AR221"/>
  <c r="AQ205"/>
  <c r="AM205"/>
  <c r="AK205"/>
  <c r="AG205"/>
  <c r="AC205"/>
  <c r="AR205"/>
  <c r="AQ201"/>
  <c r="AM201"/>
  <c r="AK201"/>
  <c r="AG201"/>
  <c r="AC201"/>
  <c r="AR201"/>
  <c r="AP200"/>
  <c r="AF198"/>
  <c r="X207"/>
  <c r="AQ207"/>
  <c r="X205"/>
  <c r="X204"/>
  <c r="X201"/>
  <c r="AA201"/>
  <c r="X200"/>
  <c r="X199"/>
  <c r="AA199"/>
  <c r="X198"/>
  <c r="X197"/>
  <c r="AA197"/>
  <c r="AQ206"/>
  <c r="AD207"/>
  <c r="AG207"/>
  <c r="AL207"/>
  <c r="AP207"/>
  <c r="AR207"/>
  <c r="AA207"/>
  <c r="AC207"/>
  <c r="AF207"/>
  <c r="AH207"/>
  <c r="AM207"/>
  <c r="AA205"/>
  <c r="AA204"/>
  <c r="AA200"/>
  <c r="AA198"/>
  <c r="AG221"/>
  <c r="AM221"/>
  <c r="AC221"/>
  <c r="AK221"/>
  <c r="AQ221"/>
  <c r="AQ204"/>
  <c r="AM204"/>
  <c r="AK204"/>
  <c r="AG204"/>
  <c r="AC204"/>
  <c r="AN207"/>
  <c r="AK206"/>
  <c r="AD198"/>
  <c r="AH198"/>
  <c r="AD200"/>
  <c r="AH200"/>
  <c r="AR200"/>
  <c r="AC198"/>
  <c r="AG198"/>
  <c r="AC200"/>
  <c r="AG200"/>
  <c r="AK200"/>
  <c r="AM200"/>
  <c r="AQ200"/>
  <c r="AD201"/>
  <c r="AF201"/>
  <c r="AH201"/>
  <c r="AL201"/>
  <c r="AP201"/>
  <c r="AD204"/>
  <c r="AH204"/>
  <c r="AL204"/>
  <c r="AP204"/>
  <c r="AE207"/>
  <c r="AI207"/>
  <c r="AS207"/>
  <c r="AD222"/>
  <c r="AH222"/>
  <c r="AL222"/>
  <c r="AQ222"/>
  <c r="AM222"/>
  <c r="AK222"/>
  <c r="AG222"/>
  <c r="AC222"/>
  <c r="AF200"/>
  <c r="AL200"/>
  <c r="AF204"/>
  <c r="AR204"/>
  <c r="AT207"/>
  <c r="AF222"/>
  <c r="AR222"/>
  <c r="AD205"/>
  <c r="AF205"/>
  <c r="AH205"/>
  <c r="AL205"/>
  <c r="AP205"/>
  <c r="AD221"/>
  <c r="AF221"/>
  <c r="AH221"/>
  <c r="AL221"/>
  <c r="AP221"/>
  <c r="AJ237"/>
  <c r="AM206"/>
  <c r="AF206"/>
  <c r="AR206"/>
  <c r="AL206"/>
  <c r="AD206"/>
  <c r="AH206"/>
  <c r="AC206"/>
  <c r="AP206"/>
  <c r="AT206"/>
  <c r="AG206"/>
  <c r="AI222"/>
  <c r="AS222"/>
  <c r="AS221"/>
  <c r="AE221"/>
  <c r="AN205"/>
  <c r="AE200"/>
  <c r="AS205"/>
  <c r="AE205"/>
  <c r="AJ207"/>
  <c r="AL203"/>
  <c r="AT201"/>
  <c r="AI201"/>
  <c r="AS200"/>
  <c r="AC203"/>
  <c r="AQ203"/>
  <c r="AS201"/>
  <c r="AG203"/>
  <c r="AM203"/>
  <c r="AE201"/>
  <c r="AE198"/>
  <c r="AN221"/>
  <c r="AE222"/>
  <c r="AI204"/>
  <c r="AF203"/>
  <c r="AS204"/>
  <c r="AP203"/>
  <c r="AK203"/>
  <c r="AN204"/>
  <c r="AI221"/>
  <c r="AI205"/>
  <c r="AT222"/>
  <c r="AT221"/>
  <c r="AI200"/>
  <c r="AN222"/>
  <c r="AH203"/>
  <c r="AT200"/>
  <c r="AE204"/>
  <c r="AN201"/>
  <c r="AI198"/>
  <c r="AR203"/>
  <c r="AT204"/>
  <c r="AG199"/>
  <c r="AG197"/>
  <c r="AH199"/>
  <c r="AH197"/>
  <c r="AF199"/>
  <c r="AF197"/>
  <c r="AD199"/>
  <c r="AD197"/>
  <c r="AC199"/>
  <c r="AC197"/>
  <c r="AJ205"/>
  <c r="AD203"/>
  <c r="AN200"/>
  <c r="AT205"/>
  <c r="AJ201"/>
  <c r="AE206"/>
  <c r="AN206"/>
  <c r="AS206"/>
  <c r="AI206"/>
  <c r="AJ222"/>
  <c r="AJ221"/>
  <c r="AJ198"/>
  <c r="AJ200"/>
  <c r="AN203"/>
  <c r="AO201"/>
  <c r="AO205"/>
  <c r="AO207"/>
  <c r="AE203"/>
  <c r="AI199"/>
  <c r="AR237"/>
  <c r="AP237"/>
  <c r="AL237"/>
  <c r="AQ237"/>
  <c r="AM237"/>
  <c r="AE199"/>
  <c r="AT203"/>
  <c r="AJ204"/>
  <c r="AS203"/>
  <c r="AI203"/>
  <c r="AJ206"/>
  <c r="AK198"/>
  <c r="AO222"/>
  <c r="AO221"/>
  <c r="AJ203"/>
  <c r="AO203"/>
  <c r="AO204"/>
  <c r="AO200"/>
  <c r="AE197"/>
  <c r="AJ199"/>
  <c r="AN237"/>
  <c r="AO237"/>
  <c r="AI197"/>
  <c r="AP198"/>
  <c r="AS237"/>
  <c r="AT237"/>
  <c r="AO206"/>
  <c r="AM198"/>
  <c r="AK199"/>
  <c r="AK197"/>
  <c r="AL198"/>
  <c r="AR198"/>
  <c r="AQ198"/>
  <c r="AJ197"/>
  <c r="AN198"/>
  <c r="AQ197"/>
  <c r="AM199"/>
  <c r="AM197"/>
  <c r="AL199"/>
  <c r="AL197"/>
  <c r="AR199"/>
  <c r="AR197"/>
  <c r="AS198"/>
  <c r="AQ199"/>
  <c r="AP199"/>
  <c r="AP197"/>
  <c r="AT198"/>
  <c r="AO198"/>
  <c r="AT199"/>
  <c r="AN199"/>
  <c r="AO199"/>
  <c r="AN197"/>
  <c r="AO197"/>
  <c r="AS199"/>
  <c r="AT197"/>
  <c r="AS197"/>
  <c r="AG146" i="5"/>
  <c r="AE146"/>
  <c r="AD146"/>
  <c r="AC146"/>
  <c r="AB146"/>
  <c r="AA146"/>
  <c r="Z146"/>
  <c r="Y146"/>
  <c r="W146"/>
  <c r="U146"/>
  <c r="AG145"/>
  <c r="AF145"/>
  <c r="AF146"/>
  <c r="AE145"/>
  <c r="X145"/>
  <c r="X146"/>
  <c r="W145"/>
  <c r="X318" i="6"/>
  <c r="W318"/>
  <c r="V318"/>
  <c r="Y317"/>
  <c r="Y316"/>
  <c r="Y315"/>
  <c r="Y314"/>
  <c r="Y313"/>
  <c r="Y312"/>
  <c r="Y311"/>
  <c r="Y318"/>
  <c r="Y309"/>
  <c r="X309"/>
  <c r="W309"/>
  <c r="V309"/>
  <c r="Z308"/>
  <c r="Y308"/>
  <c r="Z307"/>
  <c r="Y307"/>
  <c r="Z306"/>
  <c r="Y306"/>
  <c r="Z305"/>
  <c r="Y305"/>
  <c r="Z304"/>
  <c r="Y304"/>
  <c r="Z303"/>
  <c r="Y303"/>
  <c r="Z302"/>
  <c r="Y302"/>
  <c r="Z301"/>
  <c r="Y301"/>
  <c r="Z300"/>
  <c r="Z309"/>
  <c r="Y300"/>
  <c r="X298"/>
  <c r="W298"/>
  <c r="V298"/>
  <c r="Y297"/>
  <c r="Z297"/>
  <c r="Y296"/>
  <c r="Y295"/>
  <c r="Z295"/>
  <c r="Y294"/>
  <c r="Y293"/>
  <c r="Z293"/>
  <c r="Y292"/>
  <c r="Y291"/>
  <c r="Z291"/>
  <c r="Y289"/>
  <c r="Y288"/>
  <c r="Y287"/>
  <c r="Y286"/>
  <c r="Y285"/>
  <c r="Y284"/>
  <c r="Y282"/>
  <c r="Y281"/>
  <c r="Z281"/>
  <c r="Y280"/>
  <c r="Y279"/>
  <c r="Z279"/>
  <c r="Y278"/>
  <c r="Y277"/>
  <c r="Z277"/>
  <c r="Y276"/>
  <c r="Y298"/>
  <c r="X274"/>
  <c r="V274"/>
  <c r="Y273"/>
  <c r="Y272"/>
  <c r="Y271"/>
  <c r="Y270"/>
  <c r="Y269"/>
  <c r="Y268"/>
  <c r="Y267"/>
  <c r="V236"/>
  <c r="V257"/>
  <c r="V258"/>
  <c r="AK236"/>
  <c r="Z236"/>
  <c r="AH146" i="5"/>
  <c r="AI145"/>
  <c r="V233" i="6"/>
  <c r="V232"/>
  <c r="V231"/>
  <c r="V230"/>
  <c r="V228"/>
  <c r="V227"/>
  <c r="V226"/>
  <c r="V209"/>
  <c r="AB210"/>
  <c r="V210"/>
  <c r="Z210"/>
  <c r="Y197"/>
  <c r="V223"/>
  <c r="V225"/>
  <c r="V211"/>
  <c r="V212"/>
  <c r="V213"/>
  <c r="V214"/>
  <c r="V215"/>
  <c r="V217"/>
  <c r="V218"/>
  <c r="V219"/>
  <c r="V220"/>
  <c r="Y247"/>
  <c r="V256"/>
  <c r="V255"/>
  <c r="V253"/>
  <c r="V251"/>
  <c r="V250"/>
  <c r="V249"/>
  <c r="Z290"/>
  <c r="Z289"/>
  <c r="Z288"/>
  <c r="Z287"/>
  <c r="Z286"/>
  <c r="Z285"/>
  <c r="Z284"/>
  <c r="Z283"/>
  <c r="V235"/>
  <c r="V238"/>
  <c r="V239"/>
  <c r="V240"/>
  <c r="V241"/>
  <c r="V242"/>
  <c r="V244"/>
  <c r="V248"/>
  <c r="Z278"/>
  <c r="Z280"/>
  <c r="Z282"/>
  <c r="Z292"/>
  <c r="Z294"/>
  <c r="Z296"/>
  <c r="Z312"/>
  <c r="Z314"/>
  <c r="Z316"/>
  <c r="Z313"/>
  <c r="Z315"/>
  <c r="Z317"/>
  <c r="Y274"/>
  <c r="Z269"/>
  <c r="Z276"/>
  <c r="Z311"/>
  <c r="Z318"/>
  <c r="X248"/>
  <c r="AB249"/>
  <c r="AA248"/>
  <c r="X249"/>
  <c r="AA249"/>
  <c r="X251"/>
  <c r="AB251"/>
  <c r="AA251"/>
  <c r="X255"/>
  <c r="AA255"/>
  <c r="AK255"/>
  <c r="AB255"/>
  <c r="X250"/>
  <c r="AB250"/>
  <c r="AA250"/>
  <c r="X253"/>
  <c r="AB253"/>
  <c r="AA253"/>
  <c r="X256"/>
  <c r="AB256"/>
  <c r="AA256"/>
  <c r="AB246"/>
  <c r="Z246"/>
  <c r="AB242"/>
  <c r="Z242"/>
  <c r="AB238"/>
  <c r="Z238"/>
  <c r="AB244"/>
  <c r="Z244"/>
  <c r="AB241"/>
  <c r="Z241"/>
  <c r="AB239"/>
  <c r="Z239"/>
  <c r="AB235"/>
  <c r="Z235"/>
  <c r="AB240"/>
  <c r="Z240"/>
  <c r="AB220"/>
  <c r="Z220"/>
  <c r="AB218"/>
  <c r="Z218"/>
  <c r="AB215"/>
  <c r="Z215"/>
  <c r="AB213"/>
  <c r="Z213"/>
  <c r="AB211"/>
  <c r="Z211"/>
  <c r="AB223"/>
  <c r="Z223"/>
  <c r="AB226"/>
  <c r="Z226"/>
  <c r="AB228"/>
  <c r="Z228"/>
  <c r="AB231"/>
  <c r="Z231"/>
  <c r="AB233"/>
  <c r="Z233"/>
  <c r="AB219"/>
  <c r="Z219"/>
  <c r="AB217"/>
  <c r="Z217"/>
  <c r="AB214"/>
  <c r="Z214"/>
  <c r="AB212"/>
  <c r="Z212"/>
  <c r="AB227"/>
  <c r="Z227"/>
  <c r="AQ230"/>
  <c r="AM230"/>
  <c r="AH230"/>
  <c r="AF230"/>
  <c r="AC230"/>
  <c r="AR230"/>
  <c r="AP230"/>
  <c r="AL230"/>
  <c r="AG230"/>
  <c r="AD230"/>
  <c r="AK230"/>
  <c r="AB230"/>
  <c r="AB232"/>
  <c r="Z232"/>
  <c r="AQ255"/>
  <c r="AM255"/>
  <c r="AG255"/>
  <c r="AD255"/>
  <c r="AR255"/>
  <c r="AP255"/>
  <c r="AL255"/>
  <c r="AH255"/>
  <c r="AF255"/>
  <c r="AC255"/>
  <c r="AP236"/>
  <c r="AQ236"/>
  <c r="AR236"/>
  <c r="AL236"/>
  <c r="AM236"/>
  <c r="V243"/>
  <c r="Z243"/>
  <c r="Y249"/>
  <c r="Z251"/>
  <c r="Y251"/>
  <c r="Z255"/>
  <c r="Y255"/>
  <c r="V254"/>
  <c r="Z205"/>
  <c r="Y205"/>
  <c r="Y199"/>
  <c r="V245"/>
  <c r="Z250"/>
  <c r="Y250"/>
  <c r="Z253"/>
  <c r="Y253"/>
  <c r="Y252"/>
  <c r="V252"/>
  <c r="Z256"/>
  <c r="Y256"/>
  <c r="Z207"/>
  <c r="Y207"/>
  <c r="V206"/>
  <c r="Z200"/>
  <c r="Y200"/>
  <c r="Z225"/>
  <c r="V224"/>
  <c r="Z209"/>
  <c r="Z201"/>
  <c r="Y201"/>
  <c r="Z198"/>
  <c r="Y198"/>
  <c r="Z273"/>
  <c r="Z270"/>
  <c r="Z298"/>
  <c r="Z271"/>
  <c r="Z267"/>
  <c r="Z272"/>
  <c r="Z268"/>
  <c r="Z248"/>
  <c r="Y248"/>
  <c r="Z204"/>
  <c r="Y204"/>
  <c r="V203"/>
  <c r="V229"/>
  <c r="Z230"/>
  <c r="X254"/>
  <c r="AA254"/>
  <c r="X252"/>
  <c r="AA252"/>
  <c r="Z245"/>
  <c r="X206"/>
  <c r="AA203"/>
  <c r="X203"/>
  <c r="AQ256"/>
  <c r="AD256"/>
  <c r="AD254"/>
  <c r="AH256"/>
  <c r="AH254"/>
  <c r="AP256"/>
  <c r="AK256"/>
  <c r="AF256"/>
  <c r="AL256"/>
  <c r="AL254"/>
  <c r="AR256"/>
  <c r="AC256"/>
  <c r="AC254"/>
  <c r="AG256"/>
  <c r="AG254"/>
  <c r="AM256"/>
  <c r="AM254"/>
  <c r="AQ250"/>
  <c r="AF250"/>
  <c r="AL250"/>
  <c r="AR250"/>
  <c r="AC250"/>
  <c r="AK250"/>
  <c r="AN250"/>
  <c r="AD250"/>
  <c r="AH250"/>
  <c r="AP250"/>
  <c r="AG250"/>
  <c r="AM250"/>
  <c r="AI255"/>
  <c r="AF254"/>
  <c r="AT255"/>
  <c r="AR254"/>
  <c r="AB254"/>
  <c r="AE255"/>
  <c r="AD248"/>
  <c r="AH248"/>
  <c r="AF248"/>
  <c r="AC248"/>
  <c r="AG248"/>
  <c r="AR253"/>
  <c r="AQ253"/>
  <c r="AQ252"/>
  <c r="AK253"/>
  <c r="AC253"/>
  <c r="AC252"/>
  <c r="AB252"/>
  <c r="AM253"/>
  <c r="AM252"/>
  <c r="AG253"/>
  <c r="AG252"/>
  <c r="AD253"/>
  <c r="AD252"/>
  <c r="AH253"/>
  <c r="AH252"/>
  <c r="AP253"/>
  <c r="AF253"/>
  <c r="AL253"/>
  <c r="AL252"/>
  <c r="AS255"/>
  <c r="AP254"/>
  <c r="AN255"/>
  <c r="AK254"/>
  <c r="AR251"/>
  <c r="AM251"/>
  <c r="AG251"/>
  <c r="AQ251"/>
  <c r="AK251"/>
  <c r="AC251"/>
  <c r="AD251"/>
  <c r="AH251"/>
  <c r="AP251"/>
  <c r="AF251"/>
  <c r="AL251"/>
  <c r="AQ254"/>
  <c r="AQ240"/>
  <c r="AD240"/>
  <c r="AH240"/>
  <c r="AP240"/>
  <c r="AC240"/>
  <c r="AG240"/>
  <c r="AM240"/>
  <c r="AF240"/>
  <c r="AL240"/>
  <c r="AR240"/>
  <c r="AK240"/>
  <c r="AN240"/>
  <c r="AQ244"/>
  <c r="AQ243"/>
  <c r="AD244"/>
  <c r="AD243"/>
  <c r="AH244"/>
  <c r="AH243"/>
  <c r="AP244"/>
  <c r="AC244"/>
  <c r="AC243"/>
  <c r="AG244"/>
  <c r="AG243"/>
  <c r="AM244"/>
  <c r="AM243"/>
  <c r="AF244"/>
  <c r="AL244"/>
  <c r="AL243"/>
  <c r="AR244"/>
  <c r="AB243"/>
  <c r="AE244"/>
  <c r="AK244"/>
  <c r="AR239"/>
  <c r="AQ239"/>
  <c r="AK239"/>
  <c r="AC239"/>
  <c r="AG239"/>
  <c r="AM239"/>
  <c r="AF239"/>
  <c r="AL239"/>
  <c r="AD239"/>
  <c r="AH239"/>
  <c r="AP239"/>
  <c r="AR241"/>
  <c r="AM241"/>
  <c r="AG241"/>
  <c r="AQ241"/>
  <c r="AK241"/>
  <c r="AC241"/>
  <c r="AF241"/>
  <c r="AL241"/>
  <c r="AD241"/>
  <c r="AH241"/>
  <c r="AP241"/>
  <c r="AN236"/>
  <c r="AO236"/>
  <c r="AQ238"/>
  <c r="AD238"/>
  <c r="AH238"/>
  <c r="AP238"/>
  <c r="AC238"/>
  <c r="AG238"/>
  <c r="AM238"/>
  <c r="AF238"/>
  <c r="AL238"/>
  <c r="AR238"/>
  <c r="AK238"/>
  <c r="AN238"/>
  <c r="AQ242"/>
  <c r="AD242"/>
  <c r="AH242"/>
  <c r="AP242"/>
  <c r="AC242"/>
  <c r="AG242"/>
  <c r="AM242"/>
  <c r="AF242"/>
  <c r="AL242"/>
  <c r="AR242"/>
  <c r="AK242"/>
  <c r="AN242"/>
  <c r="AQ246"/>
  <c r="AQ245"/>
  <c r="AD246"/>
  <c r="AD245"/>
  <c r="AH246"/>
  <c r="AH245"/>
  <c r="AP246"/>
  <c r="AC246"/>
  <c r="AC245"/>
  <c r="AG246"/>
  <c r="AG245"/>
  <c r="AM246"/>
  <c r="AM245"/>
  <c r="AF246"/>
  <c r="AL246"/>
  <c r="AL245"/>
  <c r="AR246"/>
  <c r="AB245"/>
  <c r="AK246"/>
  <c r="AH235"/>
  <c r="AC235"/>
  <c r="AG235"/>
  <c r="AD235"/>
  <c r="AE235"/>
  <c r="AF235"/>
  <c r="AB234"/>
  <c r="AT236"/>
  <c r="AS236"/>
  <c r="AB224"/>
  <c r="AP232"/>
  <c r="AH232"/>
  <c r="AD232"/>
  <c r="AL232"/>
  <c r="AM232"/>
  <c r="AG232"/>
  <c r="AC232"/>
  <c r="AR232"/>
  <c r="AQ232"/>
  <c r="AK232"/>
  <c r="AE232"/>
  <c r="AF232"/>
  <c r="AS230"/>
  <c r="AI230"/>
  <c r="AE230"/>
  <c r="AB229"/>
  <c r="AR227"/>
  <c r="AL227"/>
  <c r="AC227"/>
  <c r="AG227"/>
  <c r="AM227"/>
  <c r="AD227"/>
  <c r="AH227"/>
  <c r="AP227"/>
  <c r="AK227"/>
  <c r="AQ227"/>
  <c r="AF227"/>
  <c r="AH209"/>
  <c r="AG209"/>
  <c r="AC209"/>
  <c r="AE209"/>
  <c r="AD209"/>
  <c r="AF209"/>
  <c r="AE225"/>
  <c r="AR231"/>
  <c r="AM231"/>
  <c r="AG231"/>
  <c r="AK231"/>
  <c r="AQ231"/>
  <c r="AC231"/>
  <c r="AH231"/>
  <c r="AF231"/>
  <c r="AL231"/>
  <c r="AD231"/>
  <c r="AP231"/>
  <c r="AR228"/>
  <c r="AM228"/>
  <c r="AG228"/>
  <c r="AQ228"/>
  <c r="AC228"/>
  <c r="AK228"/>
  <c r="AL228"/>
  <c r="AD228"/>
  <c r="AE228"/>
  <c r="AH228"/>
  <c r="AP228"/>
  <c r="AF228"/>
  <c r="AR226"/>
  <c r="AQ226"/>
  <c r="AK226"/>
  <c r="AC226"/>
  <c r="AM226"/>
  <c r="AG226"/>
  <c r="AD226"/>
  <c r="AF226"/>
  <c r="AL226"/>
  <c r="AH226"/>
  <c r="AP226"/>
  <c r="AR223"/>
  <c r="AM223"/>
  <c r="AG223"/>
  <c r="AK223"/>
  <c r="AQ223"/>
  <c r="AC223"/>
  <c r="AL223"/>
  <c r="AD223"/>
  <c r="AH223"/>
  <c r="AP223"/>
  <c r="AF223"/>
  <c r="AR211"/>
  <c r="AM211"/>
  <c r="AG211"/>
  <c r="AQ211"/>
  <c r="AC211"/>
  <c r="AK211"/>
  <c r="AF211"/>
  <c r="AD211"/>
  <c r="AH211"/>
  <c r="AP211"/>
  <c r="AL211"/>
  <c r="AR215"/>
  <c r="AM215"/>
  <c r="AG215"/>
  <c r="AK215"/>
  <c r="AC215"/>
  <c r="AQ215"/>
  <c r="AD215"/>
  <c r="AH215"/>
  <c r="AP215"/>
  <c r="AF215"/>
  <c r="AL215"/>
  <c r="AG220"/>
  <c r="AQ220"/>
  <c r="AK220"/>
  <c r="AC220"/>
  <c r="AR220"/>
  <c r="AH220"/>
  <c r="AP220"/>
  <c r="AF220"/>
  <c r="AM220"/>
  <c r="AD220"/>
  <c r="AL220"/>
  <c r="AP212"/>
  <c r="AR212"/>
  <c r="AH212"/>
  <c r="AQ212"/>
  <c r="AK212"/>
  <c r="AC212"/>
  <c r="AF212"/>
  <c r="AD212"/>
  <c r="AL212"/>
  <c r="AM212"/>
  <c r="AG212"/>
  <c r="AR219"/>
  <c r="AM219"/>
  <c r="AG219"/>
  <c r="AQ219"/>
  <c r="AC219"/>
  <c r="AK219"/>
  <c r="AL219"/>
  <c r="AD219"/>
  <c r="AH219"/>
  <c r="AP219"/>
  <c r="AF219"/>
  <c r="AT230"/>
  <c r="AN230"/>
  <c r="AN225"/>
  <c r="AM224"/>
  <c r="AI225"/>
  <c r="AR217"/>
  <c r="AQ217"/>
  <c r="AK217"/>
  <c r="AC217"/>
  <c r="AM217"/>
  <c r="AG217"/>
  <c r="AD217"/>
  <c r="AF217"/>
  <c r="AL217"/>
  <c r="AH217"/>
  <c r="AP217"/>
  <c r="AR233"/>
  <c r="AQ233"/>
  <c r="AK233"/>
  <c r="AC233"/>
  <c r="AM233"/>
  <c r="AG233"/>
  <c r="AF233"/>
  <c r="AD233"/>
  <c r="AH233"/>
  <c r="AP233"/>
  <c r="AL233"/>
  <c r="AR213"/>
  <c r="AQ213"/>
  <c r="AK213"/>
  <c r="AC213"/>
  <c r="AM213"/>
  <c r="AG213"/>
  <c r="AF213"/>
  <c r="AL213"/>
  <c r="AD213"/>
  <c r="AH213"/>
  <c r="AP213"/>
  <c r="AP218"/>
  <c r="AD218"/>
  <c r="AL218"/>
  <c r="AM218"/>
  <c r="AG218"/>
  <c r="AF218"/>
  <c r="AH218"/>
  <c r="AQ218"/>
  <c r="AK218"/>
  <c r="AC218"/>
  <c r="AR218"/>
  <c r="AQ214"/>
  <c r="AK214"/>
  <c r="AC214"/>
  <c r="AR214"/>
  <c r="AD214"/>
  <c r="AL214"/>
  <c r="AM214"/>
  <c r="AG214"/>
  <c r="AF214"/>
  <c r="AH214"/>
  <c r="AP214"/>
  <c r="Y203"/>
  <c r="Z249"/>
  <c r="Z224"/>
  <c r="Y206"/>
  <c r="Z206"/>
  <c r="Z252"/>
  <c r="Y254"/>
  <c r="Z229"/>
  <c r="Z203"/>
  <c r="Z199"/>
  <c r="Z254"/>
  <c r="Z234"/>
  <c r="Z274"/>
  <c r="AS251"/>
  <c r="AB247"/>
  <c r="AI251"/>
  <c r="AE252"/>
  <c r="AI254"/>
  <c r="AI240"/>
  <c r="AA206"/>
  <c r="AS256"/>
  <c r="AE251"/>
  <c r="AJ251"/>
  <c r="AE240"/>
  <c r="AS233"/>
  <c r="AE233"/>
  <c r="AK229"/>
  <c r="AR229"/>
  <c r="AI232"/>
  <c r="AM229"/>
  <c r="AJ230"/>
  <c r="AO230"/>
  <c r="AI228"/>
  <c r="AI227"/>
  <c r="AN227"/>
  <c r="AP224"/>
  <c r="AL224"/>
  <c r="AD224"/>
  <c r="AH224"/>
  <c r="AF224"/>
  <c r="AI224"/>
  <c r="AG224"/>
  <c r="AC224"/>
  <c r="AQ224"/>
  <c r="AE223"/>
  <c r="AI223"/>
  <c r="AI220"/>
  <c r="AI219"/>
  <c r="AS219"/>
  <c r="AE219"/>
  <c r="AE218"/>
  <c r="AS218"/>
  <c r="AS217"/>
  <c r="AN217"/>
  <c r="AE217"/>
  <c r="AN215"/>
  <c r="AS215"/>
  <c r="AE215"/>
  <c r="AS214"/>
  <c r="AI214"/>
  <c r="AS211"/>
  <c r="AF252"/>
  <c r="AI252"/>
  <c r="AI253"/>
  <c r="AK252"/>
  <c r="AN252"/>
  <c r="AN253"/>
  <c r="AR252"/>
  <c r="AT253"/>
  <c r="AI248"/>
  <c r="AN251"/>
  <c r="AO251"/>
  <c r="AN254"/>
  <c r="AS254"/>
  <c r="AE253"/>
  <c r="AJ255"/>
  <c r="AO255"/>
  <c r="AT254"/>
  <c r="AS250"/>
  <c r="AE250"/>
  <c r="AT256"/>
  <c r="AI256"/>
  <c r="AE256"/>
  <c r="AS253"/>
  <c r="AP252"/>
  <c r="AH249"/>
  <c r="AH247"/>
  <c r="AD249"/>
  <c r="AD247"/>
  <c r="AF249"/>
  <c r="AG249"/>
  <c r="AG247"/>
  <c r="AC249"/>
  <c r="AT251"/>
  <c r="AC247"/>
  <c r="AE248"/>
  <c r="AT250"/>
  <c r="AI250"/>
  <c r="AE254"/>
  <c r="AJ254"/>
  <c r="AO254"/>
  <c r="AN256"/>
  <c r="AE246"/>
  <c r="AG234"/>
  <c r="AH234"/>
  <c r="AI238"/>
  <c r="AE238"/>
  <c r="AN241"/>
  <c r="AS239"/>
  <c r="AE239"/>
  <c r="AI239"/>
  <c r="AN239"/>
  <c r="AI242"/>
  <c r="AE242"/>
  <c r="AJ240"/>
  <c r="AO240"/>
  <c r="AR245"/>
  <c r="AT246"/>
  <c r="AS246"/>
  <c r="AP245"/>
  <c r="AK245"/>
  <c r="AN245"/>
  <c r="AN246"/>
  <c r="AN244"/>
  <c r="AK243"/>
  <c r="AN243"/>
  <c r="AD234"/>
  <c r="AE245"/>
  <c r="AC234"/>
  <c r="AE234"/>
  <c r="AS241"/>
  <c r="AE241"/>
  <c r="AI241"/>
  <c r="AT241"/>
  <c r="AE243"/>
  <c r="AI235"/>
  <c r="AJ235"/>
  <c r="AK235"/>
  <c r="AI246"/>
  <c r="AJ246"/>
  <c r="AO246"/>
  <c r="AF245"/>
  <c r="AI245"/>
  <c r="AR243"/>
  <c r="AT244"/>
  <c r="AI244"/>
  <c r="AJ244"/>
  <c r="AO244"/>
  <c r="AF243"/>
  <c r="AI243"/>
  <c r="AS244"/>
  <c r="AP243"/>
  <c r="AT242"/>
  <c r="AS242"/>
  <c r="AT238"/>
  <c r="AS238"/>
  <c r="AT239"/>
  <c r="AT240"/>
  <c r="AS240"/>
  <c r="AD229"/>
  <c r="AC229"/>
  <c r="AL229"/>
  <c r="AH229"/>
  <c r="AQ229"/>
  <c r="AG229"/>
  <c r="AN232"/>
  <c r="AN229"/>
  <c r="AS231"/>
  <c r="AE231"/>
  <c r="AI231"/>
  <c r="AP229"/>
  <c r="AS232"/>
  <c r="AF229"/>
  <c r="AE227"/>
  <c r="AJ227"/>
  <c r="AN223"/>
  <c r="AI218"/>
  <c r="AS213"/>
  <c r="AE213"/>
  <c r="AI213"/>
  <c r="AE211"/>
  <c r="AN226"/>
  <c r="AK224"/>
  <c r="AI209"/>
  <c r="AT213"/>
  <c r="AT214"/>
  <c r="AN214"/>
  <c r="AT218"/>
  <c r="AN218"/>
  <c r="AN213"/>
  <c r="AI233"/>
  <c r="AN233"/>
  <c r="AT233"/>
  <c r="AI217"/>
  <c r="AN219"/>
  <c r="AT219"/>
  <c r="AE212"/>
  <c r="AS212"/>
  <c r="AT212"/>
  <c r="AS220"/>
  <c r="AT220"/>
  <c r="AN220"/>
  <c r="AI215"/>
  <c r="AN211"/>
  <c r="AI211"/>
  <c r="AT211"/>
  <c r="AS223"/>
  <c r="AJ223"/>
  <c r="AS226"/>
  <c r="AE226"/>
  <c r="AT226"/>
  <c r="AS228"/>
  <c r="AN228"/>
  <c r="AT228"/>
  <c r="AN231"/>
  <c r="AT231"/>
  <c r="AJ225"/>
  <c r="AT227"/>
  <c r="AS227"/>
  <c r="AJ232"/>
  <c r="AG210"/>
  <c r="AF210"/>
  <c r="AH210"/>
  <c r="AC210"/>
  <c r="AD210"/>
  <c r="AE214"/>
  <c r="AJ218"/>
  <c r="AT217"/>
  <c r="AI212"/>
  <c r="AN212"/>
  <c r="AE220"/>
  <c r="AJ215"/>
  <c r="AT215"/>
  <c r="AJ211"/>
  <c r="AT223"/>
  <c r="AI226"/>
  <c r="AJ228"/>
  <c r="AJ209"/>
  <c r="AK209"/>
  <c r="AT232"/>
  <c r="Z197"/>
  <c r="Z247"/>
  <c r="AJ253"/>
  <c r="AO253"/>
  <c r="AT252"/>
  <c r="AJ252"/>
  <c r="AJ238"/>
  <c r="AO238"/>
  <c r="AS245"/>
  <c r="AS229"/>
  <c r="AT229"/>
  <c r="AE229"/>
  <c r="AJ250"/>
  <c r="AO250"/>
  <c r="AE249"/>
  <c r="AJ242"/>
  <c r="AO242"/>
  <c r="AJ233"/>
  <c r="AO232"/>
  <c r="AO228"/>
  <c r="AO227"/>
  <c r="AJ226"/>
  <c r="AN224"/>
  <c r="AE224"/>
  <c r="AO225"/>
  <c r="AR225"/>
  <c r="AO223"/>
  <c r="AJ220"/>
  <c r="AJ219"/>
  <c r="AO218"/>
  <c r="AJ217"/>
  <c r="AO215"/>
  <c r="AJ214"/>
  <c r="AJ213"/>
  <c r="AO211"/>
  <c r="AE247"/>
  <c r="AI249"/>
  <c r="AS252"/>
  <c r="AJ256"/>
  <c r="AO256"/>
  <c r="AF247"/>
  <c r="AI247"/>
  <c r="AJ249"/>
  <c r="AK249"/>
  <c r="AJ248"/>
  <c r="AK248"/>
  <c r="AO252"/>
  <c r="AT243"/>
  <c r="AF234"/>
  <c r="AI234"/>
  <c r="AJ234"/>
  <c r="AJ239"/>
  <c r="AO239"/>
  <c r="AP235"/>
  <c r="AK234"/>
  <c r="AM235"/>
  <c r="AM234"/>
  <c r="AR235"/>
  <c r="AL235"/>
  <c r="AL234"/>
  <c r="AQ235"/>
  <c r="AQ234"/>
  <c r="AN235"/>
  <c r="AO235"/>
  <c r="AS243"/>
  <c r="AJ243"/>
  <c r="AO243"/>
  <c r="AJ241"/>
  <c r="AO241"/>
  <c r="AJ245"/>
  <c r="AO245"/>
  <c r="AT245"/>
  <c r="AO233"/>
  <c r="AI229"/>
  <c r="AJ231"/>
  <c r="AO213"/>
  <c r="AJ212"/>
  <c r="AI210"/>
  <c r="AP209"/>
  <c r="AM209"/>
  <c r="AR209"/>
  <c r="AL209"/>
  <c r="AQ209"/>
  <c r="AE210"/>
  <c r="AO214"/>
  <c r="AJ247"/>
  <c r="AJ229"/>
  <c r="AO231"/>
  <c r="AO229"/>
  <c r="AJ224"/>
  <c r="AO226"/>
  <c r="AO220"/>
  <c r="AO219"/>
  <c r="AO217"/>
  <c r="AO212"/>
  <c r="AN209"/>
  <c r="AJ210"/>
  <c r="AK210"/>
  <c r="AP249"/>
  <c r="AL249"/>
  <c r="AM249"/>
  <c r="AR249"/>
  <c r="AQ249"/>
  <c r="AM248"/>
  <c r="AP248"/>
  <c r="AK247"/>
  <c r="AQ248"/>
  <c r="AQ247"/>
  <c r="AR248"/>
  <c r="AL248"/>
  <c r="AN234"/>
  <c r="AO234"/>
  <c r="AP234"/>
  <c r="AS235"/>
  <c r="AR234"/>
  <c r="AT235"/>
  <c r="AS209"/>
  <c r="AT209"/>
  <c r="AL247"/>
  <c r="AM247"/>
  <c r="AN247"/>
  <c r="AO247"/>
  <c r="AN249"/>
  <c r="AO249"/>
  <c r="AO224"/>
  <c r="AT225"/>
  <c r="AR224"/>
  <c r="AS225"/>
  <c r="AO209"/>
  <c r="AP247"/>
  <c r="AS248"/>
  <c r="AT248"/>
  <c r="AR247"/>
  <c r="AT249"/>
  <c r="AN248"/>
  <c r="AO248"/>
  <c r="AS249"/>
  <c r="AT234"/>
  <c r="AS234"/>
  <c r="U127" i="5"/>
  <c r="W127"/>
  <c r="U107"/>
  <c r="Y135"/>
  <c r="AJ128"/>
  <c r="AH128"/>
  <c r="AD128"/>
  <c r="Z128"/>
  <c r="Y128"/>
  <c r="Y122"/>
  <c r="AJ115"/>
  <c r="AH115"/>
  <c r="AD115"/>
  <c r="Z115"/>
  <c r="Y115"/>
  <c r="AI114"/>
  <c r="AE114"/>
  <c r="AA114"/>
  <c r="Y114"/>
  <c r="U109"/>
  <c r="W109"/>
  <c r="Y92"/>
  <c r="W92"/>
  <c r="X92"/>
  <c r="AH91"/>
  <c r="AD91"/>
  <c r="Z91"/>
  <c r="Y91"/>
  <c r="X91"/>
  <c r="W91"/>
  <c r="U104"/>
  <c r="AJ74"/>
  <c r="AH74"/>
  <c r="AD74"/>
  <c r="Z74"/>
  <c r="Y74"/>
  <c r="Y71"/>
  <c r="I94" i="58"/>
  <c r="V97"/>
  <c r="I97"/>
  <c r="Y107" i="5"/>
  <c r="W107"/>
  <c r="AT247" i="6"/>
  <c r="AS224"/>
  <c r="AT224"/>
  <c r="AQ210"/>
  <c r="AP210"/>
  <c r="AM210"/>
  <c r="AR210"/>
  <c r="AL210"/>
  <c r="AS247"/>
  <c r="U136" i="5"/>
  <c r="U137"/>
  <c r="Y104"/>
  <c r="W104"/>
  <c r="X104"/>
  <c r="AI91"/>
  <c r="AE91"/>
  <c r="U121"/>
  <c r="W121"/>
  <c r="U120"/>
  <c r="U118"/>
  <c r="W118"/>
  <c r="U116"/>
  <c r="W116"/>
  <c r="U113"/>
  <c r="W113"/>
  <c r="U112"/>
  <c r="W112"/>
  <c r="U111"/>
  <c r="W111"/>
  <c r="U64"/>
  <c r="U65"/>
  <c r="U66"/>
  <c r="U67"/>
  <c r="U68"/>
  <c r="U69"/>
  <c r="U70"/>
  <c r="AA71"/>
  <c r="AE71"/>
  <c r="Z71"/>
  <c r="AB71"/>
  <c r="AD71"/>
  <c r="AH71"/>
  <c r="AJ71"/>
  <c r="U73"/>
  <c r="AA74"/>
  <c r="AB74"/>
  <c r="AG74"/>
  <c r="AC74"/>
  <c r="AF74"/>
  <c r="AE74"/>
  <c r="AI74"/>
  <c r="W79"/>
  <c r="U80"/>
  <c r="U81"/>
  <c r="U82"/>
  <c r="U83"/>
  <c r="U84"/>
  <c r="U85"/>
  <c r="U86"/>
  <c r="U87"/>
  <c r="U88"/>
  <c r="U89"/>
  <c r="U90"/>
  <c r="AA91"/>
  <c r="AB91"/>
  <c r="AG91"/>
  <c r="AC91"/>
  <c r="AF91"/>
  <c r="AJ91"/>
  <c r="AA92"/>
  <c r="AE92"/>
  <c r="AI92"/>
  <c r="U98"/>
  <c r="U100"/>
  <c r="U102"/>
  <c r="U108"/>
  <c r="W108"/>
  <c r="U110"/>
  <c r="W110"/>
  <c r="U97"/>
  <c r="U95"/>
  <c r="U94"/>
  <c r="U93"/>
  <c r="AJ92"/>
  <c r="AH92"/>
  <c r="AD92"/>
  <c r="Z92"/>
  <c r="AB92"/>
  <c r="Y109"/>
  <c r="AC71"/>
  <c r="AI71"/>
  <c r="U75"/>
  <c r="U77"/>
  <c r="U78"/>
  <c r="AK91"/>
  <c r="AC92"/>
  <c r="U99"/>
  <c r="U103"/>
  <c r="U105"/>
  <c r="AJ114"/>
  <c r="AH114"/>
  <c r="AD114"/>
  <c r="Z114"/>
  <c r="AB114"/>
  <c r="AC114"/>
  <c r="Y127"/>
  <c r="AK115"/>
  <c r="AA122"/>
  <c r="AC122"/>
  <c r="AE122"/>
  <c r="AI122"/>
  <c r="U129"/>
  <c r="W129"/>
  <c r="U131"/>
  <c r="W131"/>
  <c r="U133"/>
  <c r="U134"/>
  <c r="W134"/>
  <c r="AA135"/>
  <c r="AC135"/>
  <c r="AE135"/>
  <c r="AI135"/>
  <c r="AA115"/>
  <c r="AB115"/>
  <c r="AC115"/>
  <c r="AE115"/>
  <c r="AI115"/>
  <c r="Z122"/>
  <c r="AB122"/>
  <c r="AD122"/>
  <c r="AH122"/>
  <c r="AK122"/>
  <c r="AJ122"/>
  <c r="U124"/>
  <c r="U125"/>
  <c r="W125"/>
  <c r="U126"/>
  <c r="W126"/>
  <c r="AA128"/>
  <c r="AB128"/>
  <c r="AC128"/>
  <c r="AE128"/>
  <c r="AI128"/>
  <c r="AK128"/>
  <c r="Z135"/>
  <c r="AB135"/>
  <c r="AD135"/>
  <c r="AH135"/>
  <c r="AK135"/>
  <c r="AJ135"/>
  <c r="U98" i="58"/>
  <c r="S98"/>
  <c r="Q98"/>
  <c r="O98"/>
  <c r="M98"/>
  <c r="K98"/>
  <c r="V98"/>
  <c r="T98"/>
  <c r="R98"/>
  <c r="P98"/>
  <c r="N98"/>
  <c r="L98"/>
  <c r="J98"/>
  <c r="W124" i="5"/>
  <c r="Y124"/>
  <c r="W133"/>
  <c r="AO133"/>
  <c r="AM133"/>
  <c r="AN133"/>
  <c r="AO127"/>
  <c r="AM127"/>
  <c r="AN127"/>
  <c r="AP127"/>
  <c r="AO109"/>
  <c r="AM109"/>
  <c r="AN109"/>
  <c r="AP109"/>
  <c r="W120"/>
  <c r="AO120"/>
  <c r="AM120"/>
  <c r="AN120"/>
  <c r="AN104"/>
  <c r="AO104"/>
  <c r="AM104"/>
  <c r="AN102"/>
  <c r="AO102"/>
  <c r="AM102"/>
  <c r="AT210" i="6"/>
  <c r="AS210"/>
  <c r="AN210"/>
  <c r="AI133" i="5"/>
  <c r="AE133"/>
  <c r="AC133"/>
  <c r="AA133"/>
  <c r="Y133"/>
  <c r="AJ133"/>
  <c r="AH133"/>
  <c r="AD133"/>
  <c r="Z133"/>
  <c r="U132"/>
  <c r="W132"/>
  <c r="Y129"/>
  <c r="Y103"/>
  <c r="W103"/>
  <c r="X103"/>
  <c r="AJ77"/>
  <c r="AH77"/>
  <c r="AD77"/>
  <c r="Z77"/>
  <c r="U76"/>
  <c r="AI77"/>
  <c r="AE77"/>
  <c r="AC77"/>
  <c r="AA77"/>
  <c r="Y77"/>
  <c r="W93"/>
  <c r="X93"/>
  <c r="Y93"/>
  <c r="W95"/>
  <c r="X95"/>
  <c r="Y95"/>
  <c r="Y100"/>
  <c r="W100"/>
  <c r="X100"/>
  <c r="Y89"/>
  <c r="W89"/>
  <c r="X89"/>
  <c r="Y87"/>
  <c r="W87"/>
  <c r="X87"/>
  <c r="Y85"/>
  <c r="W85"/>
  <c r="X85"/>
  <c r="Y83"/>
  <c r="W83"/>
  <c r="X83"/>
  <c r="W81"/>
  <c r="X81"/>
  <c r="Y73"/>
  <c r="U72"/>
  <c r="Y69"/>
  <c r="Y67"/>
  <c r="Y111"/>
  <c r="Y113"/>
  <c r="Y118"/>
  <c r="U117"/>
  <c r="W117"/>
  <c r="Y121"/>
  <c r="Y126"/>
  <c r="Y134"/>
  <c r="Y131"/>
  <c r="U130"/>
  <c r="W130"/>
  <c r="AJ127"/>
  <c r="AH127"/>
  <c r="AD127"/>
  <c r="Z127"/>
  <c r="AI127"/>
  <c r="AE127"/>
  <c r="AC127"/>
  <c r="AA127"/>
  <c r="Y105"/>
  <c r="W105"/>
  <c r="X105"/>
  <c r="Y99"/>
  <c r="W99"/>
  <c r="X99"/>
  <c r="Y78"/>
  <c r="Y75"/>
  <c r="AI109"/>
  <c r="AE109"/>
  <c r="AC109"/>
  <c r="AA109"/>
  <c r="AH109"/>
  <c r="AD109"/>
  <c r="Z109"/>
  <c r="AJ109"/>
  <c r="AB109"/>
  <c r="Y108"/>
  <c r="AE107"/>
  <c r="AC107"/>
  <c r="AA107"/>
  <c r="AD107"/>
  <c r="Z107"/>
  <c r="Y94"/>
  <c r="W94"/>
  <c r="X94"/>
  <c r="U96"/>
  <c r="W97"/>
  <c r="X97"/>
  <c r="Y110"/>
  <c r="AI102"/>
  <c r="AE102"/>
  <c r="AC102"/>
  <c r="AA102"/>
  <c r="Y102"/>
  <c r="W102"/>
  <c r="AJ102"/>
  <c r="U101"/>
  <c r="AH102"/>
  <c r="AD102"/>
  <c r="Z102"/>
  <c r="Y98"/>
  <c r="W98"/>
  <c r="X98"/>
  <c r="Y90"/>
  <c r="W90"/>
  <c r="X90"/>
  <c r="Y88"/>
  <c r="W88"/>
  <c r="X88"/>
  <c r="Y86"/>
  <c r="W86"/>
  <c r="X86"/>
  <c r="Y84"/>
  <c r="W84"/>
  <c r="X84"/>
  <c r="Y82"/>
  <c r="W82"/>
  <c r="X82"/>
  <c r="W80"/>
  <c r="X80"/>
  <c r="Y70"/>
  <c r="Y68"/>
  <c r="Y66"/>
  <c r="Y112"/>
  <c r="Y116"/>
  <c r="AI120"/>
  <c r="AE120"/>
  <c r="AC120"/>
  <c r="AA120"/>
  <c r="Y120"/>
  <c r="AJ120"/>
  <c r="AH120"/>
  <c r="AD120"/>
  <c r="Z120"/>
  <c r="U119"/>
  <c r="W119"/>
  <c r="AI104"/>
  <c r="AE104"/>
  <c r="AC104"/>
  <c r="AA104"/>
  <c r="AJ104"/>
  <c r="AH104"/>
  <c r="AD104"/>
  <c r="Z104"/>
  <c r="AB104"/>
  <c r="AG135"/>
  <c r="AK74"/>
  <c r="AF128"/>
  <c r="AG128"/>
  <c r="AF115"/>
  <c r="AG115"/>
  <c r="AF135"/>
  <c r="AF122"/>
  <c r="AG122"/>
  <c r="AF114"/>
  <c r="AG114"/>
  <c r="AK114"/>
  <c r="AF92"/>
  <c r="AG92"/>
  <c r="AF71"/>
  <c r="AG71"/>
  <c r="AK92"/>
  <c r="AK71"/>
  <c r="AO131"/>
  <c r="AM131"/>
  <c r="AM130"/>
  <c r="AN131"/>
  <c r="AO126"/>
  <c r="AM126"/>
  <c r="AN126"/>
  <c r="AQ127"/>
  <c r="AO134"/>
  <c r="AM134"/>
  <c r="AM132"/>
  <c r="AN134"/>
  <c r="AP134"/>
  <c r="AO129"/>
  <c r="AM129"/>
  <c r="AN129"/>
  <c r="AP133"/>
  <c r="AQ133"/>
  <c r="AO132"/>
  <c r="AO112"/>
  <c r="AM112"/>
  <c r="AN112"/>
  <c r="AO121"/>
  <c r="AM121"/>
  <c r="AN121"/>
  <c r="AP121"/>
  <c r="AO118"/>
  <c r="AM118"/>
  <c r="AM117"/>
  <c r="AN118"/>
  <c r="AO111"/>
  <c r="AM111"/>
  <c r="AN111"/>
  <c r="AP111"/>
  <c r="AP120"/>
  <c r="AN119"/>
  <c r="AQ120"/>
  <c r="AO119"/>
  <c r="AQ109"/>
  <c r="AO116"/>
  <c r="AM116"/>
  <c r="AN116"/>
  <c r="AP116"/>
  <c r="AO110"/>
  <c r="AM110"/>
  <c r="AN110"/>
  <c r="AO113"/>
  <c r="AM113"/>
  <c r="AN113"/>
  <c r="AP113"/>
  <c r="AM119"/>
  <c r="AM84"/>
  <c r="AN84"/>
  <c r="AP84"/>
  <c r="AO84"/>
  <c r="AO86"/>
  <c r="AN86"/>
  <c r="AM86"/>
  <c r="AN88"/>
  <c r="AO88"/>
  <c r="AM88"/>
  <c r="AM90"/>
  <c r="AN90"/>
  <c r="AO90"/>
  <c r="AN100"/>
  <c r="AO100"/>
  <c r="AM100"/>
  <c r="AN103"/>
  <c r="AO103"/>
  <c r="AM103"/>
  <c r="AQ102"/>
  <c r="AO101"/>
  <c r="AP104"/>
  <c r="AO82"/>
  <c r="AN82"/>
  <c r="AP82"/>
  <c r="AM82"/>
  <c r="AN98"/>
  <c r="AO98"/>
  <c r="AM98"/>
  <c r="AO94"/>
  <c r="AN94"/>
  <c r="AP94"/>
  <c r="AM94"/>
  <c r="AM99"/>
  <c r="AN99"/>
  <c r="AO99"/>
  <c r="AM105"/>
  <c r="AN105"/>
  <c r="AP105"/>
  <c r="AO105"/>
  <c r="AN83"/>
  <c r="AO83"/>
  <c r="AM83"/>
  <c r="AM85"/>
  <c r="AN85"/>
  <c r="AP85"/>
  <c r="AO85"/>
  <c r="AO87"/>
  <c r="AN87"/>
  <c r="AM87"/>
  <c r="AM89"/>
  <c r="AN89"/>
  <c r="AP89"/>
  <c r="AO89"/>
  <c r="AN95"/>
  <c r="AO95"/>
  <c r="AM95"/>
  <c r="AN93"/>
  <c r="AO93"/>
  <c r="AM93"/>
  <c r="AP102"/>
  <c r="AM96"/>
  <c r="AM101"/>
  <c r="AQ104"/>
  <c r="AB107"/>
  <c r="AO210" i="6"/>
  <c r="AB127" i="5"/>
  <c r="W101"/>
  <c r="AI116"/>
  <c r="AE116"/>
  <c r="AC116"/>
  <c r="AA116"/>
  <c r="AJ116"/>
  <c r="AH116"/>
  <c r="AD116"/>
  <c r="Z116"/>
  <c r="AB116"/>
  <c r="AJ112"/>
  <c r="AH112"/>
  <c r="AD112"/>
  <c r="AB112"/>
  <c r="Z112"/>
  <c r="AI112"/>
  <c r="AE112"/>
  <c r="AC112"/>
  <c r="AF112"/>
  <c r="AA112"/>
  <c r="AH68"/>
  <c r="AI68"/>
  <c r="AE68"/>
  <c r="AC68"/>
  <c r="AA68"/>
  <c r="AJ68"/>
  <c r="AD68"/>
  <c r="Z68"/>
  <c r="AB68"/>
  <c r="Y81"/>
  <c r="AE80"/>
  <c r="AC80"/>
  <c r="AA80"/>
  <c r="AD80"/>
  <c r="Z80"/>
  <c r="AB80"/>
  <c r="AI84"/>
  <c r="AE84"/>
  <c r="AC84"/>
  <c r="AA84"/>
  <c r="AJ84"/>
  <c r="AH84"/>
  <c r="AK84"/>
  <c r="AD84"/>
  <c r="AB84"/>
  <c r="Z84"/>
  <c r="AI110"/>
  <c r="AE110"/>
  <c r="AC110"/>
  <c r="AA110"/>
  <c r="AJ110"/>
  <c r="AH110"/>
  <c r="AK110"/>
  <c r="AD110"/>
  <c r="Z110"/>
  <c r="AB110"/>
  <c r="AF97"/>
  <c r="AI134"/>
  <c r="AE134"/>
  <c r="AC134"/>
  <c r="AA134"/>
  <c r="AJ134"/>
  <c r="AH134"/>
  <c r="AD134"/>
  <c r="Z134"/>
  <c r="AB134"/>
  <c r="AK120"/>
  <c r="Y119"/>
  <c r="AB120"/>
  <c r="AF120"/>
  <c r="Z64"/>
  <c r="Y65"/>
  <c r="AE64"/>
  <c r="AC64"/>
  <c r="AA64"/>
  <c r="AD64"/>
  <c r="AH66"/>
  <c r="AD66"/>
  <c r="AI66"/>
  <c r="AE66"/>
  <c r="AC66"/>
  <c r="AF66"/>
  <c r="AA66"/>
  <c r="AJ66"/>
  <c r="AB66"/>
  <c r="AG66"/>
  <c r="Z66"/>
  <c r="AH70"/>
  <c r="AD70"/>
  <c r="AI70"/>
  <c r="AE70"/>
  <c r="AC70"/>
  <c r="AA70"/>
  <c r="AJ70"/>
  <c r="AB70"/>
  <c r="Z70"/>
  <c r="AI82"/>
  <c r="AE82"/>
  <c r="AC82"/>
  <c r="AA82"/>
  <c r="AJ82"/>
  <c r="AH82"/>
  <c r="AD82"/>
  <c r="Z82"/>
  <c r="AB82"/>
  <c r="AI86"/>
  <c r="AE86"/>
  <c r="AC86"/>
  <c r="AA86"/>
  <c r="AJ86"/>
  <c r="AH86"/>
  <c r="AK86"/>
  <c r="AD86"/>
  <c r="AB86"/>
  <c r="Z86"/>
  <c r="AI90"/>
  <c r="AE90"/>
  <c r="AC90"/>
  <c r="AA90"/>
  <c r="AJ90"/>
  <c r="AH90"/>
  <c r="AD90"/>
  <c r="Z90"/>
  <c r="AB90"/>
  <c r="AK102"/>
  <c r="Y101"/>
  <c r="AB102"/>
  <c r="AF102"/>
  <c r="AB97"/>
  <c r="Y96"/>
  <c r="AK97"/>
  <c r="AF107"/>
  <c r="AE108"/>
  <c r="AC108"/>
  <c r="AA108"/>
  <c r="AD108"/>
  <c r="Z108"/>
  <c r="AJ75"/>
  <c r="AH75"/>
  <c r="AD75"/>
  <c r="Z75"/>
  <c r="AI75"/>
  <c r="AE75"/>
  <c r="AC75"/>
  <c r="AF75"/>
  <c r="AA75"/>
  <c r="AB75"/>
  <c r="AI105"/>
  <c r="AE105"/>
  <c r="AC105"/>
  <c r="AF105"/>
  <c r="AA105"/>
  <c r="AH105"/>
  <c r="AD105"/>
  <c r="Z105"/>
  <c r="AB105"/>
  <c r="AG105"/>
  <c r="AJ105"/>
  <c r="AI131"/>
  <c r="AI130"/>
  <c r="AE131"/>
  <c r="AE130"/>
  <c r="AC131"/>
  <c r="AA131"/>
  <c r="AA130"/>
  <c r="Y130"/>
  <c r="AJ131"/>
  <c r="AJ130"/>
  <c r="AH131"/>
  <c r="AD131"/>
  <c r="AD130"/>
  <c r="Z131"/>
  <c r="Z130"/>
  <c r="AJ111"/>
  <c r="AH111"/>
  <c r="AD111"/>
  <c r="Z111"/>
  <c r="AI111"/>
  <c r="AE111"/>
  <c r="AC111"/>
  <c r="AA111"/>
  <c r="AH69"/>
  <c r="AI69"/>
  <c r="AE69"/>
  <c r="AC69"/>
  <c r="AA69"/>
  <c r="AJ69"/>
  <c r="AD69"/>
  <c r="Z69"/>
  <c r="AB69"/>
  <c r="AI85"/>
  <c r="AE85"/>
  <c r="AC85"/>
  <c r="AA85"/>
  <c r="AJ85"/>
  <c r="AH85"/>
  <c r="AD85"/>
  <c r="Z85"/>
  <c r="AB85"/>
  <c r="AI89"/>
  <c r="AE89"/>
  <c r="AC89"/>
  <c r="AA89"/>
  <c r="AJ89"/>
  <c r="AH89"/>
  <c r="AD89"/>
  <c r="Z89"/>
  <c r="AJ93"/>
  <c r="AH93"/>
  <c r="AD93"/>
  <c r="Z93"/>
  <c r="AI93"/>
  <c r="AE93"/>
  <c r="AA93"/>
  <c r="AC93"/>
  <c r="AF93"/>
  <c r="AB77"/>
  <c r="Y76"/>
  <c r="AF77"/>
  <c r="AI103"/>
  <c r="AE103"/>
  <c r="AE101"/>
  <c r="AC103"/>
  <c r="AA103"/>
  <c r="AA101"/>
  <c r="AH103"/>
  <c r="AD103"/>
  <c r="Z103"/>
  <c r="Z101"/>
  <c r="AJ103"/>
  <c r="AB103"/>
  <c r="AK133"/>
  <c r="Y132"/>
  <c r="AB133"/>
  <c r="AF133"/>
  <c r="AD101"/>
  <c r="X96"/>
  <c r="AG107"/>
  <c r="AK104"/>
  <c r="X102"/>
  <c r="X101"/>
  <c r="W96"/>
  <c r="AK109"/>
  <c r="AF109"/>
  <c r="AG109"/>
  <c r="AF127"/>
  <c r="AG127"/>
  <c r="AL127"/>
  <c r="AK127"/>
  <c r="Z132"/>
  <c r="AI132"/>
  <c r="AI88"/>
  <c r="AE88"/>
  <c r="AC88"/>
  <c r="AA88"/>
  <c r="AJ88"/>
  <c r="AH88"/>
  <c r="AD88"/>
  <c r="Z88"/>
  <c r="AB88"/>
  <c r="AI98"/>
  <c r="AE98"/>
  <c r="AC98"/>
  <c r="AA98"/>
  <c r="AJ98"/>
  <c r="AH98"/>
  <c r="AD98"/>
  <c r="Z98"/>
  <c r="AJ94"/>
  <c r="AH94"/>
  <c r="AD94"/>
  <c r="Z94"/>
  <c r="AC94"/>
  <c r="AI94"/>
  <c r="AE94"/>
  <c r="AA94"/>
  <c r="AJ78"/>
  <c r="AJ76"/>
  <c r="AH78"/>
  <c r="AD78"/>
  <c r="AD76"/>
  <c r="Z78"/>
  <c r="AI78"/>
  <c r="AI76"/>
  <c r="AE78"/>
  <c r="AE76"/>
  <c r="AC78"/>
  <c r="AC76"/>
  <c r="AA78"/>
  <c r="AI99"/>
  <c r="AE99"/>
  <c r="AC99"/>
  <c r="AA99"/>
  <c r="AH99"/>
  <c r="AD99"/>
  <c r="Z99"/>
  <c r="AB99"/>
  <c r="AJ99"/>
  <c r="AD124"/>
  <c r="Z124"/>
  <c r="Y125"/>
  <c r="AE124"/>
  <c r="AC124"/>
  <c r="AA124"/>
  <c r="Y123"/>
  <c r="AJ126"/>
  <c r="AH126"/>
  <c r="AD126"/>
  <c r="Z126"/>
  <c r="AI126"/>
  <c r="AE126"/>
  <c r="AC126"/>
  <c r="AA126"/>
  <c r="AI121"/>
  <c r="AI119"/>
  <c r="AE121"/>
  <c r="AE119"/>
  <c r="AC121"/>
  <c r="AC119"/>
  <c r="AA121"/>
  <c r="AA119"/>
  <c r="AJ121"/>
  <c r="AJ119"/>
  <c r="AH121"/>
  <c r="AD121"/>
  <c r="Z121"/>
  <c r="Z119"/>
  <c r="AI118"/>
  <c r="AI117"/>
  <c r="AE118"/>
  <c r="AE117"/>
  <c r="AC118"/>
  <c r="AA118"/>
  <c r="AA117"/>
  <c r="Y117"/>
  <c r="AJ118"/>
  <c r="AJ117"/>
  <c r="AH118"/>
  <c r="AD118"/>
  <c r="AD117"/>
  <c r="Z118"/>
  <c r="Z117"/>
  <c r="AJ113"/>
  <c r="AH113"/>
  <c r="AD113"/>
  <c r="Z113"/>
  <c r="AI113"/>
  <c r="AE113"/>
  <c r="AC113"/>
  <c r="AA113"/>
  <c r="AH67"/>
  <c r="AD67"/>
  <c r="AI67"/>
  <c r="AE67"/>
  <c r="AC67"/>
  <c r="AA67"/>
  <c r="AJ67"/>
  <c r="Z67"/>
  <c r="AE73"/>
  <c r="AE72"/>
  <c r="AC73"/>
  <c r="AA73"/>
  <c r="AA72"/>
  <c r="Y72"/>
  <c r="AJ73"/>
  <c r="AJ72"/>
  <c r="AH73"/>
  <c r="AD73"/>
  <c r="AD72"/>
  <c r="Z73"/>
  <c r="Z72"/>
  <c r="AI73"/>
  <c r="AI83"/>
  <c r="AE83"/>
  <c r="AC83"/>
  <c r="AA83"/>
  <c r="AJ83"/>
  <c r="AH83"/>
  <c r="AD83"/>
  <c r="Z83"/>
  <c r="AB83"/>
  <c r="AI87"/>
  <c r="AE87"/>
  <c r="AC87"/>
  <c r="AA87"/>
  <c r="AJ87"/>
  <c r="AH87"/>
  <c r="AD87"/>
  <c r="Z87"/>
  <c r="AI100"/>
  <c r="AE100"/>
  <c r="AC100"/>
  <c r="AA100"/>
  <c r="AJ100"/>
  <c r="AH100"/>
  <c r="AK100"/>
  <c r="AD100"/>
  <c r="Z100"/>
  <c r="AB100"/>
  <c r="AJ95"/>
  <c r="AH95"/>
  <c r="AD95"/>
  <c r="Z95"/>
  <c r="AI95"/>
  <c r="AE95"/>
  <c r="AA95"/>
  <c r="AC95"/>
  <c r="AH76"/>
  <c r="AK77"/>
  <c r="AI129"/>
  <c r="AE129"/>
  <c r="AC129"/>
  <c r="AA129"/>
  <c r="AJ129"/>
  <c r="AH129"/>
  <c r="AD129"/>
  <c r="Z129"/>
  <c r="AB129"/>
  <c r="AF104"/>
  <c r="AG104"/>
  <c r="AL104"/>
  <c r="AD119"/>
  <c r="AA76"/>
  <c r="Z76"/>
  <c r="AD132"/>
  <c r="AJ132"/>
  <c r="AA132"/>
  <c r="AE132"/>
  <c r="AP131"/>
  <c r="AN130"/>
  <c r="AQ131"/>
  <c r="AO130"/>
  <c r="AF134"/>
  <c r="AG134"/>
  <c r="AL134"/>
  <c r="AQ134"/>
  <c r="AK134"/>
  <c r="AN132"/>
  <c r="AP132"/>
  <c r="AP129"/>
  <c r="AQ129"/>
  <c r="AP126"/>
  <c r="AQ126"/>
  <c r="AP118"/>
  <c r="AN117"/>
  <c r="AQ118"/>
  <c r="AO117"/>
  <c r="AB113"/>
  <c r="AL109"/>
  <c r="AK116"/>
  <c r="AP110"/>
  <c r="AQ110"/>
  <c r="AP112"/>
  <c r="AQ112"/>
  <c r="AF116"/>
  <c r="AG116"/>
  <c r="AL116"/>
  <c r="AQ113"/>
  <c r="AQ116"/>
  <c r="AP119"/>
  <c r="AQ111"/>
  <c r="AQ121"/>
  <c r="AG97"/>
  <c r="AG90"/>
  <c r="AA96"/>
  <c r="AB96"/>
  <c r="AJ101"/>
  <c r="AL97"/>
  <c r="AO97"/>
  <c r="AK90"/>
  <c r="AF86"/>
  <c r="AK82"/>
  <c r="AF84"/>
  <c r="AN101"/>
  <c r="AP101"/>
  <c r="AP93"/>
  <c r="AQ95"/>
  <c r="AQ89"/>
  <c r="AP87"/>
  <c r="AQ85"/>
  <c r="AQ83"/>
  <c r="AQ105"/>
  <c r="AP99"/>
  <c r="AQ94"/>
  <c r="AQ98"/>
  <c r="AQ82"/>
  <c r="AQ103"/>
  <c r="AP100"/>
  <c r="AP90"/>
  <c r="AP88"/>
  <c r="AP86"/>
  <c r="AQ84"/>
  <c r="AF94"/>
  <c r="AI101"/>
  <c r="AF90"/>
  <c r="AG86"/>
  <c r="AL86"/>
  <c r="AF82"/>
  <c r="AG82"/>
  <c r="AL82"/>
  <c r="AG84"/>
  <c r="AL84"/>
  <c r="AQ93"/>
  <c r="AP95"/>
  <c r="AQ87"/>
  <c r="AP83"/>
  <c r="AQ99"/>
  <c r="AP98"/>
  <c r="AN96"/>
  <c r="AP103"/>
  <c r="AQ100"/>
  <c r="AQ90"/>
  <c r="AQ88"/>
  <c r="AQ86"/>
  <c r="AB67"/>
  <c r="AB124"/>
  <c r="AB108"/>
  <c r="AD106"/>
  <c r="AB126"/>
  <c r="AH132"/>
  <c r="AF113"/>
  <c r="AB118"/>
  <c r="AA106"/>
  <c r="Z106"/>
  <c r="AB111"/>
  <c r="AE106"/>
  <c r="AF95"/>
  <c r="AB95"/>
  <c r="AG95"/>
  <c r="AL95"/>
  <c r="AB87"/>
  <c r="AD96"/>
  <c r="Z96"/>
  <c r="AB89"/>
  <c r="AB94"/>
  <c r="AJ96"/>
  <c r="AB93"/>
  <c r="AG93"/>
  <c r="AB64"/>
  <c r="AI72"/>
  <c r="AB73"/>
  <c r="AF67"/>
  <c r="AG67"/>
  <c r="AB78"/>
  <c r="AC72"/>
  <c r="AF72"/>
  <c r="AF73"/>
  <c r="AC117"/>
  <c r="AF117"/>
  <c r="AF118"/>
  <c r="AH107"/>
  <c r="AK131"/>
  <c r="AH130"/>
  <c r="AK130"/>
  <c r="AF64"/>
  <c r="AD65"/>
  <c r="AE65"/>
  <c r="AC65"/>
  <c r="AA65"/>
  <c r="Z65"/>
  <c r="AK129"/>
  <c r="AF129"/>
  <c r="AG129"/>
  <c r="AK76"/>
  <c r="AK95"/>
  <c r="AF100"/>
  <c r="AG100"/>
  <c r="AL100"/>
  <c r="AK87"/>
  <c r="AF87"/>
  <c r="AK83"/>
  <c r="AF83"/>
  <c r="AG83"/>
  <c r="AL83"/>
  <c r="AB72"/>
  <c r="AG72"/>
  <c r="AB117"/>
  <c r="AB121"/>
  <c r="AK121"/>
  <c r="AF121"/>
  <c r="AF126"/>
  <c r="AG126"/>
  <c r="AL126"/>
  <c r="AK126"/>
  <c r="AK99"/>
  <c r="AF99"/>
  <c r="AF78"/>
  <c r="AG78"/>
  <c r="AK78"/>
  <c r="AK94"/>
  <c r="AB98"/>
  <c r="AF98"/>
  <c r="AI96"/>
  <c r="AK88"/>
  <c r="AF88"/>
  <c r="AG88"/>
  <c r="Y106"/>
  <c r="AC132"/>
  <c r="AF132"/>
  <c r="AB132"/>
  <c r="AK103"/>
  <c r="AF103"/>
  <c r="AG103"/>
  <c r="AL103"/>
  <c r="AG77"/>
  <c r="AK93"/>
  <c r="AK89"/>
  <c r="AF89"/>
  <c r="AK85"/>
  <c r="AF85"/>
  <c r="AG85"/>
  <c r="AL85"/>
  <c r="AF69"/>
  <c r="AG69"/>
  <c r="AK69"/>
  <c r="AF111"/>
  <c r="AG111"/>
  <c r="AL111"/>
  <c r="AK111"/>
  <c r="AB131"/>
  <c r="AF108"/>
  <c r="AG102"/>
  <c r="AL102"/>
  <c r="AH101"/>
  <c r="AK101"/>
  <c r="AF70"/>
  <c r="AK70"/>
  <c r="Y63"/>
  <c r="AG120"/>
  <c r="AL120"/>
  <c r="AH119"/>
  <c r="AK119"/>
  <c r="AC96"/>
  <c r="AF110"/>
  <c r="AG110"/>
  <c r="AL110"/>
  <c r="AK73"/>
  <c r="AH72"/>
  <c r="AK118"/>
  <c r="AH117"/>
  <c r="AK117"/>
  <c r="AF124"/>
  <c r="AD125"/>
  <c r="Z125"/>
  <c r="AE125"/>
  <c r="AC125"/>
  <c r="AA125"/>
  <c r="AK98"/>
  <c r="AH96"/>
  <c r="AC130"/>
  <c r="AF130"/>
  <c r="AF131"/>
  <c r="AF80"/>
  <c r="AE81"/>
  <c r="AC81"/>
  <c r="AA81"/>
  <c r="AD81"/>
  <c r="Z81"/>
  <c r="AG73"/>
  <c r="AK67"/>
  <c r="AG113"/>
  <c r="AK113"/>
  <c r="AG99"/>
  <c r="AE96"/>
  <c r="AG133"/>
  <c r="AL133"/>
  <c r="AK132"/>
  <c r="AF76"/>
  <c r="AB76"/>
  <c r="AB130"/>
  <c r="AK105"/>
  <c r="AL105"/>
  <c r="AG75"/>
  <c r="AK75"/>
  <c r="AC106"/>
  <c r="AC101"/>
  <c r="AF101"/>
  <c r="AB101"/>
  <c r="AG70"/>
  <c r="AK66"/>
  <c r="AE63"/>
  <c r="AF119"/>
  <c r="AB119"/>
  <c r="AG80"/>
  <c r="Y79"/>
  <c r="AF68"/>
  <c r="AG68"/>
  <c r="AK68"/>
  <c r="AG112"/>
  <c r="AK112"/>
  <c r="AL129"/>
  <c r="AQ132"/>
  <c r="AQ130"/>
  <c r="AP130"/>
  <c r="AQ117"/>
  <c r="AP117"/>
  <c r="AL112"/>
  <c r="AL113"/>
  <c r="AG117"/>
  <c r="AL117"/>
  <c r="AQ119"/>
  <c r="AO107"/>
  <c r="AM107"/>
  <c r="AN107"/>
  <c r="AO96"/>
  <c r="AQ96"/>
  <c r="AQ97"/>
  <c r="AP97"/>
  <c r="AL99"/>
  <c r="AL88"/>
  <c r="AG98"/>
  <c r="AL98"/>
  <c r="AL93"/>
  <c r="AG94"/>
  <c r="AL94"/>
  <c r="AQ101"/>
  <c r="AG89"/>
  <c r="AL89"/>
  <c r="AL90"/>
  <c r="AG76"/>
  <c r="AA123"/>
  <c r="AB123"/>
  <c r="AE123"/>
  <c r="AD123"/>
  <c r="Z123"/>
  <c r="AG124"/>
  <c r="AF106"/>
  <c r="AG108"/>
  <c r="AD79"/>
  <c r="AF79"/>
  <c r="AC79"/>
  <c r="Z79"/>
  <c r="AA79"/>
  <c r="AB65"/>
  <c r="AC63"/>
  <c r="AD63"/>
  <c r="AA63"/>
  <c r="AG64"/>
  <c r="AF125"/>
  <c r="AG131"/>
  <c r="AL131"/>
  <c r="AG132"/>
  <c r="AL132"/>
  <c r="AB106"/>
  <c r="AG118"/>
  <c r="AL118"/>
  <c r="AG101"/>
  <c r="AL101"/>
  <c r="AB81"/>
  <c r="AE79"/>
  <c r="AG87"/>
  <c r="AL87"/>
  <c r="AK72"/>
  <c r="AG119"/>
  <c r="AL119"/>
  <c r="Z63"/>
  <c r="AG130"/>
  <c r="AL130"/>
  <c r="AF81"/>
  <c r="AK96"/>
  <c r="AB125"/>
  <c r="AC123"/>
  <c r="AF96"/>
  <c r="AG96"/>
  <c r="AL96"/>
  <c r="AG121"/>
  <c r="AL121"/>
  <c r="AF65"/>
  <c r="AH80"/>
  <c r="Y136"/>
  <c r="AF63"/>
  <c r="AI107"/>
  <c r="AJ107"/>
  <c r="AH108"/>
  <c r="AH64"/>
  <c r="AE136"/>
  <c r="AE137"/>
  <c r="AD136"/>
  <c r="AD137"/>
  <c r="AH124"/>
  <c r="AO108"/>
  <c r="AM108"/>
  <c r="AN108"/>
  <c r="AP107"/>
  <c r="AN106"/>
  <c r="AQ107"/>
  <c r="AO106"/>
  <c r="AM106"/>
  <c r="AP96"/>
  <c r="AM80"/>
  <c r="AN80"/>
  <c r="AO80"/>
  <c r="AF123"/>
  <c r="AG125"/>
  <c r="AG106"/>
  <c r="AG81"/>
  <c r="AH81"/>
  <c r="AB79"/>
  <c r="AG65"/>
  <c r="AH65"/>
  <c r="AH63"/>
  <c r="Z136"/>
  <c r="Z137"/>
  <c r="AA136"/>
  <c r="AA137"/>
  <c r="AG123"/>
  <c r="AK107"/>
  <c r="AL107"/>
  <c r="AG79"/>
  <c r="AB63"/>
  <c r="AJ64"/>
  <c r="AI64"/>
  <c r="AI108"/>
  <c r="AJ108"/>
  <c r="AJ106"/>
  <c r="Y137"/>
  <c r="AI80"/>
  <c r="AJ80"/>
  <c r="AH125"/>
  <c r="AH106"/>
  <c r="AC136"/>
  <c r="AJ124"/>
  <c r="AI124"/>
  <c r="AG63"/>
  <c r="AO125"/>
  <c r="AM125"/>
  <c r="AN125"/>
  <c r="AO124"/>
  <c r="AM124"/>
  <c r="AM123"/>
  <c r="AN124"/>
  <c r="AP106"/>
  <c r="AP108"/>
  <c r="AQ108"/>
  <c r="AM81"/>
  <c r="AN81"/>
  <c r="AP81"/>
  <c r="AO81"/>
  <c r="AQ80"/>
  <c r="AO79"/>
  <c r="AP80"/>
  <c r="AM79"/>
  <c r="AH123"/>
  <c r="AB137"/>
  <c r="AK124"/>
  <c r="AL124"/>
  <c r="AB136"/>
  <c r="AH79"/>
  <c r="AK64"/>
  <c r="AK108"/>
  <c r="AL108"/>
  <c r="AK80"/>
  <c r="AL80"/>
  <c r="AJ125"/>
  <c r="AI125"/>
  <c r="AI123"/>
  <c r="AI106"/>
  <c r="AQ106"/>
  <c r="AI81"/>
  <c r="AJ81"/>
  <c r="AJ79"/>
  <c r="AF136"/>
  <c r="AC137"/>
  <c r="AF137"/>
  <c r="AG137"/>
  <c r="AH136"/>
  <c r="AI65"/>
  <c r="AJ65"/>
  <c r="AJ123"/>
  <c r="AP124"/>
  <c r="AN123"/>
  <c r="AQ124"/>
  <c r="AO123"/>
  <c r="AQ123"/>
  <c r="AP125"/>
  <c r="AQ125"/>
  <c r="AN79"/>
  <c r="AN136"/>
  <c r="AN137"/>
  <c r="AQ81"/>
  <c r="AM136"/>
  <c r="AG136"/>
  <c r="AK123"/>
  <c r="AL123"/>
  <c r="AK125"/>
  <c r="AL125"/>
  <c r="AK106"/>
  <c r="AL106"/>
  <c r="AI63"/>
  <c r="AJ63"/>
  <c r="AJ136"/>
  <c r="AJ137"/>
  <c r="AK81"/>
  <c r="AL81"/>
  <c r="AK65"/>
  <c r="AH137"/>
  <c r="AK63"/>
  <c r="AI79"/>
  <c r="AO136"/>
  <c r="AP123"/>
  <c r="AP79"/>
  <c r="AM137"/>
  <c r="AP136"/>
  <c r="AQ79"/>
  <c r="AO137"/>
  <c r="AK79"/>
  <c r="AL79"/>
  <c r="AI136"/>
  <c r="AQ136"/>
  <c r="AP137"/>
  <c r="AI137"/>
  <c r="AK137"/>
  <c r="AL137"/>
  <c r="AK136"/>
  <c r="AL136"/>
  <c r="AQ137"/>
  <c r="I200" i="57"/>
  <c r="V201"/>
  <c r="U201"/>
  <c r="T201"/>
  <c r="S201"/>
  <c r="R201"/>
  <c r="Q201"/>
  <c r="P201"/>
  <c r="O201"/>
  <c r="N201"/>
  <c r="M201"/>
  <c r="L201"/>
  <c r="K201"/>
  <c r="J201"/>
  <c r="V200"/>
  <c r="AL74" i="9"/>
  <c r="AJ74"/>
  <c r="AI74"/>
  <c r="AM74"/>
  <c r="L74"/>
  <c r="M74"/>
  <c r="AH74"/>
  <c r="O74"/>
  <c r="O75"/>
  <c r="L76"/>
  <c r="AI76"/>
  <c r="M76"/>
  <c r="L77"/>
  <c r="AI77"/>
  <c r="L78"/>
  <c r="M78"/>
  <c r="AJ78"/>
  <c r="O78"/>
  <c r="AL78"/>
  <c r="L79"/>
  <c r="AI79"/>
  <c r="M79"/>
  <c r="AJ79"/>
  <c r="M80"/>
  <c r="AJ80"/>
  <c r="O79"/>
  <c r="AL79"/>
  <c r="P74"/>
  <c r="P78"/>
  <c r="AM78"/>
  <c r="AI78"/>
  <c r="K76"/>
  <c r="AH76"/>
  <c r="AJ76"/>
  <c r="P76"/>
  <c r="AM76"/>
  <c r="AL75"/>
  <c r="P79"/>
  <c r="AM79"/>
  <c r="L80"/>
  <c r="K79"/>
  <c r="AH79"/>
  <c r="K78"/>
  <c r="AH78"/>
  <c r="M77"/>
  <c r="K74"/>
  <c r="K80"/>
  <c r="AH80"/>
  <c r="AI80"/>
  <c r="K77"/>
  <c r="AH77"/>
  <c r="AJ77"/>
  <c r="Y51" i="3"/>
  <c r="BS62" i="72"/>
  <c r="BS61"/>
  <c r="BS59"/>
  <c r="BS57"/>
  <c r="BM62"/>
  <c r="BM61"/>
  <c r="BM59"/>
  <c r="BM57"/>
  <c r="M78"/>
  <c r="L78"/>
  <c r="K78"/>
  <c r="AL54"/>
  <c r="O77"/>
  <c r="O78"/>
  <c r="M77"/>
  <c r="M79"/>
  <c r="L77"/>
  <c r="M75"/>
  <c r="L75"/>
  <c r="K75"/>
  <c r="AL50"/>
  <c r="O74"/>
  <c r="O73"/>
  <c r="M73"/>
  <c r="L73"/>
  <c r="AW72"/>
  <c r="AV72"/>
  <c r="AU72"/>
  <c r="BB54"/>
  <c r="BH54"/>
  <c r="AW71"/>
  <c r="AV71"/>
  <c r="AU71"/>
  <c r="AW70"/>
  <c r="AV70"/>
  <c r="AW66"/>
  <c r="AV66"/>
  <c r="AU66"/>
  <c r="BB50"/>
  <c r="BH50"/>
  <c r="AW65"/>
  <c r="AV65"/>
  <c r="AW64"/>
  <c r="AV64"/>
  <c r="AV67"/>
  <c r="AD62"/>
  <c r="Z62"/>
  <c r="AD61"/>
  <c r="Z61"/>
  <c r="Q61"/>
  <c r="AN61"/>
  <c r="AW60"/>
  <c r="AW62"/>
  <c r="AT60"/>
  <c r="AN60"/>
  <c r="AG60"/>
  <c r="Q60"/>
  <c r="M60"/>
  <c r="AD59"/>
  <c r="Z59"/>
  <c r="AW58"/>
  <c r="AW59"/>
  <c r="AD57"/>
  <c r="Z57"/>
  <c r="AY55"/>
  <c r="AW55"/>
  <c r="AV55"/>
  <c r="AT55"/>
  <c r="AS55"/>
  <c r="AV73"/>
  <c r="AJ55"/>
  <c r="AH55"/>
  <c r="AI55"/>
  <c r="AG55"/>
  <c r="AE55"/>
  <c r="AF55"/>
  <c r="AD55"/>
  <c r="AC55"/>
  <c r="AB55"/>
  <c r="Z55"/>
  <c r="Y55"/>
  <c r="X55"/>
  <c r="M55"/>
  <c r="L55"/>
  <c r="K55"/>
  <c r="AU54"/>
  <c r="AR54"/>
  <c r="AE54"/>
  <c r="AB54"/>
  <c r="AA54"/>
  <c r="S54"/>
  <c r="N54"/>
  <c r="AU52"/>
  <c r="AR52"/>
  <c r="AE52"/>
  <c r="AB52"/>
  <c r="AA52"/>
  <c r="AA55"/>
  <c r="S52"/>
  <c r="P52"/>
  <c r="T52"/>
  <c r="N52"/>
  <c r="N55"/>
  <c r="AY51"/>
  <c r="AW51"/>
  <c r="AV51"/>
  <c r="AU51"/>
  <c r="AT51"/>
  <c r="AS51"/>
  <c r="AR51"/>
  <c r="AI51"/>
  <c r="AG51"/>
  <c r="AF51"/>
  <c r="AE51"/>
  <c r="AD51"/>
  <c r="AB51"/>
  <c r="AC51"/>
  <c r="Z51"/>
  <c r="X51"/>
  <c r="Y51"/>
  <c r="L51"/>
  <c r="AU50"/>
  <c r="AR50"/>
  <c r="AE50"/>
  <c r="AB50"/>
  <c r="AA50"/>
  <c r="S50"/>
  <c r="M50"/>
  <c r="N50"/>
  <c r="AU48"/>
  <c r="AR48"/>
  <c r="AJ48"/>
  <c r="AJ51"/>
  <c r="AH51"/>
  <c r="AE48"/>
  <c r="AB48"/>
  <c r="AA48"/>
  <c r="S48"/>
  <c r="M48"/>
  <c r="T37"/>
  <c r="S37"/>
  <c r="S38"/>
  <c r="T36"/>
  <c r="S36"/>
  <c r="R36"/>
  <c r="T33"/>
  <c r="S33"/>
  <c r="R33"/>
  <c r="R32"/>
  <c r="T31"/>
  <c r="S31"/>
  <c r="R31"/>
  <c r="AN26"/>
  <c r="X26"/>
  <c r="L26"/>
  <c r="AN25"/>
  <c r="X25"/>
  <c r="L25"/>
  <c r="AK24"/>
  <c r="AN22"/>
  <c r="AK21"/>
  <c r="AH21"/>
  <c r="S21"/>
  <c r="L21"/>
  <c r="L22"/>
  <c r="I21"/>
  <c r="AN20"/>
  <c r="S20"/>
  <c r="L20"/>
  <c r="AK19"/>
  <c r="AH19"/>
  <c r="AO17"/>
  <c r="AN17"/>
  <c r="X17"/>
  <c r="Q17"/>
  <c r="P17"/>
  <c r="L17"/>
  <c r="J17"/>
  <c r="D17"/>
  <c r="C17"/>
  <c r="B17"/>
  <c r="AL16"/>
  <c r="AL17"/>
  <c r="AK16"/>
  <c r="AI16"/>
  <c r="AI17"/>
  <c r="AH16"/>
  <c r="M16"/>
  <c r="AK15"/>
  <c r="AK26"/>
  <c r="AH15"/>
  <c r="AH26"/>
  <c r="Q62"/>
  <c r="AN62"/>
  <c r="Y15"/>
  <c r="R15"/>
  <c r="W15"/>
  <c r="M15"/>
  <c r="N15"/>
  <c r="I15"/>
  <c r="I26"/>
  <c r="H15"/>
  <c r="B15"/>
  <c r="AK14"/>
  <c r="AK25"/>
  <c r="AH14"/>
  <c r="AH25"/>
  <c r="Z14"/>
  <c r="AA14"/>
  <c r="Y14"/>
  <c r="Y17"/>
  <c r="W14"/>
  <c r="R14"/>
  <c r="M14"/>
  <c r="M17"/>
  <c r="I14"/>
  <c r="I25"/>
  <c r="B14"/>
  <c r="AO13"/>
  <c r="AN13"/>
  <c r="AL13"/>
  <c r="AI13"/>
  <c r="X13"/>
  <c r="P13"/>
  <c r="L13"/>
  <c r="J13"/>
  <c r="F13"/>
  <c r="D13"/>
  <c r="C13"/>
  <c r="B13"/>
  <c r="AK12"/>
  <c r="AH12"/>
  <c r="Q12"/>
  <c r="M12"/>
  <c r="AK11"/>
  <c r="AK22"/>
  <c r="AH11"/>
  <c r="Y11"/>
  <c r="T11"/>
  <c r="S11"/>
  <c r="S22"/>
  <c r="Q11"/>
  <c r="M11"/>
  <c r="N11"/>
  <c r="I11"/>
  <c r="I22"/>
  <c r="B11"/>
  <c r="AK10"/>
  <c r="AH10"/>
  <c r="Q10"/>
  <c r="AK9"/>
  <c r="AH9"/>
  <c r="AH13"/>
  <c r="Y9"/>
  <c r="Y13"/>
  <c r="W9"/>
  <c r="R9"/>
  <c r="Q9"/>
  <c r="Q13"/>
  <c r="O13"/>
  <c r="M9"/>
  <c r="M13"/>
  <c r="I9"/>
  <c r="I13"/>
  <c r="H13"/>
  <c r="H9"/>
  <c r="B9"/>
  <c r="Y59" i="3"/>
  <c r="Y58"/>
  <c r="Y49"/>
  <c r="X52"/>
  <c r="X48"/>
  <c r="Y45"/>
  <c r="X45"/>
  <c r="X44"/>
  <c r="X38"/>
  <c r="X42"/>
  <c r="E29" i="61"/>
  <c r="X43" i="3"/>
  <c r="X47"/>
  <c r="V60" i="72"/>
  <c r="BK50"/>
  <c r="BN50"/>
  <c r="BN54"/>
  <c r="AM52"/>
  <c r="AP52"/>
  <c r="L68"/>
  <c r="P78"/>
  <c r="N9"/>
  <c r="I17"/>
  <c r="H17"/>
  <c r="AK17"/>
  <c r="I20"/>
  <c r="AA51"/>
  <c r="Q52"/>
  <c r="V52"/>
  <c r="AW61"/>
  <c r="AU65"/>
  <c r="AU70"/>
  <c r="BB52"/>
  <c r="BH52"/>
  <c r="P75"/>
  <c r="AH20"/>
  <c r="Q57"/>
  <c r="N13"/>
  <c r="K13"/>
  <c r="K17"/>
  <c r="N17"/>
  <c r="L69"/>
  <c r="AM54"/>
  <c r="AP54"/>
  <c r="AO54"/>
  <c r="AX54"/>
  <c r="AZ54"/>
  <c r="AK20"/>
  <c r="AK13"/>
  <c r="M51"/>
  <c r="K51"/>
  <c r="N48"/>
  <c r="N51"/>
  <c r="AG61"/>
  <c r="AG62"/>
  <c r="N14"/>
  <c r="AH22"/>
  <c r="Q59"/>
  <c r="R37"/>
  <c r="AH17"/>
  <c r="O17"/>
  <c r="T38"/>
  <c r="R38"/>
  <c r="AR55"/>
  <c r="AT61"/>
  <c r="AT62"/>
  <c r="BE54"/>
  <c r="K73"/>
  <c r="AL48"/>
  <c r="AX50"/>
  <c r="AO50"/>
  <c r="P77"/>
  <c r="L79"/>
  <c r="P54"/>
  <c r="K79"/>
  <c r="AW73"/>
  <c r="AU73"/>
  <c r="AU55"/>
  <c r="R11"/>
  <c r="AW67"/>
  <c r="AU67"/>
  <c r="P73"/>
  <c r="L76"/>
  <c r="H11"/>
  <c r="H14"/>
  <c r="M61"/>
  <c r="V61"/>
  <c r="M76"/>
  <c r="K76"/>
  <c r="M62"/>
  <c r="V62"/>
  <c r="AU64"/>
  <c r="BB48"/>
  <c r="BH48"/>
  <c r="K77"/>
  <c r="AL52"/>
  <c r="Y57" i="3"/>
  <c r="D39" i="61"/>
  <c r="D39" i="65"/>
  <c r="V60" i="3"/>
  <c r="V50"/>
  <c r="AH40" i="6"/>
  <c r="AH15"/>
  <c r="AG15" i="5"/>
  <c r="AE10"/>
  <c r="AF10" i="6"/>
  <c r="AF11"/>
  <c r="Z60" i="3"/>
  <c r="T60"/>
  <c r="Z50"/>
  <c r="Z48"/>
  <c r="Z40"/>
  <c r="Z38"/>
  <c r="F48" i="56"/>
  <c r="J32" i="89"/>
  <c r="K29" i="85"/>
  <c r="K32" i="89"/>
  <c r="BK48" i="72"/>
  <c r="BN48"/>
  <c r="BN52"/>
  <c r="Z45" i="3"/>
  <c r="Z43"/>
  <c r="AZ50" i="72"/>
  <c r="BE50"/>
  <c r="AM55"/>
  <c r="AP55"/>
  <c r="AO48"/>
  <c r="AX48"/>
  <c r="AZ48"/>
  <c r="T54"/>
  <c r="Q54"/>
  <c r="AX52"/>
  <c r="AO52"/>
  <c r="AN52"/>
  <c r="W11"/>
  <c r="AA11"/>
  <c r="P55"/>
  <c r="AN54"/>
  <c r="AQ54"/>
  <c r="Z57" i="3"/>
  <c r="BJ60" i="72"/>
  <c r="BM60"/>
  <c r="X60" i="3"/>
  <c r="X57"/>
  <c r="BE48" i="72"/>
  <c r="AZ52"/>
  <c r="BE52"/>
  <c r="V54"/>
  <c r="Q55"/>
  <c r="BA54"/>
  <c r="AN55"/>
  <c r="AQ52"/>
  <c r="U55"/>
  <c r="T55"/>
  <c r="AZ51"/>
  <c r="BI52"/>
  <c r="BL52"/>
  <c r="BI54"/>
  <c r="BJ54"/>
  <c r="BP60"/>
  <c r="BO54"/>
  <c r="BS60"/>
  <c r="AX51"/>
  <c r="V55"/>
  <c r="O55"/>
  <c r="S55"/>
  <c r="AQ55"/>
  <c r="AL55"/>
  <c r="AO55"/>
  <c r="AZ55"/>
  <c r="BA52"/>
  <c r="BJ52"/>
  <c r="BQ52"/>
  <c r="BO52"/>
  <c r="BO55"/>
  <c r="BI55"/>
  <c r="BL54"/>
  <c r="BJ55"/>
  <c r="BP54"/>
  <c r="BQ54"/>
  <c r="AX55"/>
  <c r="BA55"/>
  <c r="BP52"/>
  <c r="BS54"/>
  <c r="BP55"/>
  <c r="BS52"/>
  <c r="BH55"/>
  <c r="BN55"/>
  <c r="BQ55"/>
  <c r="V23" i="10"/>
  <c r="V21"/>
  <c r="S27"/>
  <c r="S28"/>
  <c r="S29"/>
  <c r="S26"/>
  <c r="S30"/>
  <c r="S22"/>
  <c r="V22"/>
  <c r="S23"/>
  <c r="S24"/>
  <c r="V24"/>
  <c r="S21"/>
  <c r="S25"/>
  <c r="I91" i="58"/>
  <c r="BT32" i="71"/>
  <c r="BO32"/>
  <c r="BM32"/>
  <c r="BJ32"/>
  <c r="BF32"/>
  <c r="AZ32"/>
  <c r="AV32"/>
  <c r="BA32"/>
  <c r="AR32"/>
  <c r="AM32"/>
  <c r="Y32"/>
  <c r="N32"/>
  <c r="BT31"/>
  <c r="BO31"/>
  <c r="BN31"/>
  <c r="BU31"/>
  <c r="BY31"/>
  <c r="BM31"/>
  <c r="BJ31"/>
  <c r="BF31"/>
  <c r="AZ31"/>
  <c r="AV31"/>
  <c r="BA31"/>
  <c r="AR31"/>
  <c r="AM31"/>
  <c r="Y31"/>
  <c r="N31"/>
  <c r="BT30"/>
  <c r="BO30"/>
  <c r="BM30"/>
  <c r="BJ30"/>
  <c r="BF30"/>
  <c r="AZ30"/>
  <c r="AV30"/>
  <c r="BA30"/>
  <c r="BB30"/>
  <c r="AR30"/>
  <c r="AM30"/>
  <c r="Y30"/>
  <c r="N30"/>
  <c r="K30"/>
  <c r="H30"/>
  <c r="BT29"/>
  <c r="BO29"/>
  <c r="BM29"/>
  <c r="BJ29"/>
  <c r="BF29"/>
  <c r="AZ29"/>
  <c r="AV29"/>
  <c r="BH29"/>
  <c r="AR29"/>
  <c r="AM29"/>
  <c r="Y29"/>
  <c r="N29"/>
  <c r="K29"/>
  <c r="H29"/>
  <c r="BP28"/>
  <c r="BK28"/>
  <c r="BI28"/>
  <c r="BG28"/>
  <c r="BE28"/>
  <c r="BM28"/>
  <c r="AW28"/>
  <c r="AV28"/>
  <c r="AU28"/>
  <c r="AS28"/>
  <c r="AR28"/>
  <c r="AQ28"/>
  <c r="AN28"/>
  <c r="AM28"/>
  <c r="AM36"/>
  <c r="AL28"/>
  <c r="Z28"/>
  <c r="X28"/>
  <c r="S28"/>
  <c r="O28"/>
  <c r="N28"/>
  <c r="M28"/>
  <c r="H28"/>
  <c r="G28"/>
  <c r="K28"/>
  <c r="F28"/>
  <c r="BT27"/>
  <c r="BO27"/>
  <c r="BM27"/>
  <c r="BJ27"/>
  <c r="BF27"/>
  <c r="AZ27"/>
  <c r="AV27"/>
  <c r="BA27"/>
  <c r="AR27"/>
  <c r="AM27"/>
  <c r="Y27"/>
  <c r="AB27"/>
  <c r="S27"/>
  <c r="N27"/>
  <c r="BT26"/>
  <c r="BO26"/>
  <c r="BM26"/>
  <c r="BN26"/>
  <c r="BU26"/>
  <c r="BJ26"/>
  <c r="BF26"/>
  <c r="AZ26"/>
  <c r="AV26"/>
  <c r="BA26"/>
  <c r="AR26"/>
  <c r="AM26"/>
  <c r="Y26"/>
  <c r="AB26"/>
  <c r="S26"/>
  <c r="N26"/>
  <c r="BT25"/>
  <c r="BO25"/>
  <c r="BM25"/>
  <c r="BJ25"/>
  <c r="BF25"/>
  <c r="AZ25"/>
  <c r="AV25"/>
  <c r="BA25"/>
  <c r="AR25"/>
  <c r="AM25"/>
  <c r="Y25"/>
  <c r="AB25"/>
  <c r="S25"/>
  <c r="N25"/>
  <c r="K25"/>
  <c r="H25"/>
  <c r="BT24"/>
  <c r="BO24"/>
  <c r="BM24"/>
  <c r="BJ24"/>
  <c r="BF24"/>
  <c r="AZ24"/>
  <c r="AV24"/>
  <c r="BA24"/>
  <c r="BL24"/>
  <c r="AR24"/>
  <c r="AM24"/>
  <c r="Y24"/>
  <c r="AB24"/>
  <c r="S24"/>
  <c r="N24"/>
  <c r="K24"/>
  <c r="H24"/>
  <c r="BP23"/>
  <c r="BK23"/>
  <c r="BI23"/>
  <c r="BG23"/>
  <c r="BE23"/>
  <c r="AW23"/>
  <c r="AV34"/>
  <c r="AU23"/>
  <c r="AS23"/>
  <c r="AQ23"/>
  <c r="AN23"/>
  <c r="AL23"/>
  <c r="Z23"/>
  <c r="X23"/>
  <c r="S23"/>
  <c r="O23"/>
  <c r="M23"/>
  <c r="H23"/>
  <c r="G23"/>
  <c r="K23"/>
  <c r="F23"/>
  <c r="BD17"/>
  <c r="BB17"/>
  <c r="AA32"/>
  <c r="AY17"/>
  <c r="AV17"/>
  <c r="AM17"/>
  <c r="T32"/>
  <c r="V32"/>
  <c r="AF17"/>
  <c r="AD17"/>
  <c r="Z17"/>
  <c r="AE17"/>
  <c r="W17"/>
  <c r="U17"/>
  <c r="R17"/>
  <c r="O17"/>
  <c r="BD16"/>
  <c r="BB16"/>
  <c r="AY16"/>
  <c r="AV16"/>
  <c r="AN16"/>
  <c r="AM16"/>
  <c r="AF16"/>
  <c r="AD16"/>
  <c r="Z16"/>
  <c r="AE16"/>
  <c r="W16"/>
  <c r="U16"/>
  <c r="Q16"/>
  <c r="N16"/>
  <c r="BD15"/>
  <c r="BB15"/>
  <c r="AO30"/>
  <c r="AY15"/>
  <c r="AV15"/>
  <c r="AM15"/>
  <c r="AF15"/>
  <c r="AD15"/>
  <c r="Z15"/>
  <c r="AE15"/>
  <c r="W15"/>
  <c r="U15"/>
  <c r="R15"/>
  <c r="R13"/>
  <c r="O15"/>
  <c r="K15"/>
  <c r="H15"/>
  <c r="BD14"/>
  <c r="BB14"/>
  <c r="AO29"/>
  <c r="AY14"/>
  <c r="AV14"/>
  <c r="AF14"/>
  <c r="AD14"/>
  <c r="Z14"/>
  <c r="AE14"/>
  <c r="W14"/>
  <c r="T14"/>
  <c r="AM14"/>
  <c r="Q14"/>
  <c r="N14"/>
  <c r="K14"/>
  <c r="H14"/>
  <c r="BC13"/>
  <c r="BA13"/>
  <c r="AZ13"/>
  <c r="AX13"/>
  <c r="AW13"/>
  <c r="AV13"/>
  <c r="AU13"/>
  <c r="AL13"/>
  <c r="AF13"/>
  <c r="AB13"/>
  <c r="AA13"/>
  <c r="Y13"/>
  <c r="X13"/>
  <c r="W13"/>
  <c r="V13"/>
  <c r="S13"/>
  <c r="P13"/>
  <c r="O13"/>
  <c r="M13"/>
  <c r="BD13"/>
  <c r="H13"/>
  <c r="G13"/>
  <c r="K13"/>
  <c r="F13"/>
  <c r="BD11"/>
  <c r="BB11"/>
  <c r="AY11"/>
  <c r="AV11"/>
  <c r="AM11"/>
  <c r="T27"/>
  <c r="AT27"/>
  <c r="AF11"/>
  <c r="AE11"/>
  <c r="AD11"/>
  <c r="X11"/>
  <c r="U11"/>
  <c r="R11"/>
  <c r="O11"/>
  <c r="BD10"/>
  <c r="BB10"/>
  <c r="AY10"/>
  <c r="AV10"/>
  <c r="AM10"/>
  <c r="T26"/>
  <c r="V26"/>
  <c r="AF10"/>
  <c r="AE10"/>
  <c r="AD10"/>
  <c r="X10"/>
  <c r="U10"/>
  <c r="R10"/>
  <c r="O10"/>
  <c r="O7"/>
  <c r="BD9"/>
  <c r="BB9"/>
  <c r="AY9"/>
  <c r="AV9"/>
  <c r="AG9"/>
  <c r="AF9"/>
  <c r="AE9"/>
  <c r="Z9"/>
  <c r="AH9"/>
  <c r="AI9"/>
  <c r="W9"/>
  <c r="U9"/>
  <c r="T9"/>
  <c r="AM9"/>
  <c r="Q9"/>
  <c r="N9"/>
  <c r="K9"/>
  <c r="H9"/>
  <c r="BD8"/>
  <c r="BB8"/>
  <c r="AY24"/>
  <c r="AY8"/>
  <c r="AV8"/>
  <c r="AG8"/>
  <c r="AF8"/>
  <c r="AF7"/>
  <c r="Z8"/>
  <c r="AH8"/>
  <c r="AJ8"/>
  <c r="W8"/>
  <c r="U8"/>
  <c r="T8"/>
  <c r="AM8"/>
  <c r="R8"/>
  <c r="N8"/>
  <c r="K8"/>
  <c r="H8"/>
  <c r="BC7"/>
  <c r="BA7"/>
  <c r="BB7"/>
  <c r="AZ7"/>
  <c r="AX7"/>
  <c r="AY7"/>
  <c r="AW7"/>
  <c r="AU7"/>
  <c r="AL7"/>
  <c r="AG7"/>
  <c r="AB7"/>
  <c r="AA7"/>
  <c r="Y7"/>
  <c r="X7"/>
  <c r="V7"/>
  <c r="S7"/>
  <c r="P7"/>
  <c r="M7"/>
  <c r="G7"/>
  <c r="K7"/>
  <c r="F7"/>
  <c r="AE8"/>
  <c r="AP10"/>
  <c r="W26"/>
  <c r="BJ34"/>
  <c r="P26"/>
  <c r="Y28"/>
  <c r="BJ28"/>
  <c r="BN30"/>
  <c r="BU30"/>
  <c r="BV27" i="17"/>
  <c r="BY26" i="71"/>
  <c r="AN10"/>
  <c r="N13"/>
  <c r="BB13"/>
  <c r="AO16"/>
  <c r="AM23"/>
  <c r="AR23"/>
  <c r="BH26"/>
  <c r="U7"/>
  <c r="T7"/>
  <c r="S31" i="10"/>
  <c r="H7" i="71"/>
  <c r="N7"/>
  <c r="R7"/>
  <c r="Q7"/>
  <c r="AP11"/>
  <c r="Q13"/>
  <c r="BH24"/>
  <c r="AO25"/>
  <c r="BL25"/>
  <c r="AO26"/>
  <c r="AT26"/>
  <c r="BB26"/>
  <c r="W27"/>
  <c r="BB27"/>
  <c r="BH27"/>
  <c r="BN27"/>
  <c r="BU27"/>
  <c r="BN29"/>
  <c r="BU29"/>
  <c r="AY30"/>
  <c r="BH30"/>
  <c r="BQ30"/>
  <c r="P31"/>
  <c r="AO31"/>
  <c r="BB32"/>
  <c r="BH32"/>
  <c r="BN32"/>
  <c r="BU32"/>
  <c r="BD7"/>
  <c r="W7"/>
  <c r="Z7"/>
  <c r="AV7"/>
  <c r="AC7"/>
  <c r="AO10"/>
  <c r="AO11"/>
  <c r="Z13"/>
  <c r="AC13"/>
  <c r="AY13"/>
  <c r="U13"/>
  <c r="T13"/>
  <c r="AO17"/>
  <c r="N23"/>
  <c r="Y34"/>
  <c r="AV23"/>
  <c r="BF23"/>
  <c r="BJ23"/>
  <c r="AA24"/>
  <c r="BN24"/>
  <c r="BU24"/>
  <c r="BY24"/>
  <c r="BB25"/>
  <c r="BH25"/>
  <c r="BN25"/>
  <c r="BU25"/>
  <c r="BW25"/>
  <c r="CA25"/>
  <c r="BL26"/>
  <c r="V27"/>
  <c r="BL27"/>
  <c r="BO28"/>
  <c r="BA29"/>
  <c r="BL30"/>
  <c r="BX31"/>
  <c r="BV31"/>
  <c r="AO32"/>
  <c r="BL32"/>
  <c r="BV32" i="17"/>
  <c r="AO23" i="71"/>
  <c r="AM35"/>
  <c r="BQ31"/>
  <c r="BB31"/>
  <c r="AK8"/>
  <c r="AD13"/>
  <c r="AE13"/>
  <c r="BJ35"/>
  <c r="BX25"/>
  <c r="BV25"/>
  <c r="Y36"/>
  <c r="AA28"/>
  <c r="BW30"/>
  <c r="CA30"/>
  <c r="BX30"/>
  <c r="AP8"/>
  <c r="AO8"/>
  <c r="T24"/>
  <c r="AT24"/>
  <c r="AN8"/>
  <c r="T25"/>
  <c r="AX25"/>
  <c r="AO9"/>
  <c r="AP9"/>
  <c r="P25"/>
  <c r="AN9"/>
  <c r="AR35"/>
  <c r="BX26"/>
  <c r="BV26"/>
  <c r="BW26"/>
  <c r="CA26"/>
  <c r="BZ26"/>
  <c r="BX27"/>
  <c r="BV27"/>
  <c r="BW27"/>
  <c r="CA27"/>
  <c r="BX29"/>
  <c r="BW29"/>
  <c r="CA29"/>
  <c r="BX32"/>
  <c r="BW32"/>
  <c r="CA32"/>
  <c r="BV32"/>
  <c r="AD7"/>
  <c r="AE7"/>
  <c r="T29"/>
  <c r="AN14"/>
  <c r="AP14"/>
  <c r="AO14"/>
  <c r="N35"/>
  <c r="BF35"/>
  <c r="BH23"/>
  <c r="BN28"/>
  <c r="BN36"/>
  <c r="AX29"/>
  <c r="AD8"/>
  <c r="T30"/>
  <c r="AP15"/>
  <c r="BB24"/>
  <c r="BB23"/>
  <c r="AO27"/>
  <c r="AY28"/>
  <c r="BJ36"/>
  <c r="AA31"/>
  <c r="AI8"/>
  <c r="AN15"/>
  <c r="BC24"/>
  <c r="BQ25"/>
  <c r="N36"/>
  <c r="AT29"/>
  <c r="BL29"/>
  <c r="BS30"/>
  <c r="BR30"/>
  <c r="U32"/>
  <c r="BQ32"/>
  <c r="BC32"/>
  <c r="BF34"/>
  <c r="BH34"/>
  <c r="AJ9"/>
  <c r="AK9"/>
  <c r="P32"/>
  <c r="AP17"/>
  <c r="N34"/>
  <c r="AY23"/>
  <c r="BM23"/>
  <c r="AO24"/>
  <c r="AA25"/>
  <c r="AA26"/>
  <c r="P27"/>
  <c r="AA27"/>
  <c r="AO28"/>
  <c r="AZ28"/>
  <c r="AA29"/>
  <c r="AN11"/>
  <c r="T31"/>
  <c r="AP16"/>
  <c r="AN17"/>
  <c r="Y23"/>
  <c r="AM34"/>
  <c r="AZ23"/>
  <c r="P24"/>
  <c r="BQ24"/>
  <c r="AY25"/>
  <c r="U26"/>
  <c r="AY26"/>
  <c r="AX26"/>
  <c r="U27"/>
  <c r="AY27"/>
  <c r="AX27"/>
  <c r="P29"/>
  <c r="BC30"/>
  <c r="BL31"/>
  <c r="AY32"/>
  <c r="AX32"/>
  <c r="AV35"/>
  <c r="AV36"/>
  <c r="AD9"/>
  <c r="BT23"/>
  <c r="BV24"/>
  <c r="P30"/>
  <c r="AY31"/>
  <c r="BW24"/>
  <c r="CA24"/>
  <c r="BZ24"/>
  <c r="BQ26"/>
  <c r="BC26"/>
  <c r="BQ27"/>
  <c r="BC27"/>
  <c r="AR36"/>
  <c r="BF28"/>
  <c r="BQ29"/>
  <c r="BC29"/>
  <c r="BW31"/>
  <c r="CA31"/>
  <c r="BZ31"/>
  <c r="AO15"/>
  <c r="AR34"/>
  <c r="AY29"/>
  <c r="BB29"/>
  <c r="BB28"/>
  <c r="BA28"/>
  <c r="BV29"/>
  <c r="BV28"/>
  <c r="BU28"/>
  <c r="BY28"/>
  <c r="BT28"/>
  <c r="AA30"/>
  <c r="BV30"/>
  <c r="BH31"/>
  <c r="AT32"/>
  <c r="BO23"/>
  <c r="CM32" i="17"/>
  <c r="CK32"/>
  <c r="CC32"/>
  <c r="CG32"/>
  <c r="BV28"/>
  <c r="BY27" i="71"/>
  <c r="CM27" i="17"/>
  <c r="CC27"/>
  <c r="CG27"/>
  <c r="CK27"/>
  <c r="BV26"/>
  <c r="BY25" i="71"/>
  <c r="BZ25"/>
  <c r="BV33" i="17"/>
  <c r="BY32" i="71"/>
  <c r="BZ32"/>
  <c r="BV30" i="17"/>
  <c r="BY29" i="71"/>
  <c r="BV31" i="17"/>
  <c r="BY30" i="71"/>
  <c r="BZ30"/>
  <c r="BZ29"/>
  <c r="BZ27"/>
  <c r="AP7"/>
  <c r="AM7"/>
  <c r="AN7"/>
  <c r="BX24"/>
  <c r="BV25" i="17"/>
  <c r="AJ7" i="71"/>
  <c r="BU36"/>
  <c r="BW28"/>
  <c r="CA28"/>
  <c r="BZ28"/>
  <c r="BR29"/>
  <c r="BS29"/>
  <c r="Y35"/>
  <c r="AA23"/>
  <c r="AO7"/>
  <c r="BR31"/>
  <c r="BS31"/>
  <c r="BA36"/>
  <c r="BS27"/>
  <c r="BR27"/>
  <c r="BL28"/>
  <c r="BH35"/>
  <c r="BS26"/>
  <c r="BR26"/>
  <c r="BV23"/>
  <c r="BS24"/>
  <c r="BR24"/>
  <c r="AT31"/>
  <c r="U31"/>
  <c r="V31"/>
  <c r="AX31"/>
  <c r="BS25"/>
  <c r="BR25"/>
  <c r="P35"/>
  <c r="V29"/>
  <c r="U29"/>
  <c r="BC31"/>
  <c r="U30"/>
  <c r="AX30"/>
  <c r="V30"/>
  <c r="AT25"/>
  <c r="V25"/>
  <c r="W25"/>
  <c r="AH7"/>
  <c r="AI7"/>
  <c r="AK7"/>
  <c r="BH28"/>
  <c r="BF36"/>
  <c r="BH36"/>
  <c r="BR32"/>
  <c r="BS32"/>
  <c r="BA34"/>
  <c r="BA23"/>
  <c r="AP13"/>
  <c r="AM13"/>
  <c r="BN34"/>
  <c r="BN23"/>
  <c r="BN35"/>
  <c r="AT30"/>
  <c r="U25"/>
  <c r="BC25"/>
  <c r="P23"/>
  <c r="W24"/>
  <c r="V24"/>
  <c r="U24"/>
  <c r="AX24"/>
  <c r="CM25" i="17"/>
  <c r="CC25"/>
  <c r="CK25"/>
  <c r="CG25"/>
  <c r="CM31"/>
  <c r="CC31"/>
  <c r="CK31"/>
  <c r="CG31"/>
  <c r="CM30"/>
  <c r="CC30"/>
  <c r="CK30"/>
  <c r="CG30"/>
  <c r="CM33"/>
  <c r="CC33"/>
  <c r="CG33"/>
  <c r="CK33"/>
  <c r="CM26"/>
  <c r="CC26"/>
  <c r="CK26"/>
  <c r="CA23" i="7"/>
  <c r="CG26" i="17"/>
  <c r="CO27"/>
  <c r="CN27"/>
  <c r="BU31" i="7"/>
  <c r="CM28" i="17"/>
  <c r="CK28"/>
  <c r="CC28"/>
  <c r="CG28"/>
  <c r="BW29" i="8"/>
  <c r="CO32" i="17"/>
  <c r="CN32"/>
  <c r="BQ29" i="8"/>
  <c r="U23" i="71"/>
  <c r="T23"/>
  <c r="AN13"/>
  <c r="AO13"/>
  <c r="P28"/>
  <c r="BA35"/>
  <c r="BL23"/>
  <c r="U28"/>
  <c r="T28"/>
  <c r="BL36"/>
  <c r="BR23"/>
  <c r="BR28"/>
  <c r="BQ28"/>
  <c r="T34"/>
  <c r="AT34"/>
  <c r="BL34"/>
  <c r="BU34"/>
  <c r="BU23"/>
  <c r="BY23"/>
  <c r="P36"/>
  <c r="BX36"/>
  <c r="BW36"/>
  <c r="CO26" i="17"/>
  <c r="CN26"/>
  <c r="BU23" i="7"/>
  <c r="CO30" i="17"/>
  <c r="CN30"/>
  <c r="BW23" i="8"/>
  <c r="BX23"/>
  <c r="BX77"/>
  <c r="CO25" i="17"/>
  <c r="CN25"/>
  <c r="BS29" i="8"/>
  <c r="CO28" i="17"/>
  <c r="CN28"/>
  <c r="BU39" i="7"/>
  <c r="BW38" i="8"/>
  <c r="CO33" i="17"/>
  <c r="CN33"/>
  <c r="BQ38" i="8"/>
  <c r="BU77"/>
  <c r="BW13"/>
  <c r="CO31" i="17"/>
  <c r="CN31"/>
  <c r="BQ23" i="8"/>
  <c r="BY112" i="7"/>
  <c r="BC34" i="71"/>
  <c r="BQ34"/>
  <c r="BS34"/>
  <c r="BQ23"/>
  <c r="BU35"/>
  <c r="BW23"/>
  <c r="CA23"/>
  <c r="BZ23"/>
  <c r="BX34"/>
  <c r="BW34"/>
  <c r="BS28"/>
  <c r="BQ36"/>
  <c r="BS36"/>
  <c r="BL35"/>
  <c r="V23"/>
  <c r="T35"/>
  <c r="BC35"/>
  <c r="AT23"/>
  <c r="AX23"/>
  <c r="V28"/>
  <c r="T36"/>
  <c r="AX28"/>
  <c r="AT28"/>
  <c r="BC28"/>
  <c r="BC23"/>
  <c r="BS38" i="8"/>
  <c r="BU13" i="7"/>
  <c r="CN24" i="17"/>
  <c r="BS23" i="8"/>
  <c r="BT23"/>
  <c r="BS30"/>
  <c r="BQ30"/>
  <c r="BS27"/>
  <c r="BQ13"/>
  <c r="CN29" i="17"/>
  <c r="CM29"/>
  <c r="BW23" i="7"/>
  <c r="BW77" i="8"/>
  <c r="BS23" i="71"/>
  <c r="BQ35"/>
  <c r="BS35"/>
  <c r="V36"/>
  <c r="AO36"/>
  <c r="AT36"/>
  <c r="AA36"/>
  <c r="AX36"/>
  <c r="BC36"/>
  <c r="V35"/>
  <c r="AX35"/>
  <c r="AT35"/>
  <c r="AO35"/>
  <c r="AA35"/>
  <c r="BX35"/>
  <c r="BW35"/>
  <c r="BT24" i="8"/>
  <c r="BT78"/>
  <c r="BT77"/>
  <c r="BT17"/>
  <c r="BQ77"/>
  <c r="BS13"/>
  <c r="BQ27"/>
  <c r="CM35" i="17"/>
  <c r="CM24"/>
  <c r="BW24" i="7"/>
  <c r="BU24"/>
  <c r="CM37" i="17"/>
  <c r="BS24" i="8"/>
  <c r="BQ24"/>
  <c r="BW13" i="7"/>
  <c r="BU112"/>
  <c r="BX13"/>
  <c r="BS39" i="8"/>
  <c r="BQ39"/>
  <c r="K64" i="11"/>
  <c r="K65"/>
  <c r="BQ34" i="8"/>
  <c r="BX14" i="7"/>
  <c r="BX8"/>
  <c r="BW14"/>
  <c r="BU14"/>
  <c r="BW8"/>
  <c r="CM36" i="17"/>
  <c r="BS34" i="8"/>
  <c r="BS17"/>
  <c r="BQ17"/>
  <c r="BS14"/>
  <c r="BS8"/>
  <c r="BS77"/>
  <c r="AB61"/>
  <c r="AC61"/>
  <c r="AF57" i="7"/>
  <c r="AE57"/>
  <c r="BU8"/>
  <c r="BQ14" i="8"/>
  <c r="BS78"/>
  <c r="L11" i="87"/>
  <c r="M11"/>
  <c r="BE96" i="8"/>
  <c r="BA96"/>
  <c r="BE129" i="7"/>
  <c r="BQ8" i="8"/>
  <c r="BQ78"/>
  <c r="E36" i="63"/>
  <c r="D44"/>
  <c r="D43"/>
  <c r="AR29" i="19"/>
  <c r="AR26"/>
  <c r="AR22"/>
  <c r="AR40"/>
  <c r="AJ10" i="6"/>
  <c r="AJ11"/>
  <c r="W14" i="70"/>
  <c r="H14"/>
  <c r="W25"/>
  <c r="U24"/>
  <c r="T24"/>
  <c r="W24"/>
  <c r="W16"/>
  <c r="J19"/>
  <c r="L19"/>
  <c r="M19"/>
  <c r="N19"/>
  <c r="P19"/>
  <c r="Q19"/>
  <c r="S19"/>
  <c r="T19"/>
  <c r="U19"/>
  <c r="V19"/>
  <c r="I15"/>
  <c r="I19"/>
  <c r="L10"/>
  <c r="L12"/>
  <c r="I10"/>
  <c r="I12"/>
  <c r="P9"/>
  <c r="J12"/>
  <c r="M12"/>
  <c r="S12"/>
  <c r="V12"/>
  <c r="Q11"/>
  <c r="K15"/>
  <c r="K10"/>
  <c r="K12"/>
  <c r="N10"/>
  <c r="H15"/>
  <c r="H19"/>
  <c r="H10"/>
  <c r="H12"/>
  <c r="E15"/>
  <c r="E19"/>
  <c r="B15"/>
  <c r="B19"/>
  <c r="G19"/>
  <c r="F19"/>
  <c r="D19"/>
  <c r="C19"/>
  <c r="G12"/>
  <c r="F12"/>
  <c r="E12"/>
  <c r="D12"/>
  <c r="C12"/>
  <c r="B12"/>
  <c r="B9"/>
  <c r="T8"/>
  <c r="R8"/>
  <c r="Q8"/>
  <c r="O8"/>
  <c r="N8"/>
  <c r="Q12"/>
  <c r="Q20"/>
  <c r="E38" i="63"/>
  <c r="E39"/>
  <c r="K19" i="70"/>
  <c r="H20"/>
  <c r="J20"/>
  <c r="L20"/>
  <c r="V20"/>
  <c r="S20"/>
  <c r="M20"/>
  <c r="I20"/>
  <c r="E7" i="67"/>
  <c r="D7"/>
  <c r="C7"/>
  <c r="K20" i="70"/>
  <c r="E8" i="67"/>
  <c r="E9"/>
  <c r="D8"/>
  <c r="D9"/>
  <c r="C8"/>
  <c r="AG9" i="5"/>
  <c r="AD10"/>
  <c r="AG10"/>
  <c r="AH10" i="6"/>
  <c r="AE11"/>
  <c r="AH11"/>
  <c r="AN59" i="19"/>
  <c r="E331" i="69"/>
  <c r="E330"/>
  <c r="E328"/>
  <c r="D328"/>
  <c r="E318"/>
  <c r="E311"/>
  <c r="D311"/>
  <c r="D329"/>
  <c r="E288"/>
  <c r="D288"/>
  <c r="E278"/>
  <c r="D278"/>
  <c r="E275"/>
  <c r="D275"/>
  <c r="E270"/>
  <c r="D270"/>
  <c r="E265"/>
  <c r="D265"/>
  <c r="E259"/>
  <c r="D259"/>
  <c r="E252"/>
  <c r="D252"/>
  <c r="E248"/>
  <c r="E253"/>
  <c r="E266"/>
  <c r="E279"/>
  <c r="D248"/>
  <c r="D289"/>
  <c r="E235"/>
  <c r="D235"/>
  <c r="E230"/>
  <c r="D230"/>
  <c r="E223"/>
  <c r="D223"/>
  <c r="E217"/>
  <c r="D217"/>
  <c r="E207"/>
  <c r="D207"/>
  <c r="E202"/>
  <c r="D202"/>
  <c r="G191"/>
  <c r="E189"/>
  <c r="D189"/>
  <c r="E171"/>
  <c r="D171"/>
  <c r="E168"/>
  <c r="D168"/>
  <c r="E165"/>
  <c r="D165"/>
  <c r="E162"/>
  <c r="D162"/>
  <c r="E155"/>
  <c r="D155"/>
  <c r="E147"/>
  <c r="D147"/>
  <c r="E130"/>
  <c r="E148"/>
  <c r="E164"/>
  <c r="E173"/>
  <c r="D130"/>
  <c r="E111"/>
  <c r="D111"/>
  <c r="E89"/>
  <c r="D89"/>
  <c r="E64"/>
  <c r="D64"/>
  <c r="E35"/>
  <c r="E65"/>
  <c r="E90"/>
  <c r="E112"/>
  <c r="D35"/>
  <c r="D209"/>
  <c r="E209"/>
  <c r="E224"/>
  <c r="E236"/>
  <c r="D65"/>
  <c r="D90"/>
  <c r="D112"/>
  <c r="D148"/>
  <c r="D164"/>
  <c r="D173"/>
  <c r="E329"/>
  <c r="D224"/>
  <c r="D236"/>
  <c r="E332"/>
  <c r="E289"/>
  <c r="D253"/>
  <c r="D266"/>
  <c r="D279"/>
  <c r="D9" i="68"/>
  <c r="D43"/>
  <c r="N8"/>
  <c r="H8"/>
  <c r="F8"/>
  <c r="F6"/>
  <c r="H6"/>
  <c r="F43"/>
  <c r="D46"/>
  <c r="E333" i="69"/>
  <c r="E334"/>
  <c r="J6" i="68"/>
  <c r="H9"/>
  <c r="D13"/>
  <c r="F9"/>
  <c r="D10"/>
  <c r="D11"/>
  <c r="D12"/>
  <c r="AV73" i="9"/>
  <c r="AV71"/>
  <c r="AW72"/>
  <c r="AW73"/>
  <c r="AW71"/>
  <c r="AV67"/>
  <c r="AW67"/>
  <c r="AU67"/>
  <c r="AW66"/>
  <c r="AW65"/>
  <c r="AU65"/>
  <c r="AV65"/>
  <c r="BG45" i="7"/>
  <c r="BC44" i="8"/>
  <c r="C9" i="67"/>
  <c r="AV14" i="7"/>
  <c r="AX52"/>
  <c r="N48" i="3"/>
  <c r="F46" i="68"/>
  <c r="H43"/>
  <c r="D50"/>
  <c r="D49"/>
  <c r="D48"/>
  <c r="D47"/>
  <c r="D51"/>
  <c r="BB50" i="9"/>
  <c r="BB48"/>
  <c r="AU73"/>
  <c r="AV68"/>
  <c r="AU71"/>
  <c r="AW68"/>
  <c r="D15" i="68"/>
  <c r="D14"/>
  <c r="H10"/>
  <c r="H13"/>
  <c r="H12"/>
  <c r="H11"/>
  <c r="F11"/>
  <c r="F10"/>
  <c r="F13"/>
  <c r="F12"/>
  <c r="J9"/>
  <c r="L6"/>
  <c r="F50"/>
  <c r="F49"/>
  <c r="F48"/>
  <c r="F51"/>
  <c r="F53"/>
  <c r="F47"/>
  <c r="F52"/>
  <c r="F15"/>
  <c r="J43"/>
  <c r="H46"/>
  <c r="D52"/>
  <c r="D53"/>
  <c r="H15"/>
  <c r="BB52" i="9"/>
  <c r="BB54"/>
  <c r="AU68"/>
  <c r="D16" i="68"/>
  <c r="H14"/>
  <c r="H16"/>
  <c r="F14"/>
  <c r="F16"/>
  <c r="N6"/>
  <c r="L9"/>
  <c r="J13"/>
  <c r="J12"/>
  <c r="J11"/>
  <c r="J10"/>
  <c r="J46"/>
  <c r="L43"/>
  <c r="H47"/>
  <c r="H48"/>
  <c r="H52"/>
  <c r="H53"/>
  <c r="H49"/>
  <c r="H50"/>
  <c r="H51"/>
  <c r="BB59" i="9"/>
  <c r="J15" i="68"/>
  <c r="L12"/>
  <c r="L11"/>
  <c r="L10"/>
  <c r="L13"/>
  <c r="P6"/>
  <c r="N9"/>
  <c r="J14"/>
  <c r="L46"/>
  <c r="N43"/>
  <c r="J48"/>
  <c r="J47"/>
  <c r="J52"/>
  <c r="J50"/>
  <c r="J49"/>
  <c r="J51"/>
  <c r="L15"/>
  <c r="J16"/>
  <c r="N11"/>
  <c r="N10"/>
  <c r="N13"/>
  <c r="N12"/>
  <c r="L14"/>
  <c r="L16"/>
  <c r="R6"/>
  <c r="P9"/>
  <c r="P43"/>
  <c r="N46"/>
  <c r="L49"/>
  <c r="L50"/>
  <c r="L47"/>
  <c r="L48"/>
  <c r="L52"/>
  <c r="L53"/>
  <c r="L51"/>
  <c r="J53"/>
  <c r="N15"/>
  <c r="N14"/>
  <c r="P10"/>
  <c r="P13"/>
  <c r="P12"/>
  <c r="P11"/>
  <c r="R9"/>
  <c r="T6"/>
  <c r="T9"/>
  <c r="N50"/>
  <c r="N49"/>
  <c r="N48"/>
  <c r="N47"/>
  <c r="N52"/>
  <c r="P46"/>
  <c r="R43"/>
  <c r="N16"/>
  <c r="P14"/>
  <c r="P15"/>
  <c r="T12"/>
  <c r="T11"/>
  <c r="T10"/>
  <c r="T13"/>
  <c r="R13"/>
  <c r="R12"/>
  <c r="R11"/>
  <c r="R15"/>
  <c r="R10"/>
  <c r="P49"/>
  <c r="P50"/>
  <c r="P47"/>
  <c r="P48"/>
  <c r="P51"/>
  <c r="P52"/>
  <c r="T43"/>
  <c r="T46"/>
  <c r="R46"/>
  <c r="N51"/>
  <c r="N53"/>
  <c r="P16"/>
  <c r="T15"/>
  <c r="R14"/>
  <c r="R16"/>
  <c r="T14"/>
  <c r="R48"/>
  <c r="R47"/>
  <c r="R50"/>
  <c r="R49"/>
  <c r="T47"/>
  <c r="T52"/>
  <c r="T53"/>
  <c r="T48"/>
  <c r="T49"/>
  <c r="T50"/>
  <c r="T51"/>
  <c r="P53"/>
  <c r="T16"/>
  <c r="AW60" i="9"/>
  <c r="AW58"/>
  <c r="AR27" i="19"/>
  <c r="AR18"/>
  <c r="AR8"/>
  <c r="R52" i="68"/>
  <c r="R51"/>
  <c r="R53"/>
  <c r="AH43" i="6"/>
  <c r="AH37"/>
  <c r="AH9"/>
  <c r="AG41" i="5"/>
  <c r="AG38"/>
  <c r="AG30"/>
  <c r="AG8"/>
  <c r="P57" i="3"/>
  <c r="P47"/>
  <c r="P42"/>
  <c r="AD46" i="11"/>
  <c r="BL44"/>
  <c r="AR28" i="19"/>
  <c r="AR17"/>
  <c r="AR15"/>
  <c r="AH16" i="6"/>
  <c r="E29" i="66"/>
  <c r="F29"/>
  <c r="F23"/>
  <c r="E23"/>
  <c r="D23"/>
  <c r="E16"/>
  <c r="F16"/>
  <c r="E14"/>
  <c r="F14"/>
  <c r="BF83" i="8"/>
  <c r="D14" i="65"/>
  <c r="D40"/>
  <c r="E38"/>
  <c r="F23"/>
  <c r="E23"/>
  <c r="D40" i="64"/>
  <c r="F38"/>
  <c r="F40"/>
  <c r="E38"/>
  <c r="E40"/>
  <c r="F29"/>
  <c r="D23"/>
  <c r="F23"/>
  <c r="E23"/>
  <c r="E16"/>
  <c r="F14"/>
  <c r="E39" i="65"/>
  <c r="F38"/>
  <c r="F16" i="64"/>
  <c r="B32" i="63"/>
  <c r="B27"/>
  <c r="B18"/>
  <c r="C18"/>
  <c r="E23" i="61"/>
  <c r="F23"/>
  <c r="D16"/>
  <c r="BJ118" i="7"/>
  <c r="E40" i="65"/>
  <c r="F39"/>
  <c r="F40"/>
  <c r="B19" i="63"/>
  <c r="B20"/>
  <c r="C19"/>
  <c r="C20"/>
  <c r="D18"/>
  <c r="B13"/>
  <c r="C13"/>
  <c r="B8"/>
  <c r="C8"/>
  <c r="C24" i="36"/>
  <c r="G24"/>
  <c r="G7"/>
  <c r="AR19" i="19"/>
  <c r="AG21" i="5"/>
  <c r="U51" i="3"/>
  <c r="B14" i="63"/>
  <c r="B15"/>
  <c r="BK19" i="7"/>
  <c r="E16" i="61"/>
  <c r="F16"/>
  <c r="D31"/>
  <c r="D15" i="62"/>
  <c r="E15"/>
  <c r="C15"/>
  <c r="E14"/>
  <c r="D14"/>
  <c r="C14"/>
  <c r="E13"/>
  <c r="I13"/>
  <c r="I16"/>
  <c r="F15"/>
  <c r="F14"/>
  <c r="D13"/>
  <c r="H13"/>
  <c r="C13"/>
  <c r="C16"/>
  <c r="B15"/>
  <c r="B14"/>
  <c r="B13"/>
  <c r="F12"/>
  <c r="E12"/>
  <c r="D12"/>
  <c r="C12"/>
  <c r="B12"/>
  <c r="B16"/>
  <c r="E9"/>
  <c r="I9"/>
  <c r="I10"/>
  <c r="D9"/>
  <c r="E8"/>
  <c r="D8"/>
  <c r="C9"/>
  <c r="C8"/>
  <c r="E7"/>
  <c r="E10"/>
  <c r="D7"/>
  <c r="C7"/>
  <c r="H9"/>
  <c r="H10"/>
  <c r="G9"/>
  <c r="F8"/>
  <c r="F7"/>
  <c r="C10"/>
  <c r="B9"/>
  <c r="B8"/>
  <c r="B7"/>
  <c r="B10"/>
  <c r="D40" i="61"/>
  <c r="F38"/>
  <c r="E38"/>
  <c r="E39"/>
  <c r="E40"/>
  <c r="AR23" i="19"/>
  <c r="BJ35" i="11"/>
  <c r="BJ34"/>
  <c r="BI35"/>
  <c r="BI34"/>
  <c r="AT35"/>
  <c r="AT34"/>
  <c r="AT60" i="9"/>
  <c r="AN60"/>
  <c r="AG60"/>
  <c r="Q60"/>
  <c r="AF18" i="5"/>
  <c r="AG18"/>
  <c r="D20" i="63"/>
  <c r="H16" i="62"/>
  <c r="E11" i="67"/>
  <c r="E12"/>
  <c r="E13"/>
  <c r="E15"/>
  <c r="AR48" i="19"/>
  <c r="BG48"/>
  <c r="G13" i="62"/>
  <c r="F13"/>
  <c r="F16"/>
  <c r="D10"/>
  <c r="F39" i="61"/>
  <c r="F40"/>
  <c r="B9" i="63"/>
  <c r="B10"/>
  <c r="D19"/>
  <c r="D13"/>
  <c r="C14"/>
  <c r="C15"/>
  <c r="D15"/>
  <c r="D8"/>
  <c r="C9"/>
  <c r="D16" i="62"/>
  <c r="E16"/>
  <c r="F9"/>
  <c r="G10"/>
  <c r="BI38" i="7"/>
  <c r="F10" i="62"/>
  <c r="BI48" i="19"/>
  <c r="BH48"/>
  <c r="BG38" i="7"/>
  <c r="BE37" i="8"/>
  <c r="G16" i="62"/>
  <c r="D14" i="63"/>
  <c r="C10"/>
  <c r="D10"/>
  <c r="D9"/>
  <c r="O57" i="3"/>
  <c r="O48"/>
  <c r="AV52" i="7"/>
  <c r="O38" i="3"/>
  <c r="O42"/>
  <c r="O45"/>
  <c r="O43"/>
  <c r="O47"/>
  <c r="E25" i="60"/>
  <c r="E26"/>
  <c r="E14"/>
  <c r="E6"/>
  <c r="C18" i="36"/>
  <c r="Q58" i="59"/>
  <c r="F58"/>
  <c r="AC54"/>
  <c r="AC55"/>
  <c r="AC56"/>
  <c r="T42"/>
  <c r="D43"/>
  <c r="D47"/>
  <c r="D38"/>
  <c r="D42"/>
  <c r="F48"/>
  <c r="H47"/>
  <c r="J47"/>
  <c r="L47"/>
  <c r="F43"/>
  <c r="F47"/>
  <c r="F41"/>
  <c r="F42"/>
  <c r="F38"/>
  <c r="H42"/>
  <c r="L42"/>
  <c r="M59"/>
  <c r="O58"/>
  <c r="C26" i="60"/>
  <c r="B26"/>
  <c r="C14"/>
  <c r="B14"/>
  <c r="J42" i="59"/>
  <c r="AH70"/>
  <c r="V70"/>
  <c r="AH69"/>
  <c r="V69"/>
  <c r="AH68"/>
  <c r="V68"/>
  <c r="AE62"/>
  <c r="O62"/>
  <c r="AC61"/>
  <c r="W61"/>
  <c r="O61"/>
  <c r="AC60"/>
  <c r="W60"/>
  <c r="O60"/>
  <c r="AD59"/>
  <c r="AD58"/>
  <c r="AA59"/>
  <c r="Z59"/>
  <c r="Z58"/>
  <c r="Y59"/>
  <c r="Y58"/>
  <c r="X59"/>
  <c r="X58"/>
  <c r="V59"/>
  <c r="V58"/>
  <c r="U59"/>
  <c r="S59"/>
  <c r="S58"/>
  <c r="R59"/>
  <c r="R58"/>
  <c r="O59"/>
  <c r="AE53"/>
  <c r="AE52"/>
  <c r="AC51"/>
  <c r="AA51"/>
  <c r="W51"/>
  <c r="W48"/>
  <c r="W43"/>
  <c r="W47"/>
  <c r="AE50"/>
  <c r="O50"/>
  <c r="AC49"/>
  <c r="AE49"/>
  <c r="R49"/>
  <c r="R48"/>
  <c r="R43"/>
  <c r="R47"/>
  <c r="O49"/>
  <c r="AD48"/>
  <c r="AA48"/>
  <c r="Z48"/>
  <c r="Y48"/>
  <c r="V48"/>
  <c r="V43"/>
  <c r="V47"/>
  <c r="S48"/>
  <c r="S43"/>
  <c r="S47"/>
  <c r="N48"/>
  <c r="O48"/>
  <c r="AE46"/>
  <c r="P46"/>
  <c r="O46"/>
  <c r="AC45"/>
  <c r="AE45"/>
  <c r="AA45"/>
  <c r="Z45"/>
  <c r="Y45"/>
  <c r="U45"/>
  <c r="AA44"/>
  <c r="Z44"/>
  <c r="Z43"/>
  <c r="Z47"/>
  <c r="Y44"/>
  <c r="U44"/>
  <c r="AD43"/>
  <c r="S42"/>
  <c r="R42"/>
  <c r="P42"/>
  <c r="AE41"/>
  <c r="R41"/>
  <c r="O41"/>
  <c r="AE40"/>
  <c r="AD38"/>
  <c r="AA38"/>
  <c r="AA42"/>
  <c r="Z38"/>
  <c r="Z42"/>
  <c r="Y38"/>
  <c r="Y42"/>
  <c r="W38"/>
  <c r="W42"/>
  <c r="V38"/>
  <c r="V42"/>
  <c r="AG26"/>
  <c r="R26"/>
  <c r="O26"/>
  <c r="M26"/>
  <c r="AH25"/>
  <c r="AG25"/>
  <c r="R25"/>
  <c r="O25"/>
  <c r="M25"/>
  <c r="R24"/>
  <c r="O24"/>
  <c r="M24"/>
  <c r="AG23"/>
  <c r="R23"/>
  <c r="O23"/>
  <c r="M23"/>
  <c r="AH21"/>
  <c r="AF21"/>
  <c r="W21"/>
  <c r="V21"/>
  <c r="S21"/>
  <c r="P21"/>
  <c r="N21"/>
  <c r="J21"/>
  <c r="B21"/>
  <c r="AG19"/>
  <c r="R19"/>
  <c r="O19"/>
  <c r="M19"/>
  <c r="AG18"/>
  <c r="R18"/>
  <c r="O18"/>
  <c r="M18"/>
  <c r="AG17"/>
  <c r="R17"/>
  <c r="O17"/>
  <c r="M17"/>
  <c r="AH15"/>
  <c r="AH12"/>
  <c r="AH14"/>
  <c r="AF15"/>
  <c r="W15"/>
  <c r="W12"/>
  <c r="V15"/>
  <c r="V12"/>
  <c r="V9"/>
  <c r="V27"/>
  <c r="S15"/>
  <c r="S12"/>
  <c r="S14"/>
  <c r="P15"/>
  <c r="P12"/>
  <c r="P9"/>
  <c r="N15"/>
  <c r="J15"/>
  <c r="B15"/>
  <c r="B12"/>
  <c r="AG13"/>
  <c r="R13"/>
  <c r="O13"/>
  <c r="M13"/>
  <c r="AF12"/>
  <c r="AF14"/>
  <c r="N12"/>
  <c r="J12"/>
  <c r="J9"/>
  <c r="AG11"/>
  <c r="R11"/>
  <c r="AH10"/>
  <c r="AG10"/>
  <c r="R10"/>
  <c r="O10"/>
  <c r="M10"/>
  <c r="BC28" i="8"/>
  <c r="I158" i="57"/>
  <c r="I197"/>
  <c r="BG28" i="7"/>
  <c r="I55" i="57"/>
  <c r="K194"/>
  <c r="BI57" i="7"/>
  <c r="D24" i="61"/>
  <c r="D23"/>
  <c r="AR42" i="19"/>
  <c r="AR43"/>
  <c r="AR44"/>
  <c r="AR45"/>
  <c r="AR46"/>
  <c r="BU31" i="17"/>
  <c r="BU32"/>
  <c r="BU33"/>
  <c r="BU30"/>
  <c r="BU26"/>
  <c r="BU27"/>
  <c r="BU28"/>
  <c r="BU25"/>
  <c r="I34" i="32"/>
  <c r="I32"/>
  <c r="I35"/>
  <c r="F32"/>
  <c r="F35"/>
  <c r="F30"/>
  <c r="F34"/>
  <c r="B33"/>
  <c r="E33"/>
  <c r="H33"/>
  <c r="B32"/>
  <c r="H29"/>
  <c r="C34"/>
  <c r="E29"/>
  <c r="B29"/>
  <c r="BL38" i="11"/>
  <c r="H62"/>
  <c r="K62"/>
  <c r="F65"/>
  <c r="F64"/>
  <c r="L65"/>
  <c r="L64"/>
  <c r="L63"/>
  <c r="L62"/>
  <c r="K61"/>
  <c r="G61"/>
  <c r="L61"/>
  <c r="V27" i="10"/>
  <c r="V28"/>
  <c r="V29"/>
  <c r="V26"/>
  <c r="U59" i="3"/>
  <c r="U58"/>
  <c r="V57"/>
  <c r="U49"/>
  <c r="V48"/>
  <c r="L57"/>
  <c r="D34" i="90"/>
  <c r="X82" i="6"/>
  <c r="Z87"/>
  <c r="AB87"/>
  <c r="AJ87"/>
  <c r="AL87"/>
  <c r="AO87"/>
  <c r="AQ87"/>
  <c r="AU87"/>
  <c r="Z88"/>
  <c r="AB88"/>
  <c r="AC88"/>
  <c r="AJ88"/>
  <c r="AK88"/>
  <c r="AL88"/>
  <c r="AO88"/>
  <c r="AP88"/>
  <c r="AQ88"/>
  <c r="AU88"/>
  <c r="AV88"/>
  <c r="AB102"/>
  <c r="AD102"/>
  <c r="AC102"/>
  <c r="AJ102"/>
  <c r="AK102"/>
  <c r="AL102"/>
  <c r="AB103"/>
  <c r="AC103"/>
  <c r="AD103"/>
  <c r="AJ103"/>
  <c r="AK103"/>
  <c r="AL103"/>
  <c r="Y133"/>
  <c r="Y134"/>
  <c r="Y135"/>
  <c r="Y136"/>
  <c r="Y137"/>
  <c r="Y138"/>
  <c r="Y139"/>
  <c r="V140"/>
  <c r="X140"/>
  <c r="Y142"/>
  <c r="Y143"/>
  <c r="Y144"/>
  <c r="Y145"/>
  <c r="Y146"/>
  <c r="Y147"/>
  <c r="Y148"/>
  <c r="Y150"/>
  <c r="Y151"/>
  <c r="Y152"/>
  <c r="Y153"/>
  <c r="Y154"/>
  <c r="Y155"/>
  <c r="Y157"/>
  <c r="Y158"/>
  <c r="Y159"/>
  <c r="Y160"/>
  <c r="Y161"/>
  <c r="Y162"/>
  <c r="Y163"/>
  <c r="V164"/>
  <c r="W164"/>
  <c r="X164"/>
  <c r="Y166"/>
  <c r="Y167"/>
  <c r="Y168"/>
  <c r="Y169"/>
  <c r="Y170"/>
  <c r="Y171"/>
  <c r="Y172"/>
  <c r="Y173"/>
  <c r="Y174"/>
  <c r="V175"/>
  <c r="W175"/>
  <c r="X175"/>
  <c r="Y177"/>
  <c r="Y178"/>
  <c r="Y179"/>
  <c r="Y180"/>
  <c r="Y181"/>
  <c r="Y182"/>
  <c r="Y183"/>
  <c r="V184"/>
  <c r="W184"/>
  <c r="X184"/>
  <c r="F92" i="56"/>
  <c r="F91"/>
  <c r="E91"/>
  <c r="E101"/>
  <c r="D91"/>
  <c r="F122"/>
  <c r="F112"/>
  <c r="F102"/>
  <c r="T82"/>
  <c r="D102"/>
  <c r="T72"/>
  <c r="D112"/>
  <c r="BU28" i="8"/>
  <c r="BR28"/>
  <c r="E111" i="56"/>
  <c r="J111"/>
  <c r="J121"/>
  <c r="I29" i="85"/>
  <c r="I32" i="89"/>
  <c r="I33" i="90"/>
  <c r="K33"/>
  <c r="I30" i="87"/>
  <c r="K30"/>
  <c r="D28" i="66"/>
  <c r="E28"/>
  <c r="F28"/>
  <c r="I28" i="88"/>
  <c r="F111" i="56"/>
  <c r="F121"/>
  <c r="BI28" i="7"/>
  <c r="AM102" i="6"/>
  <c r="AM88"/>
  <c r="M62" i="11"/>
  <c r="BJ29"/>
  <c r="BJ41"/>
  <c r="O21" i="59"/>
  <c r="AE56"/>
  <c r="AM103" i="6"/>
  <c r="AD88"/>
  <c r="AC87"/>
  <c r="H63" i="11"/>
  <c r="K63"/>
  <c r="M63"/>
  <c r="BJ52" i="7"/>
  <c r="BJ44"/>
  <c r="V40" i="3"/>
  <c r="V38"/>
  <c r="V45"/>
  <c r="D28" i="64"/>
  <c r="E28"/>
  <c r="F28"/>
  <c r="BE28" i="8"/>
  <c r="D29" i="65"/>
  <c r="E29"/>
  <c r="F29"/>
  <c r="B33" i="63"/>
  <c r="BF51" i="8"/>
  <c r="B28" i="63"/>
  <c r="D29" i="61"/>
  <c r="F29"/>
  <c r="D111" i="56"/>
  <c r="D121"/>
  <c r="B30" i="32"/>
  <c r="D30"/>
  <c r="D32"/>
  <c r="E32"/>
  <c r="H32"/>
  <c r="J32"/>
  <c r="M64" i="11"/>
  <c r="BJ32"/>
  <c r="M61"/>
  <c r="BJ30"/>
  <c r="BJ42"/>
  <c r="R21" i="59"/>
  <c r="O12"/>
  <c r="O15"/>
  <c r="AG21"/>
  <c r="AA43"/>
  <c r="AA47"/>
  <c r="Y43"/>
  <c r="Y47"/>
  <c r="AH9"/>
  <c r="AH27"/>
  <c r="AE51"/>
  <c r="N43"/>
  <c r="R38"/>
  <c r="R39"/>
  <c r="AG15"/>
  <c r="R15"/>
  <c r="V44"/>
  <c r="P59"/>
  <c r="AE61"/>
  <c r="M21"/>
  <c r="AE60"/>
  <c r="P27"/>
  <c r="B9"/>
  <c r="M9"/>
  <c r="B14"/>
  <c r="W14"/>
  <c r="W9"/>
  <c r="W27"/>
  <c r="AG14"/>
  <c r="N14"/>
  <c r="M15"/>
  <c r="N9"/>
  <c r="R9"/>
  <c r="S9"/>
  <c r="S27"/>
  <c r="AF9"/>
  <c r="M12"/>
  <c r="R12"/>
  <c r="V14"/>
  <c r="AC48"/>
  <c r="AE48"/>
  <c r="AC59"/>
  <c r="AC58"/>
  <c r="J14"/>
  <c r="M14"/>
  <c r="P14"/>
  <c r="R44"/>
  <c r="W44"/>
  <c r="AG12"/>
  <c r="S38"/>
  <c r="S39"/>
  <c r="S44"/>
  <c r="P48"/>
  <c r="W59"/>
  <c r="W58"/>
  <c r="E121" i="56"/>
  <c r="F113"/>
  <c r="AN102" i="6"/>
  <c r="J91" i="56"/>
  <c r="F93"/>
  <c r="AT88" i="6"/>
  <c r="AW88"/>
  <c r="AN103"/>
  <c r="AO103"/>
  <c r="AN88"/>
  <c r="AX88"/>
  <c r="AR88"/>
  <c r="AV87"/>
  <c r="AT87"/>
  <c r="AP87"/>
  <c r="AR87"/>
  <c r="AK87"/>
  <c r="AM87"/>
  <c r="AD87"/>
  <c r="Y175"/>
  <c r="Z166"/>
  <c r="Y140"/>
  <c r="Z136"/>
  <c r="Y82"/>
  <c r="V82"/>
  <c r="Z82"/>
  <c r="Z138"/>
  <c r="Z134"/>
  <c r="Z137"/>
  <c r="Z133"/>
  <c r="Y184"/>
  <c r="Z182"/>
  <c r="Y164"/>
  <c r="Z157"/>
  <c r="Z167"/>
  <c r="S72" i="56"/>
  <c r="I102"/>
  <c r="S112"/>
  <c r="F123"/>
  <c r="S82"/>
  <c r="C91"/>
  <c r="I91"/>
  <c r="I101"/>
  <c r="K91"/>
  <c r="K101"/>
  <c r="D92"/>
  <c r="D101"/>
  <c r="D103"/>
  <c r="F101"/>
  <c r="F103"/>
  <c r="C111"/>
  <c r="I111"/>
  <c r="N111"/>
  <c r="N121"/>
  <c r="K111"/>
  <c r="K121"/>
  <c r="O111"/>
  <c r="O121"/>
  <c r="D122"/>
  <c r="F39"/>
  <c r="F29"/>
  <c r="K48"/>
  <c r="K58"/>
  <c r="F28"/>
  <c r="D48"/>
  <c r="D58"/>
  <c r="D28"/>
  <c r="F58"/>
  <c r="T19"/>
  <c r="T9"/>
  <c r="D8"/>
  <c r="F8"/>
  <c r="K8"/>
  <c r="BF92" i="8"/>
  <c r="BE92"/>
  <c r="D24" i="65"/>
  <c r="D23"/>
  <c r="BF84" i="8"/>
  <c r="BF76"/>
  <c r="BB92"/>
  <c r="BA92"/>
  <c r="BB84"/>
  <c r="BA84"/>
  <c r="BB76"/>
  <c r="AU92"/>
  <c r="AT92"/>
  <c r="AS92"/>
  <c r="AR92"/>
  <c r="AQ92"/>
  <c r="AP92"/>
  <c r="AL92"/>
  <c r="AU89"/>
  <c r="AR89"/>
  <c r="AN89"/>
  <c r="AM89"/>
  <c r="AL89"/>
  <c r="AU84"/>
  <c r="AT84"/>
  <c r="AR84"/>
  <c r="AQ84"/>
  <c r="AO84"/>
  <c r="AN84"/>
  <c r="AM84"/>
  <c r="AL84"/>
  <c r="AP82"/>
  <c r="AS78"/>
  <c r="AP78"/>
  <c r="AU76"/>
  <c r="AT76"/>
  <c r="AR76"/>
  <c r="AQ76"/>
  <c r="AK92"/>
  <c r="AK84"/>
  <c r="AH92"/>
  <c r="AH89"/>
  <c r="AG89"/>
  <c r="AH87"/>
  <c r="AG87"/>
  <c r="AH84"/>
  <c r="AG84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G85"/>
  <c r="AE92"/>
  <c r="AD92"/>
  <c r="AC92"/>
  <c r="AB92"/>
  <c r="AA92"/>
  <c r="AE89"/>
  <c r="AD89"/>
  <c r="AA89"/>
  <c r="AE87"/>
  <c r="AE84"/>
  <c r="AD84"/>
  <c r="AC84"/>
  <c r="AB84"/>
  <c r="AA84"/>
  <c r="Z84"/>
  <c r="Y84"/>
  <c r="AE82"/>
  <c r="AA82"/>
  <c r="Y82"/>
  <c r="AE81"/>
  <c r="AE80"/>
  <c r="AE79"/>
  <c r="AE78"/>
  <c r="AB78"/>
  <c r="AE77"/>
  <c r="AB77"/>
  <c r="AE76"/>
  <c r="AD76"/>
  <c r="AC76"/>
  <c r="AA76"/>
  <c r="AE75"/>
  <c r="AE74"/>
  <c r="W92"/>
  <c r="W89"/>
  <c r="W75"/>
  <c r="W84"/>
  <c r="W82"/>
  <c r="W80"/>
  <c r="W79"/>
  <c r="W78"/>
  <c r="W77"/>
  <c r="W76"/>
  <c r="W74"/>
  <c r="BJ126" i="7"/>
  <c r="BI126"/>
  <c r="BJ123"/>
  <c r="BJ119"/>
  <c r="BJ114"/>
  <c r="BJ111"/>
  <c r="BI111"/>
  <c r="BF126"/>
  <c r="BE126"/>
  <c r="BF119"/>
  <c r="BF114"/>
  <c r="BF111"/>
  <c r="AY126"/>
  <c r="AY123"/>
  <c r="AY119"/>
  <c r="AX119"/>
  <c r="AW119"/>
  <c r="AW117"/>
  <c r="AY114"/>
  <c r="AW113"/>
  <c r="AY111"/>
  <c r="AX111"/>
  <c r="AV126"/>
  <c r="AV123"/>
  <c r="AV119"/>
  <c r="AU119"/>
  <c r="AT119"/>
  <c r="AT117"/>
  <c r="AV114"/>
  <c r="AT113"/>
  <c r="AV111"/>
  <c r="AU111"/>
  <c r="AO126"/>
  <c r="AN126"/>
  <c r="AO119"/>
  <c r="AN119"/>
  <c r="AO114"/>
  <c r="AO111"/>
  <c r="AK126"/>
  <c r="AJ126"/>
  <c r="AK123"/>
  <c r="AJ123"/>
  <c r="AK121"/>
  <c r="AJ121"/>
  <c r="AK119"/>
  <c r="AJ119"/>
  <c r="AK117"/>
  <c r="AJ117"/>
  <c r="AK115"/>
  <c r="AJ115"/>
  <c r="AK114"/>
  <c r="AJ114"/>
  <c r="AK113"/>
  <c r="AK112"/>
  <c r="AJ112"/>
  <c r="AK111"/>
  <c r="AJ111"/>
  <c r="AK110"/>
  <c r="AJ110"/>
  <c r="AK109"/>
  <c r="AJ109"/>
  <c r="AG126"/>
  <c r="AF126"/>
  <c r="AG123"/>
  <c r="AF123"/>
  <c r="AG119"/>
  <c r="AF119"/>
  <c r="AG114"/>
  <c r="AG111"/>
  <c r="AE126"/>
  <c r="AE123"/>
  <c r="AE119"/>
  <c r="AE115"/>
  <c r="AE113"/>
  <c r="AD126"/>
  <c r="AB126"/>
  <c r="AD123"/>
  <c r="AD119"/>
  <c r="AC119"/>
  <c r="AB119"/>
  <c r="AA119"/>
  <c r="AD117"/>
  <c r="AA117"/>
  <c r="AD114"/>
  <c r="Y126"/>
  <c r="Y119"/>
  <c r="Y117"/>
  <c r="Y115"/>
  <c r="Y114"/>
  <c r="Y113"/>
  <c r="Y112"/>
  <c r="Y111"/>
  <c r="Y110"/>
  <c r="Y109"/>
  <c r="X108"/>
  <c r="W108"/>
  <c r="AL106"/>
  <c r="AH106"/>
  <c r="BC61" i="8"/>
  <c r="BD60"/>
  <c r="BD55"/>
  <c r="BD54"/>
  <c r="BD53"/>
  <c r="BD52"/>
  <c r="AY61"/>
  <c r="AY92"/>
  <c r="AT57"/>
  <c r="AS57"/>
  <c r="AS89"/>
  <c r="AQ57"/>
  <c r="AQ89"/>
  <c r="AS48"/>
  <c r="AS84"/>
  <c r="AP48"/>
  <c r="AP84"/>
  <c r="AP42"/>
  <c r="AP81"/>
  <c r="AU34"/>
  <c r="AR34"/>
  <c r="AU8"/>
  <c r="AR8"/>
  <c r="AY84"/>
  <c r="AD45"/>
  <c r="AW43" i="7"/>
  <c r="AW116"/>
  <c r="AT43"/>
  <c r="AT116"/>
  <c r="AV17"/>
  <c r="AY17"/>
  <c r="AE43"/>
  <c r="AE116"/>
  <c r="AG17"/>
  <c r="AF38"/>
  <c r="AF111"/>
  <c r="BE43" i="8"/>
  <c r="BA43"/>
  <c r="AT43"/>
  <c r="AQ43"/>
  <c r="BC45" i="7"/>
  <c r="BV28" i="8"/>
  <c r="BW28"/>
  <c r="D113" i="56"/>
  <c r="I28" i="86"/>
  <c r="V43" i="3"/>
  <c r="I34" i="90"/>
  <c r="BE76" i="8"/>
  <c r="F60" i="56"/>
  <c r="BJ33" i="11"/>
  <c r="BJ43"/>
  <c r="Z169" i="6"/>
  <c r="BC92" i="8"/>
  <c r="U11" i="70"/>
  <c r="G32" i="32"/>
  <c r="E30"/>
  <c r="H30"/>
  <c r="J30"/>
  <c r="C33" i="63"/>
  <c r="B34"/>
  <c r="B35"/>
  <c r="C28"/>
  <c r="B29"/>
  <c r="B30"/>
  <c r="H65" i="11"/>
  <c r="M65"/>
  <c r="N38" i="59"/>
  <c r="N44"/>
  <c r="N47"/>
  <c r="O43"/>
  <c r="O14"/>
  <c r="AE59"/>
  <c r="P43"/>
  <c r="P47"/>
  <c r="AG9"/>
  <c r="AF27"/>
  <c r="AC44"/>
  <c r="N27"/>
  <c r="O9"/>
  <c r="O27"/>
  <c r="I48" i="56"/>
  <c r="I58"/>
  <c r="Z171" i="6"/>
  <c r="AN87"/>
  <c r="AX87"/>
  <c r="J101" i="56"/>
  <c r="O91"/>
  <c r="O101"/>
  <c r="Z173" i="6"/>
  <c r="Z135"/>
  <c r="Z139"/>
  <c r="Z140"/>
  <c r="AW87"/>
  <c r="AS88"/>
  <c r="AB82"/>
  <c r="AK82"/>
  <c r="AO82"/>
  <c r="AQ82"/>
  <c r="AU82"/>
  <c r="AC82"/>
  <c r="AL82"/>
  <c r="AP82"/>
  <c r="AT82"/>
  <c r="AJ82"/>
  <c r="AV82"/>
  <c r="AQ103"/>
  <c r="AU103"/>
  <c r="AP103"/>
  <c r="AR103"/>
  <c r="AS103"/>
  <c r="AT103"/>
  <c r="AV103"/>
  <c r="Z142"/>
  <c r="Z145"/>
  <c r="Z168"/>
  <c r="Z170"/>
  <c r="Z172"/>
  <c r="Z174"/>
  <c r="Z158"/>
  <c r="Z161"/>
  <c r="AS87"/>
  <c r="Z146"/>
  <c r="Z162"/>
  <c r="Z149"/>
  <c r="Z150"/>
  <c r="Z151"/>
  <c r="Z152"/>
  <c r="Z153"/>
  <c r="Z154"/>
  <c r="Z155"/>
  <c r="Z156"/>
  <c r="Z179"/>
  <c r="Z183"/>
  <c r="Z180"/>
  <c r="Z144"/>
  <c r="Z148"/>
  <c r="Z160"/>
  <c r="Z177"/>
  <c r="Z181"/>
  <c r="Z143"/>
  <c r="Z147"/>
  <c r="Z159"/>
  <c r="Z163"/>
  <c r="Z178"/>
  <c r="AE85" i="8"/>
  <c r="AE88"/>
  <c r="AF84"/>
  <c r="D123" i="56"/>
  <c r="S122"/>
  <c r="I103"/>
  <c r="N103"/>
  <c r="S102"/>
  <c r="I113"/>
  <c r="N113"/>
  <c r="N112"/>
  <c r="I121"/>
  <c r="I123"/>
  <c r="H111"/>
  <c r="H121"/>
  <c r="C121"/>
  <c r="I92"/>
  <c r="D93"/>
  <c r="C101"/>
  <c r="H91"/>
  <c r="H101"/>
  <c r="P91"/>
  <c r="P111"/>
  <c r="N91"/>
  <c r="N101"/>
  <c r="F30"/>
  <c r="P48"/>
  <c r="I28"/>
  <c r="N28"/>
  <c r="N38"/>
  <c r="K28"/>
  <c r="D38"/>
  <c r="F38"/>
  <c r="F40"/>
  <c r="K18"/>
  <c r="D18"/>
  <c r="F18"/>
  <c r="F20"/>
  <c r="P8"/>
  <c r="D11"/>
  <c r="F10"/>
  <c r="I8"/>
  <c r="I18"/>
  <c r="D10"/>
  <c r="I9"/>
  <c r="AF82" i="8"/>
  <c r="AT89"/>
  <c r="AP57"/>
  <c r="AP89"/>
  <c r="AH85"/>
  <c r="AH90"/>
  <c r="AG90"/>
  <c r="AG88"/>
  <c r="AS42"/>
  <c r="AS81"/>
  <c r="BC47" i="7"/>
  <c r="G16" i="32"/>
  <c r="AS46" i="8"/>
  <c r="AS82"/>
  <c r="AB46"/>
  <c r="AB82"/>
  <c r="AE48" i="7"/>
  <c r="AE117"/>
  <c r="AS41" i="8"/>
  <c r="AT41"/>
  <c r="AP41"/>
  <c r="AQ41"/>
  <c r="AS33"/>
  <c r="AP33"/>
  <c r="AS26"/>
  <c r="AP26"/>
  <c r="AS16"/>
  <c r="AT16"/>
  <c r="AP16"/>
  <c r="AQ16"/>
  <c r="AX26" i="7"/>
  <c r="AU26"/>
  <c r="AF26"/>
  <c r="BB39" i="8"/>
  <c r="BB34"/>
  <c r="AT39"/>
  <c r="AQ39"/>
  <c r="AZ60"/>
  <c r="AZ55"/>
  <c r="AZ54"/>
  <c r="AZ53"/>
  <c r="AZ52"/>
  <c r="AT30"/>
  <c r="AQ30"/>
  <c r="BB14"/>
  <c r="AT14"/>
  <c r="AQ14"/>
  <c r="AS38"/>
  <c r="AS40"/>
  <c r="AP38"/>
  <c r="AQ38"/>
  <c r="AS29"/>
  <c r="AP29"/>
  <c r="AQ29"/>
  <c r="AS23"/>
  <c r="AS25"/>
  <c r="AP23"/>
  <c r="AP25"/>
  <c r="AS13"/>
  <c r="AP13"/>
  <c r="AB40"/>
  <c r="AC39"/>
  <c r="AB31"/>
  <c r="BC31"/>
  <c r="BE31"/>
  <c r="AC30"/>
  <c r="AC14"/>
  <c r="AC38"/>
  <c r="AC29"/>
  <c r="AC13"/>
  <c r="AX24" i="7"/>
  <c r="AU24"/>
  <c r="BF24"/>
  <c r="AF24"/>
  <c r="AW41"/>
  <c r="AT39"/>
  <c r="AE39"/>
  <c r="AW33"/>
  <c r="AT31"/>
  <c r="AE31"/>
  <c r="AD82" i="6"/>
  <c r="W166" i="56"/>
  <c r="W155"/>
  <c r="K28" i="88"/>
  <c r="K34" i="90"/>
  <c r="J34"/>
  <c r="I33" i="89"/>
  <c r="BC43" i="7"/>
  <c r="BC116"/>
  <c r="G30" i="32"/>
  <c r="D28" i="63"/>
  <c r="C29"/>
  <c r="D33"/>
  <c r="C34"/>
  <c r="BJ31" i="11"/>
  <c r="AE90" i="8"/>
  <c r="AE93"/>
  <c r="N48" i="56"/>
  <c r="N58"/>
  <c r="AR82" i="6"/>
  <c r="AE58" i="59"/>
  <c r="O38"/>
  <c r="N39"/>
  <c r="N42"/>
  <c r="AC43"/>
  <c r="AC47"/>
  <c r="AE44"/>
  <c r="P44"/>
  <c r="P38"/>
  <c r="AX103" i="6"/>
  <c r="M111" i="56"/>
  <c r="M121"/>
  <c r="AX82" i="6"/>
  <c r="AW82"/>
  <c r="Z175"/>
  <c r="AW103"/>
  <c r="AM82"/>
  <c r="AN82"/>
  <c r="Z164"/>
  <c r="Z184"/>
  <c r="AS80" i="8"/>
  <c r="AH88"/>
  <c r="AT115" i="7"/>
  <c r="M91" i="56"/>
  <c r="N102"/>
  <c r="P121"/>
  <c r="P101"/>
  <c r="M101"/>
  <c r="I93"/>
  <c r="N93"/>
  <c r="N92"/>
  <c r="S92"/>
  <c r="N123"/>
  <c r="N122"/>
  <c r="D29"/>
  <c r="I38"/>
  <c r="P58"/>
  <c r="K38"/>
  <c r="P28"/>
  <c r="P18"/>
  <c r="N8"/>
  <c r="I10"/>
  <c r="N10"/>
  <c r="S9"/>
  <c r="AT38" i="8"/>
  <c r="AT40"/>
  <c r="AQ40"/>
  <c r="AT13"/>
  <c r="AT15"/>
  <c r="AS77"/>
  <c r="BB8"/>
  <c r="AQ13"/>
  <c r="AP77"/>
  <c r="AC31"/>
  <c r="AC40"/>
  <c r="AP80"/>
  <c r="AH93"/>
  <c r="AH94"/>
  <c r="AH91"/>
  <c r="AG91"/>
  <c r="AS15"/>
  <c r="AQ31"/>
  <c r="AS31"/>
  <c r="AP40"/>
  <c r="AT29"/>
  <c r="AT31"/>
  <c r="AP15"/>
  <c r="AP31"/>
  <c r="AW115" i="7"/>
  <c r="AT33"/>
  <c r="AT41"/>
  <c r="AW25"/>
  <c r="AT23"/>
  <c r="AT25"/>
  <c r="AE23"/>
  <c r="AF23"/>
  <c r="AT13"/>
  <c r="AE13"/>
  <c r="BC37" i="8"/>
  <c r="AS37"/>
  <c r="AP37"/>
  <c r="AB37"/>
  <c r="BA28"/>
  <c r="AY28"/>
  <c r="AS28"/>
  <c r="AP28"/>
  <c r="AB28"/>
  <c r="BC22"/>
  <c r="BA22"/>
  <c r="AY22"/>
  <c r="AS22"/>
  <c r="AP22"/>
  <c r="AB22"/>
  <c r="BA12"/>
  <c r="BC12"/>
  <c r="AS12"/>
  <c r="AP12"/>
  <c r="AB12"/>
  <c r="O15" i="70"/>
  <c r="AW28" i="7"/>
  <c r="AE28"/>
  <c r="BE22"/>
  <c r="BC22"/>
  <c r="BE12"/>
  <c r="AE22"/>
  <c r="BG12"/>
  <c r="AW12"/>
  <c r="AT12"/>
  <c r="AE11"/>
  <c r="AE12"/>
  <c r="BC35" i="8"/>
  <c r="AY35"/>
  <c r="BA35"/>
  <c r="AS35"/>
  <c r="AP35"/>
  <c r="AB35"/>
  <c r="AC35"/>
  <c r="BC32"/>
  <c r="AY32"/>
  <c r="BC36" i="7"/>
  <c r="AS32" i="8"/>
  <c r="AT32"/>
  <c r="AP32"/>
  <c r="AQ32"/>
  <c r="AB32"/>
  <c r="AC32"/>
  <c r="BC20"/>
  <c r="AY20"/>
  <c r="AS20"/>
  <c r="AP20"/>
  <c r="AB20"/>
  <c r="BC10"/>
  <c r="AY10"/>
  <c r="AS10"/>
  <c r="AP10"/>
  <c r="AB10"/>
  <c r="BG36" i="7"/>
  <c r="BG29"/>
  <c r="BC29"/>
  <c r="BG20"/>
  <c r="BC20"/>
  <c r="BG10"/>
  <c r="BC10"/>
  <c r="AX20"/>
  <c r="AT36"/>
  <c r="AT29"/>
  <c r="AT20"/>
  <c r="AU20"/>
  <c r="AT10"/>
  <c r="AE36"/>
  <c r="AE29"/>
  <c r="AE20"/>
  <c r="AF20"/>
  <c r="AE10"/>
  <c r="AS18" i="8"/>
  <c r="AP18"/>
  <c r="AB18"/>
  <c r="AS9"/>
  <c r="AP9"/>
  <c r="AB9"/>
  <c r="AC9"/>
  <c r="BF87"/>
  <c r="BB51"/>
  <c r="BB87"/>
  <c r="AU51"/>
  <c r="AU87"/>
  <c r="AR51"/>
  <c r="AR87"/>
  <c r="AD51"/>
  <c r="AD87"/>
  <c r="AC57"/>
  <c r="AC43"/>
  <c r="AB41"/>
  <c r="AC41"/>
  <c r="AD34"/>
  <c r="AB33"/>
  <c r="AB26"/>
  <c r="AB25"/>
  <c r="AB16"/>
  <c r="AD8"/>
  <c r="AX18" i="7"/>
  <c r="AW9"/>
  <c r="AU18"/>
  <c r="AT9"/>
  <c r="AE18"/>
  <c r="AF18"/>
  <c r="AE9"/>
  <c r="BJ121"/>
  <c r="BF52"/>
  <c r="BF121"/>
  <c r="AG52"/>
  <c r="AG121"/>
  <c r="AV121"/>
  <c r="BG57"/>
  <c r="BG37"/>
  <c r="BG30"/>
  <c r="BG22"/>
  <c r="BG21"/>
  <c r="BC57"/>
  <c r="BC126"/>
  <c r="BC38"/>
  <c r="BC37"/>
  <c r="BC30"/>
  <c r="BC21"/>
  <c r="AX126"/>
  <c r="AW57"/>
  <c r="AW126"/>
  <c r="AX54"/>
  <c r="AX123"/>
  <c r="AW54"/>
  <c r="AW123"/>
  <c r="AX21"/>
  <c r="AU126"/>
  <c r="AT126"/>
  <c r="AU54"/>
  <c r="AU123"/>
  <c r="AT123"/>
  <c r="AE33"/>
  <c r="AF21"/>
  <c r="BU29" i="17"/>
  <c r="BU24"/>
  <c r="BQ29"/>
  <c r="BQ24"/>
  <c r="BY33"/>
  <c r="BY32"/>
  <c r="BY31"/>
  <c r="BY30"/>
  <c r="BY28"/>
  <c r="BY27"/>
  <c r="BY26"/>
  <c r="BY25"/>
  <c r="BK29"/>
  <c r="BJ29"/>
  <c r="BI29"/>
  <c r="BK24"/>
  <c r="BJ35"/>
  <c r="BI24"/>
  <c r="BF33"/>
  <c r="BF32"/>
  <c r="BF31"/>
  <c r="BF30"/>
  <c r="BF28"/>
  <c r="BF27"/>
  <c r="BF26"/>
  <c r="BF25"/>
  <c r="BG29"/>
  <c r="BE29"/>
  <c r="BG24"/>
  <c r="BE24"/>
  <c r="AR33"/>
  <c r="AR32"/>
  <c r="AR31"/>
  <c r="AR30"/>
  <c r="AR28"/>
  <c r="AR27"/>
  <c r="AR26"/>
  <c r="AR25"/>
  <c r="AS29"/>
  <c r="AS24"/>
  <c r="AQ29"/>
  <c r="AQ24"/>
  <c r="G25" i="36"/>
  <c r="BE48" i="8"/>
  <c r="G14" i="36"/>
  <c r="BI50" i="7"/>
  <c r="AG39" i="6"/>
  <c r="AH39"/>
  <c r="AG37"/>
  <c r="AG36"/>
  <c r="AG35"/>
  <c r="AH35"/>
  <c r="AG32"/>
  <c r="AH32"/>
  <c r="AG30"/>
  <c r="AH30"/>
  <c r="AG27"/>
  <c r="AH27"/>
  <c r="AG26"/>
  <c r="AH26"/>
  <c r="AG21"/>
  <c r="AG19"/>
  <c r="AH19"/>
  <c r="AI44"/>
  <c r="AI41"/>
  <c r="AI39"/>
  <c r="AI36"/>
  <c r="AI35"/>
  <c r="AI34"/>
  <c r="AI23"/>
  <c r="AF25"/>
  <c r="AE25"/>
  <c r="AF18"/>
  <c r="AF45"/>
  <c r="AE18"/>
  <c r="AF13"/>
  <c r="AE13"/>
  <c r="AA25"/>
  <c r="AA18"/>
  <c r="AA13"/>
  <c r="AH13"/>
  <c r="AH12"/>
  <c r="AF44" i="5"/>
  <c r="AG44"/>
  <c r="AF43"/>
  <c r="AG43"/>
  <c r="AF39"/>
  <c r="AG39"/>
  <c r="AF38"/>
  <c r="AF37"/>
  <c r="AF36"/>
  <c r="AF35"/>
  <c r="AG35"/>
  <c r="AF34"/>
  <c r="AG34"/>
  <c r="AH34"/>
  <c r="AF33"/>
  <c r="AF31"/>
  <c r="AG31"/>
  <c r="AF29"/>
  <c r="AG29"/>
  <c r="AH29"/>
  <c r="AF28"/>
  <c r="AG28"/>
  <c r="AH28"/>
  <c r="AF27"/>
  <c r="AG27"/>
  <c r="AH27"/>
  <c r="AF25"/>
  <c r="AG25"/>
  <c r="AF24"/>
  <c r="AF23"/>
  <c r="AF21"/>
  <c r="AF20"/>
  <c r="AF16"/>
  <c r="AG16"/>
  <c r="AE26"/>
  <c r="AD26"/>
  <c r="AE17"/>
  <c r="AD17"/>
  <c r="AE12"/>
  <c r="AD12"/>
  <c r="AA26"/>
  <c r="Y26"/>
  <c r="X26"/>
  <c r="U26"/>
  <c r="Z26"/>
  <c r="Z17"/>
  <c r="Z12"/>
  <c r="AW55" i="9"/>
  <c r="AV55"/>
  <c r="AU54"/>
  <c r="AU52"/>
  <c r="AW51"/>
  <c r="AV51"/>
  <c r="AU50"/>
  <c r="AU48"/>
  <c r="AR54"/>
  <c r="AR52"/>
  <c r="AR50"/>
  <c r="AR48"/>
  <c r="AT55"/>
  <c r="AS55"/>
  <c r="AS51"/>
  <c r="AT51"/>
  <c r="W54" i="3"/>
  <c r="W53"/>
  <c r="U52"/>
  <c r="T52"/>
  <c r="K52"/>
  <c r="E8" i="56"/>
  <c r="AJ48" i="9"/>
  <c r="AY55"/>
  <c r="AY51"/>
  <c r="AG62"/>
  <c r="AE54"/>
  <c r="AE52"/>
  <c r="AE50"/>
  <c r="AE48"/>
  <c r="BK43" i="11"/>
  <c r="BK41"/>
  <c r="BK30"/>
  <c r="BG31"/>
  <c r="BG38"/>
  <c r="BD40"/>
  <c r="BD30"/>
  <c r="AV40"/>
  <c r="AV32"/>
  <c r="AR40"/>
  <c r="AR32"/>
  <c r="AX43"/>
  <c r="AT43"/>
  <c r="AX42"/>
  <c r="AT42"/>
  <c r="AX41"/>
  <c r="AT41"/>
  <c r="AX33"/>
  <c r="AT33"/>
  <c r="AX32"/>
  <c r="AT32"/>
  <c r="AX31"/>
  <c r="AT31"/>
  <c r="AX30"/>
  <c r="AT30"/>
  <c r="AX29"/>
  <c r="AT29"/>
  <c r="AD43"/>
  <c r="BI43"/>
  <c r="AD40"/>
  <c r="AF43"/>
  <c r="AF42"/>
  <c r="AF41"/>
  <c r="AF33"/>
  <c r="AF32"/>
  <c r="AF31"/>
  <c r="AF30"/>
  <c r="AF29"/>
  <c r="V30" i="10"/>
  <c r="D11" i="67"/>
  <c r="D12"/>
  <c r="D13"/>
  <c r="D15"/>
  <c r="BC45" i="8"/>
  <c r="V25" i="10"/>
  <c r="C11" i="67"/>
  <c r="C12"/>
  <c r="C13"/>
  <c r="C15"/>
  <c r="BG47" i="7"/>
  <c r="U30" i="10"/>
  <c r="U25"/>
  <c r="R30"/>
  <c r="Q30"/>
  <c r="R25"/>
  <c r="Q25"/>
  <c r="N31"/>
  <c r="K31"/>
  <c r="L30"/>
  <c r="L25"/>
  <c r="K191" i="52"/>
  <c r="BE28" i="7"/>
  <c r="E22" i="32"/>
  <c r="G22"/>
  <c r="E23"/>
  <c r="E20"/>
  <c r="G20"/>
  <c r="E10"/>
  <c r="E9"/>
  <c r="G9"/>
  <c r="E7"/>
  <c r="G7"/>
  <c r="F24"/>
  <c r="U57" i="3"/>
  <c r="T57"/>
  <c r="B111" i="56"/>
  <c r="Q57" i="3"/>
  <c r="N57"/>
  <c r="I57"/>
  <c r="AB51" i="8"/>
  <c r="AB87"/>
  <c r="W50" i="3"/>
  <c r="W46"/>
  <c r="W41"/>
  <c r="W40"/>
  <c r="U45"/>
  <c r="W45"/>
  <c r="T45"/>
  <c r="T44"/>
  <c r="T38"/>
  <c r="AZ56" i="72"/>
  <c r="Q48" i="3"/>
  <c r="AU52" i="7"/>
  <c r="AU121"/>
  <c r="Q45" i="3"/>
  <c r="N45"/>
  <c r="Q44"/>
  <c r="N44"/>
  <c r="Q38"/>
  <c r="N38"/>
  <c r="I48"/>
  <c r="AF52" i="7"/>
  <c r="AF121"/>
  <c r="I45" i="3"/>
  <c r="I44"/>
  <c r="I38"/>
  <c r="AO48" i="19"/>
  <c r="AO46"/>
  <c r="AO45"/>
  <c r="AO44"/>
  <c r="AO43"/>
  <c r="AO42"/>
  <c r="AO23"/>
  <c r="AO9"/>
  <c r="AN48"/>
  <c r="AN46"/>
  <c r="AN45"/>
  <c r="AN44"/>
  <c r="AN43"/>
  <c r="AN42"/>
  <c r="AN23"/>
  <c r="AN9"/>
  <c r="BV10" i="8"/>
  <c r="BR10"/>
  <c r="BV35"/>
  <c r="BR35"/>
  <c r="BU37"/>
  <c r="BR37"/>
  <c r="BQ45"/>
  <c r="BV45"/>
  <c r="BV20"/>
  <c r="BR20"/>
  <c r="BV32"/>
  <c r="BR32"/>
  <c r="BR45"/>
  <c r="BQ42"/>
  <c r="BS45"/>
  <c r="BT45"/>
  <c r="BV47" i="7"/>
  <c r="BD60" i="72"/>
  <c r="I29" i="87"/>
  <c r="K28" i="86"/>
  <c r="K33" i="89"/>
  <c r="J33"/>
  <c r="BC42" i="8"/>
  <c r="BV42"/>
  <c r="BE32"/>
  <c r="BE35"/>
  <c r="Q42" i="3"/>
  <c r="AW56" i="72"/>
  <c r="AW57"/>
  <c r="AW56" i="9"/>
  <c r="AW57"/>
  <c r="AX121" i="7"/>
  <c r="AY52"/>
  <c r="AY121"/>
  <c r="B91" i="56"/>
  <c r="G91"/>
  <c r="G101"/>
  <c r="AZ60" i="72"/>
  <c r="BG60"/>
  <c r="BE84" i="8"/>
  <c r="BC48"/>
  <c r="BD46" i="11"/>
  <c r="BD41"/>
  <c r="AV74" i="9"/>
  <c r="BJ24" i="17"/>
  <c r="U10" i="70"/>
  <c r="U12"/>
  <c r="U20"/>
  <c r="I42" i="3"/>
  <c r="AG56" i="72"/>
  <c r="AG57"/>
  <c r="N42" i="3"/>
  <c r="AT56" i="72"/>
  <c r="AT57"/>
  <c r="AZ57"/>
  <c r="AW61" i="9"/>
  <c r="AS51" i="8"/>
  <c r="AS87"/>
  <c r="BC54" i="72"/>
  <c r="BC52"/>
  <c r="B31" i="32"/>
  <c r="E31"/>
  <c r="Y52" i="3"/>
  <c r="O19" i="70"/>
  <c r="AS76" i="8"/>
  <c r="R15" i="70"/>
  <c r="R19"/>
  <c r="AW74" i="9"/>
  <c r="R31" i="10"/>
  <c r="S49" i="56"/>
  <c r="AY75" i="8"/>
  <c r="T10" i="70"/>
  <c r="BG126" i="7"/>
  <c r="T11" i="70"/>
  <c r="AC12" i="5"/>
  <c r="AG12"/>
  <c r="AE91" i="8"/>
  <c r="AF46" i="6"/>
  <c r="AF51"/>
  <c r="AE45" i="5"/>
  <c r="AE46"/>
  <c r="C35" i="63"/>
  <c r="D35"/>
  <c r="D34"/>
  <c r="D29"/>
  <c r="C30"/>
  <c r="D30"/>
  <c r="B121" i="56"/>
  <c r="BC51" i="8"/>
  <c r="D28" i="65"/>
  <c r="E28"/>
  <c r="F28"/>
  <c r="BD60" i="9"/>
  <c r="BC54"/>
  <c r="AZ60"/>
  <c r="AZ61"/>
  <c r="Q43" i="3"/>
  <c r="AS82" i="6"/>
  <c r="BG50" i="7"/>
  <c r="AD45" i="5"/>
  <c r="AD46"/>
  <c r="Q31" i="10"/>
  <c r="AV33" i="11"/>
  <c r="AT56" i="9"/>
  <c r="AT57"/>
  <c r="AV29" i="11"/>
  <c r="AV31"/>
  <c r="P39" i="59"/>
  <c r="AE47"/>
  <c r="AE43"/>
  <c r="AC39"/>
  <c r="V31" i="10"/>
  <c r="E48" i="56"/>
  <c r="U48" i="3"/>
  <c r="I28" i="85"/>
  <c r="E21" i="32"/>
  <c r="G21"/>
  <c r="U31" i="10"/>
  <c r="W52" i="3"/>
  <c r="BJ37" i="17"/>
  <c r="T42" i="3"/>
  <c r="AZ56" i="9"/>
  <c r="AZ57"/>
  <c r="BG57"/>
  <c r="AT62"/>
  <c r="AR46" i="11"/>
  <c r="AR43"/>
  <c r="AP51" i="8"/>
  <c r="AP87"/>
  <c r="AV46" i="11"/>
  <c r="BF35" i="17"/>
  <c r="BJ36"/>
  <c r="E28" i="56"/>
  <c r="E8" i="32"/>
  <c r="G8"/>
  <c r="T48" i="3"/>
  <c r="B48" i="56"/>
  <c r="AW59" i="9"/>
  <c r="N43" i="3"/>
  <c r="AT58" i="72"/>
  <c r="AT59"/>
  <c r="B101" i="56"/>
  <c r="L31" i="10"/>
  <c r="BI46" i="11"/>
  <c r="J8" i="56"/>
  <c r="E18"/>
  <c r="E10"/>
  <c r="C8"/>
  <c r="BI119" i="7"/>
  <c r="AR24" i="17"/>
  <c r="AY51" i="8"/>
  <c r="AY87"/>
  <c r="BC110" i="7"/>
  <c r="AB76" i="8"/>
  <c r="BA76"/>
  <c r="AW111" i="7"/>
  <c r="AG56" i="9"/>
  <c r="AG57"/>
  <c r="K48" i="3"/>
  <c r="AR29" i="17"/>
  <c r="AT112" i="7"/>
  <c r="AU51" i="9"/>
  <c r="AE45" i="6"/>
  <c r="AE46"/>
  <c r="AE54"/>
  <c r="AA45"/>
  <c r="AA46"/>
  <c r="AA51"/>
  <c r="AG51"/>
  <c r="AH51"/>
  <c r="AU55" i="9"/>
  <c r="AA52" i="6"/>
  <c r="AG52"/>
  <c r="AH52"/>
  <c r="AA53"/>
  <c r="AG53"/>
  <c r="AH53"/>
  <c r="Z45" i="5"/>
  <c r="AW110" i="7"/>
  <c r="I29" i="56"/>
  <c r="D30"/>
  <c r="D50"/>
  <c r="P38"/>
  <c r="N18"/>
  <c r="I19"/>
  <c r="N9"/>
  <c r="W9"/>
  <c r="AS34" i="8"/>
  <c r="AS8"/>
  <c r="AS74"/>
  <c r="AC10"/>
  <c r="AB75"/>
  <c r="AT10"/>
  <c r="AS75"/>
  <c r="BE10"/>
  <c r="BC75"/>
  <c r="BR75"/>
  <c r="BC76"/>
  <c r="BR76"/>
  <c r="AQ15"/>
  <c r="AB74"/>
  <c r="AP76"/>
  <c r="AY12"/>
  <c r="AP27"/>
  <c r="AS27"/>
  <c r="AC16"/>
  <c r="AB80"/>
  <c r="AB57"/>
  <c r="AB89"/>
  <c r="AC89"/>
  <c r="AP8"/>
  <c r="AP74"/>
  <c r="AQ10"/>
  <c r="AP75"/>
  <c r="AE94"/>
  <c r="AQ9"/>
  <c r="AT9"/>
  <c r="BA10"/>
  <c r="AT35"/>
  <c r="AT34"/>
  <c r="AQ35"/>
  <c r="AQ34"/>
  <c r="AP34"/>
  <c r="BC12" i="7"/>
  <c r="BC111"/>
  <c r="BE111"/>
  <c r="AE15"/>
  <c r="AE112"/>
  <c r="AE109"/>
  <c r="AT109"/>
  <c r="AW109"/>
  <c r="AE110"/>
  <c r="AT110"/>
  <c r="BG110"/>
  <c r="AE111"/>
  <c r="AT111"/>
  <c r="BG111"/>
  <c r="AW112"/>
  <c r="AW27"/>
  <c r="AE52"/>
  <c r="AU9"/>
  <c r="AF9"/>
  <c r="AF13"/>
  <c r="AU45"/>
  <c r="AV45"/>
  <c r="AU47"/>
  <c r="AV47"/>
  <c r="AU46"/>
  <c r="AV46"/>
  <c r="AU44"/>
  <c r="AU16"/>
  <c r="AU32"/>
  <c r="AV32"/>
  <c r="AX46"/>
  <c r="AY46"/>
  <c r="AX14"/>
  <c r="AY14"/>
  <c r="AX32"/>
  <c r="AY32"/>
  <c r="BI20"/>
  <c r="AU10"/>
  <c r="AU13"/>
  <c r="AU23"/>
  <c r="AU25"/>
  <c r="AX23"/>
  <c r="AX25"/>
  <c r="AU42"/>
  <c r="AV42"/>
  <c r="AT27"/>
  <c r="AW35"/>
  <c r="AF46"/>
  <c r="AG46"/>
  <c r="AF34"/>
  <c r="AG34"/>
  <c r="AF42"/>
  <c r="AG42"/>
  <c r="AF16"/>
  <c r="AF14"/>
  <c r="BE20"/>
  <c r="BF20"/>
  <c r="BF17"/>
  <c r="AX13"/>
  <c r="AW15"/>
  <c r="AW8"/>
  <c r="AT52"/>
  <c r="AF10"/>
  <c r="AT35"/>
  <c r="AU34"/>
  <c r="AV34"/>
  <c r="BA32" i="8"/>
  <c r="AC51"/>
  <c r="AC87"/>
  <c r="AB15"/>
  <c r="AB8"/>
  <c r="AC15"/>
  <c r="AB34"/>
  <c r="AC34"/>
  <c r="AB42"/>
  <c r="AB81"/>
  <c r="AF25" i="7"/>
  <c r="BG25"/>
  <c r="AR35" i="17"/>
  <c r="BF29"/>
  <c r="BF24"/>
  <c r="F14" i="36"/>
  <c r="AF53" i="6"/>
  <c r="AF52"/>
  <c r="AD54" i="5"/>
  <c r="AD53"/>
  <c r="AD51"/>
  <c r="AW62" i="9"/>
  <c r="AR55"/>
  <c r="AR51"/>
  <c r="BD33" i="11"/>
  <c r="AV30"/>
  <c r="BD31"/>
  <c r="BD42"/>
  <c r="AG61" i="9"/>
  <c r="AF51"/>
  <c r="AG51"/>
  <c r="AR33" i="11"/>
  <c r="AT45"/>
  <c r="AP19" i="8"/>
  <c r="AP79"/>
  <c r="AX45" i="11"/>
  <c r="AS19" i="8"/>
  <c r="AS79"/>
  <c r="BD29" i="11"/>
  <c r="BD32"/>
  <c r="AT39"/>
  <c r="AT19" i="7"/>
  <c r="AX39" i="11"/>
  <c r="AF45"/>
  <c r="AB19" i="8"/>
  <c r="AB79"/>
  <c r="AR30" i="11"/>
  <c r="AR31"/>
  <c r="AD41"/>
  <c r="BI41"/>
  <c r="AD42"/>
  <c r="BI42"/>
  <c r="AR29"/>
  <c r="AF39"/>
  <c r="AE19" i="7"/>
  <c r="I43" i="3"/>
  <c r="AG58" i="72"/>
  <c r="AG59"/>
  <c r="T43" i="3"/>
  <c r="AZ58" i="72"/>
  <c r="E6" i="32"/>
  <c r="AA14" i="19"/>
  <c r="AM20"/>
  <c r="AR20"/>
  <c r="AM16"/>
  <c r="AR16"/>
  <c r="AM47"/>
  <c r="AR47"/>
  <c r="AM41"/>
  <c r="AR41"/>
  <c r="AM40"/>
  <c r="AM39"/>
  <c r="AR39"/>
  <c r="AM38"/>
  <c r="AR38"/>
  <c r="AM37"/>
  <c r="AR37"/>
  <c r="AM36"/>
  <c r="AR36"/>
  <c r="AM35"/>
  <c r="AR35"/>
  <c r="AM34"/>
  <c r="AM33"/>
  <c r="AM32"/>
  <c r="AR32"/>
  <c r="AM31"/>
  <c r="AR31"/>
  <c r="AM30"/>
  <c r="AR30"/>
  <c r="AM29"/>
  <c r="AM28"/>
  <c r="AM27"/>
  <c r="AM26"/>
  <c r="AM25"/>
  <c r="AR25"/>
  <c r="AM24"/>
  <c r="AM22"/>
  <c r="AM21"/>
  <c r="AM19"/>
  <c r="AM18"/>
  <c r="AM17"/>
  <c r="AM15"/>
  <c r="AM13"/>
  <c r="AG58"/>
  <c r="AO58"/>
  <c r="AF60"/>
  <c r="AE59"/>
  <c r="AG59"/>
  <c r="AI14"/>
  <c r="AH14"/>
  <c r="AI12"/>
  <c r="AH12"/>
  <c r="BC87" i="8"/>
  <c r="BR87"/>
  <c r="BV51"/>
  <c r="BR51"/>
  <c r="BR48"/>
  <c r="BV48"/>
  <c r="BW37"/>
  <c r="BV37"/>
  <c r="BU76"/>
  <c r="BR42"/>
  <c r="BQ81"/>
  <c r="AX42" i="7"/>
  <c r="AY42"/>
  <c r="AW52"/>
  <c r="AX34"/>
  <c r="AY34"/>
  <c r="AX16"/>
  <c r="AX10"/>
  <c r="AX44"/>
  <c r="AX45"/>
  <c r="AY45"/>
  <c r="AX47"/>
  <c r="AY47"/>
  <c r="AX9"/>
  <c r="AX109"/>
  <c r="BD43" i="11"/>
  <c r="I30" i="89"/>
  <c r="I31"/>
  <c r="B8" i="56"/>
  <c r="D31" i="89"/>
  <c r="D28" i="85"/>
  <c r="D30" i="89"/>
  <c r="I31" i="90"/>
  <c r="I32"/>
  <c r="D31" i="32"/>
  <c r="D20" i="65"/>
  <c r="I20" i="87"/>
  <c r="I22" i="90"/>
  <c r="BC81" i="8"/>
  <c r="W15" i="70"/>
  <c r="BC84" i="8"/>
  <c r="BR84"/>
  <c r="B34" i="32"/>
  <c r="BJ20" i="7"/>
  <c r="BG119"/>
  <c r="BI25"/>
  <c r="D20" i="61"/>
  <c r="I20" i="85"/>
  <c r="I22" i="89"/>
  <c r="AU74" i="9"/>
  <c r="AZ59" i="72"/>
  <c r="AG11" i="5"/>
  <c r="Y48" i="3"/>
  <c r="BC55" i="72"/>
  <c r="BF55"/>
  <c r="BM55"/>
  <c r="BD52"/>
  <c r="BF52"/>
  <c r="BM52"/>
  <c r="BF54"/>
  <c r="BM54"/>
  <c r="BD54"/>
  <c r="BG57"/>
  <c r="AZ61"/>
  <c r="BA60"/>
  <c r="AZ62"/>
  <c r="AE57" i="19"/>
  <c r="AG57"/>
  <c r="W19" i="70"/>
  <c r="Q47" i="3"/>
  <c r="G111" i="56"/>
  <c r="G121"/>
  <c r="T12" i="70"/>
  <c r="T20"/>
  <c r="D38" i="63"/>
  <c r="F27"/>
  <c r="AF54" i="6"/>
  <c r="AE51" i="5"/>
  <c r="AE52"/>
  <c r="AE53"/>
  <c r="AE54"/>
  <c r="BD54" i="9"/>
  <c r="BC18" i="8"/>
  <c r="BF54" i="9"/>
  <c r="AZ62"/>
  <c r="BH41" i="11"/>
  <c r="BL41"/>
  <c r="AT51" i="8"/>
  <c r="AT26"/>
  <c r="BH42" i="11"/>
  <c r="BL42"/>
  <c r="BC52" i="9"/>
  <c r="L91" i="56"/>
  <c r="L101"/>
  <c r="BH43" i="11"/>
  <c r="BL43"/>
  <c r="D34" i="32"/>
  <c r="E34"/>
  <c r="B35"/>
  <c r="U44" i="3"/>
  <c r="W44"/>
  <c r="D28" i="61"/>
  <c r="H31" i="32"/>
  <c r="J31"/>
  <c r="G31"/>
  <c r="AH49" i="19"/>
  <c r="AE51" i="6"/>
  <c r="AE52"/>
  <c r="AE53"/>
  <c r="AD52" i="5"/>
  <c r="AP17" i="8"/>
  <c r="AP49"/>
  <c r="AP62"/>
  <c r="AP63"/>
  <c r="AQ51"/>
  <c r="AQ87"/>
  <c r="AE39" i="59"/>
  <c r="AC38"/>
  <c r="BE51" i="8"/>
  <c r="AY9" i="7"/>
  <c r="AY109"/>
  <c r="AR41" i="11"/>
  <c r="AR42"/>
  <c r="BA51" i="8"/>
  <c r="BA44"/>
  <c r="BB44"/>
  <c r="BB42"/>
  <c r="BB81"/>
  <c r="E24" i="32"/>
  <c r="G24"/>
  <c r="AT61" i="9"/>
  <c r="AM8" i="19"/>
  <c r="AO13"/>
  <c r="AN13"/>
  <c r="AO25"/>
  <c r="AN25"/>
  <c r="AW114" i="7"/>
  <c r="AW120"/>
  <c r="AX19"/>
  <c r="AX114"/>
  <c r="BF37" i="17"/>
  <c r="B28" i="56"/>
  <c r="BE52" i="7"/>
  <c r="AV43" i="11"/>
  <c r="AV42"/>
  <c r="AO21" i="19"/>
  <c r="AN21"/>
  <c r="AO30"/>
  <c r="AN30"/>
  <c r="AN47"/>
  <c r="AO47"/>
  <c r="T47" i="3"/>
  <c r="AZ58" i="9"/>
  <c r="AZ59"/>
  <c r="AT114" i="7"/>
  <c r="AT120"/>
  <c r="AU19"/>
  <c r="AU114"/>
  <c r="AI49" i="19"/>
  <c r="AO17"/>
  <c r="AN17"/>
  <c r="AO22"/>
  <c r="AN22"/>
  <c r="AN27"/>
  <c r="AO27"/>
  <c r="AN31"/>
  <c r="AO31"/>
  <c r="AN35"/>
  <c r="AO35"/>
  <c r="AN39"/>
  <c r="AO39"/>
  <c r="AO16"/>
  <c r="AN16"/>
  <c r="E11" i="32"/>
  <c r="G11"/>
  <c r="AR37" i="17"/>
  <c r="AW17" i="7"/>
  <c r="AW51"/>
  <c r="AA54" i="6"/>
  <c r="AG54"/>
  <c r="AH54"/>
  <c r="B18" i="56"/>
  <c r="G8"/>
  <c r="G18"/>
  <c r="J18"/>
  <c r="O8"/>
  <c r="O18"/>
  <c r="E38"/>
  <c r="C28"/>
  <c r="J28"/>
  <c r="BI52" i="7"/>
  <c r="AN19" i="19"/>
  <c r="AO19"/>
  <c r="AO29"/>
  <c r="AN29"/>
  <c r="AO33"/>
  <c r="AN33"/>
  <c r="AO37"/>
  <c r="AN37"/>
  <c r="AO41"/>
  <c r="AN41"/>
  <c r="AF19" i="7"/>
  <c r="AF114"/>
  <c r="AE114"/>
  <c r="AE120"/>
  <c r="N47" i="3"/>
  <c r="AT58" i="9"/>
  <c r="AT59"/>
  <c r="AN15" i="19"/>
  <c r="AO15"/>
  <c r="AO26"/>
  <c r="AN26"/>
  <c r="AO34"/>
  <c r="AN34"/>
  <c r="AO38"/>
  <c r="AN38"/>
  <c r="AV41" i="11"/>
  <c r="AO18" i="19"/>
  <c r="AN18"/>
  <c r="AN24"/>
  <c r="AO24"/>
  <c r="AO28"/>
  <c r="AN28"/>
  <c r="AN32"/>
  <c r="AO32"/>
  <c r="AO36"/>
  <c r="AN36"/>
  <c r="AN40"/>
  <c r="AO40"/>
  <c r="AO20"/>
  <c r="AN20"/>
  <c r="I47" i="3"/>
  <c r="AG58" i="9"/>
  <c r="AG59"/>
  <c r="BC119" i="7"/>
  <c r="BE50"/>
  <c r="BE119"/>
  <c r="BF36" i="17"/>
  <c r="AB17" i="8"/>
  <c r="AT17" i="7"/>
  <c r="AS17" i="8"/>
  <c r="AS49"/>
  <c r="AS62"/>
  <c r="AS63"/>
  <c r="C18" i="56"/>
  <c r="H8"/>
  <c r="E58"/>
  <c r="C48"/>
  <c r="J48"/>
  <c r="J58"/>
  <c r="Z54" i="5"/>
  <c r="AF54"/>
  <c r="AG54"/>
  <c r="Z52"/>
  <c r="AF52"/>
  <c r="AG52"/>
  <c r="Z46"/>
  <c r="Z53"/>
  <c r="AF53"/>
  <c r="AG53"/>
  <c r="Z51"/>
  <c r="AF51"/>
  <c r="AG51"/>
  <c r="S19" i="56"/>
  <c r="D39"/>
  <c r="D59"/>
  <c r="S29"/>
  <c r="I30"/>
  <c r="N30"/>
  <c r="N29"/>
  <c r="W29"/>
  <c r="I50"/>
  <c r="N50"/>
  <c r="N49"/>
  <c r="W49"/>
  <c r="D60"/>
  <c r="D20"/>
  <c r="I20"/>
  <c r="AB85" i="8"/>
  <c r="AB88"/>
  <c r="AS85"/>
  <c r="AS90"/>
  <c r="AQ8"/>
  <c r="AT8"/>
  <c r="AY76"/>
  <c r="AC8"/>
  <c r="AP85"/>
  <c r="AC44"/>
  <c r="AC19"/>
  <c r="AC33"/>
  <c r="AD33"/>
  <c r="AC26"/>
  <c r="AD26"/>
  <c r="AC23"/>
  <c r="AC46"/>
  <c r="AC24"/>
  <c r="AC78"/>
  <c r="AC20"/>
  <c r="AD20"/>
  <c r="AD75"/>
  <c r="AC18"/>
  <c r="AU29" i="7"/>
  <c r="AV29"/>
  <c r="AT121"/>
  <c r="AV10"/>
  <c r="AV16"/>
  <c r="AV115"/>
  <c r="AU115"/>
  <c r="AG9"/>
  <c r="AG109"/>
  <c r="AF109"/>
  <c r="AG10"/>
  <c r="AX31"/>
  <c r="AY31"/>
  <c r="AW121"/>
  <c r="AG16"/>
  <c r="AG115"/>
  <c r="AF115"/>
  <c r="AY16"/>
  <c r="AY115"/>
  <c r="AX115"/>
  <c r="AV13"/>
  <c r="AY10"/>
  <c r="AG13"/>
  <c r="AV9"/>
  <c r="AV109"/>
  <c r="AU109"/>
  <c r="AY13"/>
  <c r="AG14"/>
  <c r="AF44"/>
  <c r="AG44"/>
  <c r="AE121"/>
  <c r="AF29"/>
  <c r="AG29"/>
  <c r="AF31"/>
  <c r="AG31"/>
  <c r="AF40"/>
  <c r="AG40"/>
  <c r="AF48"/>
  <c r="AF45"/>
  <c r="AG45"/>
  <c r="AF36"/>
  <c r="AG36"/>
  <c r="AF39"/>
  <c r="AG39"/>
  <c r="AF32"/>
  <c r="AG32"/>
  <c r="AX36"/>
  <c r="AY36"/>
  <c r="AX40"/>
  <c r="AY40"/>
  <c r="AX39"/>
  <c r="AY39"/>
  <c r="AX15"/>
  <c r="AX8"/>
  <c r="AU39"/>
  <c r="AV39"/>
  <c r="AU36"/>
  <c r="AV36"/>
  <c r="AX48"/>
  <c r="AU15"/>
  <c r="AU8"/>
  <c r="AU40"/>
  <c r="AU113"/>
  <c r="AU48"/>
  <c r="AX43"/>
  <c r="AX116"/>
  <c r="AY44"/>
  <c r="AY43"/>
  <c r="AY116"/>
  <c r="AU43"/>
  <c r="AU116"/>
  <c r="AV44"/>
  <c r="AV43"/>
  <c r="AV116"/>
  <c r="AU31"/>
  <c r="AV31"/>
  <c r="AB27" i="8"/>
  <c r="AF15" i="7"/>
  <c r="BW32" i="17"/>
  <c r="AR36"/>
  <c r="BW27"/>
  <c r="BW33"/>
  <c r="BW28"/>
  <c r="BW31"/>
  <c r="BW26"/>
  <c r="BW30"/>
  <c r="BW25"/>
  <c r="AE51" i="9"/>
  <c r="AF55"/>
  <c r="AG55"/>
  <c r="AD33" i="11"/>
  <c r="BI33"/>
  <c r="AD32"/>
  <c r="BI32"/>
  <c r="AD31"/>
  <c r="BI31"/>
  <c r="AD30"/>
  <c r="BI30"/>
  <c r="AD29"/>
  <c r="BI29"/>
  <c r="AI60" i="19"/>
  <c r="AE39"/>
  <c r="AE33"/>
  <c r="AE31"/>
  <c r="AE21"/>
  <c r="AE19"/>
  <c r="AE20"/>
  <c r="AE56"/>
  <c r="AG56"/>
  <c r="AB60"/>
  <c r="AA12"/>
  <c r="M8"/>
  <c r="K9"/>
  <c r="M9"/>
  <c r="M10"/>
  <c r="I11"/>
  <c r="I12"/>
  <c r="M11"/>
  <c r="J12"/>
  <c r="K12"/>
  <c r="L12"/>
  <c r="N12"/>
  <c r="O12"/>
  <c r="P12"/>
  <c r="Q12"/>
  <c r="N14"/>
  <c r="O14"/>
  <c r="P14"/>
  <c r="Q14"/>
  <c r="J15"/>
  <c r="K15"/>
  <c r="O15"/>
  <c r="P15"/>
  <c r="K16"/>
  <c r="M16"/>
  <c r="K17"/>
  <c r="M17"/>
  <c r="M18"/>
  <c r="I19"/>
  <c r="M19"/>
  <c r="K20"/>
  <c r="M20"/>
  <c r="M21"/>
  <c r="K22"/>
  <c r="M22"/>
  <c r="K23"/>
  <c r="M23"/>
  <c r="M25"/>
  <c r="J26"/>
  <c r="O26"/>
  <c r="P26"/>
  <c r="K27"/>
  <c r="M28"/>
  <c r="M30"/>
  <c r="M31"/>
  <c r="M32"/>
  <c r="M33"/>
  <c r="K34"/>
  <c r="M34"/>
  <c r="M35"/>
  <c r="M36"/>
  <c r="M37"/>
  <c r="M38"/>
  <c r="O38"/>
  <c r="P38"/>
  <c r="M39"/>
  <c r="K40"/>
  <c r="M40"/>
  <c r="K41"/>
  <c r="M41"/>
  <c r="M44"/>
  <c r="M47"/>
  <c r="L49"/>
  <c r="N49"/>
  <c r="Q49"/>
  <c r="O52"/>
  <c r="I60"/>
  <c r="J60"/>
  <c r="K60"/>
  <c r="M60"/>
  <c r="N60"/>
  <c r="L57"/>
  <c r="P60"/>
  <c r="P56"/>
  <c r="BV18" i="8"/>
  <c r="BR18"/>
  <c r="BW76"/>
  <c r="L17" i="90"/>
  <c r="L15"/>
  <c r="BR81" i="8"/>
  <c r="L111" i="56"/>
  <c r="L121"/>
  <c r="U43" i="3"/>
  <c r="BD58" i="72"/>
  <c r="J31" i="89"/>
  <c r="K28" i="85"/>
  <c r="J30" i="89"/>
  <c r="J31" i="90"/>
  <c r="K29" i="87"/>
  <c r="J32" i="90"/>
  <c r="BC23" i="8"/>
  <c r="BV23"/>
  <c r="BC38"/>
  <c r="BV38"/>
  <c r="BG23" i="7"/>
  <c r="BG39"/>
  <c r="BG31"/>
  <c r="BC29" i="8"/>
  <c r="BV29"/>
  <c r="BE45"/>
  <c r="X236" i="6"/>
  <c r="X233"/>
  <c r="X231"/>
  <c r="X230"/>
  <c r="X227"/>
  <c r="X223"/>
  <c r="X216"/>
  <c r="X221"/>
  <c r="X218"/>
  <c r="X217"/>
  <c r="X215"/>
  <c r="X212"/>
  <c r="X210"/>
  <c r="X237"/>
  <c r="X232"/>
  <c r="X228"/>
  <c r="X226"/>
  <c r="X225"/>
  <c r="X222"/>
  <c r="X220"/>
  <c r="X219"/>
  <c r="X214"/>
  <c r="X213"/>
  <c r="X211"/>
  <c r="F17" i="61"/>
  <c r="K17" i="85"/>
  <c r="K19" i="89"/>
  <c r="BI23" i="7"/>
  <c r="BK54" i="72"/>
  <c r="BR54"/>
  <c r="BG54"/>
  <c r="BG59"/>
  <c r="BC50"/>
  <c r="BG58"/>
  <c r="BG62"/>
  <c r="BA62"/>
  <c r="BG61"/>
  <c r="BA61"/>
  <c r="BK52"/>
  <c r="BR52"/>
  <c r="BD55"/>
  <c r="BG52"/>
  <c r="E28" i="61"/>
  <c r="F28"/>
  <c r="Y44" i="3"/>
  <c r="AT18" i="8"/>
  <c r="AT74"/>
  <c r="AQ19"/>
  <c r="AQ79"/>
  <c r="AQ46"/>
  <c r="AR46"/>
  <c r="AR82"/>
  <c r="F7" i="63"/>
  <c r="BI49" i="7"/>
  <c r="F17" i="63"/>
  <c r="S59" i="56"/>
  <c r="AM12" i="19"/>
  <c r="AN12"/>
  <c r="AR12"/>
  <c r="AS12"/>
  <c r="AT44" i="8"/>
  <c r="AU44"/>
  <c r="BC55" i="9"/>
  <c r="BF55"/>
  <c r="BD52"/>
  <c r="BC9" i="8"/>
  <c r="BF52" i="9"/>
  <c r="AQ44" i="8"/>
  <c r="AR44"/>
  <c r="AQ45"/>
  <c r="AR45"/>
  <c r="AT24"/>
  <c r="AT78"/>
  <c r="AT20"/>
  <c r="AU20"/>
  <c r="AU75"/>
  <c r="AX33" i="7"/>
  <c r="AT19" i="8"/>
  <c r="AT79"/>
  <c r="BA87"/>
  <c r="BL45" i="11"/>
  <c r="AT23" i="8"/>
  <c r="AU23"/>
  <c r="AU77"/>
  <c r="AT45"/>
  <c r="AU45"/>
  <c r="AT87"/>
  <c r="AT46"/>
  <c r="AT82"/>
  <c r="AT33"/>
  <c r="BG60" i="7"/>
  <c r="BI60"/>
  <c r="BI102"/>
  <c r="U39" i="3"/>
  <c r="BI40" i="11"/>
  <c r="BH31"/>
  <c r="BL31"/>
  <c r="BD58" i="9"/>
  <c r="D35" i="32"/>
  <c r="D36"/>
  <c r="BI44" i="7"/>
  <c r="E35" i="32"/>
  <c r="H34"/>
  <c r="J34"/>
  <c r="G34"/>
  <c r="U47" i="3"/>
  <c r="BE44" i="8"/>
  <c r="BC64"/>
  <c r="AX17" i="7"/>
  <c r="BG59" i="9"/>
  <c r="AQ24" i="8"/>
  <c r="AQ78"/>
  <c r="AQ23"/>
  <c r="AR23"/>
  <c r="AR77"/>
  <c r="AQ18"/>
  <c r="AQ74"/>
  <c r="AQ26"/>
  <c r="AR26"/>
  <c r="AQ20"/>
  <c r="AR20"/>
  <c r="AR75"/>
  <c r="AQ33"/>
  <c r="AC42" i="59"/>
  <c r="AE42"/>
  <c r="AE38"/>
  <c r="E12" i="32"/>
  <c r="G12"/>
  <c r="G13"/>
  <c r="E25"/>
  <c r="G25"/>
  <c r="G26"/>
  <c r="BE23" i="8"/>
  <c r="BE87"/>
  <c r="BE18"/>
  <c r="BE20"/>
  <c r="BA20"/>
  <c r="AG15" i="7"/>
  <c r="AF113"/>
  <c r="M8" i="56"/>
  <c r="M18"/>
  <c r="H18"/>
  <c r="AO8" i="19"/>
  <c r="AN8"/>
  <c r="AE60"/>
  <c r="BW29" i="17"/>
  <c r="BV29"/>
  <c r="BC13" i="8"/>
  <c r="BV13"/>
  <c r="G48" i="56"/>
  <c r="G58"/>
  <c r="B58"/>
  <c r="C38"/>
  <c r="H28"/>
  <c r="H38"/>
  <c r="L8"/>
  <c r="L18"/>
  <c r="BE121" i="7"/>
  <c r="BC52"/>
  <c r="BE10"/>
  <c r="BF10"/>
  <c r="BE44"/>
  <c r="BE46"/>
  <c r="BF46"/>
  <c r="BE45"/>
  <c r="BF45"/>
  <c r="BG61" i="9"/>
  <c r="BG62"/>
  <c r="BG60"/>
  <c r="AA49" i="19"/>
  <c r="BW24" i="17"/>
  <c r="BV24"/>
  <c r="BG13" i="7"/>
  <c r="AB49" i="8"/>
  <c r="AB59"/>
  <c r="C58" i="56"/>
  <c r="H48"/>
  <c r="BI121" i="7"/>
  <c r="BI46"/>
  <c r="BI45"/>
  <c r="BG52"/>
  <c r="BI47"/>
  <c r="BI10"/>
  <c r="O28" i="56"/>
  <c r="O38"/>
  <c r="J38"/>
  <c r="AX113" i="7"/>
  <c r="O48" i="56"/>
  <c r="O58"/>
  <c r="AF17" i="7"/>
  <c r="B38" i="56"/>
  <c r="G28"/>
  <c r="G38"/>
  <c r="AP56" i="8"/>
  <c r="AS59"/>
  <c r="AB90"/>
  <c r="AB91"/>
  <c r="AU18"/>
  <c r="AU74"/>
  <c r="AS56"/>
  <c r="AS58"/>
  <c r="AS88"/>
  <c r="E122" i="56"/>
  <c r="E102"/>
  <c r="I39"/>
  <c r="D40"/>
  <c r="N20"/>
  <c r="N19"/>
  <c r="W19"/>
  <c r="E20"/>
  <c r="D21"/>
  <c r="B21"/>
  <c r="AP59" i="8"/>
  <c r="AD80"/>
  <c r="AD19"/>
  <c r="AD79"/>
  <c r="AC79"/>
  <c r="AQ82"/>
  <c r="AD18"/>
  <c r="AD74"/>
  <c r="AC74"/>
  <c r="AD23"/>
  <c r="AD77"/>
  <c r="AC77"/>
  <c r="AU26"/>
  <c r="AS93"/>
  <c r="AS94"/>
  <c r="AS91"/>
  <c r="AP88"/>
  <c r="AP90"/>
  <c r="BF82"/>
  <c r="AP58"/>
  <c r="AC75"/>
  <c r="AC80"/>
  <c r="AD46"/>
  <c r="AD82"/>
  <c r="AC82"/>
  <c r="AR19"/>
  <c r="AR79"/>
  <c r="AC17"/>
  <c r="AD24"/>
  <c r="AC25"/>
  <c r="AD44"/>
  <c r="AD42"/>
  <c r="AD81"/>
  <c r="AC42"/>
  <c r="AC81"/>
  <c r="AY48" i="7"/>
  <c r="AY117"/>
  <c r="AX117"/>
  <c r="AE124"/>
  <c r="AE122"/>
  <c r="AG113"/>
  <c r="AY112"/>
  <c r="AF112"/>
  <c r="AX110"/>
  <c r="AU112"/>
  <c r="AF110"/>
  <c r="AU110"/>
  <c r="AV48"/>
  <c r="AV117"/>
  <c r="AU117"/>
  <c r="AG48"/>
  <c r="AG117"/>
  <c r="AF117"/>
  <c r="AW124"/>
  <c r="AW122"/>
  <c r="AT124"/>
  <c r="AT122"/>
  <c r="AX112"/>
  <c r="AG112"/>
  <c r="AY110"/>
  <c r="AV112"/>
  <c r="AG110"/>
  <c r="AV110"/>
  <c r="AF43"/>
  <c r="AF116"/>
  <c r="AG43"/>
  <c r="AG116"/>
  <c r="AY41"/>
  <c r="AY35"/>
  <c r="AU33"/>
  <c r="AU27"/>
  <c r="AX41"/>
  <c r="AX35"/>
  <c r="AU41"/>
  <c r="AU35"/>
  <c r="AV40"/>
  <c r="AV41"/>
  <c r="AV35"/>
  <c r="AE55" i="9"/>
  <c r="AD19" i="19"/>
  <c r="AD20"/>
  <c r="AD39"/>
  <c r="AD33"/>
  <c r="AD31"/>
  <c r="AD21"/>
  <c r="I49"/>
  <c r="O49"/>
  <c r="P57"/>
  <c r="J49"/>
  <c r="M12"/>
  <c r="P49"/>
  <c r="K49"/>
  <c r="L58"/>
  <c r="L56"/>
  <c r="P58"/>
  <c r="BV9" i="8"/>
  <c r="BR9"/>
  <c r="CK24" i="17"/>
  <c r="CC24"/>
  <c r="CG24"/>
  <c r="CO24"/>
  <c r="BR13" i="8"/>
  <c r="BE38"/>
  <c r="BR38"/>
  <c r="BR23"/>
  <c r="BV13" i="7"/>
  <c r="BV37" i="17"/>
  <c r="CC29"/>
  <c r="CK29"/>
  <c r="CG29"/>
  <c r="CO29"/>
  <c r="BE29" i="8"/>
  <c r="BR29"/>
  <c r="BV31" i="7"/>
  <c r="BV39"/>
  <c r="BV23"/>
  <c r="BB20" i="8"/>
  <c r="BB75"/>
  <c r="CA13" i="7"/>
  <c r="CA16"/>
  <c r="CA10"/>
  <c r="CA121"/>
  <c r="BY52"/>
  <c r="CA9"/>
  <c r="CA42"/>
  <c r="CB42"/>
  <c r="CA34"/>
  <c r="CB34"/>
  <c r="CA46"/>
  <c r="CB46"/>
  <c r="K31" i="90"/>
  <c r="K32"/>
  <c r="K31" i="89"/>
  <c r="K30"/>
  <c r="AX27" i="7"/>
  <c r="BE30" i="8"/>
  <c r="BF18"/>
  <c r="BE42"/>
  <c r="BF20"/>
  <c r="E17" i="61"/>
  <c r="J19" i="89"/>
  <c r="AA209" i="6"/>
  <c r="Y209"/>
  <c r="AA213"/>
  <c r="Y213"/>
  <c r="AA219"/>
  <c r="Y219"/>
  <c r="AA222"/>
  <c r="Y222"/>
  <c r="AA226"/>
  <c r="Y226"/>
  <c r="AA232"/>
  <c r="Y232"/>
  <c r="AA237"/>
  <c r="Y237"/>
  <c r="AA241"/>
  <c r="Y241"/>
  <c r="AA208"/>
  <c r="X257"/>
  <c r="X258"/>
  <c r="Y208"/>
  <c r="AA212"/>
  <c r="Y212"/>
  <c r="AA217"/>
  <c r="Y217"/>
  <c r="AA221"/>
  <c r="Y221"/>
  <c r="AA223"/>
  <c r="Y223"/>
  <c r="AA230"/>
  <c r="X229"/>
  <c r="Y230"/>
  <c r="AA233"/>
  <c r="Y233"/>
  <c r="AA236"/>
  <c r="Y236"/>
  <c r="AA240"/>
  <c r="Y240"/>
  <c r="BF45" i="8"/>
  <c r="AA211" i="6"/>
  <c r="Y211"/>
  <c r="AA214"/>
  <c r="Y214"/>
  <c r="AA220"/>
  <c r="Y220"/>
  <c r="AA225"/>
  <c r="X224"/>
  <c r="Y225"/>
  <c r="AA228"/>
  <c r="Y228"/>
  <c r="AA235"/>
  <c r="Y235"/>
  <c r="AA239"/>
  <c r="Y239"/>
  <c r="AA243"/>
  <c r="Y243"/>
  <c r="AA210"/>
  <c r="Y210"/>
  <c r="AA215"/>
  <c r="Y215"/>
  <c r="AA218"/>
  <c r="Y218"/>
  <c r="AA216"/>
  <c r="AA227"/>
  <c r="Y227"/>
  <c r="AA231"/>
  <c r="Y231"/>
  <c r="AA234"/>
  <c r="Y234"/>
  <c r="AA238"/>
  <c r="Y238"/>
  <c r="AA242"/>
  <c r="Y242"/>
  <c r="BJ47" i="7"/>
  <c r="BJ46"/>
  <c r="BG44"/>
  <c r="BI24"/>
  <c r="BJ45"/>
  <c r="AT12" i="19"/>
  <c r="BF50" i="72"/>
  <c r="BD50"/>
  <c r="BG50"/>
  <c r="Y43" i="3"/>
  <c r="BB55" i="72"/>
  <c r="BE55"/>
  <c r="BL55"/>
  <c r="BS55"/>
  <c r="BG55"/>
  <c r="BK55"/>
  <c r="BR55"/>
  <c r="AU42" i="8"/>
  <c r="AU81"/>
  <c r="AG132" i="7"/>
  <c r="BC19" i="8"/>
  <c r="BL51" i="11"/>
  <c r="BI118" i="7"/>
  <c r="BG49"/>
  <c r="I60" i="56"/>
  <c r="N60"/>
  <c r="N59"/>
  <c r="AU46" i="8"/>
  <c r="AU82"/>
  <c r="AU33"/>
  <c r="AU80"/>
  <c r="AT27"/>
  <c r="AR42"/>
  <c r="AR81"/>
  <c r="AT77"/>
  <c r="BJ60" i="7"/>
  <c r="AO12" i="19"/>
  <c r="BF23" i="8"/>
  <c r="BD55" i="9"/>
  <c r="AT80" i="8"/>
  <c r="AT42"/>
  <c r="AT81"/>
  <c r="AU19"/>
  <c r="AU79"/>
  <c r="AX120" i="7"/>
  <c r="AT75" i="8"/>
  <c r="AU24"/>
  <c r="AU78"/>
  <c r="AQ42"/>
  <c r="AQ81"/>
  <c r="W39" i="3"/>
  <c r="AT25" i="8"/>
  <c r="AT17"/>
  <c r="BH33" i="11"/>
  <c r="BL33"/>
  <c r="BF44" i="8"/>
  <c r="AR24"/>
  <c r="AR78"/>
  <c r="BH30" i="11"/>
  <c r="BL30"/>
  <c r="H35" i="32"/>
  <c r="J35"/>
  <c r="J36"/>
  <c r="K15" i="85"/>
  <c r="G35" i="32"/>
  <c r="G36"/>
  <c r="BH32" i="11"/>
  <c r="BL32"/>
  <c r="BJ10" i="7"/>
  <c r="BH29" i="11"/>
  <c r="BL29"/>
  <c r="U38" i="3"/>
  <c r="BH35" i="11"/>
  <c r="BL35"/>
  <c r="BH34"/>
  <c r="BL34"/>
  <c r="AB56" i="8"/>
  <c r="AQ75"/>
  <c r="AB58"/>
  <c r="AR33"/>
  <c r="AR80"/>
  <c r="AQ27"/>
  <c r="AB62"/>
  <c r="AB63"/>
  <c r="AB93"/>
  <c r="AB94"/>
  <c r="BV35" i="17"/>
  <c r="AU120" i="7"/>
  <c r="AU124"/>
  <c r="AU127"/>
  <c r="AU128"/>
  <c r="AR18" i="8"/>
  <c r="AR74"/>
  <c r="AQ25"/>
  <c r="BA75"/>
  <c r="AQ17"/>
  <c r="AQ80"/>
  <c r="AQ77"/>
  <c r="BE9"/>
  <c r="BC74"/>
  <c r="BR74"/>
  <c r="E19" i="32"/>
  <c r="BC50" i="9"/>
  <c r="BG58"/>
  <c r="BE75" i="8"/>
  <c r="BI43" i="7"/>
  <c r="BJ43"/>
  <c r="AF120"/>
  <c r="AF122"/>
  <c r="AG120"/>
  <c r="AG124"/>
  <c r="M28" i="56"/>
  <c r="M38"/>
  <c r="BG121" i="7"/>
  <c r="BI31"/>
  <c r="BI29"/>
  <c r="BG112"/>
  <c r="BV112"/>
  <c r="BI13"/>
  <c r="BI36"/>
  <c r="M48" i="56"/>
  <c r="M58"/>
  <c r="H58"/>
  <c r="BE43" i="7"/>
  <c r="BF44"/>
  <c r="BF43"/>
  <c r="BC77" i="8"/>
  <c r="BR77"/>
  <c r="BE13"/>
  <c r="L28" i="56"/>
  <c r="L38"/>
  <c r="BI39" i="7"/>
  <c r="BE29"/>
  <c r="BE36"/>
  <c r="BF36"/>
  <c r="BC121"/>
  <c r="L48" i="56"/>
  <c r="L58"/>
  <c r="E123"/>
  <c r="D124"/>
  <c r="B124"/>
  <c r="E103"/>
  <c r="D104"/>
  <c r="B104"/>
  <c r="S39"/>
  <c r="I40"/>
  <c r="N40"/>
  <c r="N39"/>
  <c r="W39"/>
  <c r="W59"/>
  <c r="C20"/>
  <c r="AD25" i="8"/>
  <c r="AD78"/>
  <c r="AD85"/>
  <c r="AP93"/>
  <c r="AP94"/>
  <c r="AP91"/>
  <c r="AC85"/>
  <c r="AD17"/>
  <c r="AE127" i="7"/>
  <c r="AE128"/>
  <c r="AE125"/>
  <c r="AT127"/>
  <c r="AT128"/>
  <c r="AT125"/>
  <c r="AW127"/>
  <c r="AW128"/>
  <c r="AW125"/>
  <c r="AX51"/>
  <c r="BV36" i="17"/>
  <c r="AD60" i="19"/>
  <c r="BV19" i="8"/>
  <c r="BR19"/>
  <c r="BY35" i="17"/>
  <c r="CC35"/>
  <c r="CG35"/>
  <c r="CK35"/>
  <c r="CO35"/>
  <c r="BY36"/>
  <c r="CG36"/>
  <c r="CK36"/>
  <c r="CC36"/>
  <c r="CO36"/>
  <c r="BY37"/>
  <c r="CK37"/>
  <c r="CG37"/>
  <c r="CC37"/>
  <c r="CO37"/>
  <c r="CA39" i="7"/>
  <c r="CB9"/>
  <c r="CB109"/>
  <c r="CB13"/>
  <c r="CB29"/>
  <c r="CB39"/>
  <c r="CB36"/>
  <c r="BY121"/>
  <c r="CB10"/>
  <c r="CB110"/>
  <c r="CB16"/>
  <c r="CB115"/>
  <c r="CA115"/>
  <c r="CA31"/>
  <c r="CB31"/>
  <c r="CA33"/>
  <c r="CA32"/>
  <c r="CB33"/>
  <c r="CB32"/>
  <c r="BE74" i="8"/>
  <c r="AA229" i="6"/>
  <c r="BF75" i="8"/>
  <c r="BE81"/>
  <c r="BF74"/>
  <c r="BG43" i="7"/>
  <c r="BF42" i="8"/>
  <c r="D15" i="66"/>
  <c r="E15"/>
  <c r="AA224" i="6"/>
  <c r="Y229"/>
  <c r="Y224"/>
  <c r="Y257"/>
  <c r="Y258"/>
  <c r="BJ39" i="7"/>
  <c r="BJ36"/>
  <c r="BG118"/>
  <c r="X129" i="5"/>
  <c r="X122"/>
  <c r="X114"/>
  <c r="X106"/>
  <c r="X71"/>
  <c r="X134"/>
  <c r="X126"/>
  <c r="X109"/>
  <c r="X74"/>
  <c r="X66"/>
  <c r="K13" i="85"/>
  <c r="X131" i="5"/>
  <c r="X123"/>
  <c r="X116"/>
  <c r="X108"/>
  <c r="X73"/>
  <c r="X65"/>
  <c r="X128"/>
  <c r="X111"/>
  <c r="X76"/>
  <c r="X68"/>
  <c r="BJ13" i="7"/>
  <c r="D17" i="61"/>
  <c r="I17" i="85"/>
  <c r="I19" i="89"/>
  <c r="X133" i="5"/>
  <c r="X125"/>
  <c r="X118"/>
  <c r="X110"/>
  <c r="X75"/>
  <c r="X67"/>
  <c r="X121"/>
  <c r="X113"/>
  <c r="X78"/>
  <c r="X70"/>
  <c r="X63"/>
  <c r="W136"/>
  <c r="W137"/>
  <c r="X135"/>
  <c r="X127"/>
  <c r="X120"/>
  <c r="X112"/>
  <c r="X77"/>
  <c r="X69"/>
  <c r="X124"/>
  <c r="X115"/>
  <c r="X107"/>
  <c r="X72"/>
  <c r="X64"/>
  <c r="BF50" i="9"/>
  <c r="BC48"/>
  <c r="BD56" i="72"/>
  <c r="BJ58"/>
  <c r="Y39" i="3"/>
  <c r="Y47"/>
  <c r="AU25" i="8"/>
  <c r="BC79"/>
  <c r="BR79"/>
  <c r="BE19"/>
  <c r="BB55" i="9"/>
  <c r="BF81" i="8"/>
  <c r="BJ116" i="7"/>
  <c r="BF116"/>
  <c r="BE116"/>
  <c r="U42" i="3"/>
  <c r="BJ31" i="7"/>
  <c r="BF77" i="8"/>
  <c r="AT49"/>
  <c r="AT58"/>
  <c r="AT85"/>
  <c r="AT90"/>
  <c r="AU85"/>
  <c r="AU88"/>
  <c r="AU17"/>
  <c r="AU49"/>
  <c r="AU58"/>
  <c r="AX124" i="7"/>
  <c r="AX122"/>
  <c r="BF79" i="8"/>
  <c r="E15" i="61"/>
  <c r="G37" i="32"/>
  <c r="F15" i="61"/>
  <c r="J37" i="32"/>
  <c r="AR25" i="8"/>
  <c r="BL39" i="11"/>
  <c r="BI116" i="7"/>
  <c r="AQ49" i="8"/>
  <c r="AQ58"/>
  <c r="AG122" i="7"/>
  <c r="AR17" i="8"/>
  <c r="AR49"/>
  <c r="AR62"/>
  <c r="AR63"/>
  <c r="AR85"/>
  <c r="AR90"/>
  <c r="AR93"/>
  <c r="AR94"/>
  <c r="AU122" i="7"/>
  <c r="AQ85" i="8"/>
  <c r="AQ90"/>
  <c r="AU125" i="7"/>
  <c r="BD50" i="9"/>
  <c r="BG18" i="7"/>
  <c r="AF124"/>
  <c r="AF127"/>
  <c r="AF128"/>
  <c r="BJ29"/>
  <c r="BI110"/>
  <c r="BF29"/>
  <c r="BF110"/>
  <c r="BE110"/>
  <c r="BI112"/>
  <c r="BE77" i="8"/>
  <c r="C123" i="56"/>
  <c r="C103"/>
  <c r="C19"/>
  <c r="B20"/>
  <c r="AC90" i="8"/>
  <c r="AC88"/>
  <c r="AD90"/>
  <c r="AD88"/>
  <c r="AG127" i="7"/>
  <c r="AG128"/>
  <c r="AG125"/>
  <c r="AC56" i="19"/>
  <c r="AC57"/>
  <c r="BV43" i="7"/>
  <c r="CA110"/>
  <c r="BG116"/>
  <c r="BV116"/>
  <c r="CB112"/>
  <c r="CA117"/>
  <c r="CB117"/>
  <c r="CA112"/>
  <c r="BG19"/>
  <c r="BG114"/>
  <c r="BD48" i="9"/>
  <c r="BG56"/>
  <c r="D13" i="66"/>
  <c r="I15" i="88"/>
  <c r="D12" i="66"/>
  <c r="E12"/>
  <c r="F12"/>
  <c r="K12" i="88"/>
  <c r="I15" i="87"/>
  <c r="D15" i="65"/>
  <c r="E15"/>
  <c r="F15"/>
  <c r="D21" i="66"/>
  <c r="E21"/>
  <c r="F21"/>
  <c r="I21" i="88"/>
  <c r="K21"/>
  <c r="BE79" i="8"/>
  <c r="BJ110" i="7"/>
  <c r="D15" i="61"/>
  <c r="BI18" i="7"/>
  <c r="BJ112"/>
  <c r="D15" i="64"/>
  <c r="E15"/>
  <c r="E13"/>
  <c r="I15" i="86"/>
  <c r="X130" i="5"/>
  <c r="X119"/>
  <c r="X136"/>
  <c r="X137"/>
  <c r="X117"/>
  <c r="X132"/>
  <c r="BF48" i="9"/>
  <c r="BC51"/>
  <c r="BF51"/>
  <c r="Y38" i="3"/>
  <c r="BC48" i="72"/>
  <c r="BG56"/>
  <c r="BP58"/>
  <c r="BI50"/>
  <c r="BM58"/>
  <c r="AT59" i="8"/>
  <c r="AT56"/>
  <c r="AT62"/>
  <c r="AT63"/>
  <c r="AT88"/>
  <c r="AU56"/>
  <c r="AT93"/>
  <c r="AT94"/>
  <c r="AT91"/>
  <c r="AU90"/>
  <c r="AU93"/>
  <c r="AU94"/>
  <c r="AU59"/>
  <c r="AU62"/>
  <c r="AU63"/>
  <c r="AX125" i="7"/>
  <c r="AX127"/>
  <c r="AX128"/>
  <c r="F15" i="66"/>
  <c r="F13"/>
  <c r="E13"/>
  <c r="F15" i="64"/>
  <c r="F13"/>
  <c r="AQ62" i="8"/>
  <c r="AQ63"/>
  <c r="AQ56"/>
  <c r="AR91"/>
  <c r="AQ59"/>
  <c r="AR56"/>
  <c r="AR59"/>
  <c r="AR58"/>
  <c r="AR88"/>
  <c r="AQ88"/>
  <c r="AQ93"/>
  <c r="AQ94"/>
  <c r="AQ91"/>
  <c r="AF125" i="7"/>
  <c r="BG9"/>
  <c r="C122" i="56"/>
  <c r="B123"/>
  <c r="B103"/>
  <c r="C102"/>
  <c r="B19"/>
  <c r="AD93" i="8"/>
  <c r="AD94"/>
  <c r="AD91"/>
  <c r="AC93"/>
  <c r="AC94"/>
  <c r="AC91"/>
  <c r="AC60" i="19"/>
  <c r="BW48" i="9"/>
  <c r="BV9" i="7"/>
  <c r="D13" i="64"/>
  <c r="BD51" i="9"/>
  <c r="BI19" i="7"/>
  <c r="BL114"/>
  <c r="BL120"/>
  <c r="BL17"/>
  <c r="BL51"/>
  <c r="I17" i="90"/>
  <c r="I13" i="86"/>
  <c r="I17" i="89"/>
  <c r="I15"/>
  <c r="I13" i="85"/>
  <c r="BI114" i="7"/>
  <c r="D21" i="64"/>
  <c r="E21"/>
  <c r="F21"/>
  <c r="I21" i="86"/>
  <c r="K21"/>
  <c r="BJ50" i="72"/>
  <c r="BL50"/>
  <c r="BF48"/>
  <c r="BC51"/>
  <c r="BF51"/>
  <c r="BD48"/>
  <c r="BO50"/>
  <c r="BS58"/>
  <c r="BJ56"/>
  <c r="Y42" i="3"/>
  <c r="AU91" i="8"/>
  <c r="BG109" i="7"/>
  <c r="BI9"/>
  <c r="B122" i="56"/>
  <c r="B102"/>
  <c r="BB51" i="9"/>
  <c r="BU57" i="8"/>
  <c r="BW89"/>
  <c r="BM114" i="7"/>
  <c r="BM17"/>
  <c r="BY27"/>
  <c r="BZ27"/>
  <c r="BL56"/>
  <c r="BL53"/>
  <c r="BL55"/>
  <c r="BL124"/>
  <c r="BL122"/>
  <c r="J17" i="90"/>
  <c r="K15" i="87"/>
  <c r="K15" i="88"/>
  <c r="K13"/>
  <c r="J13"/>
  <c r="K15" i="86"/>
  <c r="J13"/>
  <c r="BM56" i="72"/>
  <c r="BP56"/>
  <c r="BI48"/>
  <c r="BD51"/>
  <c r="BG48"/>
  <c r="BQ50"/>
  <c r="BM50"/>
  <c r="BP50"/>
  <c r="BS50"/>
  <c r="BR50"/>
  <c r="BI109" i="7"/>
  <c r="BJ9"/>
  <c r="P25" i="35"/>
  <c r="BU89" i="8"/>
  <c r="BL127" i="7"/>
  <c r="BL128"/>
  <c r="BL125"/>
  <c r="K17" i="90"/>
  <c r="BJ109" i="7"/>
  <c r="K13" i="86"/>
  <c r="K17" i="89"/>
  <c r="K15"/>
  <c r="BJ48" i="72"/>
  <c r="BI51"/>
  <c r="BL48"/>
  <c r="BB51"/>
  <c r="BE51"/>
  <c r="BG51"/>
  <c r="BS56"/>
  <c r="BO48"/>
  <c r="BL51"/>
  <c r="D12" i="64"/>
  <c r="E12"/>
  <c r="I12" i="86"/>
  <c r="K12"/>
  <c r="BP48" i="72"/>
  <c r="BR48"/>
  <c r="BO51"/>
  <c r="BM48"/>
  <c r="BQ48"/>
  <c r="BJ51"/>
  <c r="F12" i="64"/>
  <c r="P56" i="34"/>
  <c r="BP51" i="72"/>
  <c r="BS48"/>
  <c r="BH51"/>
  <c r="BK51"/>
  <c r="BR51"/>
  <c r="BM51"/>
  <c r="Z10" i="10"/>
  <c r="AA10"/>
  <c r="Z15"/>
  <c r="AA15"/>
  <c r="AE62" i="8"/>
  <c r="AE63"/>
  <c r="AE58"/>
  <c r="AG58"/>
  <c r="AH58"/>
  <c r="AJ60"/>
  <c r="AJ55"/>
  <c r="AJ54"/>
  <c r="AJ53"/>
  <c r="AJ52"/>
  <c r="AI48"/>
  <c r="AE31"/>
  <c r="AE25"/>
  <c r="AF60"/>
  <c r="AF55"/>
  <c r="AF54"/>
  <c r="AF53"/>
  <c r="AF52"/>
  <c r="AF46"/>
  <c r="AF45"/>
  <c r="AL57" i="7"/>
  <c r="AL126"/>
  <c r="BH126"/>
  <c r="AL50"/>
  <c r="AL119"/>
  <c r="BH119"/>
  <c r="AL46"/>
  <c r="AL38"/>
  <c r="AL37"/>
  <c r="AL30"/>
  <c r="AL22"/>
  <c r="AL21"/>
  <c r="AL12"/>
  <c r="AK33"/>
  <c r="AK27"/>
  <c r="AJ33"/>
  <c r="AJ27"/>
  <c r="AK15"/>
  <c r="AK8"/>
  <c r="AJ15"/>
  <c r="AH57"/>
  <c r="AH126"/>
  <c r="AH54"/>
  <c r="AH123"/>
  <c r="AH52"/>
  <c r="AH50"/>
  <c r="AH119"/>
  <c r="AI119"/>
  <c r="AH48"/>
  <c r="AH47"/>
  <c r="AH46"/>
  <c r="AH45"/>
  <c r="AH44"/>
  <c r="AH42"/>
  <c r="AH39"/>
  <c r="AH38"/>
  <c r="AH37"/>
  <c r="AH36"/>
  <c r="AH34"/>
  <c r="AH32"/>
  <c r="AH31"/>
  <c r="AH30"/>
  <c r="AH29"/>
  <c r="AH28"/>
  <c r="AH26"/>
  <c r="AH24"/>
  <c r="AH23"/>
  <c r="AH22"/>
  <c r="AH21"/>
  <c r="AH20"/>
  <c r="AH19"/>
  <c r="AH114"/>
  <c r="AH18"/>
  <c r="AH16"/>
  <c r="AH14"/>
  <c r="AH13"/>
  <c r="AH12"/>
  <c r="AH111"/>
  <c r="AH10"/>
  <c r="AH9"/>
  <c r="AH40" i="11"/>
  <c r="AH33"/>
  <c r="AM40"/>
  <c r="AO52" i="7"/>
  <c r="M45" i="3"/>
  <c r="M41"/>
  <c r="M40"/>
  <c r="Z64" i="7"/>
  <c r="Z66"/>
  <c r="O68"/>
  <c r="R68"/>
  <c r="L69"/>
  <c r="R69"/>
  <c r="O70"/>
  <c r="R70"/>
  <c r="Z71"/>
  <c r="Z73"/>
  <c r="AB77"/>
  <c r="AD77"/>
  <c r="U78"/>
  <c r="U79"/>
  <c r="Q80"/>
  <c r="R80"/>
  <c r="S80"/>
  <c r="T80"/>
  <c r="R85"/>
  <c r="S85"/>
  <c r="Q87"/>
  <c r="Q88"/>
  <c r="R89"/>
  <c r="S89"/>
  <c r="E92"/>
  <c r="K38" i="3"/>
  <c r="AN56" i="72"/>
  <c r="J38" i="3"/>
  <c r="V51" i="8"/>
  <c r="V52" i="7"/>
  <c r="U51" i="8"/>
  <c r="B51"/>
  <c r="C23" i="11"/>
  <c r="E51" i="8"/>
  <c r="J51"/>
  <c r="N51"/>
  <c r="C25" i="36"/>
  <c r="C14"/>
  <c r="B25"/>
  <c r="B14"/>
  <c r="A48" i="8"/>
  <c r="G19" i="35"/>
  <c r="P24"/>
  <c r="G31" i="34"/>
  <c r="G48"/>
  <c r="AI61" i="8"/>
  <c r="R11" i="70"/>
  <c r="AG61" i="8"/>
  <c r="U9" i="17"/>
  <c r="T9"/>
  <c r="AD9"/>
  <c r="N47" i="5"/>
  <c r="U10" i="17"/>
  <c r="T10"/>
  <c r="AM10"/>
  <c r="AP10"/>
  <c r="Q23" i="7"/>
  <c r="N48" i="5"/>
  <c r="N49"/>
  <c r="B22" i="32"/>
  <c r="D22"/>
  <c r="B23"/>
  <c r="AA51" i="8"/>
  <c r="H108"/>
  <c r="AH62"/>
  <c r="AH59"/>
  <c r="AH56"/>
  <c r="AG59"/>
  <c r="AG56"/>
  <c r="AE59"/>
  <c r="Z11"/>
  <c r="AK11"/>
  <c r="AM11"/>
  <c r="AO11"/>
  <c r="AM52"/>
  <c r="AC32" i="6"/>
  <c r="AI32"/>
  <c r="AC28"/>
  <c r="AH28"/>
  <c r="AC21"/>
  <c r="AC9"/>
  <c r="AB35" i="5"/>
  <c r="AH35"/>
  <c r="AB32"/>
  <c r="AH32"/>
  <c r="AB23"/>
  <c r="AG23"/>
  <c r="AH23"/>
  <c r="AB16"/>
  <c r="AH16"/>
  <c r="AO45" i="7"/>
  <c r="AB41" i="5"/>
  <c r="AH41"/>
  <c r="AB18"/>
  <c r="AH18"/>
  <c r="AK12" i="8"/>
  <c r="AK22"/>
  <c r="AK37"/>
  <c r="AM37"/>
  <c r="AO37"/>
  <c r="AC27" i="19"/>
  <c r="D25" i="21"/>
  <c r="D26"/>
  <c r="D27"/>
  <c r="D28"/>
  <c r="D30"/>
  <c r="D31"/>
  <c r="G27"/>
  <c r="G30"/>
  <c r="G31"/>
  <c r="C27"/>
  <c r="E27"/>
  <c r="C30"/>
  <c r="C31"/>
  <c r="E31"/>
  <c r="C25"/>
  <c r="E25"/>
  <c r="L26"/>
  <c r="Y14" i="19"/>
  <c r="Z14"/>
  <c r="Z12"/>
  <c r="AC12"/>
  <c r="AM33" i="17"/>
  <c r="AM32"/>
  <c r="AM31"/>
  <c r="AM30"/>
  <c r="AM28"/>
  <c r="AM27"/>
  <c r="AM26"/>
  <c r="AM25"/>
  <c r="Y33"/>
  <c r="Y32"/>
  <c r="Y31"/>
  <c r="Y30"/>
  <c r="Y28"/>
  <c r="Y27"/>
  <c r="AB27"/>
  <c r="Y26"/>
  <c r="AB26"/>
  <c r="Y25"/>
  <c r="AN29"/>
  <c r="AL29"/>
  <c r="Z29"/>
  <c r="X29"/>
  <c r="AN24"/>
  <c r="AM35"/>
  <c r="AL24"/>
  <c r="Z24"/>
  <c r="X24"/>
  <c r="K53" i="11"/>
  <c r="L53"/>
  <c r="K54"/>
  <c r="L54"/>
  <c r="K55"/>
  <c r="L55"/>
  <c r="L56"/>
  <c r="K52"/>
  <c r="F56"/>
  <c r="K56"/>
  <c r="G52"/>
  <c r="L52"/>
  <c r="U33"/>
  <c r="W43"/>
  <c r="U43"/>
  <c r="W42"/>
  <c r="U42"/>
  <c r="W41"/>
  <c r="W45"/>
  <c r="U41"/>
  <c r="W33"/>
  <c r="W32"/>
  <c r="U32"/>
  <c r="W31"/>
  <c r="U31"/>
  <c r="W30"/>
  <c r="U30"/>
  <c r="W29"/>
  <c r="U29"/>
  <c r="I30" i="10"/>
  <c r="I25"/>
  <c r="AB54" i="9"/>
  <c r="AB52"/>
  <c r="AB50"/>
  <c r="AB48"/>
  <c r="AD62"/>
  <c r="AD61"/>
  <c r="AD59"/>
  <c r="AD57"/>
  <c r="AD55"/>
  <c r="AC55"/>
  <c r="AD51"/>
  <c r="AC51"/>
  <c r="Z37" i="8"/>
  <c r="C9" i="21"/>
  <c r="E9"/>
  <c r="I9"/>
  <c r="L9"/>
  <c r="G25"/>
  <c r="L25"/>
  <c r="C10"/>
  <c r="E10"/>
  <c r="G10"/>
  <c r="L10"/>
  <c r="G26"/>
  <c r="E11"/>
  <c r="I11"/>
  <c r="M11"/>
  <c r="H27"/>
  <c r="E12"/>
  <c r="G12"/>
  <c r="L12"/>
  <c r="M12"/>
  <c r="H28"/>
  <c r="C13"/>
  <c r="D13"/>
  <c r="G13"/>
  <c r="H13"/>
  <c r="D29"/>
  <c r="E14"/>
  <c r="I14"/>
  <c r="K14"/>
  <c r="M14"/>
  <c r="H30"/>
  <c r="E15"/>
  <c r="I15"/>
  <c r="M15"/>
  <c r="H31"/>
  <c r="M31"/>
  <c r="N31"/>
  <c r="D8" i="19"/>
  <c r="F8"/>
  <c r="H8"/>
  <c r="S8"/>
  <c r="T8"/>
  <c r="U8"/>
  <c r="V8"/>
  <c r="D9"/>
  <c r="F9"/>
  <c r="H9"/>
  <c r="S9"/>
  <c r="T9"/>
  <c r="U9"/>
  <c r="V9"/>
  <c r="AC9"/>
  <c r="D10"/>
  <c r="F10"/>
  <c r="H10"/>
  <c r="S10"/>
  <c r="U10"/>
  <c r="V10"/>
  <c r="D11"/>
  <c r="F11"/>
  <c r="H11"/>
  <c r="U11"/>
  <c r="V11"/>
  <c r="R12"/>
  <c r="U12"/>
  <c r="S12"/>
  <c r="Y12"/>
  <c r="Y49"/>
  <c r="AB12"/>
  <c r="U13"/>
  <c r="V13"/>
  <c r="R14"/>
  <c r="AB14"/>
  <c r="D15"/>
  <c r="F15"/>
  <c r="G15"/>
  <c r="M15"/>
  <c r="S15"/>
  <c r="T15"/>
  <c r="U15"/>
  <c r="V15"/>
  <c r="AC15"/>
  <c r="D16"/>
  <c r="F16"/>
  <c r="H16"/>
  <c r="S16"/>
  <c r="T16"/>
  <c r="U16"/>
  <c r="V16"/>
  <c r="AC16"/>
  <c r="D17"/>
  <c r="F17"/>
  <c r="H17"/>
  <c r="S17"/>
  <c r="U17"/>
  <c r="V17"/>
  <c r="AC17"/>
  <c r="D18"/>
  <c r="F18"/>
  <c r="H18"/>
  <c r="S18"/>
  <c r="T18"/>
  <c r="U18"/>
  <c r="V18"/>
  <c r="AC18"/>
  <c r="D19"/>
  <c r="H19"/>
  <c r="S19"/>
  <c r="U19"/>
  <c r="V19"/>
  <c r="D20"/>
  <c r="F20"/>
  <c r="H20"/>
  <c r="S20"/>
  <c r="T20"/>
  <c r="U20"/>
  <c r="V20"/>
  <c r="D21"/>
  <c r="F21"/>
  <c r="H21"/>
  <c r="S21"/>
  <c r="T21"/>
  <c r="U21"/>
  <c r="V21"/>
  <c r="D22"/>
  <c r="F22"/>
  <c r="H22"/>
  <c r="S22"/>
  <c r="T22"/>
  <c r="U22"/>
  <c r="V22"/>
  <c r="AC22"/>
  <c r="D23"/>
  <c r="F23"/>
  <c r="H23"/>
  <c r="S23"/>
  <c r="T23"/>
  <c r="U23"/>
  <c r="V23"/>
  <c r="AC23"/>
  <c r="D24"/>
  <c r="F24"/>
  <c r="H24"/>
  <c r="S24"/>
  <c r="U24"/>
  <c r="V24"/>
  <c r="AC24"/>
  <c r="S25"/>
  <c r="U25"/>
  <c r="V25"/>
  <c r="AC25"/>
  <c r="D26"/>
  <c r="F26"/>
  <c r="G26"/>
  <c r="M26"/>
  <c r="S26"/>
  <c r="U26"/>
  <c r="V26"/>
  <c r="AC26"/>
  <c r="D27"/>
  <c r="F27"/>
  <c r="H27"/>
  <c r="S27"/>
  <c r="T27"/>
  <c r="U27"/>
  <c r="V27"/>
  <c r="D28"/>
  <c r="F28"/>
  <c r="H28"/>
  <c r="S28"/>
  <c r="T28"/>
  <c r="U28"/>
  <c r="V28"/>
  <c r="AC28"/>
  <c r="D29"/>
  <c r="F29"/>
  <c r="G29"/>
  <c r="S29"/>
  <c r="T29"/>
  <c r="U29"/>
  <c r="V29"/>
  <c r="AC29"/>
  <c r="D30"/>
  <c r="F30"/>
  <c r="H30"/>
  <c r="S30"/>
  <c r="U30"/>
  <c r="V30"/>
  <c r="AC30"/>
  <c r="D31"/>
  <c r="F31"/>
  <c r="H31"/>
  <c r="S31"/>
  <c r="T31"/>
  <c r="U31"/>
  <c r="V31"/>
  <c r="D32"/>
  <c r="F32"/>
  <c r="H32"/>
  <c r="S32"/>
  <c r="T32"/>
  <c r="U32"/>
  <c r="V32"/>
  <c r="AC32"/>
  <c r="D33"/>
  <c r="F33"/>
  <c r="H33"/>
  <c r="U33"/>
  <c r="V33"/>
  <c r="D34"/>
  <c r="F34"/>
  <c r="H34"/>
  <c r="S34"/>
  <c r="T34"/>
  <c r="U34"/>
  <c r="V34"/>
  <c r="AC34"/>
  <c r="D35"/>
  <c r="F35"/>
  <c r="H35"/>
  <c r="S35"/>
  <c r="T35"/>
  <c r="U35"/>
  <c r="V35"/>
  <c r="AC35"/>
  <c r="B36"/>
  <c r="B49"/>
  <c r="F36"/>
  <c r="H36"/>
  <c r="S36"/>
  <c r="T36"/>
  <c r="U36"/>
  <c r="V36"/>
  <c r="AC36"/>
  <c r="D37"/>
  <c r="F37"/>
  <c r="H37"/>
  <c r="S37"/>
  <c r="T37"/>
  <c r="U37"/>
  <c r="V37"/>
  <c r="D38"/>
  <c r="F38"/>
  <c r="H38"/>
  <c r="S38"/>
  <c r="U38"/>
  <c r="V38"/>
  <c r="AC38"/>
  <c r="D39"/>
  <c r="U39"/>
  <c r="V39"/>
  <c r="S40"/>
  <c r="AC40"/>
  <c r="U40"/>
  <c r="V40"/>
  <c r="D41"/>
  <c r="S41"/>
  <c r="AC41"/>
  <c r="U41"/>
  <c r="V41"/>
  <c r="U42"/>
  <c r="V42"/>
  <c r="U43"/>
  <c r="V43"/>
  <c r="D44"/>
  <c r="U44"/>
  <c r="V44"/>
  <c r="U45"/>
  <c r="V45"/>
  <c r="U46"/>
  <c r="V46"/>
  <c r="D47"/>
  <c r="U47"/>
  <c r="V47"/>
  <c r="C49"/>
  <c r="E49"/>
  <c r="R49"/>
  <c r="AB49"/>
  <c r="Y58"/>
  <c r="C60"/>
  <c r="B59"/>
  <c r="D60"/>
  <c r="E60"/>
  <c r="F60"/>
  <c r="G60"/>
  <c r="H59"/>
  <c r="R60"/>
  <c r="V60"/>
  <c r="U56"/>
  <c r="X60"/>
  <c r="W58"/>
  <c r="B7" i="32"/>
  <c r="D7"/>
  <c r="B8"/>
  <c r="D8"/>
  <c r="B9"/>
  <c r="D9"/>
  <c r="B10"/>
  <c r="C11"/>
  <c r="C24"/>
  <c r="F8" i="17"/>
  <c r="G8"/>
  <c r="K8"/>
  <c r="M8"/>
  <c r="P8"/>
  <c r="S8"/>
  <c r="V8"/>
  <c r="X8"/>
  <c r="Y8"/>
  <c r="AA8"/>
  <c r="AB8"/>
  <c r="AL8"/>
  <c r="AU8"/>
  <c r="AW8"/>
  <c r="AX8"/>
  <c r="AZ8"/>
  <c r="BA8"/>
  <c r="BC8"/>
  <c r="H9"/>
  <c r="K9"/>
  <c r="N9"/>
  <c r="R9"/>
  <c r="W9"/>
  <c r="Z9"/>
  <c r="AF9"/>
  <c r="AG9"/>
  <c r="AV9"/>
  <c r="AY9"/>
  <c r="BB9"/>
  <c r="BD9"/>
  <c r="H10"/>
  <c r="H8"/>
  <c r="K10"/>
  <c r="N10"/>
  <c r="Q10"/>
  <c r="W10"/>
  <c r="Z10"/>
  <c r="AE10"/>
  <c r="AF10"/>
  <c r="AG10"/>
  <c r="AV10"/>
  <c r="AY10"/>
  <c r="BB10"/>
  <c r="BD10"/>
  <c r="O11"/>
  <c r="R11"/>
  <c r="U11"/>
  <c r="X11"/>
  <c r="AD11"/>
  <c r="AE11"/>
  <c r="AF11"/>
  <c r="AM11"/>
  <c r="AN11"/>
  <c r="AV11"/>
  <c r="AY11"/>
  <c r="BB11"/>
  <c r="AA27"/>
  <c r="BD11"/>
  <c r="O12"/>
  <c r="R12"/>
  <c r="R8"/>
  <c r="U12"/>
  <c r="X12"/>
  <c r="AD12"/>
  <c r="AE12"/>
  <c r="AF12"/>
  <c r="O39" i="7"/>
  <c r="AM12" i="17"/>
  <c r="AV12"/>
  <c r="AY12"/>
  <c r="BB12"/>
  <c r="BD12"/>
  <c r="F14"/>
  <c r="G14"/>
  <c r="K14"/>
  <c r="M14"/>
  <c r="P14"/>
  <c r="S14"/>
  <c r="V14"/>
  <c r="X14"/>
  <c r="Y14"/>
  <c r="AA14"/>
  <c r="AB14"/>
  <c r="AL14"/>
  <c r="AU14"/>
  <c r="AW14"/>
  <c r="AX14"/>
  <c r="AZ14"/>
  <c r="BA14"/>
  <c r="BC14"/>
  <c r="H15"/>
  <c r="K15"/>
  <c r="N15"/>
  <c r="Q15"/>
  <c r="T15"/>
  <c r="AM15"/>
  <c r="AN15"/>
  <c r="W15"/>
  <c r="Z15"/>
  <c r="AE15"/>
  <c r="AF15"/>
  <c r="AV15"/>
  <c r="AY15"/>
  <c r="BB15"/>
  <c r="BD15"/>
  <c r="H16"/>
  <c r="H14"/>
  <c r="K16"/>
  <c r="O16"/>
  <c r="O14"/>
  <c r="N14"/>
  <c r="R16"/>
  <c r="U16"/>
  <c r="W16"/>
  <c r="Z16"/>
  <c r="AE16"/>
  <c r="AD16"/>
  <c r="AF16"/>
  <c r="AM16"/>
  <c r="T31"/>
  <c r="AT31"/>
  <c r="AV16"/>
  <c r="AY16"/>
  <c r="BB16"/>
  <c r="BD16"/>
  <c r="N17"/>
  <c r="Q17"/>
  <c r="U17"/>
  <c r="W17"/>
  <c r="Z17"/>
  <c r="AE17"/>
  <c r="AD17"/>
  <c r="AF17"/>
  <c r="AM17"/>
  <c r="AP17"/>
  <c r="P29" i="8"/>
  <c r="P30"/>
  <c r="R30"/>
  <c r="AV17" i="17"/>
  <c r="AY17"/>
  <c r="BB17"/>
  <c r="BD17"/>
  <c r="O18"/>
  <c r="R18"/>
  <c r="U18"/>
  <c r="W18"/>
  <c r="Z18"/>
  <c r="AE18"/>
  <c r="AD18"/>
  <c r="AF18"/>
  <c r="AM18"/>
  <c r="AP18"/>
  <c r="P38" i="8"/>
  <c r="P39"/>
  <c r="R39"/>
  <c r="AV18" i="17"/>
  <c r="AY18"/>
  <c r="BB18"/>
  <c r="AA33"/>
  <c r="BD18"/>
  <c r="F24"/>
  <c r="G24"/>
  <c r="K24"/>
  <c r="M24"/>
  <c r="O24"/>
  <c r="AU24"/>
  <c r="AW24"/>
  <c r="H25"/>
  <c r="K25"/>
  <c r="N25"/>
  <c r="S25"/>
  <c r="AV25"/>
  <c r="BH25"/>
  <c r="AZ25"/>
  <c r="H26"/>
  <c r="K26"/>
  <c r="N26"/>
  <c r="S26"/>
  <c r="AV26"/>
  <c r="BH26"/>
  <c r="AZ26"/>
  <c r="N27"/>
  <c r="P27"/>
  <c r="S27"/>
  <c r="T27"/>
  <c r="AV27"/>
  <c r="BH27"/>
  <c r="AZ27"/>
  <c r="N28"/>
  <c r="S28"/>
  <c r="AV28"/>
  <c r="BH28"/>
  <c r="AZ28"/>
  <c r="F29"/>
  <c r="G29"/>
  <c r="K29"/>
  <c r="M29"/>
  <c r="O29"/>
  <c r="S29"/>
  <c r="AU29"/>
  <c r="AW29"/>
  <c r="H30"/>
  <c r="K30"/>
  <c r="N30"/>
  <c r="AV30"/>
  <c r="AZ30"/>
  <c r="H31"/>
  <c r="K31"/>
  <c r="N31"/>
  <c r="AV31"/>
  <c r="AY31"/>
  <c r="AZ31"/>
  <c r="N32"/>
  <c r="AV32"/>
  <c r="AZ32"/>
  <c r="N33"/>
  <c r="AV33"/>
  <c r="BH33"/>
  <c r="AZ33"/>
  <c r="F9" i="33"/>
  <c r="H9"/>
  <c r="G10"/>
  <c r="I10"/>
  <c r="G11"/>
  <c r="I11"/>
  <c r="G12"/>
  <c r="I12"/>
  <c r="G13"/>
  <c r="I13"/>
  <c r="F15"/>
  <c r="H15"/>
  <c r="G15"/>
  <c r="I15"/>
  <c r="G16"/>
  <c r="I16"/>
  <c r="G17"/>
  <c r="I17"/>
  <c r="G18"/>
  <c r="I18"/>
  <c r="G19"/>
  <c r="I19"/>
  <c r="D7" i="11"/>
  <c r="H7"/>
  <c r="N7"/>
  <c r="O7"/>
  <c r="S7"/>
  <c r="U7"/>
  <c r="W7"/>
  <c r="AA7"/>
  <c r="AB7"/>
  <c r="AI7"/>
  <c r="AJ7"/>
  <c r="AM7"/>
  <c r="AN7"/>
  <c r="M29"/>
  <c r="N29"/>
  <c r="BN7"/>
  <c r="BO7"/>
  <c r="D8"/>
  <c r="H8"/>
  <c r="O8"/>
  <c r="S8"/>
  <c r="U8"/>
  <c r="W8"/>
  <c r="AB8"/>
  <c r="AM8"/>
  <c r="AN8"/>
  <c r="BN8"/>
  <c r="BO8"/>
  <c r="AO30"/>
  <c r="D9"/>
  <c r="H9"/>
  <c r="M9"/>
  <c r="S9"/>
  <c r="U9"/>
  <c r="W9"/>
  <c r="AA9"/>
  <c r="AB9"/>
  <c r="AI9"/>
  <c r="AJ9"/>
  <c r="AM9"/>
  <c r="AN9"/>
  <c r="M31"/>
  <c r="N31"/>
  <c r="BN9"/>
  <c r="BO9"/>
  <c r="D10"/>
  <c r="H10"/>
  <c r="N10"/>
  <c r="O10"/>
  <c r="S10"/>
  <c r="U10"/>
  <c r="W10"/>
  <c r="AA10"/>
  <c r="AB10"/>
  <c r="AI10"/>
  <c r="AJ10"/>
  <c r="AM10"/>
  <c r="AN10"/>
  <c r="M32"/>
  <c r="N32"/>
  <c r="BN10"/>
  <c r="BO10"/>
  <c r="D11"/>
  <c r="H11"/>
  <c r="I11"/>
  <c r="O11"/>
  <c r="S11"/>
  <c r="U11"/>
  <c r="W11"/>
  <c r="AA11"/>
  <c r="AB11"/>
  <c r="AI11"/>
  <c r="AJ11"/>
  <c r="AM11"/>
  <c r="AN11"/>
  <c r="M33"/>
  <c r="N33"/>
  <c r="BN11"/>
  <c r="BO11"/>
  <c r="D12"/>
  <c r="U13"/>
  <c r="W13"/>
  <c r="AM13"/>
  <c r="BN13"/>
  <c r="E15"/>
  <c r="J15"/>
  <c r="AO15"/>
  <c r="BP15"/>
  <c r="O19"/>
  <c r="O22"/>
  <c r="S19"/>
  <c r="AB19"/>
  <c r="AB22"/>
  <c r="AI19"/>
  <c r="AJ19"/>
  <c r="AM19"/>
  <c r="AN19"/>
  <c r="M42"/>
  <c r="E22"/>
  <c r="J22"/>
  <c r="W22"/>
  <c r="AO22"/>
  <c r="BP22"/>
  <c r="BN23"/>
  <c r="BN19"/>
  <c r="I29"/>
  <c r="J29"/>
  <c r="S29"/>
  <c r="AI29"/>
  <c r="J30"/>
  <c r="S30"/>
  <c r="I31"/>
  <c r="J31"/>
  <c r="S31"/>
  <c r="AI31"/>
  <c r="I32"/>
  <c r="J32"/>
  <c r="S32"/>
  <c r="X32"/>
  <c r="AI32"/>
  <c r="I33"/>
  <c r="J33"/>
  <c r="S33"/>
  <c r="AI33"/>
  <c r="AJ33"/>
  <c r="AP38"/>
  <c r="AK39"/>
  <c r="Q40"/>
  <c r="Q29"/>
  <c r="S41"/>
  <c r="J42"/>
  <c r="J45"/>
  <c r="K42"/>
  <c r="O42"/>
  <c r="S42"/>
  <c r="X42"/>
  <c r="AJ42"/>
  <c r="AK42"/>
  <c r="AK45"/>
  <c r="AN42"/>
  <c r="S43"/>
  <c r="AP44"/>
  <c r="BG44"/>
  <c r="G46"/>
  <c r="Q46"/>
  <c r="B6" i="10"/>
  <c r="C6"/>
  <c r="F6"/>
  <c r="H6"/>
  <c r="N6"/>
  <c r="P6"/>
  <c r="X6"/>
  <c r="X7"/>
  <c r="X8"/>
  <c r="X9"/>
  <c r="B7"/>
  <c r="B8"/>
  <c r="B9"/>
  <c r="C7"/>
  <c r="F7"/>
  <c r="H7"/>
  <c r="N7"/>
  <c r="P7"/>
  <c r="C8"/>
  <c r="F8"/>
  <c r="H8"/>
  <c r="N8"/>
  <c r="P8"/>
  <c r="C9"/>
  <c r="H9"/>
  <c r="N9"/>
  <c r="P9"/>
  <c r="E10"/>
  <c r="G10"/>
  <c r="I10"/>
  <c r="J10"/>
  <c r="K10"/>
  <c r="M10"/>
  <c r="N10"/>
  <c r="O10"/>
  <c r="P10"/>
  <c r="Y10"/>
  <c r="B11"/>
  <c r="C11"/>
  <c r="F11"/>
  <c r="C12"/>
  <c r="F12"/>
  <c r="C13"/>
  <c r="C14"/>
  <c r="F14"/>
  <c r="H11"/>
  <c r="N11"/>
  <c r="P11"/>
  <c r="X11"/>
  <c r="B12"/>
  <c r="H12"/>
  <c r="N12"/>
  <c r="P12"/>
  <c r="X12"/>
  <c r="B13"/>
  <c r="H13"/>
  <c r="N13"/>
  <c r="P13"/>
  <c r="X13"/>
  <c r="B14"/>
  <c r="H14"/>
  <c r="N14"/>
  <c r="P14"/>
  <c r="X14"/>
  <c r="E15"/>
  <c r="G15"/>
  <c r="I15"/>
  <c r="J15"/>
  <c r="K15"/>
  <c r="M15"/>
  <c r="O15"/>
  <c r="P15"/>
  <c r="Y15"/>
  <c r="F21"/>
  <c r="G21"/>
  <c r="O21"/>
  <c r="W21"/>
  <c r="F22"/>
  <c r="G22"/>
  <c r="AA20" i="7"/>
  <c r="AI20"/>
  <c r="O22" i="10"/>
  <c r="W22"/>
  <c r="F23"/>
  <c r="G23"/>
  <c r="AA29" i="7"/>
  <c r="AP29"/>
  <c r="O23" i="10"/>
  <c r="W23"/>
  <c r="F24"/>
  <c r="G24"/>
  <c r="AA36" i="7"/>
  <c r="O24" i="10"/>
  <c r="W24"/>
  <c r="E25"/>
  <c r="F25"/>
  <c r="H25"/>
  <c r="J25"/>
  <c r="M25"/>
  <c r="F26"/>
  <c r="G26"/>
  <c r="Y10" i="8"/>
  <c r="Z10"/>
  <c r="O26" i="10"/>
  <c r="F27"/>
  <c r="G27"/>
  <c r="Y20" i="8"/>
  <c r="AF20"/>
  <c r="O27" i="10"/>
  <c r="F28"/>
  <c r="G28"/>
  <c r="Y32" i="8"/>
  <c r="AF32"/>
  <c r="O28" i="10"/>
  <c r="F29"/>
  <c r="G29"/>
  <c r="Y35" i="8"/>
  <c r="Z35"/>
  <c r="O29" i="10"/>
  <c r="E30"/>
  <c r="H30"/>
  <c r="H31"/>
  <c r="J30"/>
  <c r="J31"/>
  <c r="M30"/>
  <c r="M31"/>
  <c r="B9" i="9"/>
  <c r="I9"/>
  <c r="I20"/>
  <c r="M9"/>
  <c r="N9"/>
  <c r="Q9"/>
  <c r="R9"/>
  <c r="W9"/>
  <c r="Y9"/>
  <c r="AH9"/>
  <c r="AK9"/>
  <c r="Q10"/>
  <c r="AH10"/>
  <c r="AK10"/>
  <c r="B11"/>
  <c r="I11"/>
  <c r="H11"/>
  <c r="M11"/>
  <c r="N11"/>
  <c r="Q11"/>
  <c r="S11"/>
  <c r="T11"/>
  <c r="Y11"/>
  <c r="AH11"/>
  <c r="AK11"/>
  <c r="M12"/>
  <c r="Q12"/>
  <c r="AH12"/>
  <c r="AK12"/>
  <c r="C13"/>
  <c r="D13"/>
  <c r="F13"/>
  <c r="J13"/>
  <c r="L13"/>
  <c r="P13"/>
  <c r="X13"/>
  <c r="AI13"/>
  <c r="AL13"/>
  <c r="AN13"/>
  <c r="AO13"/>
  <c r="B14"/>
  <c r="I14"/>
  <c r="I25"/>
  <c r="M14"/>
  <c r="N14"/>
  <c r="R14"/>
  <c r="W14"/>
  <c r="Y14"/>
  <c r="AH14"/>
  <c r="AH25"/>
  <c r="AK14"/>
  <c r="B15"/>
  <c r="I15"/>
  <c r="H15"/>
  <c r="M15"/>
  <c r="N15"/>
  <c r="R15"/>
  <c r="W15"/>
  <c r="Y15"/>
  <c r="AH15"/>
  <c r="AH26"/>
  <c r="Q62"/>
  <c r="AK15"/>
  <c r="M16"/>
  <c r="AH16"/>
  <c r="AI16"/>
  <c r="AI17"/>
  <c r="AK16"/>
  <c r="AL16"/>
  <c r="AL17"/>
  <c r="C17"/>
  <c r="D17"/>
  <c r="J17"/>
  <c r="L17"/>
  <c r="P17"/>
  <c r="Q17"/>
  <c r="X17"/>
  <c r="AN17"/>
  <c r="AO17"/>
  <c r="AH19"/>
  <c r="AK19"/>
  <c r="L20"/>
  <c r="S20"/>
  <c r="AN20"/>
  <c r="I21"/>
  <c r="L21"/>
  <c r="L22"/>
  <c r="S21"/>
  <c r="AH21"/>
  <c r="AK21"/>
  <c r="AN22"/>
  <c r="AK24"/>
  <c r="L25"/>
  <c r="X25"/>
  <c r="AN25"/>
  <c r="L26"/>
  <c r="X26"/>
  <c r="AN26"/>
  <c r="S31"/>
  <c r="T31"/>
  <c r="R32"/>
  <c r="S33"/>
  <c r="T33"/>
  <c r="S36"/>
  <c r="T36"/>
  <c r="S37"/>
  <c r="S38"/>
  <c r="T37"/>
  <c r="T38"/>
  <c r="M48"/>
  <c r="N48"/>
  <c r="S48"/>
  <c r="AA48"/>
  <c r="M50"/>
  <c r="S50"/>
  <c r="AA50"/>
  <c r="L51"/>
  <c r="Y51"/>
  <c r="Z51"/>
  <c r="AI51"/>
  <c r="AJ51"/>
  <c r="N52"/>
  <c r="S52"/>
  <c r="AA52"/>
  <c r="N54"/>
  <c r="S54"/>
  <c r="AA54"/>
  <c r="L55"/>
  <c r="M55"/>
  <c r="Y55"/>
  <c r="Z55"/>
  <c r="AI55"/>
  <c r="AJ55"/>
  <c r="Z57"/>
  <c r="Z59"/>
  <c r="M60"/>
  <c r="M61"/>
  <c r="Q61"/>
  <c r="AN61"/>
  <c r="L69"/>
  <c r="Z61"/>
  <c r="Z62"/>
  <c r="D9" i="6"/>
  <c r="F9"/>
  <c r="H9"/>
  <c r="M9"/>
  <c r="O9"/>
  <c r="Q9"/>
  <c r="R9"/>
  <c r="W9"/>
  <c r="X9"/>
  <c r="AJ9"/>
  <c r="D12"/>
  <c r="F12"/>
  <c r="F13"/>
  <c r="H12"/>
  <c r="H13"/>
  <c r="I12"/>
  <c r="M12"/>
  <c r="P12"/>
  <c r="R12"/>
  <c r="E13"/>
  <c r="G13"/>
  <c r="J13"/>
  <c r="K13"/>
  <c r="L13"/>
  <c r="N13"/>
  <c r="S13"/>
  <c r="T13"/>
  <c r="U13"/>
  <c r="AC13"/>
  <c r="AI13"/>
  <c r="V13"/>
  <c r="AB13"/>
  <c r="D14"/>
  <c r="F14"/>
  <c r="H14"/>
  <c r="M14"/>
  <c r="O14"/>
  <c r="Q14"/>
  <c r="R14"/>
  <c r="W14"/>
  <c r="X14"/>
  <c r="AC14"/>
  <c r="AJ14"/>
  <c r="D15"/>
  <c r="F15"/>
  <c r="H15"/>
  <c r="M15"/>
  <c r="O15"/>
  <c r="Q15"/>
  <c r="R15"/>
  <c r="W15"/>
  <c r="X15"/>
  <c r="AC15"/>
  <c r="D16"/>
  <c r="F16"/>
  <c r="H16"/>
  <c r="M16"/>
  <c r="O16"/>
  <c r="Q16"/>
  <c r="R16"/>
  <c r="U16"/>
  <c r="W16"/>
  <c r="X16"/>
  <c r="AB16"/>
  <c r="AC16"/>
  <c r="B18"/>
  <c r="C18"/>
  <c r="E18"/>
  <c r="G18"/>
  <c r="I18"/>
  <c r="J18"/>
  <c r="K18"/>
  <c r="L18"/>
  <c r="M18"/>
  <c r="N18"/>
  <c r="P18"/>
  <c r="S18"/>
  <c r="T18"/>
  <c r="U18"/>
  <c r="V18"/>
  <c r="W18"/>
  <c r="AB18"/>
  <c r="D19"/>
  <c r="F19"/>
  <c r="H19"/>
  <c r="M19"/>
  <c r="O19"/>
  <c r="Q19"/>
  <c r="R19"/>
  <c r="W19"/>
  <c r="X19"/>
  <c r="AC19"/>
  <c r="AI19"/>
  <c r="D20"/>
  <c r="F20"/>
  <c r="H20"/>
  <c r="M20"/>
  <c r="O20"/>
  <c r="Q20"/>
  <c r="R20"/>
  <c r="W20"/>
  <c r="X20"/>
  <c r="AC20"/>
  <c r="D21"/>
  <c r="F21"/>
  <c r="H21"/>
  <c r="M21"/>
  <c r="O21"/>
  <c r="Q21"/>
  <c r="R21"/>
  <c r="W21"/>
  <c r="X21"/>
  <c r="AD21"/>
  <c r="D22"/>
  <c r="F22"/>
  <c r="H22"/>
  <c r="M22"/>
  <c r="O22"/>
  <c r="Q22"/>
  <c r="R22"/>
  <c r="W22"/>
  <c r="X22"/>
  <c r="AC22"/>
  <c r="P23"/>
  <c r="Q23"/>
  <c r="AD23"/>
  <c r="D24"/>
  <c r="F24"/>
  <c r="H24"/>
  <c r="M24"/>
  <c r="O24"/>
  <c r="Q24"/>
  <c r="R24"/>
  <c r="W24"/>
  <c r="X24"/>
  <c r="AC24"/>
  <c r="B25"/>
  <c r="C25"/>
  <c r="G25"/>
  <c r="J25"/>
  <c r="J45"/>
  <c r="K25"/>
  <c r="L25"/>
  <c r="N25"/>
  <c r="N45"/>
  <c r="N46"/>
  <c r="S25"/>
  <c r="T25"/>
  <c r="U25"/>
  <c r="V25"/>
  <c r="AB25"/>
  <c r="D26"/>
  <c r="F26"/>
  <c r="H26"/>
  <c r="M26"/>
  <c r="O26"/>
  <c r="Q26"/>
  <c r="R26"/>
  <c r="W26"/>
  <c r="X26"/>
  <c r="AC26"/>
  <c r="AI26"/>
  <c r="D27"/>
  <c r="F27"/>
  <c r="H27"/>
  <c r="M27"/>
  <c r="O27"/>
  <c r="Q27"/>
  <c r="R27"/>
  <c r="W27"/>
  <c r="X27"/>
  <c r="AC27"/>
  <c r="AI27"/>
  <c r="D28"/>
  <c r="F28"/>
  <c r="H28"/>
  <c r="M28"/>
  <c r="O28"/>
  <c r="Q28"/>
  <c r="R28"/>
  <c r="W28"/>
  <c r="X28"/>
  <c r="D29"/>
  <c r="F29"/>
  <c r="H29"/>
  <c r="I29"/>
  <c r="Q29"/>
  <c r="M29"/>
  <c r="R29"/>
  <c r="W29"/>
  <c r="X29"/>
  <c r="AC29"/>
  <c r="D30"/>
  <c r="F30"/>
  <c r="H30"/>
  <c r="M30"/>
  <c r="O30"/>
  <c r="Q30"/>
  <c r="R30"/>
  <c r="W30"/>
  <c r="X30"/>
  <c r="AC30"/>
  <c r="AI30"/>
  <c r="D31"/>
  <c r="F31"/>
  <c r="H31"/>
  <c r="M31"/>
  <c r="O31"/>
  <c r="Q31"/>
  <c r="R31"/>
  <c r="W31"/>
  <c r="X31"/>
  <c r="AC31"/>
  <c r="D32"/>
  <c r="F32"/>
  <c r="H32"/>
  <c r="M32"/>
  <c r="O32"/>
  <c r="Q32"/>
  <c r="R32"/>
  <c r="W32"/>
  <c r="X32"/>
  <c r="D33"/>
  <c r="F33"/>
  <c r="H33"/>
  <c r="M33"/>
  <c r="O33"/>
  <c r="Q33"/>
  <c r="R33"/>
  <c r="W33"/>
  <c r="X33"/>
  <c r="AC33"/>
  <c r="D34"/>
  <c r="F34"/>
  <c r="H34"/>
  <c r="M34"/>
  <c r="R34"/>
  <c r="X34"/>
  <c r="F35"/>
  <c r="H35"/>
  <c r="M35"/>
  <c r="R35"/>
  <c r="X35"/>
  <c r="D36"/>
  <c r="F36"/>
  <c r="H36"/>
  <c r="M36"/>
  <c r="R36"/>
  <c r="X36"/>
  <c r="F37"/>
  <c r="I37"/>
  <c r="M37"/>
  <c r="R37"/>
  <c r="X37"/>
  <c r="AC37"/>
  <c r="AI37"/>
  <c r="D38"/>
  <c r="F38"/>
  <c r="H38"/>
  <c r="M38"/>
  <c r="O38"/>
  <c r="Q38"/>
  <c r="R38"/>
  <c r="W38"/>
  <c r="X38"/>
  <c r="AC38"/>
  <c r="M39"/>
  <c r="O39"/>
  <c r="Q39"/>
  <c r="R39"/>
  <c r="W39"/>
  <c r="X39"/>
  <c r="AD39"/>
  <c r="D40"/>
  <c r="F40"/>
  <c r="H40"/>
  <c r="I40"/>
  <c r="O40"/>
  <c r="M40"/>
  <c r="R40"/>
  <c r="W40"/>
  <c r="X40"/>
  <c r="AC40"/>
  <c r="E41"/>
  <c r="E25"/>
  <c r="M41"/>
  <c r="O41"/>
  <c r="Q41"/>
  <c r="X41"/>
  <c r="M42"/>
  <c r="W42"/>
  <c r="X42"/>
  <c r="AC42"/>
  <c r="M43"/>
  <c r="X43"/>
  <c r="AC43"/>
  <c r="M44"/>
  <c r="P44"/>
  <c r="P25"/>
  <c r="B45"/>
  <c r="N47"/>
  <c r="N48"/>
  <c r="N49"/>
  <c r="D8" i="5"/>
  <c r="F8"/>
  <c r="H8"/>
  <c r="M8"/>
  <c r="O8"/>
  <c r="Q8"/>
  <c r="R8"/>
  <c r="V8"/>
  <c r="W8"/>
  <c r="AB8"/>
  <c r="D11"/>
  <c r="F11"/>
  <c r="H11"/>
  <c r="I11"/>
  <c r="M11"/>
  <c r="O11"/>
  <c r="R11"/>
  <c r="V11"/>
  <c r="E12"/>
  <c r="G12"/>
  <c r="J12"/>
  <c r="K12"/>
  <c r="L12"/>
  <c r="N12"/>
  <c r="P12"/>
  <c r="S12"/>
  <c r="T12"/>
  <c r="U12"/>
  <c r="X12"/>
  <c r="AA12"/>
  <c r="Y12"/>
  <c r="AB12"/>
  <c r="AH12"/>
  <c r="F13"/>
  <c r="H13"/>
  <c r="M13"/>
  <c r="O13"/>
  <c r="Q13"/>
  <c r="R13"/>
  <c r="V13"/>
  <c r="D14"/>
  <c r="F14"/>
  <c r="H14"/>
  <c r="M14"/>
  <c r="O14"/>
  <c r="Q14"/>
  <c r="R14"/>
  <c r="V14"/>
  <c r="W14"/>
  <c r="AB14"/>
  <c r="D15"/>
  <c r="F15"/>
  <c r="H15"/>
  <c r="M15"/>
  <c r="O15"/>
  <c r="Q15"/>
  <c r="R15"/>
  <c r="V15"/>
  <c r="W15"/>
  <c r="AB15"/>
  <c r="AH15"/>
  <c r="D16"/>
  <c r="F16"/>
  <c r="H16"/>
  <c r="M16"/>
  <c r="O16"/>
  <c r="Q16"/>
  <c r="R16"/>
  <c r="V16"/>
  <c r="W16"/>
  <c r="B17"/>
  <c r="C17"/>
  <c r="E17"/>
  <c r="G17"/>
  <c r="I17"/>
  <c r="J17"/>
  <c r="K17"/>
  <c r="L17"/>
  <c r="N17"/>
  <c r="P17"/>
  <c r="R17"/>
  <c r="S17"/>
  <c r="T17"/>
  <c r="U17"/>
  <c r="X17"/>
  <c r="Y17"/>
  <c r="AA17"/>
  <c r="D18"/>
  <c r="F18"/>
  <c r="H18"/>
  <c r="M18"/>
  <c r="O18"/>
  <c r="Q18"/>
  <c r="R18"/>
  <c r="V18"/>
  <c r="W18"/>
  <c r="D19"/>
  <c r="F19"/>
  <c r="H19"/>
  <c r="M19"/>
  <c r="O19"/>
  <c r="Q19"/>
  <c r="R19"/>
  <c r="V19"/>
  <c r="W19"/>
  <c r="AB19"/>
  <c r="AH19"/>
  <c r="D20"/>
  <c r="F20"/>
  <c r="H20"/>
  <c r="M20"/>
  <c r="O20"/>
  <c r="Q20"/>
  <c r="R20"/>
  <c r="V20"/>
  <c r="W20"/>
  <c r="AB20"/>
  <c r="AG20"/>
  <c r="D21"/>
  <c r="F21"/>
  <c r="H21"/>
  <c r="M21"/>
  <c r="O21"/>
  <c r="Q21"/>
  <c r="R21"/>
  <c r="V21"/>
  <c r="W21"/>
  <c r="AB21"/>
  <c r="AH21"/>
  <c r="D22"/>
  <c r="F22"/>
  <c r="H22"/>
  <c r="M22"/>
  <c r="Q22"/>
  <c r="W22"/>
  <c r="AB22"/>
  <c r="AH22"/>
  <c r="D23"/>
  <c r="F23"/>
  <c r="H23"/>
  <c r="M23"/>
  <c r="O23"/>
  <c r="Q23"/>
  <c r="R23"/>
  <c r="V23"/>
  <c r="W23"/>
  <c r="AC23"/>
  <c r="W24"/>
  <c r="AB24"/>
  <c r="AH24"/>
  <c r="D25"/>
  <c r="F25"/>
  <c r="H25"/>
  <c r="M25"/>
  <c r="O25"/>
  <c r="Q25"/>
  <c r="R25"/>
  <c r="V25"/>
  <c r="B26"/>
  <c r="C26"/>
  <c r="E26"/>
  <c r="G26"/>
  <c r="J26"/>
  <c r="L26"/>
  <c r="N26"/>
  <c r="P26"/>
  <c r="R26"/>
  <c r="S26"/>
  <c r="T26"/>
  <c r="D27"/>
  <c r="F27"/>
  <c r="H27"/>
  <c r="M27"/>
  <c r="O27"/>
  <c r="Q27"/>
  <c r="R27"/>
  <c r="V27"/>
  <c r="W27"/>
  <c r="D28"/>
  <c r="F28"/>
  <c r="H28"/>
  <c r="M28"/>
  <c r="O28"/>
  <c r="Q28"/>
  <c r="R28"/>
  <c r="V28"/>
  <c r="W28"/>
  <c r="AC28"/>
  <c r="D29"/>
  <c r="F29"/>
  <c r="H29"/>
  <c r="M29"/>
  <c r="Q29"/>
  <c r="V29"/>
  <c r="W29"/>
  <c r="AC29"/>
  <c r="D30"/>
  <c r="F30"/>
  <c r="H30"/>
  <c r="M30"/>
  <c r="O30"/>
  <c r="Q30"/>
  <c r="R30"/>
  <c r="V30"/>
  <c r="W30"/>
  <c r="AB30"/>
  <c r="AH30"/>
  <c r="D31"/>
  <c r="F31"/>
  <c r="H31"/>
  <c r="M31"/>
  <c r="O31"/>
  <c r="Q31"/>
  <c r="R31"/>
  <c r="V31"/>
  <c r="W31"/>
  <c r="AB31"/>
  <c r="AH31"/>
  <c r="D32"/>
  <c r="F32"/>
  <c r="H32"/>
  <c r="M32"/>
  <c r="O32"/>
  <c r="Q32"/>
  <c r="R32"/>
  <c r="V32"/>
  <c r="W32"/>
  <c r="D33"/>
  <c r="F33"/>
  <c r="H33"/>
  <c r="M33"/>
  <c r="O33"/>
  <c r="Q33"/>
  <c r="R33"/>
  <c r="V33"/>
  <c r="W33"/>
  <c r="AB33"/>
  <c r="AH33"/>
  <c r="D34"/>
  <c r="F34"/>
  <c r="H34"/>
  <c r="M34"/>
  <c r="O34"/>
  <c r="Q34"/>
  <c r="R34"/>
  <c r="V34"/>
  <c r="W34"/>
  <c r="AC34"/>
  <c r="D35"/>
  <c r="F35"/>
  <c r="H35"/>
  <c r="M35"/>
  <c r="O35"/>
  <c r="Q35"/>
  <c r="R35"/>
  <c r="V35"/>
  <c r="W35"/>
  <c r="AC35"/>
  <c r="D36"/>
  <c r="F36"/>
  <c r="H36"/>
  <c r="M36"/>
  <c r="O36"/>
  <c r="R36"/>
  <c r="W36"/>
  <c r="D38"/>
  <c r="F38"/>
  <c r="H38"/>
  <c r="M38"/>
  <c r="O38"/>
  <c r="Q38"/>
  <c r="R38"/>
  <c r="V38"/>
  <c r="W38"/>
  <c r="AB38"/>
  <c r="AH38"/>
  <c r="D39"/>
  <c r="F39"/>
  <c r="H39"/>
  <c r="M39"/>
  <c r="O39"/>
  <c r="Q39"/>
  <c r="R39"/>
  <c r="V39"/>
  <c r="W39"/>
  <c r="AB39"/>
  <c r="AH39"/>
  <c r="D40"/>
  <c r="F40"/>
  <c r="M40"/>
  <c r="Q40"/>
  <c r="R40"/>
  <c r="W40"/>
  <c r="I41"/>
  <c r="I26"/>
  <c r="R41"/>
  <c r="W41"/>
  <c r="K42"/>
  <c r="K26"/>
  <c r="R42"/>
  <c r="W42"/>
  <c r="U47"/>
  <c r="U48"/>
  <c r="U49"/>
  <c r="U50"/>
  <c r="B8" i="8"/>
  <c r="C8"/>
  <c r="L16"/>
  <c r="M16"/>
  <c r="T8"/>
  <c r="V8"/>
  <c r="AA8"/>
  <c r="D9"/>
  <c r="F9"/>
  <c r="H9"/>
  <c r="I9"/>
  <c r="O9"/>
  <c r="M9"/>
  <c r="AL9"/>
  <c r="D10"/>
  <c r="F10"/>
  <c r="H10"/>
  <c r="M10"/>
  <c r="O10"/>
  <c r="Q10"/>
  <c r="R10"/>
  <c r="BG10"/>
  <c r="BG20"/>
  <c r="BG32"/>
  <c r="BG35"/>
  <c r="AI11"/>
  <c r="AL11"/>
  <c r="D12"/>
  <c r="F12"/>
  <c r="H12"/>
  <c r="M12"/>
  <c r="O12"/>
  <c r="Q12"/>
  <c r="R12"/>
  <c r="Y12"/>
  <c r="Z12"/>
  <c r="AL12"/>
  <c r="BG12"/>
  <c r="BG22"/>
  <c r="BG28"/>
  <c r="BG37"/>
  <c r="D13"/>
  <c r="F13"/>
  <c r="H13"/>
  <c r="M13"/>
  <c r="O13"/>
  <c r="AL13"/>
  <c r="BG13"/>
  <c r="BG23"/>
  <c r="BG29"/>
  <c r="BG38"/>
  <c r="D14"/>
  <c r="F14"/>
  <c r="H14"/>
  <c r="I14"/>
  <c r="O14"/>
  <c r="M14"/>
  <c r="M15"/>
  <c r="S14"/>
  <c r="S15"/>
  <c r="S8"/>
  <c r="AL14"/>
  <c r="BG14"/>
  <c r="BG30"/>
  <c r="E15"/>
  <c r="E8"/>
  <c r="G15"/>
  <c r="G8"/>
  <c r="H8"/>
  <c r="J15"/>
  <c r="J8"/>
  <c r="K15"/>
  <c r="L15"/>
  <c r="N15"/>
  <c r="N8"/>
  <c r="U15"/>
  <c r="U8"/>
  <c r="W15"/>
  <c r="W8"/>
  <c r="D16"/>
  <c r="F16"/>
  <c r="H16"/>
  <c r="O16"/>
  <c r="P16"/>
  <c r="Q16"/>
  <c r="B17"/>
  <c r="D17"/>
  <c r="C17"/>
  <c r="U17"/>
  <c r="V17"/>
  <c r="W17"/>
  <c r="D18"/>
  <c r="F18"/>
  <c r="H18"/>
  <c r="M18"/>
  <c r="O18"/>
  <c r="P18"/>
  <c r="R18"/>
  <c r="BG18"/>
  <c r="D19"/>
  <c r="F19"/>
  <c r="H19"/>
  <c r="M19"/>
  <c r="O19"/>
  <c r="BG19"/>
  <c r="D20"/>
  <c r="F20"/>
  <c r="H20"/>
  <c r="M20"/>
  <c r="O20"/>
  <c r="Q20"/>
  <c r="R20"/>
  <c r="D21"/>
  <c r="F21"/>
  <c r="H21"/>
  <c r="T21"/>
  <c r="D22"/>
  <c r="F22"/>
  <c r="H22"/>
  <c r="M22"/>
  <c r="O22"/>
  <c r="Q22"/>
  <c r="R22"/>
  <c r="Y22"/>
  <c r="AF22"/>
  <c r="D23"/>
  <c r="F23"/>
  <c r="H23"/>
  <c r="M23"/>
  <c r="O23"/>
  <c r="D24"/>
  <c r="F24"/>
  <c r="H24"/>
  <c r="I24"/>
  <c r="O24"/>
  <c r="O25"/>
  <c r="M24"/>
  <c r="A25"/>
  <c r="A31"/>
  <c r="A40"/>
  <c r="E25"/>
  <c r="E17"/>
  <c r="G25"/>
  <c r="G17"/>
  <c r="J25"/>
  <c r="J17"/>
  <c r="K25"/>
  <c r="L25"/>
  <c r="L17"/>
  <c r="N25"/>
  <c r="N17"/>
  <c r="U25"/>
  <c r="W25"/>
  <c r="D26"/>
  <c r="F26"/>
  <c r="H26"/>
  <c r="M26"/>
  <c r="O26"/>
  <c r="P26"/>
  <c r="Q26"/>
  <c r="B27"/>
  <c r="C27"/>
  <c r="L33"/>
  <c r="M33"/>
  <c r="T27"/>
  <c r="V27"/>
  <c r="AA27"/>
  <c r="D28"/>
  <c r="F28"/>
  <c r="H28"/>
  <c r="M28"/>
  <c r="O28"/>
  <c r="Q28"/>
  <c r="R28"/>
  <c r="Y28"/>
  <c r="Z28"/>
  <c r="AL28"/>
  <c r="AN28"/>
  <c r="D29"/>
  <c r="F29"/>
  <c r="H29"/>
  <c r="M29"/>
  <c r="O29"/>
  <c r="AL29"/>
  <c r="D30"/>
  <c r="F30"/>
  <c r="H30"/>
  <c r="M30"/>
  <c r="O30"/>
  <c r="AL30"/>
  <c r="E31"/>
  <c r="E27"/>
  <c r="G31"/>
  <c r="G27"/>
  <c r="I31"/>
  <c r="I27"/>
  <c r="J31"/>
  <c r="J27"/>
  <c r="K31"/>
  <c r="L31"/>
  <c r="N31"/>
  <c r="N27"/>
  <c r="O27"/>
  <c r="S31"/>
  <c r="S27"/>
  <c r="U31"/>
  <c r="U27"/>
  <c r="W31"/>
  <c r="W27"/>
  <c r="D32"/>
  <c r="H32"/>
  <c r="M32"/>
  <c r="O32"/>
  <c r="Q32"/>
  <c r="R32"/>
  <c r="D33"/>
  <c r="F33"/>
  <c r="H33"/>
  <c r="O33"/>
  <c r="P33"/>
  <c r="Q33"/>
  <c r="B34"/>
  <c r="C34"/>
  <c r="C49"/>
  <c r="S34"/>
  <c r="T34"/>
  <c r="U34"/>
  <c r="V34"/>
  <c r="W34"/>
  <c r="AA34"/>
  <c r="D35"/>
  <c r="F35"/>
  <c r="G35"/>
  <c r="M35"/>
  <c r="N35"/>
  <c r="O35"/>
  <c r="Q35"/>
  <c r="R35"/>
  <c r="D36"/>
  <c r="F36"/>
  <c r="H36"/>
  <c r="R36"/>
  <c r="Z36"/>
  <c r="AI36"/>
  <c r="AM36"/>
  <c r="AO36"/>
  <c r="D37"/>
  <c r="F37"/>
  <c r="P37"/>
  <c r="Q37"/>
  <c r="D38"/>
  <c r="F38"/>
  <c r="H38"/>
  <c r="M38"/>
  <c r="N38"/>
  <c r="N39"/>
  <c r="N40"/>
  <c r="AL38"/>
  <c r="D39"/>
  <c r="F39"/>
  <c r="G39"/>
  <c r="H39"/>
  <c r="I39"/>
  <c r="I40"/>
  <c r="AL39"/>
  <c r="E40"/>
  <c r="E34"/>
  <c r="J40"/>
  <c r="J34"/>
  <c r="K40"/>
  <c r="L40"/>
  <c r="S40"/>
  <c r="U40"/>
  <c r="W40"/>
  <c r="D41"/>
  <c r="F41"/>
  <c r="L41"/>
  <c r="L34"/>
  <c r="M34"/>
  <c r="Q41"/>
  <c r="D42"/>
  <c r="F42"/>
  <c r="H42"/>
  <c r="L42"/>
  <c r="M42"/>
  <c r="O42"/>
  <c r="P42"/>
  <c r="Q42"/>
  <c r="S42"/>
  <c r="U42"/>
  <c r="W42"/>
  <c r="W81"/>
  <c r="W85"/>
  <c r="AA42"/>
  <c r="AA81"/>
  <c r="Y43"/>
  <c r="AF43"/>
  <c r="AL43"/>
  <c r="AI44"/>
  <c r="Z45"/>
  <c r="AI45"/>
  <c r="AL45"/>
  <c r="D46"/>
  <c r="F46"/>
  <c r="H46"/>
  <c r="M46"/>
  <c r="O46"/>
  <c r="Q46"/>
  <c r="R46"/>
  <c r="S46"/>
  <c r="Z46"/>
  <c r="Z82"/>
  <c r="AL46"/>
  <c r="W51"/>
  <c r="M52"/>
  <c r="P52"/>
  <c r="Q52"/>
  <c r="I53"/>
  <c r="M53"/>
  <c r="M54"/>
  <c r="P54"/>
  <c r="Q54"/>
  <c r="M55"/>
  <c r="P57"/>
  <c r="Z57"/>
  <c r="AO57"/>
  <c r="AO89"/>
  <c r="Z61"/>
  <c r="Z92"/>
  <c r="O102"/>
  <c r="O104"/>
  <c r="R102"/>
  <c r="R103"/>
  <c r="R104"/>
  <c r="X106"/>
  <c r="T119"/>
  <c r="Y107"/>
  <c r="Y109"/>
  <c r="BG107"/>
  <c r="T118"/>
  <c r="U118"/>
  <c r="Y118"/>
  <c r="E122"/>
  <c r="AH5" i="7"/>
  <c r="AL5"/>
  <c r="W7"/>
  <c r="X7"/>
  <c r="O8"/>
  <c r="D9"/>
  <c r="F9"/>
  <c r="H9"/>
  <c r="M9"/>
  <c r="N9"/>
  <c r="P9"/>
  <c r="Q9"/>
  <c r="Z9"/>
  <c r="D10"/>
  <c r="F10"/>
  <c r="H10"/>
  <c r="M10"/>
  <c r="N10"/>
  <c r="P10"/>
  <c r="R10"/>
  <c r="S10"/>
  <c r="Z10"/>
  <c r="AA10"/>
  <c r="S11"/>
  <c r="U11"/>
  <c r="AP11"/>
  <c r="AS11"/>
  <c r="D12"/>
  <c r="F12"/>
  <c r="H12"/>
  <c r="M12"/>
  <c r="N12"/>
  <c r="P12"/>
  <c r="R12"/>
  <c r="S12"/>
  <c r="Z12"/>
  <c r="AB12"/>
  <c r="AP12"/>
  <c r="D13"/>
  <c r="F13"/>
  <c r="H13"/>
  <c r="M13"/>
  <c r="N13"/>
  <c r="P13"/>
  <c r="D14"/>
  <c r="F14"/>
  <c r="H14"/>
  <c r="I14"/>
  <c r="M14"/>
  <c r="N14"/>
  <c r="E15"/>
  <c r="E8"/>
  <c r="G15"/>
  <c r="G8"/>
  <c r="J15"/>
  <c r="J8"/>
  <c r="K15"/>
  <c r="L15"/>
  <c r="L8"/>
  <c r="V15"/>
  <c r="V8"/>
  <c r="Y15"/>
  <c r="Y8"/>
  <c r="D16"/>
  <c r="F16"/>
  <c r="H16"/>
  <c r="M16"/>
  <c r="N16"/>
  <c r="P16"/>
  <c r="B17"/>
  <c r="C17"/>
  <c r="U17"/>
  <c r="AD17"/>
  <c r="AK17"/>
  <c r="AO17"/>
  <c r="D18"/>
  <c r="F18"/>
  <c r="H18"/>
  <c r="M18"/>
  <c r="N18"/>
  <c r="P18"/>
  <c r="BK18"/>
  <c r="D19"/>
  <c r="F19"/>
  <c r="H19"/>
  <c r="I19"/>
  <c r="M19"/>
  <c r="N19"/>
  <c r="D20"/>
  <c r="F20"/>
  <c r="H20"/>
  <c r="M20"/>
  <c r="N20"/>
  <c r="P20"/>
  <c r="R20"/>
  <c r="S20"/>
  <c r="T20"/>
  <c r="Z20"/>
  <c r="BK29"/>
  <c r="BK36"/>
  <c r="D21"/>
  <c r="F21"/>
  <c r="H21"/>
  <c r="S21"/>
  <c r="T21"/>
  <c r="AC21"/>
  <c r="AP21"/>
  <c r="AS21"/>
  <c r="AU21"/>
  <c r="AU17"/>
  <c r="AU51"/>
  <c r="AU58"/>
  <c r="D22"/>
  <c r="F22"/>
  <c r="H22"/>
  <c r="M22"/>
  <c r="N22"/>
  <c r="P22"/>
  <c r="R22"/>
  <c r="S22"/>
  <c r="T22"/>
  <c r="V22"/>
  <c r="AC22"/>
  <c r="AP22"/>
  <c r="AQ22"/>
  <c r="AR22"/>
  <c r="AS22"/>
  <c r="D23"/>
  <c r="F23"/>
  <c r="H23"/>
  <c r="M23"/>
  <c r="N23"/>
  <c r="P23"/>
  <c r="W23"/>
  <c r="W17"/>
  <c r="BK23"/>
  <c r="BK31"/>
  <c r="BK39"/>
  <c r="D24"/>
  <c r="F24"/>
  <c r="F25"/>
  <c r="H24"/>
  <c r="I24"/>
  <c r="M24"/>
  <c r="M25"/>
  <c r="N24"/>
  <c r="N25"/>
  <c r="A25"/>
  <c r="A41"/>
  <c r="E25"/>
  <c r="E17"/>
  <c r="G25"/>
  <c r="G17"/>
  <c r="J25"/>
  <c r="J17"/>
  <c r="K25"/>
  <c r="L25"/>
  <c r="L17"/>
  <c r="O25"/>
  <c r="V25"/>
  <c r="Y25"/>
  <c r="Y17"/>
  <c r="D26"/>
  <c r="F26"/>
  <c r="H26"/>
  <c r="M26"/>
  <c r="N26"/>
  <c r="P26"/>
  <c r="BK26"/>
  <c r="BK34"/>
  <c r="B27"/>
  <c r="C27"/>
  <c r="D28"/>
  <c r="F28"/>
  <c r="H28"/>
  <c r="M28"/>
  <c r="N28"/>
  <c r="P28"/>
  <c r="R28"/>
  <c r="S28"/>
  <c r="AA28"/>
  <c r="D29"/>
  <c r="F29"/>
  <c r="H29"/>
  <c r="M29"/>
  <c r="N29"/>
  <c r="P29"/>
  <c r="R29"/>
  <c r="S29"/>
  <c r="Z29"/>
  <c r="D30"/>
  <c r="H30"/>
  <c r="U30"/>
  <c r="AP30"/>
  <c r="AS30"/>
  <c r="D31"/>
  <c r="F31"/>
  <c r="H31"/>
  <c r="M31"/>
  <c r="N31"/>
  <c r="P31"/>
  <c r="D32"/>
  <c r="F32"/>
  <c r="H32"/>
  <c r="I32"/>
  <c r="I33"/>
  <c r="I27"/>
  <c r="N32"/>
  <c r="E33"/>
  <c r="E27"/>
  <c r="G33"/>
  <c r="G27"/>
  <c r="J33"/>
  <c r="J27"/>
  <c r="K33"/>
  <c r="L33"/>
  <c r="L27"/>
  <c r="O33"/>
  <c r="O27"/>
  <c r="V33"/>
  <c r="V27"/>
  <c r="Y33"/>
  <c r="Y27"/>
  <c r="D34"/>
  <c r="F34"/>
  <c r="H34"/>
  <c r="M34"/>
  <c r="N34"/>
  <c r="P34"/>
  <c r="B35"/>
  <c r="C35"/>
  <c r="AK35"/>
  <c r="D36"/>
  <c r="F36"/>
  <c r="H36"/>
  <c r="M36"/>
  <c r="N36"/>
  <c r="P36"/>
  <c r="R36"/>
  <c r="S36"/>
  <c r="Z36"/>
  <c r="D37"/>
  <c r="F37"/>
  <c r="H37"/>
  <c r="L37"/>
  <c r="U37"/>
  <c r="AP37"/>
  <c r="AS37"/>
  <c r="D38"/>
  <c r="F38"/>
  <c r="M38"/>
  <c r="R38"/>
  <c r="S38"/>
  <c r="W38"/>
  <c r="Z38"/>
  <c r="AB38"/>
  <c r="AP38"/>
  <c r="AQ38"/>
  <c r="D39"/>
  <c r="F39"/>
  <c r="H39"/>
  <c r="M39"/>
  <c r="N39"/>
  <c r="N41"/>
  <c r="D40"/>
  <c r="F40"/>
  <c r="G40"/>
  <c r="H40"/>
  <c r="I40"/>
  <c r="I41"/>
  <c r="I35"/>
  <c r="AJ40"/>
  <c r="AH40"/>
  <c r="E41"/>
  <c r="E35"/>
  <c r="J41"/>
  <c r="J35"/>
  <c r="K41"/>
  <c r="L41"/>
  <c r="V41"/>
  <c r="V35"/>
  <c r="Y41"/>
  <c r="Y35"/>
  <c r="D42"/>
  <c r="F42"/>
  <c r="M42"/>
  <c r="D43"/>
  <c r="F43"/>
  <c r="H43"/>
  <c r="I43"/>
  <c r="P43"/>
  <c r="N43"/>
  <c r="Q43"/>
  <c r="S43"/>
  <c r="W43"/>
  <c r="X43"/>
  <c r="Y43"/>
  <c r="AJ43"/>
  <c r="AJ116"/>
  <c r="AK43"/>
  <c r="AK116"/>
  <c r="AK120"/>
  <c r="M44"/>
  <c r="P44"/>
  <c r="R44"/>
  <c r="Z44"/>
  <c r="M45"/>
  <c r="P45"/>
  <c r="R45"/>
  <c r="Z45"/>
  <c r="AA45"/>
  <c r="M46"/>
  <c r="U46"/>
  <c r="AP46"/>
  <c r="AS46"/>
  <c r="V47"/>
  <c r="V43"/>
  <c r="Z47"/>
  <c r="AA47"/>
  <c r="AB47"/>
  <c r="AN47"/>
  <c r="AO47"/>
  <c r="D48"/>
  <c r="F48"/>
  <c r="H48"/>
  <c r="M48"/>
  <c r="N48"/>
  <c r="P48"/>
  <c r="AC48"/>
  <c r="AC117"/>
  <c r="AP48"/>
  <c r="T52"/>
  <c r="U52"/>
  <c r="X52"/>
  <c r="M54"/>
  <c r="Q54"/>
  <c r="AC54"/>
  <c r="AC57"/>
  <c r="AC126"/>
  <c r="Y54"/>
  <c r="Y123"/>
  <c r="G23" i="11"/>
  <c r="G19"/>
  <c r="F59" i="3"/>
  <c r="G41"/>
  <c r="F42"/>
  <c r="G42"/>
  <c r="H42"/>
  <c r="F46"/>
  <c r="M46"/>
  <c r="E48"/>
  <c r="H48"/>
  <c r="H43"/>
  <c r="H38"/>
  <c r="H39"/>
  <c r="J48"/>
  <c r="J43"/>
  <c r="F49"/>
  <c r="G49"/>
  <c r="G48"/>
  <c r="G43"/>
  <c r="F50"/>
  <c r="M50"/>
  <c r="F51"/>
  <c r="W51"/>
  <c r="G57"/>
  <c r="H57"/>
  <c r="J57"/>
  <c r="F58"/>
  <c r="AA70" i="7"/>
  <c r="K58" i="3"/>
  <c r="K59"/>
  <c r="E71" i="56"/>
  <c r="T32" i="17"/>
  <c r="V32"/>
  <c r="AP12"/>
  <c r="Q39" i="7"/>
  <c r="AO11" i="17"/>
  <c r="AO28"/>
  <c r="AM29"/>
  <c r="AM37"/>
  <c r="AP11"/>
  <c r="Q31" i="7"/>
  <c r="AO32" i="17"/>
  <c r="AA28"/>
  <c r="AA31"/>
  <c r="AB25"/>
  <c r="AB28"/>
  <c r="AN17"/>
  <c r="BA28"/>
  <c r="BP28"/>
  <c r="BA25"/>
  <c r="BP25"/>
  <c r="AO17"/>
  <c r="AN12"/>
  <c r="AN18"/>
  <c r="P32"/>
  <c r="AM21" i="8"/>
  <c r="AN21"/>
  <c r="AO21"/>
  <c r="AM44"/>
  <c r="AN44"/>
  <c r="AO44"/>
  <c r="AM55"/>
  <c r="X29" i="11"/>
  <c r="X33"/>
  <c r="X31"/>
  <c r="Y29"/>
  <c r="AC15" i="5"/>
  <c r="I25" i="8"/>
  <c r="I17"/>
  <c r="AQ12" i="7"/>
  <c r="AR12"/>
  <c r="AS12"/>
  <c r="O12" i="6"/>
  <c r="I13"/>
  <c r="H57" i="19"/>
  <c r="H58"/>
  <c r="B57"/>
  <c r="T17"/>
  <c r="S14"/>
  <c r="AC14"/>
  <c r="AR14"/>
  <c r="N11" i="21"/>
  <c r="P11"/>
  <c r="AO18" i="17"/>
  <c r="H29" i="19"/>
  <c r="N50" i="9"/>
  <c r="I52" i="7"/>
  <c r="M52"/>
  <c r="O18" i="6"/>
  <c r="N55" i="9"/>
  <c r="P27" i="10"/>
  <c r="W56" i="19"/>
  <c r="W57"/>
  <c r="W59"/>
  <c r="AC13"/>
  <c r="T30"/>
  <c r="T26"/>
  <c r="X12"/>
  <c r="AK25" i="9"/>
  <c r="AJ32" i="11"/>
  <c r="T60" i="19"/>
  <c r="V14"/>
  <c r="U14"/>
  <c r="X14"/>
  <c r="AM24" i="17"/>
  <c r="AM54" i="8"/>
  <c r="AM53"/>
  <c r="AV35" i="17"/>
  <c r="BH35"/>
  <c r="AO33"/>
  <c r="AJ17" i="7"/>
  <c r="I13" i="9"/>
  <c r="H9"/>
  <c r="BA26" i="17"/>
  <c r="BP26"/>
  <c r="Q23" i="11"/>
  <c r="Q19"/>
  <c r="M17" i="5"/>
  <c r="AE9" i="17"/>
  <c r="AH9"/>
  <c r="AI9"/>
  <c r="C45" i="6"/>
  <c r="BA33" i="17"/>
  <c r="BP33"/>
  <c r="AO16"/>
  <c r="T10" i="19"/>
  <c r="AY28" i="17"/>
  <c r="AO12"/>
  <c r="P28"/>
  <c r="T28"/>
  <c r="AT28"/>
  <c r="AJ8" i="7"/>
  <c r="Y31" i="11"/>
  <c r="H26" i="19"/>
  <c r="C26" i="21"/>
  <c r="I10"/>
  <c r="AG8" i="17"/>
  <c r="V28"/>
  <c r="BC28"/>
  <c r="AJ9"/>
  <c r="M30" i="21"/>
  <c r="N30"/>
  <c r="AO15" i="17"/>
  <c r="Q48" i="7"/>
  <c r="R48"/>
  <c r="M32"/>
  <c r="AM35" i="8"/>
  <c r="AO35"/>
  <c r="AI43"/>
  <c r="W12" i="6"/>
  <c r="I22" i="9"/>
  <c r="U57" i="19"/>
  <c r="V12"/>
  <c r="AM12" i="8"/>
  <c r="AM13"/>
  <c r="AP47" i="7"/>
  <c r="AQ47"/>
  <c r="X23"/>
  <c r="X17"/>
  <c r="M40"/>
  <c r="Q16" i="11"/>
  <c r="AM51" i="8"/>
  <c r="AM87"/>
  <c r="G40"/>
  <c r="AM38"/>
  <c r="AO38"/>
  <c r="AM32"/>
  <c r="AO32"/>
  <c r="AO28"/>
  <c r="AF12"/>
  <c r="AM29"/>
  <c r="AO29"/>
  <c r="AM9"/>
  <c r="AO9"/>
  <c r="AM43"/>
  <c r="AN43"/>
  <c r="AO43"/>
  <c r="AM31"/>
  <c r="AO31"/>
  <c r="AM30"/>
  <c r="AO30"/>
  <c r="AN51"/>
  <c r="AM39"/>
  <c r="AO39"/>
  <c r="AO12"/>
  <c r="AM40"/>
  <c r="AO40"/>
  <c r="AO16"/>
  <c r="AM46"/>
  <c r="AM10"/>
  <c r="Q89" i="7"/>
  <c r="L35"/>
  <c r="N35"/>
  <c r="AM45" i="8"/>
  <c r="AN45"/>
  <c r="AO45"/>
  <c r="AM41"/>
  <c r="AO41"/>
  <c r="AM34"/>
  <c r="AO34"/>
  <c r="AM27"/>
  <c r="AO27"/>
  <c r="AM33"/>
  <c r="AO33"/>
  <c r="AM15"/>
  <c r="AO15"/>
  <c r="AM14"/>
  <c r="AO14"/>
  <c r="AN25"/>
  <c r="AO25"/>
  <c r="AM8"/>
  <c r="AO8"/>
  <c r="AM56"/>
  <c r="AN56"/>
  <c r="AM59"/>
  <c r="AN59"/>
  <c r="AO59"/>
  <c r="AE56"/>
  <c r="Z113"/>
  <c r="AB48" i="7"/>
  <c r="AB117"/>
  <c r="AX32" i="17"/>
  <c r="AV29"/>
  <c r="BH29"/>
  <c r="AM9"/>
  <c r="T25"/>
  <c r="BD14"/>
  <c r="Y42" i="11"/>
  <c r="Y45"/>
  <c r="N42"/>
  <c r="O45"/>
  <c r="Y19" i="8"/>
  <c r="Y79"/>
  <c r="AF79"/>
  <c r="AK9" i="11"/>
  <c r="M55"/>
  <c r="AN32"/>
  <c r="O15"/>
  <c r="P22" i="10"/>
  <c r="AN20" i="7"/>
  <c r="N15" i="10"/>
  <c r="AK26" i="9"/>
  <c r="BM14" i="19"/>
  <c r="AY14" i="17"/>
  <c r="AV8"/>
  <c r="Z8"/>
  <c r="BB8"/>
  <c r="D29" i="87"/>
  <c r="D33" i="90"/>
  <c r="D30" i="87"/>
  <c r="R33" i="9"/>
  <c r="AK13"/>
  <c r="R31"/>
  <c r="Z14"/>
  <c r="R39" i="7"/>
  <c r="Z39"/>
  <c r="AH20" i="5"/>
  <c r="AG17"/>
  <c r="AH21" i="6"/>
  <c r="AI21"/>
  <c r="P24" i="9"/>
  <c r="P25"/>
  <c r="P24" i="72"/>
  <c r="BA56"/>
  <c r="BN51"/>
  <c r="BQ51"/>
  <c r="BS51"/>
  <c r="D27" i="7"/>
  <c r="W11" i="5"/>
  <c r="P13" i="6"/>
  <c r="W13"/>
  <c r="AA55" i="9"/>
  <c r="AH22"/>
  <c r="Q59"/>
  <c r="O17"/>
  <c r="B17"/>
  <c r="S22"/>
  <c r="N11" i="11"/>
  <c r="I9"/>
  <c r="AJ29"/>
  <c r="I7"/>
  <c r="N29" i="17"/>
  <c r="N37"/>
  <c r="AZ24"/>
  <c r="AF14"/>
  <c r="AC14"/>
  <c r="U14"/>
  <c r="T14"/>
  <c r="AD14"/>
  <c r="W28"/>
  <c r="BD8"/>
  <c r="N15" i="21"/>
  <c r="P15"/>
  <c r="I13"/>
  <c r="N12"/>
  <c r="K11"/>
  <c r="AA25" i="17"/>
  <c r="AO30"/>
  <c r="AH46" i="11"/>
  <c r="AJ60" i="72"/>
  <c r="AJ58" i="9"/>
  <c r="AJ59"/>
  <c r="AJ58" i="72"/>
  <c r="AJ59"/>
  <c r="AB24" i="9"/>
  <c r="AB15"/>
  <c r="Z15"/>
  <c r="AB24" i="72"/>
  <c r="K51" i="8"/>
  <c r="S24" i="72"/>
  <c r="J42" i="3"/>
  <c r="AJ56" i="72"/>
  <c r="AJ57"/>
  <c r="O10" i="70"/>
  <c r="AO31" i="17"/>
  <c r="Z32" i="8"/>
  <c r="H35"/>
  <c r="D14" i="10"/>
  <c r="L8" i="8"/>
  <c r="AF10"/>
  <c r="M43" i="7"/>
  <c r="V17"/>
  <c r="C51"/>
  <c r="P25" i="17"/>
  <c r="D9" i="10"/>
  <c r="F12" i="5"/>
  <c r="AG26"/>
  <c r="AC21"/>
  <c r="W17"/>
  <c r="Q17"/>
  <c r="D17"/>
  <c r="M26"/>
  <c r="D14" i="61"/>
  <c r="AS14" i="19"/>
  <c r="AR10"/>
  <c r="T41"/>
  <c r="T40"/>
  <c r="W14"/>
  <c r="AD14"/>
  <c r="AF14"/>
  <c r="U58"/>
  <c r="R26" i="8"/>
  <c r="D71" i="56"/>
  <c r="C71"/>
  <c r="B23" i="63"/>
  <c r="G51" i="8"/>
  <c r="M51"/>
  <c r="AF35"/>
  <c r="S39" i="7"/>
  <c r="F31" i="8"/>
  <c r="M31"/>
  <c r="C15" i="10"/>
  <c r="D11"/>
  <c r="O31" i="8"/>
  <c r="F25"/>
  <c r="F17"/>
  <c r="AI45" i="7"/>
  <c r="AH110"/>
  <c r="AH115"/>
  <c r="AH33"/>
  <c r="AO10" i="17"/>
  <c r="W15" i="11"/>
  <c r="B15" i="10"/>
  <c r="Y106" i="8"/>
  <c r="Y108"/>
  <c r="BG106"/>
  <c r="BG108"/>
  <c r="X108"/>
  <c r="D12" i="10"/>
  <c r="D13"/>
  <c r="Q10" i="11"/>
  <c r="Q8"/>
  <c r="Q11"/>
  <c r="Q9"/>
  <c r="Q7"/>
  <c r="AD12" i="19"/>
  <c r="AE12"/>
  <c r="AV12"/>
  <c r="I31" i="21"/>
  <c r="P31"/>
  <c r="D17" i="7"/>
  <c r="AO24" i="17"/>
  <c r="AM36"/>
  <c r="O13" i="6"/>
  <c r="BX28" i="17"/>
  <c r="BR28"/>
  <c r="BL28"/>
  <c r="U32"/>
  <c r="Y29" i="8"/>
  <c r="Z29"/>
  <c r="AT32" i="17"/>
  <c r="P27" i="7"/>
  <c r="P31" i="17"/>
  <c r="I31" i="10"/>
  <c r="Y35" i="17"/>
  <c r="AN10"/>
  <c r="AO9"/>
  <c r="R41" i="8"/>
  <c r="AF28"/>
  <c r="Z22"/>
  <c r="AM22"/>
  <c r="AN22"/>
  <c r="AN76"/>
  <c r="G41" i="7"/>
  <c r="M62" i="9"/>
  <c r="V62"/>
  <c r="V49" i="19"/>
  <c r="Y61" i="8"/>
  <c r="AX28" i="17"/>
  <c r="I26" i="9"/>
  <c r="N14" i="21"/>
  <c r="P14"/>
  <c r="BX33" i="17"/>
  <c r="BR33"/>
  <c r="BL33"/>
  <c r="O38" i="8"/>
  <c r="AA26" i="17"/>
  <c r="C51" i="8"/>
  <c r="C56"/>
  <c r="I12" i="21"/>
  <c r="P12"/>
  <c r="O25" i="10"/>
  <c r="W25"/>
  <c r="AC8" i="19"/>
  <c r="AE8"/>
  <c r="AQ8"/>
  <c r="L13" i="21"/>
  <c r="G29"/>
  <c r="L29"/>
  <c r="B58" i="19"/>
  <c r="P21" i="10"/>
  <c r="Q31" i="11"/>
  <c r="BA27" i="17"/>
  <c r="BP27"/>
  <c r="F81" i="56"/>
  <c r="F83"/>
  <c r="K71"/>
  <c r="F73"/>
  <c r="D74"/>
  <c r="K52" i="7"/>
  <c r="F33"/>
  <c r="F15"/>
  <c r="F8"/>
  <c r="F40" i="8"/>
  <c r="F34"/>
  <c r="M25"/>
  <c r="H12" i="5"/>
  <c r="AD32" i="6"/>
  <c r="M51" i="9"/>
  <c r="AI20" i="8"/>
  <c r="AJ20"/>
  <c r="W27" i="10"/>
  <c r="H15"/>
  <c r="N9" i="11"/>
  <c r="I8"/>
  <c r="W27" i="17"/>
  <c r="AT27"/>
  <c r="AV24"/>
  <c r="AV14"/>
  <c r="Z14"/>
  <c r="AE14"/>
  <c r="AY8"/>
  <c r="W8"/>
  <c r="K15" i="21"/>
  <c r="E13"/>
  <c r="E30"/>
  <c r="U80" i="7"/>
  <c r="AH112"/>
  <c r="AI29"/>
  <c r="AK51"/>
  <c r="AK53"/>
  <c r="BX25" i="17"/>
  <c r="BR25"/>
  <c r="BL25"/>
  <c r="J71" i="56"/>
  <c r="J81"/>
  <c r="J83"/>
  <c r="E81"/>
  <c r="E83"/>
  <c r="E73"/>
  <c r="AI35" i="8"/>
  <c r="AJ35"/>
  <c r="W29" i="10"/>
  <c r="BA31" i="17"/>
  <c r="BP31"/>
  <c r="BH31"/>
  <c r="AR52" i="7"/>
  <c r="P32"/>
  <c r="P33"/>
  <c r="AP16" i="17"/>
  <c r="P23" i="8"/>
  <c r="C28" i="21"/>
  <c r="E28"/>
  <c r="H13" i="9"/>
  <c r="F9" i="10"/>
  <c r="F10"/>
  <c r="AI10" i="8"/>
  <c r="AK10"/>
  <c r="W26" i="10"/>
  <c r="AO42" i="11"/>
  <c r="BE42"/>
  <c r="BK42"/>
  <c r="AJ31"/>
  <c r="BA32" i="17"/>
  <c r="BP32"/>
  <c r="BH32"/>
  <c r="AY30"/>
  <c r="BH30"/>
  <c r="Q8"/>
  <c r="K31" i="21"/>
  <c r="AO32" i="11"/>
  <c r="BK32"/>
  <c r="BE32"/>
  <c r="AD10" i="17"/>
  <c r="AA57" i="7"/>
  <c r="AP57"/>
  <c r="AQ57"/>
  <c r="Y42" i="8"/>
  <c r="G28" i="21"/>
  <c r="L28"/>
  <c r="AC37" i="19"/>
  <c r="AE37"/>
  <c r="AQ37"/>
  <c r="BA30" i="17"/>
  <c r="BP30"/>
  <c r="AY27"/>
  <c r="I34" i="8"/>
  <c r="O34"/>
  <c r="AD15" i="17"/>
  <c r="BX26"/>
  <c r="BR26"/>
  <c r="BL26"/>
  <c r="O30" i="10"/>
  <c r="C29" i="21"/>
  <c r="H56" i="19"/>
  <c r="Q12" i="6"/>
  <c r="Q13"/>
  <c r="M10" i="21"/>
  <c r="N10"/>
  <c r="P10"/>
  <c r="N33" i="7"/>
  <c r="F27"/>
  <c r="H8"/>
  <c r="O15" i="8"/>
  <c r="T45" i="6"/>
  <c r="AI32" i="8"/>
  <c r="AK32"/>
  <c r="W28" i="10"/>
  <c r="G9" i="33"/>
  <c r="I9"/>
  <c r="P33" i="17"/>
  <c r="H24"/>
  <c r="M56" i="11"/>
  <c r="AN31"/>
  <c r="AH109" i="7"/>
  <c r="BA61" i="9"/>
  <c r="AG42" i="6"/>
  <c r="AH42"/>
  <c r="AI42"/>
  <c r="AG40"/>
  <c r="AI40"/>
  <c r="AD31"/>
  <c r="AI31"/>
  <c r="AG31"/>
  <c r="AD20"/>
  <c r="AG20"/>
  <c r="AI20"/>
  <c r="AG14"/>
  <c r="AH14"/>
  <c r="AI14"/>
  <c r="AI43"/>
  <c r="AG43"/>
  <c r="AD38"/>
  <c r="AG38"/>
  <c r="AI38"/>
  <c r="AI33"/>
  <c r="AG33"/>
  <c r="AH33"/>
  <c r="AI29"/>
  <c r="AG29"/>
  <c r="AH29"/>
  <c r="D16" i="65"/>
  <c r="E16"/>
  <c r="F16"/>
  <c r="AG24" i="6"/>
  <c r="AH24"/>
  <c r="AI24"/>
  <c r="AG22"/>
  <c r="AH22"/>
  <c r="AI22"/>
  <c r="AG16"/>
  <c r="AI16"/>
  <c r="AG15"/>
  <c r="AI15"/>
  <c r="AG9"/>
  <c r="AG12"/>
  <c r="AI9"/>
  <c r="AG28"/>
  <c r="AI28"/>
  <c r="AB11" i="5"/>
  <c r="AH11"/>
  <c r="AF8"/>
  <c r="AH8"/>
  <c r="AF41"/>
  <c r="AC38"/>
  <c r="AF30"/>
  <c r="AF22"/>
  <c r="AF19"/>
  <c r="AF15"/>
  <c r="AF14"/>
  <c r="AF32"/>
  <c r="BB82" i="8"/>
  <c r="AP9" i="17"/>
  <c r="Q13" i="7"/>
  <c r="Z13"/>
  <c r="AN9" i="17"/>
  <c r="Z48" i="7"/>
  <c r="AH15"/>
  <c r="Z54"/>
  <c r="M41"/>
  <c r="AH8"/>
  <c r="M9" i="21"/>
  <c r="N9"/>
  <c r="P9"/>
  <c r="I25" i="7"/>
  <c r="M25" i="21"/>
  <c r="M29"/>
  <c r="N29"/>
  <c r="D27" i="8"/>
  <c r="H17"/>
  <c r="AN46"/>
  <c r="AM82"/>
  <c r="AO51"/>
  <c r="AO87"/>
  <c r="AN87"/>
  <c r="AF42"/>
  <c r="Y81"/>
  <c r="AF81"/>
  <c r="AO13"/>
  <c r="BD43"/>
  <c r="AZ43"/>
  <c r="W87"/>
  <c r="W88"/>
  <c r="AL82"/>
  <c r="W90"/>
  <c r="AL76"/>
  <c r="AI92"/>
  <c r="BD61"/>
  <c r="AI84"/>
  <c r="BD48"/>
  <c r="AZ48"/>
  <c r="AO56"/>
  <c r="Z76"/>
  <c r="AK45"/>
  <c r="O17"/>
  <c r="F15"/>
  <c r="F8"/>
  <c r="H15"/>
  <c r="V49"/>
  <c r="D8"/>
  <c r="AO10"/>
  <c r="Y57"/>
  <c r="Y89"/>
  <c r="AF89"/>
  <c r="Z89"/>
  <c r="BD45"/>
  <c r="BA42"/>
  <c r="BA81"/>
  <c r="AL75"/>
  <c r="E108"/>
  <c r="E110"/>
  <c r="AA87"/>
  <c r="AG62"/>
  <c r="AG92"/>
  <c r="AG93"/>
  <c r="AG94"/>
  <c r="BB30"/>
  <c r="F27"/>
  <c r="Y76"/>
  <c r="AF76"/>
  <c r="Y75"/>
  <c r="AF75"/>
  <c r="AN52"/>
  <c r="AO52"/>
  <c r="AH63"/>
  <c r="AZ10"/>
  <c r="AA126" i="7"/>
  <c r="AM126"/>
  <c r="AA54"/>
  <c r="AA123"/>
  <c r="AI123"/>
  <c r="AC123"/>
  <c r="AJ35"/>
  <c r="AJ113"/>
  <c r="AJ120"/>
  <c r="AB10"/>
  <c r="AA110"/>
  <c r="BD126"/>
  <c r="AB111"/>
  <c r="AH113"/>
  <c r="AK124"/>
  <c r="AK122"/>
  <c r="AP28"/>
  <c r="AA111"/>
  <c r="AI111"/>
  <c r="AO121"/>
  <c r="AI48"/>
  <c r="AH117"/>
  <c r="AI117"/>
  <c r="AH121"/>
  <c r="AM119"/>
  <c r="BD119"/>
  <c r="AI126"/>
  <c r="R43"/>
  <c r="N17"/>
  <c r="B51"/>
  <c r="AH27"/>
  <c r="H27"/>
  <c r="Z43"/>
  <c r="Y116"/>
  <c r="Y120"/>
  <c r="S48"/>
  <c r="AB45"/>
  <c r="I17"/>
  <c r="AI47"/>
  <c r="AP45"/>
  <c r="AB29"/>
  <c r="C10" i="10"/>
  <c r="AH17" i="7"/>
  <c r="U8" i="17"/>
  <c r="T8"/>
  <c r="P24" i="7"/>
  <c r="P25"/>
  <c r="H41"/>
  <c r="D35"/>
  <c r="BH50"/>
  <c r="BD50"/>
  <c r="BD57"/>
  <c r="BH57"/>
  <c r="BK42"/>
  <c r="BG16" i="8"/>
  <c r="BG26"/>
  <c r="BG33"/>
  <c r="AQ48" i="7"/>
  <c r="F41"/>
  <c r="M8"/>
  <c r="N8"/>
  <c r="D6" i="10"/>
  <c r="AX25" i="17"/>
  <c r="AT25"/>
  <c r="R31" i="7"/>
  <c r="Z31"/>
  <c r="S31"/>
  <c r="O40"/>
  <c r="P39"/>
  <c r="U28" i="17"/>
  <c r="AA39" i="7"/>
  <c r="AA40"/>
  <c r="AP40"/>
  <c r="BB27" i="17"/>
  <c r="BB26"/>
  <c r="AN23" i="7"/>
  <c r="BB25" i="17"/>
  <c r="S24"/>
  <c r="O8"/>
  <c r="N8"/>
  <c r="AY26"/>
  <c r="AY25"/>
  <c r="AF8"/>
  <c r="AC8"/>
  <c r="AE8"/>
  <c r="BB33"/>
  <c r="AI38" i="8"/>
  <c r="AK38"/>
  <c r="AZ29" i="17"/>
  <c r="H29"/>
  <c r="W14"/>
  <c r="AA30"/>
  <c r="AA32"/>
  <c r="AO25"/>
  <c r="AO27"/>
  <c r="V25"/>
  <c r="W25"/>
  <c r="S13" i="7"/>
  <c r="BC25" i="17"/>
  <c r="AC27" i="5"/>
  <c r="W26"/>
  <c r="AB26"/>
  <c r="V26"/>
  <c r="Y45"/>
  <c r="U45"/>
  <c r="U54"/>
  <c r="AA54"/>
  <c r="S45"/>
  <c r="S46"/>
  <c r="N45"/>
  <c r="N46"/>
  <c r="K45"/>
  <c r="K46"/>
  <c r="E45"/>
  <c r="B45"/>
  <c r="I12"/>
  <c r="I45"/>
  <c r="AA45"/>
  <c r="AA46"/>
  <c r="X45"/>
  <c r="X46"/>
  <c r="T45"/>
  <c r="T46"/>
  <c r="P45"/>
  <c r="P47"/>
  <c r="Q16" i="7"/>
  <c r="S16"/>
  <c r="L45" i="5"/>
  <c r="J45"/>
  <c r="G45"/>
  <c r="C45"/>
  <c r="V17"/>
  <c r="AC8"/>
  <c r="F26"/>
  <c r="F17"/>
  <c r="H17"/>
  <c r="AC18"/>
  <c r="AC16"/>
  <c r="K55" i="9"/>
  <c r="Y119" i="8"/>
  <c r="Q32" i="11"/>
  <c r="Y32"/>
  <c r="W39"/>
  <c r="M54"/>
  <c r="AN33"/>
  <c r="AN56" i="9"/>
  <c r="BA56"/>
  <c r="W38" i="3"/>
  <c r="W60"/>
  <c r="W59"/>
  <c r="W58"/>
  <c r="W49"/>
  <c r="S39" i="11"/>
  <c r="J39"/>
  <c r="AB15"/>
  <c r="O19" i="7"/>
  <c r="O17"/>
  <c r="O51"/>
  <c r="S15" i="11"/>
  <c r="AO31"/>
  <c r="M53"/>
  <c r="AN29"/>
  <c r="S45"/>
  <c r="I10"/>
  <c r="F30" i="10"/>
  <c r="E31"/>
  <c r="F31"/>
  <c r="P23"/>
  <c r="D7"/>
  <c r="G25"/>
  <c r="P25"/>
  <c r="H10"/>
  <c r="X15"/>
  <c r="X10"/>
  <c r="Q13" i="11"/>
  <c r="AD40" i="19"/>
  <c r="AP40"/>
  <c r="AE40"/>
  <c r="AQ40"/>
  <c r="AD38"/>
  <c r="AP38"/>
  <c r="AE38"/>
  <c r="AQ38"/>
  <c r="AE35"/>
  <c r="AQ35"/>
  <c r="AD35"/>
  <c r="AP35"/>
  <c r="AE29"/>
  <c r="AQ29"/>
  <c r="AD29"/>
  <c r="AP29"/>
  <c r="AD26"/>
  <c r="AP26"/>
  <c r="AE26"/>
  <c r="AQ26"/>
  <c r="AE23"/>
  <c r="AQ23"/>
  <c r="AD23"/>
  <c r="AP23"/>
  <c r="AE17"/>
  <c r="AQ17"/>
  <c r="AD17"/>
  <c r="AP17"/>
  <c r="AE15"/>
  <c r="AQ15"/>
  <c r="AD15"/>
  <c r="AP15"/>
  <c r="AE9"/>
  <c r="AQ9"/>
  <c r="AD9"/>
  <c r="AP9"/>
  <c r="AD37"/>
  <c r="AP37"/>
  <c r="AE41"/>
  <c r="AQ41"/>
  <c r="AD41"/>
  <c r="AP41"/>
  <c r="AD8"/>
  <c r="AP8"/>
  <c r="AD13"/>
  <c r="AP13"/>
  <c r="AE13"/>
  <c r="AQ13"/>
  <c r="AD36"/>
  <c r="AP36"/>
  <c r="AE36"/>
  <c r="AQ36"/>
  <c r="AD34"/>
  <c r="AP34"/>
  <c r="AE34"/>
  <c r="AQ34"/>
  <c r="AD32"/>
  <c r="AP32"/>
  <c r="AE32"/>
  <c r="AQ32"/>
  <c r="AD30"/>
  <c r="AP30"/>
  <c r="AE30"/>
  <c r="AQ30"/>
  <c r="AD28"/>
  <c r="AP28"/>
  <c r="AE28"/>
  <c r="AQ28"/>
  <c r="AE25"/>
  <c r="AQ25"/>
  <c r="AD25"/>
  <c r="AP25"/>
  <c r="AD24"/>
  <c r="AE24"/>
  <c r="AD22"/>
  <c r="AP22"/>
  <c r="AE22"/>
  <c r="AQ22"/>
  <c r="AD18"/>
  <c r="AP18"/>
  <c r="AE18"/>
  <c r="AQ18"/>
  <c r="AD16"/>
  <c r="AP16"/>
  <c r="AE16"/>
  <c r="AQ16"/>
  <c r="AE27"/>
  <c r="AQ27"/>
  <c r="AD27"/>
  <c r="AP27"/>
  <c r="AA59"/>
  <c r="AA56"/>
  <c r="AA57"/>
  <c r="S11"/>
  <c r="S49"/>
  <c r="D36"/>
  <c r="H15"/>
  <c r="Q57"/>
  <c r="Y57"/>
  <c r="X16"/>
  <c r="Q59"/>
  <c r="Y59"/>
  <c r="Q56"/>
  <c r="Y56"/>
  <c r="W21"/>
  <c r="Q58"/>
  <c r="G49"/>
  <c r="M29"/>
  <c r="AC10"/>
  <c r="AC11"/>
  <c r="D49"/>
  <c r="F49"/>
  <c r="Z49"/>
  <c r="F25" i="6"/>
  <c r="R18"/>
  <c r="K45"/>
  <c r="K46"/>
  <c r="AD9"/>
  <c r="AD28"/>
  <c r="Y13" i="9"/>
  <c r="AI42" i="8"/>
  <c r="AK43"/>
  <c r="R23" i="7"/>
  <c r="T23"/>
  <c r="AL20"/>
  <c r="Q29" i="8"/>
  <c r="R29"/>
  <c r="R31"/>
  <c r="AV37" i="17"/>
  <c r="BH37"/>
  <c r="AK55" i="7"/>
  <c r="AK56"/>
  <c r="AK58"/>
  <c r="AE14" i="19"/>
  <c r="W8"/>
  <c r="W13"/>
  <c r="W42"/>
  <c r="W41"/>
  <c r="W20"/>
  <c r="W43"/>
  <c r="W39"/>
  <c r="W19"/>
  <c r="W18"/>
  <c r="W44"/>
  <c r="AP36" i="7"/>
  <c r="AI36"/>
  <c r="AB36"/>
  <c r="AP20"/>
  <c r="AB20"/>
  <c r="AC20"/>
  <c r="V31" i="17"/>
  <c r="BC31"/>
  <c r="U31"/>
  <c r="Y23" i="8"/>
  <c r="AX31" i="17"/>
  <c r="P31" i="8"/>
  <c r="P27"/>
  <c r="P34"/>
  <c r="AJ43"/>
  <c r="X44" i="19"/>
  <c r="H17" i="7"/>
  <c r="N49" i="8"/>
  <c r="AK9" i="17"/>
  <c r="X40" i="19"/>
  <c r="X25"/>
  <c r="BB32" i="17"/>
  <c r="R38" i="8"/>
  <c r="R40"/>
  <c r="Q38"/>
  <c r="T30" i="17"/>
  <c r="AT30"/>
  <c r="AP15"/>
  <c r="P30"/>
  <c r="T38" i="19"/>
  <c r="W38"/>
  <c r="M27" i="21"/>
  <c r="N27"/>
  <c r="I27"/>
  <c r="P26" i="17"/>
  <c r="T26"/>
  <c r="AT26"/>
  <c r="K13" i="21"/>
  <c r="I30"/>
  <c r="P30"/>
  <c r="J51" i="7"/>
  <c r="O8" i="8"/>
  <c r="M52" i="11"/>
  <c r="AA15" i="9"/>
  <c r="AN55" i="8"/>
  <c r="AO55"/>
  <c r="AN54"/>
  <c r="AO54"/>
  <c r="Y51" i="7"/>
  <c r="Y55"/>
  <c r="E51"/>
  <c r="W49" i="8"/>
  <c r="W58"/>
  <c r="G49"/>
  <c r="N35" i="17"/>
  <c r="U25"/>
  <c r="AA13" i="7"/>
  <c r="AP13"/>
  <c r="R37" i="9"/>
  <c r="Y33" i="11"/>
  <c r="Y39"/>
  <c r="AK10"/>
  <c r="Q32" i="7"/>
  <c r="O39" i="8"/>
  <c r="AH10" i="17"/>
  <c r="Q40" i="7"/>
  <c r="AY32" i="17"/>
  <c r="AI28" i="7"/>
  <c r="H26" i="21"/>
  <c r="I26"/>
  <c r="K26"/>
  <c r="A33" i="7"/>
  <c r="D34" i="8"/>
  <c r="Z43"/>
  <c r="Z42"/>
  <c r="R42"/>
  <c r="B49"/>
  <c r="B56"/>
  <c r="R37"/>
  <c r="AI10" i="7"/>
  <c r="B10" i="10"/>
  <c r="F17" i="7"/>
  <c r="V27" i="17"/>
  <c r="M13" i="9"/>
  <c r="I15" i="8"/>
  <c r="I8"/>
  <c r="I49"/>
  <c r="I55"/>
  <c r="AP10" i="7"/>
  <c r="M33"/>
  <c r="W9" i="19"/>
  <c r="W35"/>
  <c r="E26" i="21"/>
  <c r="AX27" i="17"/>
  <c r="I15" i="7"/>
  <c r="I8"/>
  <c r="I51"/>
  <c r="P14"/>
  <c r="P8"/>
  <c r="W40" i="19"/>
  <c r="Y29" i="17"/>
  <c r="Y37"/>
  <c r="AN16"/>
  <c r="AY33"/>
  <c r="D45" i="6"/>
  <c r="M39" i="8"/>
  <c r="M40"/>
  <c r="AO26" i="17"/>
  <c r="D8" i="10"/>
  <c r="P24"/>
  <c r="P26"/>
  <c r="AC12" i="6"/>
  <c r="AI12"/>
  <c r="AN53" i="8"/>
  <c r="AO53"/>
  <c r="Q18"/>
  <c r="W12" i="19"/>
  <c r="T12"/>
  <c r="P29" i="10"/>
  <c r="T33" i="17"/>
  <c r="AT33"/>
  <c r="G30" i="10"/>
  <c r="P28"/>
  <c r="X18" i="6"/>
  <c r="Q33" i="11"/>
  <c r="O17" i="5"/>
  <c r="Q30" i="11"/>
  <c r="BB28" i="17"/>
  <c r="BB24"/>
  <c r="BA24"/>
  <c r="BP24"/>
  <c r="Y24"/>
  <c r="N24"/>
  <c r="N36"/>
  <c r="U27"/>
  <c r="AA31" i="7"/>
  <c r="P51" i="8"/>
  <c r="S51"/>
  <c r="AH43" i="7"/>
  <c r="AH116"/>
  <c r="M17"/>
  <c r="G51"/>
  <c r="M17" i="8"/>
  <c r="AC32" i="5"/>
  <c r="AB45" i="6"/>
  <c r="AB46"/>
  <c r="AD15"/>
  <c r="R13"/>
  <c r="AH55" i="9"/>
  <c r="X55"/>
  <c r="K51"/>
  <c r="Y17"/>
  <c r="I17"/>
  <c r="R14" i="17"/>
  <c r="Q14"/>
  <c r="BB14"/>
  <c r="W60" i="19"/>
  <c r="U49"/>
  <c r="E29" i="21"/>
  <c r="E32"/>
  <c r="AB55" i="9"/>
  <c r="G49" i="34"/>
  <c r="P55"/>
  <c r="V56" i="8"/>
  <c r="S24" i="9"/>
  <c r="S26"/>
  <c r="M51" i="3"/>
  <c r="B11" i="32"/>
  <c r="D11"/>
  <c r="AH29" i="11"/>
  <c r="B19" i="32"/>
  <c r="F57" i="3"/>
  <c r="P52" i="9"/>
  <c r="T52"/>
  <c r="D20" i="32"/>
  <c r="W56" i="8"/>
  <c r="AH31" i="11"/>
  <c r="O52" i="7"/>
  <c r="P52"/>
  <c r="G52"/>
  <c r="N52"/>
  <c r="AH23" i="11"/>
  <c r="AG19"/>
  <c r="AK19"/>
  <c r="AK22"/>
  <c r="P19" i="8"/>
  <c r="W52" i="7"/>
  <c r="H47" i="3"/>
  <c r="H44"/>
  <c r="AJ60" i="9"/>
  <c r="AJ62"/>
  <c r="AD52" i="7"/>
  <c r="C52"/>
  <c r="C53"/>
  <c r="V59" i="8"/>
  <c r="AH32" i="11"/>
  <c r="F48" i="3"/>
  <c r="AA52" i="7"/>
  <c r="AA121"/>
  <c r="E52"/>
  <c r="K57" i="3"/>
  <c r="AC52" i="7"/>
  <c r="AC121"/>
  <c r="Y23" i="11"/>
  <c r="Y19"/>
  <c r="P26" i="9"/>
  <c r="O51" i="8"/>
  <c r="N56"/>
  <c r="J44" i="3"/>
  <c r="H68" i="7"/>
  <c r="J47" i="3"/>
  <c r="G18" i="11"/>
  <c r="E43" i="3"/>
  <c r="M58" i="72"/>
  <c r="M59"/>
  <c r="V59"/>
  <c r="Q52" i="7"/>
  <c r="J52"/>
  <c r="N59" i="8"/>
  <c r="Y52" i="7"/>
  <c r="Y121"/>
  <c r="B6" i="32"/>
  <c r="L23" i="11"/>
  <c r="L19"/>
  <c r="AP19"/>
  <c r="AM42"/>
  <c r="B52" i="7"/>
  <c r="AF19" i="8"/>
  <c r="Y70" i="7"/>
  <c r="Y72"/>
  <c r="Z70"/>
  <c r="Z72"/>
  <c r="H35"/>
  <c r="F35"/>
  <c r="P35"/>
  <c r="M35"/>
  <c r="N27"/>
  <c r="M27"/>
  <c r="I28" i="21"/>
  <c r="M28"/>
  <c r="P19" i="72"/>
  <c r="Q30" i="8"/>
  <c r="L51" i="7"/>
  <c r="U49" i="8"/>
  <c r="J49"/>
  <c r="J56"/>
  <c r="E49"/>
  <c r="H49"/>
  <c r="G44" i="3"/>
  <c r="G38"/>
  <c r="G39"/>
  <c r="G47"/>
  <c r="AR48" i="7"/>
  <c r="AS48"/>
  <c r="AH35"/>
  <c r="AJ51"/>
  <c r="AR38"/>
  <c r="AS38"/>
  <c r="W59" i="8"/>
  <c r="M26" i="21"/>
  <c r="N26"/>
  <c r="K10"/>
  <c r="K9"/>
  <c r="E16"/>
  <c r="F9"/>
  <c r="AN28" i="7"/>
  <c r="AB19" i="72"/>
  <c r="N24" i="35"/>
  <c r="M24"/>
  <c r="I24"/>
  <c r="E24"/>
  <c r="O24"/>
  <c r="K24"/>
  <c r="G24"/>
  <c r="D24"/>
  <c r="H24"/>
  <c r="L24"/>
  <c r="F24"/>
  <c r="J24"/>
  <c r="AL47" i="7"/>
  <c r="B56" i="19"/>
  <c r="B60"/>
  <c r="AA63" i="7"/>
  <c r="M49" i="3"/>
  <c r="M60"/>
  <c r="AJ56" i="9"/>
  <c r="AJ57"/>
  <c r="D51" i="7"/>
  <c r="V51"/>
  <c r="AJ45" i="8"/>
  <c r="AK42"/>
  <c r="AL42"/>
  <c r="L27"/>
  <c r="M27"/>
  <c r="M8"/>
  <c r="O26" i="5"/>
  <c r="M12"/>
  <c r="F15" i="10"/>
  <c r="AB51" i="9"/>
  <c r="AK28" i="8"/>
  <c r="AK76"/>
  <c r="K42" i="3"/>
  <c r="M58"/>
  <c r="M59"/>
  <c r="AR47" i="7"/>
  <c r="AS47"/>
  <c r="AD29" i="6"/>
  <c r="D25"/>
  <c r="N50"/>
  <c r="N41" i="8"/>
  <c r="O41"/>
  <c r="R25" i="6"/>
  <c r="R45"/>
  <c r="R46"/>
  <c r="R33" i="8"/>
  <c r="D18" i="6"/>
  <c r="I25"/>
  <c r="I45"/>
  <c r="H41"/>
  <c r="V45"/>
  <c r="V46"/>
  <c r="Q40"/>
  <c r="Q25"/>
  <c r="H25"/>
  <c r="E45"/>
  <c r="F45"/>
  <c r="X44"/>
  <c r="X25"/>
  <c r="AD40"/>
  <c r="P45"/>
  <c r="W25"/>
  <c r="G45"/>
  <c r="G41" i="8"/>
  <c r="S45" i="6"/>
  <c r="S46"/>
  <c r="AD33"/>
  <c r="AD26"/>
  <c r="U45"/>
  <c r="W23"/>
  <c r="AD22"/>
  <c r="H18"/>
  <c r="M13"/>
  <c r="AD19"/>
  <c r="AC18"/>
  <c r="L45"/>
  <c r="L46"/>
  <c r="AB47"/>
  <c r="AB50"/>
  <c r="AB48"/>
  <c r="AB49"/>
  <c r="AD30"/>
  <c r="AD27"/>
  <c r="M25"/>
  <c r="AD24"/>
  <c r="Q18"/>
  <c r="F18"/>
  <c r="AD16"/>
  <c r="X12"/>
  <c r="X13"/>
  <c r="AD13"/>
  <c r="AD14"/>
  <c r="AC25"/>
  <c r="AD42"/>
  <c r="R16" i="8"/>
  <c r="O29" i="6"/>
  <c r="V12" i="5"/>
  <c r="Q11"/>
  <c r="Q12"/>
  <c r="AC14"/>
  <c r="AC33"/>
  <c r="H26"/>
  <c r="D26"/>
  <c r="AC24"/>
  <c r="R12"/>
  <c r="O12"/>
  <c r="AC31"/>
  <c r="AC30"/>
  <c r="AB17"/>
  <c r="AC19"/>
  <c r="AC11"/>
  <c r="Q26"/>
  <c r="AC39"/>
  <c r="P48"/>
  <c r="Q26" i="7"/>
  <c r="S26"/>
  <c r="AC20" i="5"/>
  <c r="W12"/>
  <c r="AH20" i="9"/>
  <c r="Q57"/>
  <c r="S9" i="7"/>
  <c r="AH13" i="9"/>
  <c r="AH17"/>
  <c r="H14"/>
  <c r="M17"/>
  <c r="R9" i="7"/>
  <c r="X51" i="9"/>
  <c r="AK17"/>
  <c r="B13"/>
  <c r="AA51"/>
  <c r="N51"/>
  <c r="H17"/>
  <c r="AK22"/>
  <c r="AK20"/>
  <c r="V61"/>
  <c r="AH51"/>
  <c r="R36"/>
  <c r="R11"/>
  <c r="W11"/>
  <c r="Q13"/>
  <c r="O13"/>
  <c r="AA14"/>
  <c r="AN62"/>
  <c r="L70"/>
  <c r="R38"/>
  <c r="AB14"/>
  <c r="AB17"/>
  <c r="Q24" i="7"/>
  <c r="S23"/>
  <c r="Z23"/>
  <c r="P40" i="8"/>
  <c r="Q39"/>
  <c r="K81" i="56"/>
  <c r="K73"/>
  <c r="BO14" i="19"/>
  <c r="BN14"/>
  <c r="I71" i="56"/>
  <c r="N71"/>
  <c r="N81"/>
  <c r="D32" i="90"/>
  <c r="D31"/>
  <c r="G56" i="8"/>
  <c r="D73" i="56"/>
  <c r="D81"/>
  <c r="AB9" i="72"/>
  <c r="AB21"/>
  <c r="AB11"/>
  <c r="AC11"/>
  <c r="AC13"/>
  <c r="AG14" i="5"/>
  <c r="AH14"/>
  <c r="S25" i="72"/>
  <c r="S26"/>
  <c r="AB14"/>
  <c r="AB15"/>
  <c r="Z15"/>
  <c r="AA15"/>
  <c r="AJ62"/>
  <c r="AQ62"/>
  <c r="AJ61"/>
  <c r="AQ61"/>
  <c r="AQ60"/>
  <c r="AA29" i="17"/>
  <c r="P27" i="21"/>
  <c r="X34" i="19"/>
  <c r="X24"/>
  <c r="W15"/>
  <c r="W28"/>
  <c r="W32"/>
  <c r="W36"/>
  <c r="W31"/>
  <c r="W46"/>
  <c r="W17"/>
  <c r="W47"/>
  <c r="AD47"/>
  <c r="AP47"/>
  <c r="W34"/>
  <c r="W25"/>
  <c r="AF17" i="5"/>
  <c r="AH45" i="6"/>
  <c r="AQ56" i="72"/>
  <c r="P20"/>
  <c r="AP20"/>
  <c r="AN57"/>
  <c r="P21"/>
  <c r="P22"/>
  <c r="AP22"/>
  <c r="AN59"/>
  <c r="AJ61" i="8"/>
  <c r="O11" i="70"/>
  <c r="O12"/>
  <c r="O20"/>
  <c r="AP12" i="19"/>
  <c r="BM12"/>
  <c r="AU12"/>
  <c r="AT14"/>
  <c r="AV14"/>
  <c r="AU14"/>
  <c r="P26" i="72"/>
  <c r="P25"/>
  <c r="AH26" i="5"/>
  <c r="AH25" i="6"/>
  <c r="AI25"/>
  <c r="AH18"/>
  <c r="AH17" i="5"/>
  <c r="AJ32" i="8"/>
  <c r="D10" i="10"/>
  <c r="D15"/>
  <c r="H51" i="7"/>
  <c r="AB54"/>
  <c r="AB123"/>
  <c r="AP54"/>
  <c r="AQ54"/>
  <c r="AR54"/>
  <c r="AS54"/>
  <c r="J53"/>
  <c r="AM57"/>
  <c r="N11" i="70"/>
  <c r="AI57" i="7"/>
  <c r="AB13"/>
  <c r="P46" i="5"/>
  <c r="U51"/>
  <c r="AA51"/>
  <c r="AA47"/>
  <c r="D13" i="61"/>
  <c r="U53" i="5"/>
  <c r="AA53"/>
  <c r="AA49"/>
  <c r="U52"/>
  <c r="AA52"/>
  <c r="AA48"/>
  <c r="Z16" i="7"/>
  <c r="R16"/>
  <c r="X38" i="19"/>
  <c r="X23"/>
  <c r="AR11"/>
  <c r="X28"/>
  <c r="X39"/>
  <c r="W29"/>
  <c r="W26"/>
  <c r="AF26"/>
  <c r="W23"/>
  <c r="P8" i="70"/>
  <c r="W22" i="19"/>
  <c r="AF22"/>
  <c r="W33"/>
  <c r="H51" i="8"/>
  <c r="C23" i="63"/>
  <c r="B24"/>
  <c r="B25"/>
  <c r="G108" i="8"/>
  <c r="S25" i="9"/>
  <c r="AF29" i="8"/>
  <c r="BD10"/>
  <c r="AZ32"/>
  <c r="AJ10"/>
  <c r="BD20"/>
  <c r="V26" i="17"/>
  <c r="Y110" i="8"/>
  <c r="F49"/>
  <c r="AR57" i="7"/>
  <c r="AS57"/>
  <c r="M51"/>
  <c r="AI110"/>
  <c r="AP25" i="9"/>
  <c r="D51" i="8"/>
  <c r="D56"/>
  <c r="B12" i="32"/>
  <c r="D12"/>
  <c r="D13"/>
  <c r="F51" i="8"/>
  <c r="F56"/>
  <c r="Y30"/>
  <c r="AF30"/>
  <c r="U119"/>
  <c r="BD32"/>
  <c r="Z60" i="19"/>
  <c r="T49"/>
  <c r="BA36" i="17"/>
  <c r="BP36"/>
  <c r="BL24"/>
  <c r="BX24"/>
  <c r="AO29" i="11"/>
  <c r="BK29"/>
  <c r="BE29"/>
  <c r="T13" i="7"/>
  <c r="U13"/>
  <c r="X9" i="19"/>
  <c r="AK20" i="8"/>
  <c r="X27" i="19"/>
  <c r="X18"/>
  <c r="X21"/>
  <c r="W11"/>
  <c r="AZ20" i="8"/>
  <c r="Y92"/>
  <c r="AF92"/>
  <c r="AO22"/>
  <c r="AO76"/>
  <c r="BG32" i="11"/>
  <c r="BF32"/>
  <c r="BR32" i="17"/>
  <c r="BC32"/>
  <c r="BX32"/>
  <c r="BL32"/>
  <c r="O83" i="56"/>
  <c r="AV36" i="17"/>
  <c r="BH36"/>
  <c r="BH24"/>
  <c r="AY24"/>
  <c r="H71" i="56"/>
  <c r="H81"/>
  <c r="C81"/>
  <c r="AA14" i="7"/>
  <c r="Q52" i="9"/>
  <c r="Y9" i="8"/>
  <c r="Q14" i="7"/>
  <c r="T14"/>
  <c r="U14"/>
  <c r="AF12" i="19"/>
  <c r="X36"/>
  <c r="O40" i="8"/>
  <c r="BC30" i="17"/>
  <c r="AK35" i="8"/>
  <c r="X29" i="19"/>
  <c r="X26"/>
  <c r="X13"/>
  <c r="X42"/>
  <c r="X43"/>
  <c r="X15"/>
  <c r="T11"/>
  <c r="AC49"/>
  <c r="AH59"/>
  <c r="D45" i="5"/>
  <c r="BD35" i="8"/>
  <c r="AF61"/>
  <c r="BT26" i="17"/>
  <c r="BS26"/>
  <c r="BE23" i="7"/>
  <c r="BE24"/>
  <c r="O71" i="56"/>
  <c r="O81"/>
  <c r="I81"/>
  <c r="I73"/>
  <c r="N73"/>
  <c r="N72"/>
  <c r="B74"/>
  <c r="C73"/>
  <c r="K12" i="21"/>
  <c r="I16"/>
  <c r="J12"/>
  <c r="W57" i="3"/>
  <c r="B71" i="56"/>
  <c r="AO33" i="11"/>
  <c r="BK33"/>
  <c r="BE33"/>
  <c r="O31" i="10"/>
  <c r="W30"/>
  <c r="BF42" i="11"/>
  <c r="BE30"/>
  <c r="BG42"/>
  <c r="BT28" i="17"/>
  <c r="BS28"/>
  <c r="BC39" i="7"/>
  <c r="BE39"/>
  <c r="R13"/>
  <c r="X32" i="19"/>
  <c r="X31"/>
  <c r="AI75" i="8"/>
  <c r="BF31" i="11"/>
  <c r="BK31"/>
  <c r="AD12" i="6"/>
  <c r="O25"/>
  <c r="AD8" i="17"/>
  <c r="Y53" i="7"/>
  <c r="AY29" i="17"/>
  <c r="AP8"/>
  <c r="AM8"/>
  <c r="AN8"/>
  <c r="N28" i="21"/>
  <c r="P28"/>
  <c r="Y51" i="8"/>
  <c r="Y87"/>
  <c r="AF87"/>
  <c r="AA24" i="17"/>
  <c r="Y36"/>
  <c r="X10" i="19"/>
  <c r="X19"/>
  <c r="X22"/>
  <c r="X46"/>
  <c r="X33"/>
  <c r="X11"/>
  <c r="AZ35" i="8"/>
  <c r="AM61"/>
  <c r="AG25" i="6"/>
  <c r="BX30" i="17"/>
  <c r="BR30"/>
  <c r="BL30"/>
  <c r="BB30"/>
  <c r="Q23" i="8"/>
  <c r="P24"/>
  <c r="S24"/>
  <c r="T24"/>
  <c r="R23"/>
  <c r="BX31" i="17"/>
  <c r="BR31"/>
  <c r="BL31"/>
  <c r="BB31"/>
  <c r="AI23" i="8"/>
  <c r="BT25" i="17"/>
  <c r="BS25"/>
  <c r="D83" i="56"/>
  <c r="D84"/>
  <c r="P71"/>
  <c r="P81"/>
  <c r="BX27" i="17"/>
  <c r="BR27"/>
  <c r="BL27"/>
  <c r="BC27"/>
  <c r="BT33"/>
  <c r="BS33"/>
  <c r="AY38" i="8"/>
  <c r="BA38"/>
  <c r="AG12" i="19"/>
  <c r="AQ12"/>
  <c r="AD18" i="6"/>
  <c r="AI18"/>
  <c r="K48"/>
  <c r="K26" i="8"/>
  <c r="K17"/>
  <c r="AG18" i="6"/>
  <c r="AG45"/>
  <c r="AC17" i="5"/>
  <c r="AF11"/>
  <c r="AF26"/>
  <c r="P53" i="8"/>
  <c r="Q53"/>
  <c r="M13" i="21"/>
  <c r="H25"/>
  <c r="I25"/>
  <c r="N25"/>
  <c r="W62" i="8"/>
  <c r="W63"/>
  <c r="AL81"/>
  <c r="AL87"/>
  <c r="AM42"/>
  <c r="AM81"/>
  <c r="Z81"/>
  <c r="AI81"/>
  <c r="BD42"/>
  <c r="AY42"/>
  <c r="AZ45"/>
  <c r="AJ84"/>
  <c r="AZ84"/>
  <c r="BD84"/>
  <c r="W93"/>
  <c r="W94"/>
  <c r="W91"/>
  <c r="E56"/>
  <c r="H56"/>
  <c r="D49"/>
  <c r="AK81"/>
  <c r="AG63"/>
  <c r="AJ92"/>
  <c r="BD92"/>
  <c r="AZ92"/>
  <c r="AO46"/>
  <c r="AO82"/>
  <c r="AN82"/>
  <c r="S22"/>
  <c r="T22"/>
  <c r="L49"/>
  <c r="L56"/>
  <c r="M56"/>
  <c r="Q51"/>
  <c r="N37"/>
  <c r="O37"/>
  <c r="BD38"/>
  <c r="AD121" i="7"/>
  <c r="AI13"/>
  <c r="AI121"/>
  <c r="AH120"/>
  <c r="AB110"/>
  <c r="AL28"/>
  <c r="AM28"/>
  <c r="AN111"/>
  <c r="Y124"/>
  <c r="Y122"/>
  <c r="AK127"/>
  <c r="AK128"/>
  <c r="AK125"/>
  <c r="AJ122"/>
  <c r="AJ124"/>
  <c r="F51"/>
  <c r="Y56"/>
  <c r="BH47"/>
  <c r="BD47"/>
  <c r="P26" i="21"/>
  <c r="BC26" i="17"/>
  <c r="AQ20" i="7"/>
  <c r="AR20"/>
  <c r="AS20"/>
  <c r="BD28"/>
  <c r="AM20"/>
  <c r="BH20"/>
  <c r="BD20"/>
  <c r="BG41" i="8"/>
  <c r="G53" i="7"/>
  <c r="S23" i="8"/>
  <c r="T23"/>
  <c r="S18"/>
  <c r="T18"/>
  <c r="S20"/>
  <c r="T20"/>
  <c r="S19"/>
  <c r="T19"/>
  <c r="R51"/>
  <c r="R27"/>
  <c r="Y58" i="7"/>
  <c r="Y59"/>
  <c r="P51"/>
  <c r="AC30"/>
  <c r="AD30"/>
  <c r="AI39"/>
  <c r="P19"/>
  <c r="P17"/>
  <c r="AB40"/>
  <c r="AL23"/>
  <c r="AB39"/>
  <c r="AP39"/>
  <c r="P40"/>
  <c r="P41"/>
  <c r="O41"/>
  <c r="F45" i="5"/>
  <c r="R45"/>
  <c r="R46"/>
  <c r="Q45"/>
  <c r="H45"/>
  <c r="G42" i="7"/>
  <c r="V45" i="5"/>
  <c r="V46"/>
  <c r="U46"/>
  <c r="AB45"/>
  <c r="M45"/>
  <c r="M46"/>
  <c r="W45"/>
  <c r="W46"/>
  <c r="O45"/>
  <c r="O46"/>
  <c r="N50"/>
  <c r="P49"/>
  <c r="Q34" i="7"/>
  <c r="T34"/>
  <c r="U34"/>
  <c r="BA62" i="9"/>
  <c r="AC38" i="7"/>
  <c r="AD38"/>
  <c r="M42" i="3"/>
  <c r="W42"/>
  <c r="W48"/>
  <c r="Q19" i="8"/>
  <c r="P30" i="10"/>
  <c r="G31"/>
  <c r="Z59" i="19"/>
  <c r="AF47"/>
  <c r="H49"/>
  <c r="M49"/>
  <c r="W30"/>
  <c r="AF30"/>
  <c r="W24"/>
  <c r="W37"/>
  <c r="AF37"/>
  <c r="W16"/>
  <c r="AF16"/>
  <c r="W10"/>
  <c r="W45"/>
  <c r="W27"/>
  <c r="X47"/>
  <c r="AE47"/>
  <c r="X20"/>
  <c r="X37"/>
  <c r="X41"/>
  <c r="X45"/>
  <c r="X8"/>
  <c r="X17"/>
  <c r="X30"/>
  <c r="X35"/>
  <c r="AF41"/>
  <c r="AF40"/>
  <c r="AF8"/>
  <c r="AF38"/>
  <c r="U33" i="17"/>
  <c r="Y38" i="8"/>
  <c r="AX33" i="17"/>
  <c r="V33"/>
  <c r="N13" i="9"/>
  <c r="K13"/>
  <c r="AN42" i="8"/>
  <c r="AI10" i="17"/>
  <c r="AJ10"/>
  <c r="R32" i="7"/>
  <c r="R33"/>
  <c r="Z32"/>
  <c r="S32"/>
  <c r="S33"/>
  <c r="Q33"/>
  <c r="AX26" i="17"/>
  <c r="U26"/>
  <c r="W26"/>
  <c r="J27" i="21"/>
  <c r="K27"/>
  <c r="AP14" i="17"/>
  <c r="AM14"/>
  <c r="P13" i="8"/>
  <c r="AF23"/>
  <c r="Y24"/>
  <c r="AI40" i="7"/>
  <c r="AA41"/>
  <c r="AA11" i="9"/>
  <c r="H45" i="6"/>
  <c r="R19" i="8"/>
  <c r="BC33" i="17"/>
  <c r="AF17" i="19"/>
  <c r="AF25"/>
  <c r="AF29"/>
  <c r="O49" i="8"/>
  <c r="AA32" i="7"/>
  <c r="AC32"/>
  <c r="AD32"/>
  <c r="AP31"/>
  <c r="AB31"/>
  <c r="AI31"/>
  <c r="I56" i="8"/>
  <c r="I59"/>
  <c r="N60"/>
  <c r="R40" i="7"/>
  <c r="R41"/>
  <c r="Q41"/>
  <c r="S40"/>
  <c r="S41"/>
  <c r="Z40"/>
  <c r="J30" i="21"/>
  <c r="K30"/>
  <c r="V30" i="17"/>
  <c r="AX30"/>
  <c r="U30"/>
  <c r="AI29" i="8"/>
  <c r="AF32" i="19"/>
  <c r="AF28"/>
  <c r="AF20"/>
  <c r="AF21"/>
  <c r="AF34"/>
  <c r="AF19"/>
  <c r="AF27"/>
  <c r="AF36"/>
  <c r="AF18"/>
  <c r="AF33"/>
  <c r="AF31"/>
  <c r="AF15"/>
  <c r="AF35"/>
  <c r="AG14"/>
  <c r="AK59" i="7"/>
  <c r="AJ42" i="8"/>
  <c r="R34"/>
  <c r="AO29" i="17"/>
  <c r="AF23" i="19"/>
  <c r="AI52" i="7"/>
  <c r="F43" i="3"/>
  <c r="P54" i="9"/>
  <c r="T54"/>
  <c r="T16" i="7"/>
  <c r="U16"/>
  <c r="AC37"/>
  <c r="AD37"/>
  <c r="D52"/>
  <c r="AJ61" i="9"/>
  <c r="AQ61"/>
  <c r="L46" i="11"/>
  <c r="O53" i="7"/>
  <c r="AC40"/>
  <c r="AD40"/>
  <c r="V60" i="9"/>
  <c r="S62" i="7"/>
  <c r="P62"/>
  <c r="AC36"/>
  <c r="AP52"/>
  <c r="AQ52"/>
  <c r="AS52"/>
  <c r="AP26" i="9"/>
  <c r="AC10" i="7"/>
  <c r="AQ10"/>
  <c r="AR10"/>
  <c r="AS10"/>
  <c r="AC39"/>
  <c r="O56"/>
  <c r="AC28"/>
  <c r="AC11"/>
  <c r="AD11"/>
  <c r="AC46"/>
  <c r="AD46"/>
  <c r="Q84"/>
  <c r="AC45"/>
  <c r="AQ45"/>
  <c r="M57" i="3"/>
  <c r="AM46" i="11"/>
  <c r="AL42"/>
  <c r="AP42"/>
  <c r="AP45"/>
  <c r="AI19" i="8"/>
  <c r="AI79"/>
  <c r="H52" i="7"/>
  <c r="F52"/>
  <c r="AN52"/>
  <c r="AL60"/>
  <c r="AN60"/>
  <c r="K43" i="3"/>
  <c r="W36" i="7"/>
  <c r="W39"/>
  <c r="X39"/>
  <c r="W13"/>
  <c r="X13"/>
  <c r="W31"/>
  <c r="X31"/>
  <c r="W10"/>
  <c r="X10"/>
  <c r="W48"/>
  <c r="X48"/>
  <c r="W29"/>
  <c r="W9"/>
  <c r="AC31"/>
  <c r="BA60" i="9"/>
  <c r="E53" i="7"/>
  <c r="T9"/>
  <c r="U9"/>
  <c r="M48" i="3"/>
  <c r="AC29" i="7"/>
  <c r="AQ29"/>
  <c r="AC12"/>
  <c r="AB52"/>
  <c r="AB121"/>
  <c r="L42" i="11"/>
  <c r="AC13" i="7"/>
  <c r="AQ13"/>
  <c r="AK51" i="8"/>
  <c r="AI51"/>
  <c r="AI87"/>
  <c r="F44" i="3"/>
  <c r="E68" i="7"/>
  <c r="E70"/>
  <c r="T10"/>
  <c r="U10"/>
  <c r="T44"/>
  <c r="T45"/>
  <c r="U45"/>
  <c r="T40"/>
  <c r="T32"/>
  <c r="T29"/>
  <c r="U29"/>
  <c r="T36"/>
  <c r="U36"/>
  <c r="T28"/>
  <c r="U28"/>
  <c r="T12"/>
  <c r="U12"/>
  <c r="S52"/>
  <c r="T47"/>
  <c r="U47"/>
  <c r="R52"/>
  <c r="T48"/>
  <c r="U48"/>
  <c r="T39"/>
  <c r="U39"/>
  <c r="T31"/>
  <c r="U31"/>
  <c r="D21" i="32"/>
  <c r="B24"/>
  <c r="Z52" i="7"/>
  <c r="E44" i="3"/>
  <c r="E38"/>
  <c r="M56" i="72"/>
  <c r="M57"/>
  <c r="V57"/>
  <c r="M58" i="9"/>
  <c r="M59"/>
  <c r="V59"/>
  <c r="E47" i="3"/>
  <c r="G40" i="11"/>
  <c r="B53" i="7"/>
  <c r="D53"/>
  <c r="N32" i="21"/>
  <c r="AC50" i="19"/>
  <c r="AI28" i="8"/>
  <c r="AM28"/>
  <c r="AM76"/>
  <c r="V56" i="7"/>
  <c r="V53"/>
  <c r="AM47"/>
  <c r="Q24" i="35"/>
  <c r="G16" i="11"/>
  <c r="AH16"/>
  <c r="AB19" i="9"/>
  <c r="AJ58" i="7"/>
  <c r="AJ56"/>
  <c r="AH51"/>
  <c r="AJ53"/>
  <c r="AJ55"/>
  <c r="U56" i="8"/>
  <c r="U59"/>
  <c r="L53" i="7"/>
  <c r="N51"/>
  <c r="Q31" i="8"/>
  <c r="Q27"/>
  <c r="C16" i="11"/>
  <c r="P19" i="9"/>
  <c r="L16" i="11"/>
  <c r="K28" i="21"/>
  <c r="F28"/>
  <c r="AQ56" i="9"/>
  <c r="AL52"/>
  <c r="AL54"/>
  <c r="Y63" i="7"/>
  <c r="Z63"/>
  <c r="Z65"/>
  <c r="N55" i="34"/>
  <c r="L55"/>
  <c r="J55"/>
  <c r="H55"/>
  <c r="F55"/>
  <c r="O55"/>
  <c r="M55"/>
  <c r="K55"/>
  <c r="I55"/>
  <c r="G55"/>
  <c r="E55"/>
  <c r="F27" i="21"/>
  <c r="F14"/>
  <c r="F31"/>
  <c r="F12"/>
  <c r="F11"/>
  <c r="F13"/>
  <c r="F30"/>
  <c r="F15"/>
  <c r="F25"/>
  <c r="Z57" i="19"/>
  <c r="F23" i="36"/>
  <c r="F25"/>
  <c r="Z58" i="19"/>
  <c r="Z56"/>
  <c r="I53" i="7"/>
  <c r="I56"/>
  <c r="M56"/>
  <c r="Y16" i="11"/>
  <c r="F10" i="21"/>
  <c r="F29"/>
  <c r="F26"/>
  <c r="Q15" i="7"/>
  <c r="K47" i="6"/>
  <c r="K16" i="8"/>
  <c r="K8"/>
  <c r="K50" i="6"/>
  <c r="K41" i="8"/>
  <c r="K34"/>
  <c r="K49" i="6"/>
  <c r="K33" i="8"/>
  <c r="K27"/>
  <c r="AD25" i="6"/>
  <c r="O45"/>
  <c r="O46"/>
  <c r="X45"/>
  <c r="X48"/>
  <c r="W45"/>
  <c r="W46"/>
  <c r="P46"/>
  <c r="Q45"/>
  <c r="Q46"/>
  <c r="M45"/>
  <c r="M46"/>
  <c r="H41" i="8"/>
  <c r="M41"/>
  <c r="G37"/>
  <c r="X49" i="6"/>
  <c r="AC45"/>
  <c r="AI45"/>
  <c r="L46" i="5"/>
  <c r="L48"/>
  <c r="AA50"/>
  <c r="T26" i="7"/>
  <c r="Z26"/>
  <c r="R26"/>
  <c r="K49" i="5"/>
  <c r="K34" i="7"/>
  <c r="K27"/>
  <c r="L49" i="5"/>
  <c r="K48"/>
  <c r="K26" i="7"/>
  <c r="K17"/>
  <c r="K47" i="5"/>
  <c r="K16" i="7"/>
  <c r="K8"/>
  <c r="L50" i="5"/>
  <c r="K50"/>
  <c r="K42" i="7"/>
  <c r="K35"/>
  <c r="AC26" i="5"/>
  <c r="Q46"/>
  <c r="AL48" i="9"/>
  <c r="AL50"/>
  <c r="N17"/>
  <c r="K17"/>
  <c r="AQ62"/>
  <c r="AC14"/>
  <c r="Z74" i="7"/>
  <c r="T88"/>
  <c r="AA72"/>
  <c r="AA71"/>
  <c r="Z24"/>
  <c r="S24"/>
  <c r="S25"/>
  <c r="T24"/>
  <c r="T25"/>
  <c r="Q25"/>
  <c r="R24"/>
  <c r="R25"/>
  <c r="Q40" i="8"/>
  <c r="Q34"/>
  <c r="BO12" i="19"/>
  <c r="BN12"/>
  <c r="BP12"/>
  <c r="BH12"/>
  <c r="BI12"/>
  <c r="BG11"/>
  <c r="BP14"/>
  <c r="BA39" i="8"/>
  <c r="AZ75"/>
  <c r="D23" i="90"/>
  <c r="AP25" i="72"/>
  <c r="AN102" i="7"/>
  <c r="AO60"/>
  <c r="W43" i="3"/>
  <c r="AN58" i="72"/>
  <c r="F38" i="3"/>
  <c r="F39"/>
  <c r="M39"/>
  <c r="Q58" i="72"/>
  <c r="P12" i="70"/>
  <c r="P20"/>
  <c r="W8"/>
  <c r="L67" i="72"/>
  <c r="AQ59"/>
  <c r="BA59"/>
  <c r="AC14"/>
  <c r="AC17"/>
  <c r="AB17"/>
  <c r="Z9"/>
  <c r="AA9"/>
  <c r="AB13"/>
  <c r="AG45" i="5"/>
  <c r="AQ57" i="72"/>
  <c r="BA57"/>
  <c r="AM48"/>
  <c r="AH46" i="6"/>
  <c r="AH49"/>
  <c r="BC33" i="8"/>
  <c r="AH48" i="6"/>
  <c r="BC26" i="8"/>
  <c r="AH47" i="6"/>
  <c r="BC16" i="8"/>
  <c r="AH50" i="6"/>
  <c r="BC41" i="8"/>
  <c r="AP26" i="72"/>
  <c r="Z30" i="8"/>
  <c r="Z31"/>
  <c r="AJ75"/>
  <c r="AI76"/>
  <c r="AZ76"/>
  <c r="R10" i="70"/>
  <c r="Y31" i="8"/>
  <c r="W11" i="70"/>
  <c r="N12"/>
  <c r="BH28" i="7"/>
  <c r="Z14"/>
  <c r="AB14"/>
  <c r="F13" i="61"/>
  <c r="E13"/>
  <c r="W49" i="19"/>
  <c r="Q58" i="9"/>
  <c r="P50"/>
  <c r="C24" i="63"/>
  <c r="D23"/>
  <c r="AK75" i="8"/>
  <c r="D21" i="87"/>
  <c r="R14" i="7"/>
  <c r="R8"/>
  <c r="S14"/>
  <c r="S8"/>
  <c r="AC14"/>
  <c r="AD14"/>
  <c r="AD113"/>
  <c r="V52" i="9"/>
  <c r="BD75" i="8"/>
  <c r="P17"/>
  <c r="AZ38"/>
  <c r="H53" i="7"/>
  <c r="T25" i="8"/>
  <c r="M71" i="56"/>
  <c r="M81"/>
  <c r="X87" i="6"/>
  <c r="Y87"/>
  <c r="X88"/>
  <c r="Y88"/>
  <c r="BB29" i="17"/>
  <c r="AI13" i="8"/>
  <c r="AI77"/>
  <c r="BD77"/>
  <c r="BE25" i="7"/>
  <c r="BC24"/>
  <c r="BC25"/>
  <c r="AA15"/>
  <c r="AP15"/>
  <c r="K16" i="21"/>
  <c r="J28"/>
  <c r="B84" i="56"/>
  <c r="C83"/>
  <c r="B81"/>
  <c r="G71"/>
  <c r="G81"/>
  <c r="W72"/>
  <c r="W112"/>
  <c r="W92"/>
  <c r="BL36" i="17"/>
  <c r="BX36"/>
  <c r="AI14" i="7"/>
  <c r="M49" i="8"/>
  <c r="P55" i="9"/>
  <c r="U55"/>
  <c r="AF51" i="8"/>
  <c r="F53" i="7"/>
  <c r="P25" i="21"/>
  <c r="BA40" i="8"/>
  <c r="AY39"/>
  <c r="AY40"/>
  <c r="BT27" i="17"/>
  <c r="BS27"/>
  <c r="BC31" i="7"/>
  <c r="Q24" i="8"/>
  <c r="Q25"/>
  <c r="R24"/>
  <c r="R25"/>
  <c r="P25"/>
  <c r="BT30" i="17"/>
  <c r="BS30"/>
  <c r="P36"/>
  <c r="P24"/>
  <c r="BF30" i="11"/>
  <c r="BG30"/>
  <c r="BF33"/>
  <c r="BE43"/>
  <c r="BG33"/>
  <c r="I83" i="56"/>
  <c r="N83"/>
  <c r="N82"/>
  <c r="I84"/>
  <c r="G84"/>
  <c r="AG47" i="19"/>
  <c r="AQ47"/>
  <c r="J11" i="21"/>
  <c r="J14"/>
  <c r="J15"/>
  <c r="J10"/>
  <c r="J13"/>
  <c r="J9"/>
  <c r="BF29" i="11"/>
  <c r="BE41"/>
  <c r="BG29"/>
  <c r="AI24" i="8"/>
  <c r="BD23"/>
  <c r="AN61"/>
  <c r="AN92"/>
  <c r="AM92"/>
  <c r="P31" i="10"/>
  <c r="W31"/>
  <c r="AP14" i="7"/>
  <c r="Q54" i="9"/>
  <c r="Q55"/>
  <c r="M43" i="3"/>
  <c r="Z51" i="8"/>
  <c r="Z87"/>
  <c r="J26" i="21"/>
  <c r="AF45" i="5"/>
  <c r="AF48"/>
  <c r="BT31" i="17"/>
  <c r="BS31"/>
  <c r="AJ23" i="8"/>
  <c r="BF39" i="7"/>
  <c r="BF40"/>
  <c r="BF41"/>
  <c r="BE40"/>
  <c r="J31" i="21"/>
  <c r="B73" i="56"/>
  <c r="B72"/>
  <c r="C72"/>
  <c r="O82"/>
  <c r="BT32" i="17"/>
  <c r="BS32"/>
  <c r="BA29" i="8"/>
  <c r="BA30"/>
  <c r="AX50" i="9"/>
  <c r="BE50"/>
  <c r="AX52"/>
  <c r="BE52"/>
  <c r="AX48"/>
  <c r="AZ48"/>
  <c r="AO54"/>
  <c r="AG46" i="6"/>
  <c r="AG47"/>
  <c r="AG49"/>
  <c r="BA33" i="8"/>
  <c r="AG50" i="6"/>
  <c r="AG48"/>
  <c r="AB46" i="5"/>
  <c r="AH45"/>
  <c r="N13" i="21"/>
  <c r="H29"/>
  <c r="I29"/>
  <c r="J25"/>
  <c r="K25"/>
  <c r="AK87" i="8"/>
  <c r="AJ87"/>
  <c r="BD87"/>
  <c r="AZ87"/>
  <c r="AO42"/>
  <c r="AO81"/>
  <c r="AN81"/>
  <c r="AY81"/>
  <c r="AZ81"/>
  <c r="AZ42"/>
  <c r="AJ81"/>
  <c r="BD81"/>
  <c r="BD76"/>
  <c r="AJ79"/>
  <c r="BD79"/>
  <c r="T17"/>
  <c r="T49"/>
  <c r="T59"/>
  <c r="S25"/>
  <c r="S17"/>
  <c r="S49"/>
  <c r="S56"/>
  <c r="AJ28"/>
  <c r="BD28"/>
  <c r="AZ28"/>
  <c r="BD19"/>
  <c r="AJ51"/>
  <c r="AZ51"/>
  <c r="BD51"/>
  <c r="BD29"/>
  <c r="AD13" i="7"/>
  <c r="AN121"/>
  <c r="Y127"/>
  <c r="Y128"/>
  <c r="Y125"/>
  <c r="AL111"/>
  <c r="AH124"/>
  <c r="AH122"/>
  <c r="AD12"/>
  <c r="AC111"/>
  <c r="AD10"/>
  <c r="AC110"/>
  <c r="AJ127"/>
  <c r="AJ128"/>
  <c r="AJ125"/>
  <c r="BH23"/>
  <c r="BD23"/>
  <c r="P53"/>
  <c r="AN45"/>
  <c r="AE27"/>
  <c r="AB41"/>
  <c r="W49" i="5"/>
  <c r="AA34" i="7"/>
  <c r="AB34"/>
  <c r="W48" i="5"/>
  <c r="AA26" i="7"/>
  <c r="W47" i="5"/>
  <c r="AA16" i="7"/>
  <c r="AI16"/>
  <c r="H42"/>
  <c r="G38"/>
  <c r="H38"/>
  <c r="U8"/>
  <c r="AC45" i="5"/>
  <c r="P50"/>
  <c r="O42" i="7"/>
  <c r="R34"/>
  <c r="Z34"/>
  <c r="S34"/>
  <c r="AI34"/>
  <c r="AX54" i="9"/>
  <c r="AZ50"/>
  <c r="AD29" i="7"/>
  <c r="AQ40"/>
  <c r="AR40"/>
  <c r="AS40"/>
  <c r="AC33"/>
  <c r="X49" i="19"/>
  <c r="AR49"/>
  <c r="AR50"/>
  <c r="AI30" i="8"/>
  <c r="AJ29"/>
  <c r="AK29"/>
  <c r="Y13"/>
  <c r="Y77"/>
  <c r="AF77"/>
  <c r="U29" i="17"/>
  <c r="T29"/>
  <c r="AT29"/>
  <c r="AA33" i="7"/>
  <c r="AI32"/>
  <c r="AB32"/>
  <c r="AP32"/>
  <c r="AQ32"/>
  <c r="AF13" i="19"/>
  <c r="AD10"/>
  <c r="AP41" i="7"/>
  <c r="AI41"/>
  <c r="AF24" i="8"/>
  <c r="Y25"/>
  <c r="BC25"/>
  <c r="BR25"/>
  <c r="P14"/>
  <c r="Q13"/>
  <c r="R13"/>
  <c r="F16" i="21"/>
  <c r="AF9" i="19"/>
  <c r="Z41" i="7"/>
  <c r="AO14" i="17"/>
  <c r="AN14"/>
  <c r="P37"/>
  <c r="P29"/>
  <c r="AA23" i="7"/>
  <c r="AA112"/>
  <c r="AI112"/>
  <c r="U24" i="17"/>
  <c r="Z33" i="7"/>
  <c r="Q27"/>
  <c r="AK10" i="17"/>
  <c r="AJ8"/>
  <c r="AF38" i="8"/>
  <c r="Z38"/>
  <c r="Y39"/>
  <c r="AJ38"/>
  <c r="F47" i="3"/>
  <c r="AD36" i="7"/>
  <c r="AQ36"/>
  <c r="AR36"/>
  <c r="AS36"/>
  <c r="AD39"/>
  <c r="AD41"/>
  <c r="AQ39"/>
  <c r="AR39"/>
  <c r="AS39"/>
  <c r="E103" i="8"/>
  <c r="T117"/>
  <c r="T120"/>
  <c r="AC41" i="7"/>
  <c r="AD28"/>
  <c r="AQ28"/>
  <c r="AR28"/>
  <c r="AJ19" i="8"/>
  <c r="X9" i="7"/>
  <c r="X8"/>
  <c r="W8"/>
  <c r="AN13"/>
  <c r="H62"/>
  <c r="AL52"/>
  <c r="AL121"/>
  <c r="BH121"/>
  <c r="T62"/>
  <c r="AN39"/>
  <c r="AN10"/>
  <c r="AN31"/>
  <c r="AN36"/>
  <c r="AN29"/>
  <c r="X36"/>
  <c r="X35"/>
  <c r="W35"/>
  <c r="K44" i="3"/>
  <c r="M44"/>
  <c r="K47"/>
  <c r="AN58" i="9"/>
  <c r="AQ60"/>
  <c r="AM52"/>
  <c r="H102" i="8"/>
  <c r="AD31" i="7"/>
  <c r="AQ31"/>
  <c r="AR31"/>
  <c r="AS31"/>
  <c r="X29"/>
  <c r="X27"/>
  <c r="W27"/>
  <c r="AM54" i="9"/>
  <c r="AP54"/>
  <c r="T33" i="7"/>
  <c r="T27"/>
  <c r="U32"/>
  <c r="U27"/>
  <c r="G32" i="11"/>
  <c r="G31"/>
  <c r="G33"/>
  <c r="G29"/>
  <c r="E39" i="3"/>
  <c r="M56" i="9"/>
  <c r="M57"/>
  <c r="V57"/>
  <c r="E42" i="3"/>
  <c r="D24" i="32"/>
  <c r="B25"/>
  <c r="D25"/>
  <c r="U44" i="7"/>
  <c r="T43"/>
  <c r="T8"/>
  <c r="G68"/>
  <c r="T41"/>
  <c r="U40"/>
  <c r="U41"/>
  <c r="AO52" i="9"/>
  <c r="P20"/>
  <c r="AP20"/>
  <c r="AN57"/>
  <c r="P21"/>
  <c r="P22"/>
  <c r="AP22"/>
  <c r="AN59"/>
  <c r="L68"/>
  <c r="C7" i="11"/>
  <c r="C11"/>
  <c r="C9"/>
  <c r="C10"/>
  <c r="C8"/>
  <c r="N53" i="7"/>
  <c r="M53"/>
  <c r="AB9" i="9"/>
  <c r="AB21"/>
  <c r="AB11"/>
  <c r="AC11"/>
  <c r="F32" i="21"/>
  <c r="Y10" i="11"/>
  <c r="Y11"/>
  <c r="Y7"/>
  <c r="Y9"/>
  <c r="AR29" i="7"/>
  <c r="AS29"/>
  <c r="Y65"/>
  <c r="AA65"/>
  <c r="Q83"/>
  <c r="Q85"/>
  <c r="L10" i="11"/>
  <c r="L8"/>
  <c r="L7"/>
  <c r="L9"/>
  <c r="L11"/>
  <c r="AR45" i="7"/>
  <c r="AH58"/>
  <c r="AH53"/>
  <c r="AH56"/>
  <c r="AH55"/>
  <c r="AJ59"/>
  <c r="AG7" i="11"/>
  <c r="AK7"/>
  <c r="AG11"/>
  <c r="AK11"/>
  <c r="G9"/>
  <c r="G11"/>
  <c r="G10"/>
  <c r="G7"/>
  <c r="G8"/>
  <c r="P56" i="7"/>
  <c r="Z15"/>
  <c r="Q8"/>
  <c r="Z8"/>
  <c r="K49" i="8"/>
  <c r="K56"/>
  <c r="X47" i="6"/>
  <c r="Y16" i="8"/>
  <c r="X46" i="6"/>
  <c r="AB53"/>
  <c r="X50"/>
  <c r="Y41" i="8"/>
  <c r="Y33"/>
  <c r="Z33"/>
  <c r="AD45" i="6"/>
  <c r="AC46"/>
  <c r="Y26" i="8"/>
  <c r="H37"/>
  <c r="M37"/>
  <c r="L47" i="5"/>
  <c r="K51" i="7"/>
  <c r="K53"/>
  <c r="AO50" i="9"/>
  <c r="AO48"/>
  <c r="Z9" i="8"/>
  <c r="AF9"/>
  <c r="AC17" i="9"/>
  <c r="P9" i="8"/>
  <c r="U88" i="7"/>
  <c r="Y117" i="8"/>
  <c r="Y120"/>
  <c r="Z120"/>
  <c r="Z25" i="7"/>
  <c r="AR13"/>
  <c r="AS13"/>
  <c r="BV16" i="8"/>
  <c r="BR16"/>
  <c r="BE33"/>
  <c r="BF33"/>
  <c r="BV33"/>
  <c r="BR33"/>
  <c r="BE41"/>
  <c r="BV41"/>
  <c r="BR41"/>
  <c r="BE26"/>
  <c r="BF26"/>
  <c r="BV26"/>
  <c r="BR26"/>
  <c r="D21" i="88"/>
  <c r="M38" i="3"/>
  <c r="L40" i="11"/>
  <c r="K33"/>
  <c r="O33"/>
  <c r="Q56" i="9"/>
  <c r="P48"/>
  <c r="T68" i="7"/>
  <c r="Q68"/>
  <c r="AQ14"/>
  <c r="AR14"/>
  <c r="BF80" i="8"/>
  <c r="BH111" i="7"/>
  <c r="BC80" i="8"/>
  <c r="BR80"/>
  <c r="BE16"/>
  <c r="AN48" i="72"/>
  <c r="AP48"/>
  <c r="AA44" i="7"/>
  <c r="Q56" i="72"/>
  <c r="AO61" i="8"/>
  <c r="AO92"/>
  <c r="AG46" i="5"/>
  <c r="AG49"/>
  <c r="BG34" i="7"/>
  <c r="BI34"/>
  <c r="BJ34"/>
  <c r="AG47" i="5"/>
  <c r="BG16" i="7"/>
  <c r="AG50" i="5"/>
  <c r="BG42" i="7"/>
  <c r="BI42"/>
  <c r="BJ42"/>
  <c r="AG48" i="5"/>
  <c r="BG26" i="7"/>
  <c r="BI26"/>
  <c r="V58" i="72"/>
  <c r="P50"/>
  <c r="AQ58"/>
  <c r="AM50"/>
  <c r="BA58"/>
  <c r="V58" i="9"/>
  <c r="AJ76" i="8"/>
  <c r="R12" i="70"/>
  <c r="R20"/>
  <c r="W10"/>
  <c r="AB16" i="7"/>
  <c r="N20" i="70"/>
  <c r="W12"/>
  <c r="AF47" i="5"/>
  <c r="BE16" i="7"/>
  <c r="BF16"/>
  <c r="AB48" i="5"/>
  <c r="AB52"/>
  <c r="AC16" i="7"/>
  <c r="AP34"/>
  <c r="AP16"/>
  <c r="C25" i="63"/>
  <c r="D25"/>
  <c r="D24"/>
  <c r="AR51" i="19"/>
  <c r="BG39" i="11"/>
  <c r="BE19" i="7"/>
  <c r="BE114"/>
  <c r="V54" i="9"/>
  <c r="Y18" i="8"/>
  <c r="Y74"/>
  <c r="AF74"/>
  <c r="AZ29"/>
  <c r="Q17"/>
  <c r="S59"/>
  <c r="S102"/>
  <c r="L102"/>
  <c r="L104"/>
  <c r="Z20"/>
  <c r="AM20"/>
  <c r="Z24"/>
  <c r="AM24"/>
  <c r="AM78"/>
  <c r="L71" i="56"/>
  <c r="L81"/>
  <c r="T55" i="9"/>
  <c r="N84" i="56"/>
  <c r="L84"/>
  <c r="E102" i="8"/>
  <c r="E104"/>
  <c r="Z23"/>
  <c r="AA23"/>
  <c r="W82" i="56"/>
  <c r="W102"/>
  <c r="W122"/>
  <c r="C82"/>
  <c r="R82"/>
  <c r="B83"/>
  <c r="B82"/>
  <c r="BA29" i="17"/>
  <c r="BP29"/>
  <c r="BA35"/>
  <c r="BP35"/>
  <c r="BE48" i="9"/>
  <c r="AF50" i="5"/>
  <c r="BE42" i="7"/>
  <c r="AF49" i="5"/>
  <c r="BE34" i="7"/>
  <c r="BF34"/>
  <c r="BE41"/>
  <c r="BC40"/>
  <c r="BC41"/>
  <c r="BS29" i="17"/>
  <c r="BF39" i="8"/>
  <c r="R17"/>
  <c r="BJ24" i="7"/>
  <c r="BJ17"/>
  <c r="AN54" i="9"/>
  <c r="AQ54"/>
  <c r="AC34" i="7"/>
  <c r="AD34"/>
  <c r="Z19" i="8"/>
  <c r="Z79"/>
  <c r="Z21"/>
  <c r="AA21"/>
  <c r="AZ52" i="9"/>
  <c r="AF46" i="5"/>
  <c r="BS24" i="17"/>
  <c r="AN56" i="19"/>
  <c r="BF41" i="11"/>
  <c r="BG41"/>
  <c r="J16" i="21"/>
  <c r="BA23" i="8"/>
  <c r="BB23"/>
  <c r="AZ23"/>
  <c r="AJ24"/>
  <c r="AI25"/>
  <c r="BA31"/>
  <c r="AY30"/>
  <c r="AY31"/>
  <c r="BF30"/>
  <c r="BF27"/>
  <c r="BC112" i="7"/>
  <c r="BE13"/>
  <c r="BF13"/>
  <c r="BF43" i="11"/>
  <c r="BG43"/>
  <c r="BE31" i="7"/>
  <c r="BE32"/>
  <c r="BD13" i="8"/>
  <c r="AK13"/>
  <c r="AB54" i="6"/>
  <c r="X52"/>
  <c r="AC48"/>
  <c r="V74"/>
  <c r="BG50" i="9"/>
  <c r="BE18" i="7"/>
  <c r="BA9" i="8"/>
  <c r="BE9" i="7"/>
  <c r="BF9"/>
  <c r="BF109"/>
  <c r="BA41" i="8"/>
  <c r="BA34"/>
  <c r="AY34"/>
  <c r="BA16"/>
  <c r="AY80"/>
  <c r="AC47" i="6"/>
  <c r="V64"/>
  <c r="AD46"/>
  <c r="AI46"/>
  <c r="BA26" i="8"/>
  <c r="BB26"/>
  <c r="BB33"/>
  <c r="BB27"/>
  <c r="BA27"/>
  <c r="BE26" i="7"/>
  <c r="AC46" i="5"/>
  <c r="AH46"/>
  <c r="P13" i="21"/>
  <c r="N16"/>
  <c r="O13"/>
  <c r="K29"/>
  <c r="I32"/>
  <c r="J29"/>
  <c r="J32"/>
  <c r="P29"/>
  <c r="AJ77" i="8"/>
  <c r="AF16"/>
  <c r="Y80"/>
  <c r="AF80"/>
  <c r="T56"/>
  <c r="AN110" i="7"/>
  <c r="D21" i="85"/>
  <c r="I21"/>
  <c r="AD112" i="7"/>
  <c r="AM121"/>
  <c r="BD121"/>
  <c r="AH127"/>
  <c r="AH125"/>
  <c r="AM111"/>
  <c r="BD111"/>
  <c r="AN112"/>
  <c r="AD110"/>
  <c r="AD111"/>
  <c r="AL45"/>
  <c r="BH45"/>
  <c r="BH52"/>
  <c r="BD52"/>
  <c r="Z16" i="8"/>
  <c r="AS45" i="7"/>
  <c r="AS28"/>
  <c r="AE25"/>
  <c r="AE17"/>
  <c r="AE8"/>
  <c r="U43"/>
  <c r="AE41"/>
  <c r="AE35"/>
  <c r="AF33"/>
  <c r="BG33"/>
  <c r="AA27"/>
  <c r="AB27"/>
  <c r="AQ41"/>
  <c r="Q42"/>
  <c r="W50" i="5"/>
  <c r="AA42" i="7"/>
  <c r="AP42"/>
  <c r="P42"/>
  <c r="O38"/>
  <c r="P38"/>
  <c r="AZ51" i="9"/>
  <c r="BG48"/>
  <c r="BG52"/>
  <c r="AZ54"/>
  <c r="BE54"/>
  <c r="BA59"/>
  <c r="AQ58"/>
  <c r="BA58"/>
  <c r="BA57"/>
  <c r="M47" i="3"/>
  <c r="W47"/>
  <c r="Z39" i="8"/>
  <c r="Z40"/>
  <c r="Y40"/>
  <c r="AF39"/>
  <c r="AA24" i="7"/>
  <c r="AA113"/>
  <c r="AI113"/>
  <c r="AI23"/>
  <c r="AB23"/>
  <c r="AB112"/>
  <c r="AP23"/>
  <c r="AC23"/>
  <c r="AC112"/>
  <c r="AM23"/>
  <c r="P15" i="8"/>
  <c r="P8"/>
  <c r="P49"/>
  <c r="R14"/>
  <c r="R15"/>
  <c r="Q14"/>
  <c r="Q15"/>
  <c r="AI33" i="7"/>
  <c r="AP33"/>
  <c r="AQ33"/>
  <c r="AF13" i="8"/>
  <c r="Z13"/>
  <c r="Y14"/>
  <c r="Y78"/>
  <c r="AF78"/>
  <c r="AJ13"/>
  <c r="D26" i="32"/>
  <c r="AN44" i="7"/>
  <c r="AO44"/>
  <c r="AH8" i="17"/>
  <c r="AI8"/>
  <c r="AK8"/>
  <c r="AO8"/>
  <c r="S27" i="7"/>
  <c r="Z27"/>
  <c r="R27"/>
  <c r="T24" i="17"/>
  <c r="AT24"/>
  <c r="T35"/>
  <c r="AD11" i="19"/>
  <c r="AF10"/>
  <c r="AR32" i="7"/>
  <c r="AS32"/>
  <c r="T37" i="17"/>
  <c r="AT37"/>
  <c r="AX29"/>
  <c r="V29"/>
  <c r="BC29"/>
  <c r="AK30" i="8"/>
  <c r="AJ30"/>
  <c r="AI31"/>
  <c r="E63" i="7"/>
  <c r="AP10" i="11"/>
  <c r="AM32"/>
  <c r="AL32"/>
  <c r="AP32"/>
  <c r="AO29" i="7"/>
  <c r="AO13"/>
  <c r="AO31"/>
  <c r="AL31"/>
  <c r="AN32"/>
  <c r="AN40"/>
  <c r="AO39"/>
  <c r="AL39"/>
  <c r="E62"/>
  <c r="L62"/>
  <c r="L64"/>
  <c r="AN14"/>
  <c r="X51"/>
  <c r="AO10"/>
  <c r="AP52" i="9"/>
  <c r="AN52"/>
  <c r="BA52"/>
  <c r="AO36" i="7"/>
  <c r="AM52"/>
  <c r="AM55" i="9"/>
  <c r="AP55"/>
  <c r="AP9" i="11"/>
  <c r="AM31"/>
  <c r="AL31"/>
  <c r="AP31"/>
  <c r="W51" i="7"/>
  <c r="V56" i="9"/>
  <c r="T50"/>
  <c r="Q50"/>
  <c r="L68" i="7"/>
  <c r="L70"/>
  <c r="AK15" i="11"/>
  <c r="Q19" i="7"/>
  <c r="S19"/>
  <c r="AH59"/>
  <c r="Q18"/>
  <c r="AC13" i="9"/>
  <c r="AQ59"/>
  <c r="AM50"/>
  <c r="AP8" i="11"/>
  <c r="AA64" i="7"/>
  <c r="S69"/>
  <c r="Z9" i="9"/>
  <c r="AA9"/>
  <c r="AB13"/>
  <c r="AM48"/>
  <c r="AQ57"/>
  <c r="AP11" i="11"/>
  <c r="AM33"/>
  <c r="AL33"/>
  <c r="AP33"/>
  <c r="AP7"/>
  <c r="Z67" i="7"/>
  <c r="T87"/>
  <c r="X54" i="6"/>
  <c r="AC50"/>
  <c r="V113"/>
  <c r="X53"/>
  <c r="AC49"/>
  <c r="V100"/>
  <c r="AB52"/>
  <c r="AC51"/>
  <c r="AF26" i="8"/>
  <c r="Z26"/>
  <c r="AM26"/>
  <c r="AF41"/>
  <c r="Z41"/>
  <c r="Y34"/>
  <c r="AF34"/>
  <c r="AF33"/>
  <c r="Z27"/>
  <c r="Y27"/>
  <c r="AF27"/>
  <c r="AC26" i="7"/>
  <c r="AI26"/>
  <c r="AP26"/>
  <c r="AB26"/>
  <c r="AB47" i="5"/>
  <c r="AB51"/>
  <c r="AB49"/>
  <c r="Q9" i="8"/>
  <c r="R9"/>
  <c r="V55" i="9"/>
  <c r="O55"/>
  <c r="S55"/>
  <c r="AQ15" i="7"/>
  <c r="BE80" i="8"/>
  <c r="AS14" i="7"/>
  <c r="K32" i="11"/>
  <c r="O32"/>
  <c r="K31"/>
  <c r="O31"/>
  <c r="Z77" i="8"/>
  <c r="BF34"/>
  <c r="AP50" i="72"/>
  <c r="AN50"/>
  <c r="AN51"/>
  <c r="Q50"/>
  <c r="V50"/>
  <c r="T50"/>
  <c r="BG115" i="7"/>
  <c r="BI16"/>
  <c r="V56" i="72"/>
  <c r="P48"/>
  <c r="AQ48"/>
  <c r="BA48"/>
  <c r="AM51"/>
  <c r="AP51"/>
  <c r="BR29" i="17"/>
  <c r="AN57" i="19"/>
  <c r="AN60"/>
  <c r="AB44" i="7"/>
  <c r="AP44"/>
  <c r="AI44"/>
  <c r="AA43"/>
  <c r="AC44"/>
  <c r="Q8" i="8"/>
  <c r="Q49"/>
  <c r="W20" i="70"/>
  <c r="V21"/>
  <c r="AN26" i="7"/>
  <c r="AL26"/>
  <c r="BH26"/>
  <c r="D39" i="63"/>
  <c r="D36"/>
  <c r="AQ16" i="7"/>
  <c r="AR16"/>
  <c r="AS16"/>
  <c r="AI39" i="8"/>
  <c r="BC40"/>
  <c r="BR40"/>
  <c r="BJ33" i="7"/>
  <c r="BI33"/>
  <c r="AK39" i="8"/>
  <c r="BE40"/>
  <c r="AM45" i="7"/>
  <c r="AZ30" i="8"/>
  <c r="AY27"/>
  <c r="Z18"/>
  <c r="Z74"/>
  <c r="AP27" i="7"/>
  <c r="BC114"/>
  <c r="AC42"/>
  <c r="AC35"/>
  <c r="AI27"/>
  <c r="Y17" i="8"/>
  <c r="AF17"/>
  <c r="BC17" i="7"/>
  <c r="BC115"/>
  <c r="BD45"/>
  <c r="AC27"/>
  <c r="AQ34"/>
  <c r="AR34"/>
  <c r="AS34"/>
  <c r="AA20" i="8"/>
  <c r="AA75"/>
  <c r="AF18"/>
  <c r="AA24"/>
  <c r="AA78"/>
  <c r="P102"/>
  <c r="Z25"/>
  <c r="BE25"/>
  <c r="AI18"/>
  <c r="BD18"/>
  <c r="Q102"/>
  <c r="AM19"/>
  <c r="AM79"/>
  <c r="Z75"/>
  <c r="BF31" i="7"/>
  <c r="BF32"/>
  <c r="BF33"/>
  <c r="AM23" i="8"/>
  <c r="AM77"/>
  <c r="G102"/>
  <c r="BB77"/>
  <c r="BB24"/>
  <c r="BF14" i="7"/>
  <c r="BR24" i="17"/>
  <c r="BR35"/>
  <c r="BT35"/>
  <c r="BI17" i="7"/>
  <c r="BG24"/>
  <c r="BV24"/>
  <c r="BT29" i="17"/>
  <c r="BR37"/>
  <c r="BI40" i="7"/>
  <c r="BJ40"/>
  <c r="AA35"/>
  <c r="BC35"/>
  <c r="BA13" i="8"/>
  <c r="BA14"/>
  <c r="AY77"/>
  <c r="AZ77"/>
  <c r="AZ13"/>
  <c r="BL35" i="17"/>
  <c r="BX35"/>
  <c r="AB42" i="7"/>
  <c r="AB115"/>
  <c r="BE27" i="8"/>
  <c r="BE33" i="7"/>
  <c r="BE27"/>
  <c r="BG45" i="11"/>
  <c r="BL29" i="17"/>
  <c r="BX29"/>
  <c r="BA37"/>
  <c r="BP37"/>
  <c r="AA19" i="8"/>
  <c r="AA79"/>
  <c r="BE112" i="7"/>
  <c r="BE14"/>
  <c r="BA24" i="8"/>
  <c r="BC109" i="7"/>
  <c r="X100" i="6"/>
  <c r="Y100"/>
  <c r="V104"/>
  <c r="V105"/>
  <c r="V101"/>
  <c r="V102"/>
  <c r="V107"/>
  <c r="V106"/>
  <c r="V108"/>
  <c r="V110"/>
  <c r="V112"/>
  <c r="X64"/>
  <c r="V65"/>
  <c r="V66"/>
  <c r="V67"/>
  <c r="V68"/>
  <c r="V70"/>
  <c r="V71"/>
  <c r="V73"/>
  <c r="V123"/>
  <c r="V124"/>
  <c r="V75"/>
  <c r="V76"/>
  <c r="V77"/>
  <c r="V78"/>
  <c r="V79"/>
  <c r="V80"/>
  <c r="V81"/>
  <c r="V83"/>
  <c r="V84"/>
  <c r="V85"/>
  <c r="V86"/>
  <c r="X74"/>
  <c r="Y74"/>
  <c r="V89"/>
  <c r="V91"/>
  <c r="V92"/>
  <c r="V93"/>
  <c r="V94"/>
  <c r="V96"/>
  <c r="V97"/>
  <c r="V98"/>
  <c r="V99"/>
  <c r="X113"/>
  <c r="Y113"/>
  <c r="V115"/>
  <c r="V117"/>
  <c r="V119"/>
  <c r="V121"/>
  <c r="V114"/>
  <c r="V116"/>
  <c r="V122"/>
  <c r="BG54" i="9"/>
  <c r="BE17" i="7"/>
  <c r="BE109"/>
  <c r="BA80" i="8"/>
  <c r="BB80"/>
  <c r="BF42" i="7"/>
  <c r="BF35"/>
  <c r="BE35"/>
  <c r="BE115"/>
  <c r="K32" i="21"/>
  <c r="P32"/>
  <c r="O10"/>
  <c r="O29"/>
  <c r="O26"/>
  <c r="O25"/>
  <c r="O32"/>
  <c r="O15"/>
  <c r="O27"/>
  <c r="O12"/>
  <c r="O30"/>
  <c r="O31"/>
  <c r="P16"/>
  <c r="O14"/>
  <c r="O28"/>
  <c r="O11"/>
  <c r="O9"/>
  <c r="AL23" i="8"/>
  <c r="AL77"/>
  <c r="AA77"/>
  <c r="AN20"/>
  <c r="AM75"/>
  <c r="Y85"/>
  <c r="BC30"/>
  <c r="BU30"/>
  <c r="Z80"/>
  <c r="R8"/>
  <c r="R49"/>
  <c r="Z34"/>
  <c r="AZ31"/>
  <c r="AZ39"/>
  <c r="AO112" i="7"/>
  <c r="AH128"/>
  <c r="AO110"/>
  <c r="AA115"/>
  <c r="AI115"/>
  <c r="AB50" i="5"/>
  <c r="AN42" i="7"/>
  <c r="AO42"/>
  <c r="AI42"/>
  <c r="AV33"/>
  <c r="AV27"/>
  <c r="AY33"/>
  <c r="AY27"/>
  <c r="BH39"/>
  <c r="BD39"/>
  <c r="BH31"/>
  <c r="BD31"/>
  <c r="AV113"/>
  <c r="AV120"/>
  <c r="AD27"/>
  <c r="AG27"/>
  <c r="BC35" i="17"/>
  <c r="AT35"/>
  <c r="AR41" i="7"/>
  <c r="T42"/>
  <c r="T35"/>
  <c r="R42"/>
  <c r="Z42"/>
  <c r="S42"/>
  <c r="Q35"/>
  <c r="AX51" i="9"/>
  <c r="BE51"/>
  <c r="BG51"/>
  <c r="BA54"/>
  <c r="AZ55"/>
  <c r="Z19" i="7"/>
  <c r="AK31" i="8"/>
  <c r="AF14"/>
  <c r="Z14"/>
  <c r="Y15"/>
  <c r="BC15"/>
  <c r="BR15"/>
  <c r="AK40"/>
  <c r="AQ23" i="7"/>
  <c r="AR23"/>
  <c r="AS23"/>
  <c r="AO37" i="17"/>
  <c r="V37"/>
  <c r="AA37"/>
  <c r="AX37"/>
  <c r="AF11" i="19"/>
  <c r="AD49"/>
  <c r="AH56"/>
  <c r="T36" i="17"/>
  <c r="AT36"/>
  <c r="V24"/>
  <c r="AX24"/>
  <c r="BC24"/>
  <c r="AR33" i="7"/>
  <c r="AS33"/>
  <c r="AI24"/>
  <c r="AP24"/>
  <c r="AB24"/>
  <c r="AB113"/>
  <c r="AC24"/>
  <c r="AA25"/>
  <c r="AJ39" i="8"/>
  <c r="AI40"/>
  <c r="T19" i="7"/>
  <c r="AN15"/>
  <c r="R19"/>
  <c r="AM31"/>
  <c r="AL36"/>
  <c r="AI9" i="8"/>
  <c r="AQ52" i="9"/>
  <c r="AN41" i="7"/>
  <c r="AL13"/>
  <c r="AL112"/>
  <c r="AO14"/>
  <c r="W56"/>
  <c r="W53"/>
  <c r="E77"/>
  <c r="G62"/>
  <c r="Q62"/>
  <c r="AL10"/>
  <c r="AM39"/>
  <c r="AO32"/>
  <c r="AL29"/>
  <c r="X56"/>
  <c r="X53"/>
  <c r="AO40"/>
  <c r="AN33"/>
  <c r="AN55" i="9"/>
  <c r="E64" i="7"/>
  <c r="E74"/>
  <c r="AO43"/>
  <c r="AA18"/>
  <c r="V50" i="9"/>
  <c r="P51"/>
  <c r="T51"/>
  <c r="Q48"/>
  <c r="T48"/>
  <c r="L29" i="11"/>
  <c r="K29"/>
  <c r="O29"/>
  <c r="AN24" i="8"/>
  <c r="AL44" i="7"/>
  <c r="BH44"/>
  <c r="AN43"/>
  <c r="AN116"/>
  <c r="D15" i="85"/>
  <c r="D13"/>
  <c r="U87" i="7"/>
  <c r="U89"/>
  <c r="T89"/>
  <c r="AP48" i="9"/>
  <c r="AN48"/>
  <c r="BA48"/>
  <c r="AM51"/>
  <c r="AP51"/>
  <c r="Z18" i="7"/>
  <c r="R18"/>
  <c r="T18"/>
  <c r="S18"/>
  <c r="S17"/>
  <c r="Q17"/>
  <c r="AP50" i="9"/>
  <c r="AN50"/>
  <c r="BA50"/>
  <c r="AM29" i="11"/>
  <c r="AL29"/>
  <c r="AP29"/>
  <c r="AP39"/>
  <c r="AI26" i="8"/>
  <c r="AC52" i="6"/>
  <c r="AI33" i="8"/>
  <c r="AC53" i="6"/>
  <c r="AI41" i="8"/>
  <c r="AC54" i="6"/>
  <c r="AA26" i="8"/>
  <c r="AA80"/>
  <c r="AN26"/>
  <c r="AO26"/>
  <c r="AO80"/>
  <c r="AK16"/>
  <c r="AI16"/>
  <c r="AB53" i="5"/>
  <c r="AN16" i="7"/>
  <c r="AN34"/>
  <c r="AO34"/>
  <c r="AQ26"/>
  <c r="AR26"/>
  <c r="AS26"/>
  <c r="P55" i="8"/>
  <c r="Q55"/>
  <c r="P56"/>
  <c r="Q56"/>
  <c r="P59"/>
  <c r="AR15" i="7"/>
  <c r="BW30" i="8"/>
  <c r="BU31"/>
  <c r="BV31"/>
  <c r="BV30"/>
  <c r="BU27"/>
  <c r="BR30"/>
  <c r="O39" i="11"/>
  <c r="AA19" i="7"/>
  <c r="BE39" i="8"/>
  <c r="BE24"/>
  <c r="AQ44" i="7"/>
  <c r="AR44"/>
  <c r="AS44"/>
  <c r="BH112"/>
  <c r="BJ41"/>
  <c r="BG17"/>
  <c r="BJ32"/>
  <c r="BI32"/>
  <c r="AO59" i="19"/>
  <c r="AP59"/>
  <c r="AO56"/>
  <c r="BA51" i="72"/>
  <c r="AQ51"/>
  <c r="AL51"/>
  <c r="AO51"/>
  <c r="AC43" i="7"/>
  <c r="AC116"/>
  <c r="AD44"/>
  <c r="AD43"/>
  <c r="AD116"/>
  <c r="AA116"/>
  <c r="AI116"/>
  <c r="AI43"/>
  <c r="AP43"/>
  <c r="AB43"/>
  <c r="AB116"/>
  <c r="T48" i="72"/>
  <c r="P51"/>
  <c r="T51"/>
  <c r="Q48"/>
  <c r="BI115" i="7"/>
  <c r="BJ16"/>
  <c r="BJ115"/>
  <c r="AQ50" i="72"/>
  <c r="BA50"/>
  <c r="AO57" i="19"/>
  <c r="F12" i="63"/>
  <c r="BE47" i="8"/>
  <c r="F32" i="63"/>
  <c r="F22"/>
  <c r="AQ27" i="7"/>
  <c r="AR27"/>
  <c r="AS27"/>
  <c r="BE34" i="8"/>
  <c r="Z17"/>
  <c r="BD26" i="7"/>
  <c r="AM26"/>
  <c r="AM18" i="8"/>
  <c r="AM74"/>
  <c r="AM85"/>
  <c r="AM90"/>
  <c r="U42" i="7"/>
  <c r="U35"/>
  <c r="U51"/>
  <c r="U53"/>
  <c r="AA18" i="8"/>
  <c r="AA74"/>
  <c r="AA85"/>
  <c r="AA88"/>
  <c r="AB35" i="7"/>
  <c r="AQ42"/>
  <c r="AR42"/>
  <c r="AS42"/>
  <c r="BF112"/>
  <c r="AJ18" i="8"/>
  <c r="AI35" i="7"/>
  <c r="AB54" i="5"/>
  <c r="AP35" i="7"/>
  <c r="AQ35"/>
  <c r="AC115"/>
  <c r="AD42"/>
  <c r="AD115"/>
  <c r="AV122"/>
  <c r="AV124"/>
  <c r="AN19" i="8"/>
  <c r="AO19"/>
  <c r="AO79"/>
  <c r="AN19" i="7"/>
  <c r="AN114"/>
  <c r="AK23" i="8"/>
  <c r="AK77"/>
  <c r="AL19"/>
  <c r="AL79"/>
  <c r="BA77"/>
  <c r="AA25"/>
  <c r="BF25"/>
  <c r="AL24"/>
  <c r="AL78"/>
  <c r="AI74"/>
  <c r="AN23"/>
  <c r="AN77"/>
  <c r="BC32" i="7"/>
  <c r="BC33"/>
  <c r="BC27"/>
  <c r="BF27"/>
  <c r="BL37" i="17"/>
  <c r="BX37"/>
  <c r="BF113" i="7"/>
  <c r="BF15"/>
  <c r="BF8"/>
  <c r="BC37" i="17"/>
  <c r="BC14" i="7"/>
  <c r="BE15"/>
  <c r="BE8"/>
  <c r="BE113"/>
  <c r="BA15" i="8"/>
  <c r="BA8"/>
  <c r="AY14"/>
  <c r="BA78"/>
  <c r="BG40" i="7"/>
  <c r="BI41"/>
  <c r="BT37" i="17"/>
  <c r="BB78" i="8"/>
  <c r="BB25"/>
  <c r="AN48" i="7"/>
  <c r="AN117"/>
  <c r="O16" i="21"/>
  <c r="BA25" i="8"/>
  <c r="AY24"/>
  <c r="AY79"/>
  <c r="AZ79"/>
  <c r="BA19"/>
  <c r="BA79"/>
  <c r="AZ19"/>
  <c r="BT24" i="17"/>
  <c r="BR36"/>
  <c r="BT36"/>
  <c r="X122" i="6"/>
  <c r="Y122"/>
  <c r="Z122"/>
  <c r="X114"/>
  <c r="Y114"/>
  <c r="Z114"/>
  <c r="X121"/>
  <c r="Y121"/>
  <c r="Z121"/>
  <c r="AC121"/>
  <c r="AJ121"/>
  <c r="AL121"/>
  <c r="AP121"/>
  <c r="AT121"/>
  <c r="AV121"/>
  <c r="AQ121"/>
  <c r="AB121"/>
  <c r="AK121"/>
  <c r="AO121"/>
  <c r="V120"/>
  <c r="X120"/>
  <c r="AU121"/>
  <c r="X117"/>
  <c r="Y117"/>
  <c r="Z117"/>
  <c r="X98"/>
  <c r="Y98"/>
  <c r="Z98"/>
  <c r="X96"/>
  <c r="Y96"/>
  <c r="Z96"/>
  <c r="AC96"/>
  <c r="AJ96"/>
  <c r="AL96"/>
  <c r="AP96"/>
  <c r="AT96"/>
  <c r="AV96"/>
  <c r="V95"/>
  <c r="AB96"/>
  <c r="AK96"/>
  <c r="AO96"/>
  <c r="AQ96"/>
  <c r="AU96"/>
  <c r="X93"/>
  <c r="Y93"/>
  <c r="Z93"/>
  <c r="V90"/>
  <c r="AB91"/>
  <c r="AK91"/>
  <c r="AT91"/>
  <c r="X91"/>
  <c r="Y91"/>
  <c r="Z91"/>
  <c r="AC91"/>
  <c r="AJ91"/>
  <c r="AQ91"/>
  <c r="AU91"/>
  <c r="Z85"/>
  <c r="X85"/>
  <c r="Y85"/>
  <c r="Z83"/>
  <c r="X83"/>
  <c r="Y83"/>
  <c r="X80"/>
  <c r="Y80"/>
  <c r="Z80"/>
  <c r="X78"/>
  <c r="Y78"/>
  <c r="Z78"/>
  <c r="X76"/>
  <c r="Y76"/>
  <c r="V72"/>
  <c r="AB73"/>
  <c r="AB72"/>
  <c r="AK73"/>
  <c r="AK72"/>
  <c r="AO73"/>
  <c r="AQ73"/>
  <c r="AQ72"/>
  <c r="AU73"/>
  <c r="AU72"/>
  <c r="Z73"/>
  <c r="AJ73"/>
  <c r="AV73"/>
  <c r="X73"/>
  <c r="Y73"/>
  <c r="AC73"/>
  <c r="AC72"/>
  <c r="AL73"/>
  <c r="AL72"/>
  <c r="AP73"/>
  <c r="AP72"/>
  <c r="AT73"/>
  <c r="X70"/>
  <c r="Y70"/>
  <c r="Z70"/>
  <c r="V69"/>
  <c r="X65"/>
  <c r="Z65"/>
  <c r="Y65"/>
  <c r="X110"/>
  <c r="Y110"/>
  <c r="Z110"/>
  <c r="V109"/>
  <c r="X106"/>
  <c r="Y106"/>
  <c r="Z106"/>
  <c r="X102"/>
  <c r="Y102"/>
  <c r="AO102"/>
  <c r="X104"/>
  <c r="Y104"/>
  <c r="Z104"/>
  <c r="X116"/>
  <c r="Y116"/>
  <c r="Z116"/>
  <c r="X119"/>
  <c r="Y119"/>
  <c r="Y118"/>
  <c r="Z119"/>
  <c r="V118"/>
  <c r="X118"/>
  <c r="X115"/>
  <c r="Y115"/>
  <c r="X99"/>
  <c r="Y99"/>
  <c r="Z99"/>
  <c r="X97"/>
  <c r="Y97"/>
  <c r="Z97"/>
  <c r="X94"/>
  <c r="Y94"/>
  <c r="Z94"/>
  <c r="X92"/>
  <c r="Y92"/>
  <c r="Z92"/>
  <c r="X89"/>
  <c r="Y89"/>
  <c r="Z89"/>
  <c r="X86"/>
  <c r="Y86"/>
  <c r="Z86"/>
  <c r="X84"/>
  <c r="Y84"/>
  <c r="Z84"/>
  <c r="Z81"/>
  <c r="X81"/>
  <c r="Y81"/>
  <c r="Z79"/>
  <c r="X79"/>
  <c r="Y79"/>
  <c r="Z77"/>
  <c r="X77"/>
  <c r="Y77"/>
  <c r="Z75"/>
  <c r="X75"/>
  <c r="Y75"/>
  <c r="X71"/>
  <c r="Z71"/>
  <c r="Y71"/>
  <c r="X68"/>
  <c r="Y68"/>
  <c r="Z68"/>
  <c r="X66"/>
  <c r="Y66"/>
  <c r="X112"/>
  <c r="Y112"/>
  <c r="Z112"/>
  <c r="V111"/>
  <c r="X108"/>
  <c r="Y108"/>
  <c r="Z108"/>
  <c r="X107"/>
  <c r="Y107"/>
  <c r="Z107"/>
  <c r="X101"/>
  <c r="Y101"/>
  <c r="Z101"/>
  <c r="X105"/>
  <c r="Y105"/>
  <c r="Z105"/>
  <c r="X123"/>
  <c r="X124"/>
  <c r="Y64"/>
  <c r="Y123"/>
  <c r="Y124"/>
  <c r="X67"/>
  <c r="Z67"/>
  <c r="Y67"/>
  <c r="BA18" i="8"/>
  <c r="AY74"/>
  <c r="AZ18"/>
  <c r="BF115" i="7"/>
  <c r="AI80" i="8"/>
  <c r="Z15"/>
  <c r="Z78"/>
  <c r="Z85"/>
  <c r="AO24"/>
  <c r="AO78"/>
  <c r="AN78"/>
  <c r="BD30"/>
  <c r="AF85"/>
  <c r="Y88"/>
  <c r="AF88"/>
  <c r="Y90"/>
  <c r="AO20"/>
  <c r="AO75"/>
  <c r="AN75"/>
  <c r="AI27"/>
  <c r="AJ27"/>
  <c r="BD33"/>
  <c r="AZ33"/>
  <c r="AZ26"/>
  <c r="BD26"/>
  <c r="BD9"/>
  <c r="AZ9"/>
  <c r="AZ16"/>
  <c r="BD16"/>
  <c r="AJ41"/>
  <c r="BD41"/>
  <c r="AZ41"/>
  <c r="AZ40"/>
  <c r="BD40"/>
  <c r="AO116" i="7"/>
  <c r="AC19"/>
  <c r="AC114"/>
  <c r="AA114"/>
  <c r="AI114"/>
  <c r="AM112"/>
  <c r="BD112"/>
  <c r="AC25"/>
  <c r="AC113"/>
  <c r="AN115"/>
  <c r="AL110"/>
  <c r="AO113"/>
  <c r="BH36"/>
  <c r="BD36"/>
  <c r="BH29"/>
  <c r="BD29"/>
  <c r="BH10"/>
  <c r="BD10"/>
  <c r="BD13"/>
  <c r="BH13"/>
  <c r="BD44"/>
  <c r="AV15"/>
  <c r="AV8"/>
  <c r="AV51"/>
  <c r="AS15"/>
  <c r="AS41"/>
  <c r="AF27"/>
  <c r="R35"/>
  <c r="S35"/>
  <c r="S51"/>
  <c r="Z35"/>
  <c r="AX55" i="9"/>
  <c r="BE55"/>
  <c r="BG55"/>
  <c r="AQ55"/>
  <c r="BA55"/>
  <c r="AJ33" i="8"/>
  <c r="AN25" i="7"/>
  <c r="AP25"/>
  <c r="AI25"/>
  <c r="AN24"/>
  <c r="AN113"/>
  <c r="AX36" i="17"/>
  <c r="AA36"/>
  <c r="V36"/>
  <c r="AO36"/>
  <c r="BC36"/>
  <c r="AD50" i="19"/>
  <c r="AF49"/>
  <c r="AI15" i="8"/>
  <c r="Y8"/>
  <c r="AQ24" i="7"/>
  <c r="AR24"/>
  <c r="AS24"/>
  <c r="AI19"/>
  <c r="R17"/>
  <c r="AL55" i="9"/>
  <c r="AO55"/>
  <c r="T17" i="7"/>
  <c r="T51"/>
  <c r="T53"/>
  <c r="T56"/>
  <c r="AM36"/>
  <c r="AM10"/>
  <c r="AO15"/>
  <c r="AL14"/>
  <c r="AL40"/>
  <c r="AO41"/>
  <c r="AP19"/>
  <c r="AB19"/>
  <c r="AB114"/>
  <c r="AL32"/>
  <c r="AO33"/>
  <c r="AO27"/>
  <c r="AJ9" i="8"/>
  <c r="AK9"/>
  <c r="AM29" i="7"/>
  <c r="AM13"/>
  <c r="AM44"/>
  <c r="AL43"/>
  <c r="AL116"/>
  <c r="V48" i="9"/>
  <c r="Q51"/>
  <c r="AA9" i="7"/>
  <c r="AA109"/>
  <c r="AI18"/>
  <c r="AC18"/>
  <c r="AP18"/>
  <c r="AA17"/>
  <c r="AB18"/>
  <c r="AQ50" i="9"/>
  <c r="AN18" i="7"/>
  <c r="Q51"/>
  <c r="Z17"/>
  <c r="AN9"/>
  <c r="AQ48" i="9"/>
  <c r="AN51"/>
  <c r="BA51"/>
  <c r="AI17" i="8"/>
  <c r="AJ26"/>
  <c r="AI34"/>
  <c r="AJ16"/>
  <c r="AM16"/>
  <c r="AM80"/>
  <c r="AO16" i="7"/>
  <c r="AL34"/>
  <c r="AN27"/>
  <c r="AL42"/>
  <c r="AN35"/>
  <c r="P60" i="8"/>
  <c r="Q59"/>
  <c r="BW31"/>
  <c r="BW27"/>
  <c r="BN34" i="19"/>
  <c r="BN33"/>
  <c r="BN21"/>
  <c r="BN13"/>
  <c r="BN9"/>
  <c r="BN24"/>
  <c r="BN22"/>
  <c r="BN31"/>
  <c r="BN37"/>
  <c r="BN41"/>
  <c r="BN45"/>
  <c r="BN18"/>
  <c r="BN28"/>
  <c r="BN30"/>
  <c r="BN36"/>
  <c r="BN40"/>
  <c r="BN44"/>
  <c r="BN48"/>
  <c r="BN17"/>
  <c r="BN27"/>
  <c r="BN35"/>
  <c r="BN39"/>
  <c r="BN43"/>
  <c r="BN47"/>
  <c r="BN19"/>
  <c r="BN25"/>
  <c r="BN29"/>
  <c r="BN26"/>
  <c r="BN32"/>
  <c r="BN38"/>
  <c r="BN42"/>
  <c r="BN46"/>
  <c r="BN15"/>
  <c r="BM47"/>
  <c r="BM43"/>
  <c r="BM39"/>
  <c r="BM35"/>
  <c r="BM27"/>
  <c r="BM24"/>
  <c r="BM22"/>
  <c r="BM17"/>
  <c r="BM45"/>
  <c r="BM41"/>
  <c r="BM34"/>
  <c r="BM31"/>
  <c r="BM25"/>
  <c r="BM21"/>
  <c r="BM19"/>
  <c r="BM13"/>
  <c r="BM9"/>
  <c r="BM37"/>
  <c r="BM33"/>
  <c r="BM18"/>
  <c r="BM28"/>
  <c r="BM30"/>
  <c r="BM36"/>
  <c r="BM40"/>
  <c r="BM44"/>
  <c r="BM26"/>
  <c r="BM15"/>
  <c r="BM48"/>
  <c r="BM32"/>
  <c r="BM38"/>
  <c r="BM42"/>
  <c r="BM46"/>
  <c r="BM29"/>
  <c r="BD80" i="8"/>
  <c r="BD74"/>
  <c r="D14" i="90"/>
  <c r="BC39" i="8"/>
  <c r="BF24"/>
  <c r="E17" i="65"/>
  <c r="E13"/>
  <c r="F17"/>
  <c r="F13"/>
  <c r="K17" i="87"/>
  <c r="D11" i="85"/>
  <c r="BG41" i="7"/>
  <c r="BV41"/>
  <c r="BJ35"/>
  <c r="BH116"/>
  <c r="D17" i="89"/>
  <c r="BH110" i="7"/>
  <c r="D23" i="89"/>
  <c r="D21" i="86"/>
  <c r="BI35" i="7"/>
  <c r="AM88" i="8"/>
  <c r="V48" i="72"/>
  <c r="Q51"/>
  <c r="AQ43" i="7"/>
  <c r="AT17" i="19"/>
  <c r="AV17"/>
  <c r="AT21"/>
  <c r="AT27"/>
  <c r="AV27"/>
  <c r="AT33"/>
  <c r="AT8"/>
  <c r="AV8"/>
  <c r="AT18"/>
  <c r="AV18"/>
  <c r="AT24"/>
  <c r="AT28"/>
  <c r="AV28"/>
  <c r="AT34"/>
  <c r="AV34"/>
  <c r="AT15"/>
  <c r="AV15"/>
  <c r="AT9"/>
  <c r="AT13"/>
  <c r="AV13"/>
  <c r="AT19"/>
  <c r="AT23"/>
  <c r="I21" i="87"/>
  <c r="AT48" i="19"/>
  <c r="BK48"/>
  <c r="AT43"/>
  <c r="AT46"/>
  <c r="AT45"/>
  <c r="AT42"/>
  <c r="AT44"/>
  <c r="AT26"/>
  <c r="AV26"/>
  <c r="AT30"/>
  <c r="AV30"/>
  <c r="AT38"/>
  <c r="AV38"/>
  <c r="AT47"/>
  <c r="AV47"/>
  <c r="AT22"/>
  <c r="AV22"/>
  <c r="AT31"/>
  <c r="AT35"/>
  <c r="AV35"/>
  <c r="AT39"/>
  <c r="AT16"/>
  <c r="AT32"/>
  <c r="AV32"/>
  <c r="AT36"/>
  <c r="AV36"/>
  <c r="AT40"/>
  <c r="AV40"/>
  <c r="AT20"/>
  <c r="AT25"/>
  <c r="AV25"/>
  <c r="AT29"/>
  <c r="AV29"/>
  <c r="AT37"/>
  <c r="AV37"/>
  <c r="AT41"/>
  <c r="AV41"/>
  <c r="AT10"/>
  <c r="AT11"/>
  <c r="AP57"/>
  <c r="BC46" i="8"/>
  <c r="BV46"/>
  <c r="AS13" i="19"/>
  <c r="AU13"/>
  <c r="AS17"/>
  <c r="AU17"/>
  <c r="AS19"/>
  <c r="AS27"/>
  <c r="AU27"/>
  <c r="AS33"/>
  <c r="AS9"/>
  <c r="AS15"/>
  <c r="AU15"/>
  <c r="AS18"/>
  <c r="AU18"/>
  <c r="AS21"/>
  <c r="AS24"/>
  <c r="AS28"/>
  <c r="AU28"/>
  <c r="AS34"/>
  <c r="AU34"/>
  <c r="BG34"/>
  <c r="AS8"/>
  <c r="AS23"/>
  <c r="AS48"/>
  <c r="BJ48"/>
  <c r="AS43"/>
  <c r="AS46"/>
  <c r="AS45"/>
  <c r="AS42"/>
  <c r="AS44"/>
  <c r="AO60"/>
  <c r="AS26"/>
  <c r="AU26"/>
  <c r="AS30"/>
  <c r="AU30"/>
  <c r="AS38"/>
  <c r="AU38"/>
  <c r="AS47"/>
  <c r="AU47"/>
  <c r="AS22"/>
  <c r="AU22"/>
  <c r="AS31"/>
  <c r="AS35"/>
  <c r="AU35"/>
  <c r="AS39"/>
  <c r="AS16"/>
  <c r="AS32"/>
  <c r="AU32"/>
  <c r="AS36"/>
  <c r="AU36"/>
  <c r="AS40"/>
  <c r="AU40"/>
  <c r="AS20"/>
  <c r="AS25"/>
  <c r="AU25"/>
  <c r="AS29"/>
  <c r="AU29"/>
  <c r="AS37"/>
  <c r="AU37"/>
  <c r="AS41"/>
  <c r="AU41"/>
  <c r="AS10"/>
  <c r="AS11"/>
  <c r="AP56"/>
  <c r="BC47" i="8"/>
  <c r="BE83"/>
  <c r="AM17"/>
  <c r="AM49"/>
  <c r="F36" i="63"/>
  <c r="U56" i="7"/>
  <c r="AN18" i="8"/>
  <c r="AN74"/>
  <c r="AN85"/>
  <c r="Z8"/>
  <c r="Z49"/>
  <c r="Z62"/>
  <c r="Z63"/>
  <c r="BE15"/>
  <c r="AL18"/>
  <c r="AL74"/>
  <c r="AA17"/>
  <c r="AA49"/>
  <c r="AA56"/>
  <c r="BI27" i="7"/>
  <c r="AL25" i="8"/>
  <c r="AK24"/>
  <c r="AK25"/>
  <c r="AO23"/>
  <c r="AO77"/>
  <c r="AD35" i="7"/>
  <c r="AL19"/>
  <c r="AL114"/>
  <c r="AV127"/>
  <c r="AV128"/>
  <c r="AV125"/>
  <c r="AN79" i="8"/>
  <c r="AZ74"/>
  <c r="AJ80"/>
  <c r="AJ74"/>
  <c r="AK19"/>
  <c r="AK79"/>
  <c r="BB19"/>
  <c r="BB79"/>
  <c r="BJ27" i="7"/>
  <c r="AZ24" i="8"/>
  <c r="AY25"/>
  <c r="AY17"/>
  <c r="AZ17"/>
  <c r="AY15"/>
  <c r="AZ15"/>
  <c r="AY78"/>
  <c r="AQ25" i="7"/>
  <c r="AR25"/>
  <c r="Y120" i="6"/>
  <c r="AC17" i="7"/>
  <c r="AQ19"/>
  <c r="AR19"/>
  <c r="BC15"/>
  <c r="BC113"/>
  <c r="AC67" i="6"/>
  <c r="AJ67"/>
  <c r="AL67"/>
  <c r="AP67"/>
  <c r="AT67"/>
  <c r="AV67"/>
  <c r="AB67"/>
  <c r="AD67"/>
  <c r="AK67"/>
  <c r="AO67"/>
  <c r="AQ67"/>
  <c r="AU67"/>
  <c r="AB105"/>
  <c r="AD105"/>
  <c r="AK105"/>
  <c r="AO105"/>
  <c r="AC105"/>
  <c r="AJ105"/>
  <c r="AL105"/>
  <c r="AP105"/>
  <c r="AT105"/>
  <c r="AV105"/>
  <c r="AQ105"/>
  <c r="AU105"/>
  <c r="AC107"/>
  <c r="AJ107"/>
  <c r="AL107"/>
  <c r="AP107"/>
  <c r="AT107"/>
  <c r="AV107"/>
  <c r="AB107"/>
  <c r="AD107"/>
  <c r="AK107"/>
  <c r="AO107"/>
  <c r="AQ107"/>
  <c r="AU107"/>
  <c r="X111"/>
  <c r="Y111"/>
  <c r="AC71"/>
  <c r="AJ71"/>
  <c r="AL71"/>
  <c r="AP71"/>
  <c r="AT71"/>
  <c r="AV71"/>
  <c r="AB71"/>
  <c r="AK71"/>
  <c r="AO71"/>
  <c r="AQ71"/>
  <c r="AU71"/>
  <c r="AB79"/>
  <c r="AK79"/>
  <c r="AO79"/>
  <c r="AQ79"/>
  <c r="AU79"/>
  <c r="AJ79"/>
  <c r="AV79"/>
  <c r="AC79"/>
  <c r="AL79"/>
  <c r="AP79"/>
  <c r="AT79"/>
  <c r="AW79"/>
  <c r="AB86"/>
  <c r="AD86"/>
  <c r="AK86"/>
  <c r="AO86"/>
  <c r="AQ86"/>
  <c r="AU86"/>
  <c r="AC86"/>
  <c r="AL86"/>
  <c r="AP86"/>
  <c r="AT86"/>
  <c r="AJ86"/>
  <c r="AV86"/>
  <c r="AC94"/>
  <c r="AJ94"/>
  <c r="AL94"/>
  <c r="AP94"/>
  <c r="AT94"/>
  <c r="AV94"/>
  <c r="AB94"/>
  <c r="AK94"/>
  <c r="AO94"/>
  <c r="AQ94"/>
  <c r="AU94"/>
  <c r="AC99"/>
  <c r="AJ99"/>
  <c r="AL99"/>
  <c r="AP99"/>
  <c r="AT99"/>
  <c r="AV99"/>
  <c r="AB99"/>
  <c r="AK99"/>
  <c r="AO99"/>
  <c r="AQ99"/>
  <c r="AU99"/>
  <c r="AC116"/>
  <c r="AJ116"/>
  <c r="AL116"/>
  <c r="AP116"/>
  <c r="AT116"/>
  <c r="AV116"/>
  <c r="AQ116"/>
  <c r="AU116"/>
  <c r="AB116"/>
  <c r="AD116"/>
  <c r="AK116"/>
  <c r="AO116"/>
  <c r="AB104"/>
  <c r="AK104"/>
  <c r="AO104"/>
  <c r="AQ104"/>
  <c r="AU104"/>
  <c r="AC104"/>
  <c r="AJ104"/>
  <c r="AL104"/>
  <c r="AP104"/>
  <c r="AT104"/>
  <c r="AV104"/>
  <c r="AQ102"/>
  <c r="AU102"/>
  <c r="AP102"/>
  <c r="AR102"/>
  <c r="AS102"/>
  <c r="AT102"/>
  <c r="AV102"/>
  <c r="X109"/>
  <c r="Y109"/>
  <c r="X69"/>
  <c r="Y69"/>
  <c r="AV72"/>
  <c r="AX73"/>
  <c r="AD73"/>
  <c r="Z72"/>
  <c r="AD72"/>
  <c r="AB80"/>
  <c r="AK80"/>
  <c r="AO80"/>
  <c r="AQ80"/>
  <c r="AU80"/>
  <c r="AC80"/>
  <c r="AL80"/>
  <c r="AP80"/>
  <c r="AT80"/>
  <c r="AJ80"/>
  <c r="AV80"/>
  <c r="AB83"/>
  <c r="AD83"/>
  <c r="AK83"/>
  <c r="AO83"/>
  <c r="AQ83"/>
  <c r="AU83"/>
  <c r="AJ83"/>
  <c r="AV83"/>
  <c r="AC83"/>
  <c r="AL83"/>
  <c r="AP83"/>
  <c r="AT83"/>
  <c r="AR91"/>
  <c r="AC93"/>
  <c r="AJ93"/>
  <c r="AL93"/>
  <c r="AP93"/>
  <c r="AT93"/>
  <c r="AV93"/>
  <c r="AB93"/>
  <c r="AK93"/>
  <c r="AO93"/>
  <c r="AQ93"/>
  <c r="AU93"/>
  <c r="AR96"/>
  <c r="X95"/>
  <c r="Y95"/>
  <c r="AW96"/>
  <c r="AC98"/>
  <c r="AJ98"/>
  <c r="AL98"/>
  <c r="AP98"/>
  <c r="AT98"/>
  <c r="AV98"/>
  <c r="AB98"/>
  <c r="AK98"/>
  <c r="AO98"/>
  <c r="AR98"/>
  <c r="AQ98"/>
  <c r="AU98"/>
  <c r="AR121"/>
  <c r="AX121"/>
  <c r="AM121"/>
  <c r="Z120"/>
  <c r="AD121"/>
  <c r="AN121"/>
  <c r="AS121"/>
  <c r="AC114"/>
  <c r="AJ114"/>
  <c r="AL114"/>
  <c r="Z115"/>
  <c r="AD114"/>
  <c r="AB114"/>
  <c r="AK114"/>
  <c r="X90"/>
  <c r="AC101"/>
  <c r="AJ101"/>
  <c r="AL101"/>
  <c r="AB101"/>
  <c r="AK101"/>
  <c r="AC108"/>
  <c r="AJ108"/>
  <c r="AL108"/>
  <c r="AP108"/>
  <c r="AT108"/>
  <c r="AV108"/>
  <c r="AQ108"/>
  <c r="AU108"/>
  <c r="AB108"/>
  <c r="AD108"/>
  <c r="AK108"/>
  <c r="AO108"/>
  <c r="Z111"/>
  <c r="AC112"/>
  <c r="AC111"/>
  <c r="AJ112"/>
  <c r="AL112"/>
  <c r="AL111"/>
  <c r="AP112"/>
  <c r="AP111"/>
  <c r="AT112"/>
  <c r="AV112"/>
  <c r="AQ112"/>
  <c r="AQ111"/>
  <c r="AU112"/>
  <c r="AU111"/>
  <c r="AB112"/>
  <c r="AB111"/>
  <c r="AK112"/>
  <c r="AK111"/>
  <c r="AO112"/>
  <c r="AC68"/>
  <c r="AJ68"/>
  <c r="AL68"/>
  <c r="AP68"/>
  <c r="AT68"/>
  <c r="AV68"/>
  <c r="AB68"/>
  <c r="AD68"/>
  <c r="AK68"/>
  <c r="AO68"/>
  <c r="AQ68"/>
  <c r="AU68"/>
  <c r="AB75"/>
  <c r="AK75"/>
  <c r="AJ75"/>
  <c r="AC75"/>
  <c r="AL75"/>
  <c r="Z76"/>
  <c r="AB77"/>
  <c r="AK77"/>
  <c r="AO77"/>
  <c r="AQ77"/>
  <c r="AU77"/>
  <c r="AJ77"/>
  <c r="AV77"/>
  <c r="AC77"/>
  <c r="AL77"/>
  <c r="AP77"/>
  <c r="AT77"/>
  <c r="AW77"/>
  <c r="AB81"/>
  <c r="AK81"/>
  <c r="AO81"/>
  <c r="AQ81"/>
  <c r="AU81"/>
  <c r="AJ81"/>
  <c r="AV81"/>
  <c r="AC81"/>
  <c r="AL81"/>
  <c r="AP81"/>
  <c r="AT81"/>
  <c r="AW81"/>
  <c r="AB84"/>
  <c r="AK84"/>
  <c r="AO84"/>
  <c r="AQ84"/>
  <c r="AU84"/>
  <c r="AC84"/>
  <c r="AL84"/>
  <c r="AP84"/>
  <c r="AT84"/>
  <c r="AJ84"/>
  <c r="AV84"/>
  <c r="AB89"/>
  <c r="AK89"/>
  <c r="AO89"/>
  <c r="AQ89"/>
  <c r="AU89"/>
  <c r="AC89"/>
  <c r="AJ89"/>
  <c r="AL89"/>
  <c r="AP89"/>
  <c r="AT89"/>
  <c r="AV89"/>
  <c r="AC92"/>
  <c r="AJ92"/>
  <c r="AL92"/>
  <c r="AL90"/>
  <c r="AP92"/>
  <c r="AT92"/>
  <c r="AV92"/>
  <c r="AB92"/>
  <c r="AB90"/>
  <c r="AK92"/>
  <c r="AO92"/>
  <c r="AQ92"/>
  <c r="AQ90"/>
  <c r="AU92"/>
  <c r="AC97"/>
  <c r="AJ97"/>
  <c r="AL97"/>
  <c r="AL95"/>
  <c r="AP97"/>
  <c r="AT97"/>
  <c r="AV97"/>
  <c r="AB97"/>
  <c r="AB95"/>
  <c r="AK97"/>
  <c r="AK95"/>
  <c r="AO97"/>
  <c r="AQ97"/>
  <c r="AU97"/>
  <c r="AU95"/>
  <c r="Z118"/>
  <c r="AC119"/>
  <c r="AC118"/>
  <c r="AJ119"/>
  <c r="AL119"/>
  <c r="AL118"/>
  <c r="AP119"/>
  <c r="AP118"/>
  <c r="AT119"/>
  <c r="AV119"/>
  <c r="AB119"/>
  <c r="AB118"/>
  <c r="AK119"/>
  <c r="AK118"/>
  <c r="AO119"/>
  <c r="AQ119"/>
  <c r="AQ118"/>
  <c r="AU119"/>
  <c r="AU118"/>
  <c r="AC106"/>
  <c r="AJ106"/>
  <c r="AL106"/>
  <c r="AP106"/>
  <c r="AT106"/>
  <c r="AV106"/>
  <c r="AQ106"/>
  <c r="AU106"/>
  <c r="AB106"/>
  <c r="AD106"/>
  <c r="AK106"/>
  <c r="AO106"/>
  <c r="Z109"/>
  <c r="AC110"/>
  <c r="AC109"/>
  <c r="AJ110"/>
  <c r="AL110"/>
  <c r="AL109"/>
  <c r="AP110"/>
  <c r="AP109"/>
  <c r="AT110"/>
  <c r="AV110"/>
  <c r="AQ110"/>
  <c r="AQ109"/>
  <c r="AU110"/>
  <c r="AU109"/>
  <c r="AB110"/>
  <c r="AB109"/>
  <c r="AK110"/>
  <c r="AK109"/>
  <c r="AO110"/>
  <c r="AC65"/>
  <c r="AJ65"/>
  <c r="AL65"/>
  <c r="Z66"/>
  <c r="AB65"/>
  <c r="AD65"/>
  <c r="AK65"/>
  <c r="Z69"/>
  <c r="AC70"/>
  <c r="AJ70"/>
  <c r="AL70"/>
  <c r="AP70"/>
  <c r="AT70"/>
  <c r="AV70"/>
  <c r="AB70"/>
  <c r="AK70"/>
  <c r="AO70"/>
  <c r="AQ70"/>
  <c r="AQ69"/>
  <c r="AU70"/>
  <c r="AW73"/>
  <c r="AT72"/>
  <c r="AW72"/>
  <c r="AM73"/>
  <c r="AJ72"/>
  <c r="AM72"/>
  <c r="AO72"/>
  <c r="AR72"/>
  <c r="AR73"/>
  <c r="X72"/>
  <c r="Y72"/>
  <c r="AB78"/>
  <c r="AK78"/>
  <c r="AO78"/>
  <c r="AQ78"/>
  <c r="AU78"/>
  <c r="AC78"/>
  <c r="AD78"/>
  <c r="AL78"/>
  <c r="AP78"/>
  <c r="AT78"/>
  <c r="AJ78"/>
  <c r="AV78"/>
  <c r="AX78"/>
  <c r="AB85"/>
  <c r="AD85"/>
  <c r="AK85"/>
  <c r="AO85"/>
  <c r="AR85"/>
  <c r="AQ85"/>
  <c r="AU85"/>
  <c r="AJ85"/>
  <c r="AV85"/>
  <c r="AC85"/>
  <c r="AL85"/>
  <c r="AP85"/>
  <c r="AT85"/>
  <c r="AW85"/>
  <c r="AM91"/>
  <c r="AD91"/>
  <c r="Z90"/>
  <c r="AX96"/>
  <c r="AM96"/>
  <c r="Z95"/>
  <c r="AD96"/>
  <c r="AN96"/>
  <c r="AC117"/>
  <c r="AJ117"/>
  <c r="AL117"/>
  <c r="AP117"/>
  <c r="AT117"/>
  <c r="AV117"/>
  <c r="AB117"/>
  <c r="AK117"/>
  <c r="AO117"/>
  <c r="AQ117"/>
  <c r="AU117"/>
  <c r="AW121"/>
  <c r="AC122"/>
  <c r="AJ122"/>
  <c r="AL122"/>
  <c r="AL120"/>
  <c r="AP122"/>
  <c r="AP120"/>
  <c r="AT122"/>
  <c r="AV122"/>
  <c r="AV120"/>
  <c r="AB122"/>
  <c r="AB120"/>
  <c r="AQ122"/>
  <c r="AQ120"/>
  <c r="AU122"/>
  <c r="AU120"/>
  <c r="AK122"/>
  <c r="AK120"/>
  <c r="AO122"/>
  <c r="AU90"/>
  <c r="Y90"/>
  <c r="AQ95"/>
  <c r="AP95"/>
  <c r="AC120"/>
  <c r="AL16" i="8"/>
  <c r="AA90"/>
  <c r="AA93"/>
  <c r="AA94"/>
  <c r="BB18"/>
  <c r="BA17"/>
  <c r="BA74"/>
  <c r="AZ80"/>
  <c r="BC27"/>
  <c r="BR27"/>
  <c r="BD31"/>
  <c r="AF90"/>
  <c r="Y93"/>
  <c r="Y91"/>
  <c r="AF91"/>
  <c r="Z90"/>
  <c r="Z88"/>
  <c r="AM93"/>
  <c r="AM94"/>
  <c r="AM91"/>
  <c r="AZ27"/>
  <c r="AZ34"/>
  <c r="AN8" i="7"/>
  <c r="AN109"/>
  <c r="AA120"/>
  <c r="AI109"/>
  <c r="AM116"/>
  <c r="BD116"/>
  <c r="AY15"/>
  <c r="AY8"/>
  <c r="AY51"/>
  <c r="AY113"/>
  <c r="AY120"/>
  <c r="AL16"/>
  <c r="AL115"/>
  <c r="BH115"/>
  <c r="AO115"/>
  <c r="AM110"/>
  <c r="BD110"/>
  <c r="BH42"/>
  <c r="BD42"/>
  <c r="BD34"/>
  <c r="BH34"/>
  <c r="BD40"/>
  <c r="BH40"/>
  <c r="BD32"/>
  <c r="BD14"/>
  <c r="BH43"/>
  <c r="BD43"/>
  <c r="AT15"/>
  <c r="AT8"/>
  <c r="AT51"/>
  <c r="R51"/>
  <c r="AG29" i="19"/>
  <c r="AG19"/>
  <c r="AG36"/>
  <c r="AG27"/>
  <c r="AG37"/>
  <c r="AG28"/>
  <c r="AG22"/>
  <c r="AG18"/>
  <c r="AG31"/>
  <c r="AG32"/>
  <c r="AG20"/>
  <c r="AG35"/>
  <c r="AG26"/>
  <c r="AG16"/>
  <c r="AG41"/>
  <c r="AG40"/>
  <c r="AG9"/>
  <c r="AG33"/>
  <c r="AG38"/>
  <c r="AG8"/>
  <c r="AG23"/>
  <c r="AG25"/>
  <c r="AG21"/>
  <c r="AG34"/>
  <c r="AG30"/>
  <c r="AG17"/>
  <c r="AF8" i="8"/>
  <c r="Y49"/>
  <c r="AK15"/>
  <c r="AI14"/>
  <c r="AI78"/>
  <c r="AL24" i="7"/>
  <c r="AL113"/>
  <c r="AL33"/>
  <c r="AM32"/>
  <c r="AM14"/>
  <c r="AL15"/>
  <c r="AM40"/>
  <c r="AL41"/>
  <c r="AQ18"/>
  <c r="AR18"/>
  <c r="AS18"/>
  <c r="AO35"/>
  <c r="V51" i="9"/>
  <c r="O51"/>
  <c r="S51"/>
  <c r="AB17" i="7"/>
  <c r="AP17"/>
  <c r="AI17"/>
  <c r="AM43"/>
  <c r="AA8"/>
  <c r="AB9"/>
  <c r="AB109"/>
  <c r="AB120"/>
  <c r="AP9"/>
  <c r="AI9"/>
  <c r="AC9"/>
  <c r="Q56"/>
  <c r="Z51"/>
  <c r="Q53"/>
  <c r="AK26" i="8"/>
  <c r="AL41"/>
  <c r="AL34"/>
  <c r="AQ51" i="9"/>
  <c r="AL51"/>
  <c r="AO51"/>
  <c r="AO9" i="7"/>
  <c r="AK33" i="8"/>
  <c r="AK27"/>
  <c r="AK41"/>
  <c r="AK34"/>
  <c r="AL18" i="7"/>
  <c r="AN17"/>
  <c r="AL26" i="8"/>
  <c r="AL33"/>
  <c r="AL27"/>
  <c r="AJ34"/>
  <c r="AJ17"/>
  <c r="AM34" i="7"/>
  <c r="AM42"/>
  <c r="AL27"/>
  <c r="AR35"/>
  <c r="AS35"/>
  <c r="AO18" i="8"/>
  <c r="AO74"/>
  <c r="AO85"/>
  <c r="BR39"/>
  <c r="BU39"/>
  <c r="BV27"/>
  <c r="BR47"/>
  <c r="BV47"/>
  <c r="BO15" i="19"/>
  <c r="BO29"/>
  <c r="BO38"/>
  <c r="BO36"/>
  <c r="BO28"/>
  <c r="BO25"/>
  <c r="BO17"/>
  <c r="BO35"/>
  <c r="BP11"/>
  <c r="BP38"/>
  <c r="BP26"/>
  <c r="BP16"/>
  <c r="BP25"/>
  <c r="BP47"/>
  <c r="BP27"/>
  <c r="BP10"/>
  <c r="BP36"/>
  <c r="BP28"/>
  <c r="BP18"/>
  <c r="BP41"/>
  <c r="BP8"/>
  <c r="BP15"/>
  <c r="BO11"/>
  <c r="BO10"/>
  <c r="BO32"/>
  <c r="BO26"/>
  <c r="BO16"/>
  <c r="BO40"/>
  <c r="BO30"/>
  <c r="BO18"/>
  <c r="BO37"/>
  <c r="BO13"/>
  <c r="BO41"/>
  <c r="BO8"/>
  <c r="BO22"/>
  <c r="BO27"/>
  <c r="BO47"/>
  <c r="BP32"/>
  <c r="BP29"/>
  <c r="BP35"/>
  <c r="BP17"/>
  <c r="BP40"/>
  <c r="BP30"/>
  <c r="BP37"/>
  <c r="BP22"/>
  <c r="BP13"/>
  <c r="BE14" i="8"/>
  <c r="BC34"/>
  <c r="BR34"/>
  <c r="BD39"/>
  <c r="BC83"/>
  <c r="BR83"/>
  <c r="D17" i="65"/>
  <c r="D13"/>
  <c r="I17" i="87"/>
  <c r="K19" i="90"/>
  <c r="K15"/>
  <c r="K13" i="87"/>
  <c r="J19" i="90"/>
  <c r="J15"/>
  <c r="J13" i="87"/>
  <c r="BG35" i="7"/>
  <c r="AN120"/>
  <c r="D12" i="85"/>
  <c r="D10"/>
  <c r="D15" i="86"/>
  <c r="D13"/>
  <c r="D15" i="89"/>
  <c r="AU10" i="19"/>
  <c r="D12" i="65"/>
  <c r="I12" i="87"/>
  <c r="I14" i="90"/>
  <c r="J14"/>
  <c r="K12" i="87"/>
  <c r="K14" i="90"/>
  <c r="AU11" i="19"/>
  <c r="D12" i="61"/>
  <c r="I12" i="85"/>
  <c r="J14" i="89"/>
  <c r="K12" i="85"/>
  <c r="K14" i="89"/>
  <c r="I23"/>
  <c r="I23" i="90"/>
  <c r="AN17" i="8"/>
  <c r="AO17"/>
  <c r="AK18"/>
  <c r="AK17"/>
  <c r="AL17"/>
  <c r="AU16" i="19"/>
  <c r="E12" i="61"/>
  <c r="F12"/>
  <c r="AU23" i="19"/>
  <c r="D21" i="61"/>
  <c r="E21"/>
  <c r="F21"/>
  <c r="BC82" i="8"/>
  <c r="BE46"/>
  <c r="AV23" i="19"/>
  <c r="D21" i="65"/>
  <c r="E21"/>
  <c r="F21"/>
  <c r="AR43" i="7"/>
  <c r="AS43"/>
  <c r="AD122" i="6"/>
  <c r="AR78"/>
  <c r="AD98"/>
  <c r="AD93"/>
  <c r="AD94"/>
  <c r="AD79"/>
  <c r="BG48" i="7"/>
  <c r="AP60" i="19"/>
  <c r="AU8"/>
  <c r="AS49"/>
  <c r="AV16"/>
  <c r="E12" i="65"/>
  <c r="F12"/>
  <c r="V51" i="72"/>
  <c r="O51"/>
  <c r="S51"/>
  <c r="AM77" i="6"/>
  <c r="AD112"/>
  <c r="AM98"/>
  <c r="AK90"/>
  <c r="AD99"/>
  <c r="AD71"/>
  <c r="Z59" i="8"/>
  <c r="Z100"/>
  <c r="Z58"/>
  <c r="AM114" i="7"/>
  <c r="BH114"/>
  <c r="AM19"/>
  <c r="Z56" i="8"/>
  <c r="AA59"/>
  <c r="AA62"/>
  <c r="AA63"/>
  <c r="AY122" i="7"/>
  <c r="AY124"/>
  <c r="BD16"/>
  <c r="AA58" i="8"/>
  <c r="BD19" i="7"/>
  <c r="BD114"/>
  <c r="BH19"/>
  <c r="AS19"/>
  <c r="BG32"/>
  <c r="AR122" i="6"/>
  <c r="AS96"/>
  <c r="AC69"/>
  <c r="Z100"/>
  <c r="AD89"/>
  <c r="AR108"/>
  <c r="AD101"/>
  <c r="AD104"/>
  <c r="AX86"/>
  <c r="AR86"/>
  <c r="AR79"/>
  <c r="AM105"/>
  <c r="AR67"/>
  <c r="AM67"/>
  <c r="AN67"/>
  <c r="AS67"/>
  <c r="BJ14" i="7"/>
  <c r="BC8"/>
  <c r="BI14"/>
  <c r="AQ17"/>
  <c r="AD117" i="6"/>
  <c r="AK69"/>
  <c r="AP69"/>
  <c r="AD110"/>
  <c r="AR106"/>
  <c r="AC90"/>
  <c r="AW83"/>
  <c r="BF14" i="8"/>
  <c r="AY8"/>
  <c r="AY49"/>
  <c r="AZ25"/>
  <c r="AM16" i="7"/>
  <c r="AS25"/>
  <c r="AM122" i="6"/>
  <c r="AN122"/>
  <c r="AS122"/>
  <c r="AU69"/>
  <c r="AB69"/>
  <c r="AL69"/>
  <c r="AC95"/>
  <c r="AM84"/>
  <c r="AD81"/>
  <c r="AR93"/>
  <c r="AM93"/>
  <c r="AN93"/>
  <c r="AD80"/>
  <c r="AR99"/>
  <c r="AM99"/>
  <c r="AN99"/>
  <c r="AS99"/>
  <c r="AR94"/>
  <c r="AM94"/>
  <c r="AN94"/>
  <c r="AS94"/>
  <c r="AR71"/>
  <c r="AM71"/>
  <c r="AN71"/>
  <c r="AS71"/>
  <c r="AA91" i="8"/>
  <c r="AD70" i="6"/>
  <c r="AD69"/>
  <c r="AM106"/>
  <c r="AD119"/>
  <c r="AD118"/>
  <c r="AW92"/>
  <c r="AW89"/>
  <c r="AD84"/>
  <c r="AN84"/>
  <c r="AM81"/>
  <c r="AD77"/>
  <c r="AN77"/>
  <c r="AD75"/>
  <c r="AM108"/>
  <c r="AN108"/>
  <c r="AR83"/>
  <c r="AX80"/>
  <c r="AR80"/>
  <c r="AX102"/>
  <c r="AX104"/>
  <c r="AM104"/>
  <c r="AN104"/>
  <c r="AR116"/>
  <c r="AN106"/>
  <c r="AW97"/>
  <c r="AW68"/>
  <c r="AV95"/>
  <c r="AM116"/>
  <c r="AN116"/>
  <c r="AV69"/>
  <c r="AX70"/>
  <c r="AC66"/>
  <c r="AJ66"/>
  <c r="AL66"/>
  <c r="AB66"/>
  <c r="AK66"/>
  <c r="AK64"/>
  <c r="AT69"/>
  <c r="AW70"/>
  <c r="AR110"/>
  <c r="AO109"/>
  <c r="AR109"/>
  <c r="AV109"/>
  <c r="AX110"/>
  <c r="AJ109"/>
  <c r="AM109"/>
  <c r="AM110"/>
  <c r="AR119"/>
  <c r="AO118"/>
  <c r="AR118"/>
  <c r="AT118"/>
  <c r="AW119"/>
  <c r="AO90"/>
  <c r="AR92"/>
  <c r="AB76"/>
  <c r="AK76"/>
  <c r="AC76"/>
  <c r="AL76"/>
  <c r="AJ76"/>
  <c r="AM75"/>
  <c r="AN75"/>
  <c r="AR112"/>
  <c r="AO111"/>
  <c r="AR111"/>
  <c r="AV111"/>
  <c r="AX112"/>
  <c r="AJ111"/>
  <c r="AM111"/>
  <c r="AM112"/>
  <c r="AC115"/>
  <c r="AJ115"/>
  <c r="AL115"/>
  <c r="AL113"/>
  <c r="AB115"/>
  <c r="AK115"/>
  <c r="AK113"/>
  <c r="AM114"/>
  <c r="AN114"/>
  <c r="AX117"/>
  <c r="AM117"/>
  <c r="AD90"/>
  <c r="AW78"/>
  <c r="Z64"/>
  <c r="AW122"/>
  <c r="AT120"/>
  <c r="AW120"/>
  <c r="AR117"/>
  <c r="AW117"/>
  <c r="AD95"/>
  <c r="AJ95"/>
  <c r="AM95"/>
  <c r="AN91"/>
  <c r="AS91"/>
  <c r="AV91"/>
  <c r="AJ90"/>
  <c r="AM90"/>
  <c r="AM85"/>
  <c r="AN85"/>
  <c r="AS85"/>
  <c r="AM78"/>
  <c r="AN78"/>
  <c r="AS78"/>
  <c r="AD109"/>
  <c r="AN109"/>
  <c r="AS109"/>
  <c r="AW106"/>
  <c r="AR97"/>
  <c r="AD97"/>
  <c r="AX97"/>
  <c r="AM97"/>
  <c r="AD92"/>
  <c r="AN92"/>
  <c r="AS92"/>
  <c r="AX92"/>
  <c r="AP90"/>
  <c r="AM92"/>
  <c r="AX89"/>
  <c r="AM89"/>
  <c r="AN89"/>
  <c r="AR89"/>
  <c r="AX84"/>
  <c r="AW84"/>
  <c r="AR84"/>
  <c r="AS84"/>
  <c r="AX81"/>
  <c r="AR81"/>
  <c r="AX77"/>
  <c r="AR77"/>
  <c r="AC74"/>
  <c r="AR68"/>
  <c r="AX68"/>
  <c r="AM68"/>
  <c r="AN68"/>
  <c r="AS68"/>
  <c r="AD111"/>
  <c r="AN111"/>
  <c r="AS111"/>
  <c r="AW108"/>
  <c r="AL100"/>
  <c r="AC100"/>
  <c r="AB113"/>
  <c r="Z113"/>
  <c r="AD120"/>
  <c r="AJ120"/>
  <c r="AM120"/>
  <c r="AW98"/>
  <c r="AT95"/>
  <c r="AW93"/>
  <c r="AT90"/>
  <c r="AM83"/>
  <c r="AN83"/>
  <c r="AS83"/>
  <c r="AM80"/>
  <c r="AN73"/>
  <c r="AS73"/>
  <c r="AX72"/>
  <c r="AW102"/>
  <c r="AW104"/>
  <c r="AW116"/>
  <c r="AW99"/>
  <c r="AW94"/>
  <c r="AM86"/>
  <c r="AM79"/>
  <c r="AW71"/>
  <c r="AR107"/>
  <c r="AW107"/>
  <c r="AW105"/>
  <c r="AW67"/>
  <c r="AR70"/>
  <c r="AO69"/>
  <c r="AJ69"/>
  <c r="AM70"/>
  <c r="AN70"/>
  <c r="AJ64"/>
  <c r="AM65"/>
  <c r="AT109"/>
  <c r="AW110"/>
  <c r="AV118"/>
  <c r="AX119"/>
  <c r="AJ118"/>
  <c r="AM118"/>
  <c r="AM119"/>
  <c r="AT111"/>
  <c r="AW111"/>
  <c r="AW112"/>
  <c r="AM101"/>
  <c r="AX122"/>
  <c r="AX85"/>
  <c r="AN65"/>
  <c r="AX106"/>
  <c r="AN119"/>
  <c r="AS119"/>
  <c r="AL74"/>
  <c r="Z74"/>
  <c r="AK74"/>
  <c r="AN112"/>
  <c r="AS112"/>
  <c r="AX108"/>
  <c r="AK100"/>
  <c r="AB100"/>
  <c r="AD100"/>
  <c r="AC113"/>
  <c r="AO120"/>
  <c r="AR120"/>
  <c r="AX98"/>
  <c r="AO95"/>
  <c r="AR95"/>
  <c r="AX93"/>
  <c r="AX83"/>
  <c r="AW80"/>
  <c r="AN80"/>
  <c r="AS80"/>
  <c r="AN72"/>
  <c r="AS72"/>
  <c r="AR104"/>
  <c r="AX116"/>
  <c r="AX99"/>
  <c r="AX94"/>
  <c r="AW86"/>
  <c r="AN86"/>
  <c r="AX79"/>
  <c r="AN79"/>
  <c r="AS79"/>
  <c r="AX71"/>
  <c r="AX107"/>
  <c r="AM107"/>
  <c r="AN107"/>
  <c r="AS107"/>
  <c r="AX105"/>
  <c r="AR105"/>
  <c r="AN105"/>
  <c r="AX67"/>
  <c r="BD27" i="8"/>
  <c r="AN16"/>
  <c r="AN80"/>
  <c r="AL8"/>
  <c r="BB74"/>
  <c r="BB85"/>
  <c r="BB88"/>
  <c r="BB17"/>
  <c r="BB49"/>
  <c r="BH16" i="7"/>
  <c r="AJ78" i="8"/>
  <c r="AZ78"/>
  <c r="AK80"/>
  <c r="AO90"/>
  <c r="AO88"/>
  <c r="Z93"/>
  <c r="Z94"/>
  <c r="Z91"/>
  <c r="Y94"/>
  <c r="AF94"/>
  <c r="AF93"/>
  <c r="AN90"/>
  <c r="AN88"/>
  <c r="AL80"/>
  <c r="AL85"/>
  <c r="AK74"/>
  <c r="D12" i="87"/>
  <c r="D12" i="88"/>
  <c r="AZ14" i="8"/>
  <c r="AM113" i="7"/>
  <c r="BD113"/>
  <c r="AC8"/>
  <c r="AC51"/>
  <c r="AC55"/>
  <c r="AC109"/>
  <c r="AC120"/>
  <c r="AM115"/>
  <c r="BD115"/>
  <c r="AA124"/>
  <c r="AA122"/>
  <c r="AI122"/>
  <c r="AI120"/>
  <c r="AO109"/>
  <c r="AB122"/>
  <c r="AB124"/>
  <c r="AN122"/>
  <c r="BH18"/>
  <c r="BD18"/>
  <c r="BD33"/>
  <c r="BD24"/>
  <c r="BH24"/>
  <c r="BD41"/>
  <c r="BH41"/>
  <c r="BD15"/>
  <c r="AT49" i="19"/>
  <c r="AN51" i="7"/>
  <c r="AN54"/>
  <c r="D27" i="85"/>
  <c r="AG15" i="19"/>
  <c r="AG13"/>
  <c r="AE10"/>
  <c r="AV10"/>
  <c r="AK14" i="8"/>
  <c r="AK78"/>
  <c r="AF49"/>
  <c r="Y59"/>
  <c r="AF59"/>
  <c r="Y62"/>
  <c r="Y56"/>
  <c r="AF56"/>
  <c r="Y58"/>
  <c r="AM24" i="7"/>
  <c r="AL25"/>
  <c r="AJ14" i="8"/>
  <c r="AI8"/>
  <c r="AO48" i="7"/>
  <c r="AL35"/>
  <c r="AM35"/>
  <c r="AM33"/>
  <c r="AM41"/>
  <c r="AM15"/>
  <c r="AD9"/>
  <c r="AD109"/>
  <c r="AD120"/>
  <c r="AQ9"/>
  <c r="AR9"/>
  <c r="AS9"/>
  <c r="AO8"/>
  <c r="AL8"/>
  <c r="AB8"/>
  <c r="AP8"/>
  <c r="AI8"/>
  <c r="AA51"/>
  <c r="AL9"/>
  <c r="AL109"/>
  <c r="Z56"/>
  <c r="R56"/>
  <c r="AL17"/>
  <c r="BH17"/>
  <c r="AM18"/>
  <c r="R53"/>
  <c r="Z53"/>
  <c r="S53"/>
  <c r="AM27"/>
  <c r="AN49" i="8"/>
  <c r="AO49"/>
  <c r="AM62"/>
  <c r="BW39"/>
  <c r="BU40"/>
  <c r="BV40"/>
  <c r="BV39"/>
  <c r="BU34"/>
  <c r="BV34"/>
  <c r="I14" i="89"/>
  <c r="BD34" i="8"/>
  <c r="I19" i="90"/>
  <c r="I15"/>
  <c r="I13" i="87"/>
  <c r="D22" i="85"/>
  <c r="D9"/>
  <c r="BH109" i="7"/>
  <c r="D14" i="89"/>
  <c r="D12" i="86"/>
  <c r="K21" i="87"/>
  <c r="K23" i="90"/>
  <c r="J23"/>
  <c r="J23" i="89"/>
  <c r="K21" i="85"/>
  <c r="K23" i="89"/>
  <c r="BE82" i="8"/>
  <c r="AL49"/>
  <c r="BG117" i="7"/>
  <c r="BI48"/>
  <c r="AW69" i="6"/>
  <c r="AS116"/>
  <c r="AN81"/>
  <c r="AS81"/>
  <c r="AB64"/>
  <c r="AS50" i="19"/>
  <c r="AU49"/>
  <c r="AS93" i="6"/>
  <c r="AL64"/>
  <c r="AN110"/>
  <c r="AN98"/>
  <c r="AS98"/>
  <c r="AY125" i="7"/>
  <c r="AY127"/>
  <c r="AY128"/>
  <c r="AN53"/>
  <c r="BH32"/>
  <c r="BE17" i="8"/>
  <c r="BC24"/>
  <c r="BU24"/>
  <c r="BE8"/>
  <c r="BC14"/>
  <c r="BU14"/>
  <c r="BE78"/>
  <c r="BJ15" i="7"/>
  <c r="BJ113"/>
  <c r="AN101" i="6"/>
  <c r="AS77"/>
  <c r="AC64"/>
  <c r="AC123"/>
  <c r="AC124"/>
  <c r="AS106"/>
  <c r="BF17" i="8"/>
  <c r="BF8"/>
  <c r="BF78"/>
  <c r="AR17" i="7"/>
  <c r="AS17"/>
  <c r="AQ8"/>
  <c r="AR8"/>
  <c r="AS8"/>
  <c r="AS86" i="6"/>
  <c r="AJ100"/>
  <c r="AN118"/>
  <c r="AS118"/>
  <c r="AW109"/>
  <c r="AM69"/>
  <c r="AN69"/>
  <c r="AS69"/>
  <c r="AN120"/>
  <c r="AN117"/>
  <c r="AD66"/>
  <c r="AS108"/>
  <c r="BI113" i="7"/>
  <c r="BI15"/>
  <c r="BG14"/>
  <c r="AC53"/>
  <c r="AC56"/>
  <c r="AR69" i="6"/>
  <c r="AW95"/>
  <c r="AS105"/>
  <c r="AN95"/>
  <c r="AS117"/>
  <c r="AD115"/>
  <c r="AD76"/>
  <c r="AS120"/>
  <c r="AN90"/>
  <c r="AS90"/>
  <c r="AO101"/>
  <c r="AO75"/>
  <c r="AO65"/>
  <c r="AM100"/>
  <c r="AN100"/>
  <c r="AS104"/>
  <c r="AB74"/>
  <c r="AD74"/>
  <c r="AD113"/>
  <c r="AN97"/>
  <c r="AS97"/>
  <c r="AS110"/>
  <c r="AM115"/>
  <c r="AJ74"/>
  <c r="AM74"/>
  <c r="AM76"/>
  <c r="AN76"/>
  <c r="AM66"/>
  <c r="AX120"/>
  <c r="AO114"/>
  <c r="AM64"/>
  <c r="AX91"/>
  <c r="AV90"/>
  <c r="AX90"/>
  <c r="AW91"/>
  <c r="AD64"/>
  <c r="Z123"/>
  <c r="AX118"/>
  <c r="AL123"/>
  <c r="AL124"/>
  <c r="AK123"/>
  <c r="AK124"/>
  <c r="AS95"/>
  <c r="AS70"/>
  <c r="AJ113"/>
  <c r="AM113"/>
  <c r="AX111"/>
  <c r="AR90"/>
  <c r="AW118"/>
  <c r="AX109"/>
  <c r="AN66"/>
  <c r="AX69"/>
  <c r="AX95"/>
  <c r="AS89"/>
  <c r="BB56" i="8"/>
  <c r="BB57"/>
  <c r="BB89"/>
  <c r="BB90"/>
  <c r="AC58" i="7"/>
  <c r="AC59"/>
  <c r="AL88" i="8"/>
  <c r="AL90"/>
  <c r="P83" i="56"/>
  <c r="AN93" i="8"/>
  <c r="AN94"/>
  <c r="AN91"/>
  <c r="AO93"/>
  <c r="AO94"/>
  <c r="AO91"/>
  <c r="AZ8"/>
  <c r="AN123" i="7"/>
  <c r="AN124"/>
  <c r="AM109"/>
  <c r="BD109"/>
  <c r="AD124"/>
  <c r="AD122"/>
  <c r="AO117"/>
  <c r="AO120"/>
  <c r="AB127"/>
  <c r="AB128"/>
  <c r="AB125"/>
  <c r="AA127"/>
  <c r="AA125"/>
  <c r="AI125"/>
  <c r="AI124"/>
  <c r="AC124"/>
  <c r="AC122"/>
  <c r="AM9"/>
  <c r="BH9"/>
  <c r="BD9"/>
  <c r="BD25"/>
  <c r="BH25"/>
  <c r="AT56"/>
  <c r="AT55"/>
  <c r="AT53"/>
  <c r="AD8"/>
  <c r="AD51"/>
  <c r="AD56"/>
  <c r="AV49" i="19"/>
  <c r="AE11"/>
  <c r="AV11"/>
  <c r="AG10"/>
  <c r="AE49"/>
  <c r="AH57"/>
  <c r="AJ8" i="8"/>
  <c r="AK8"/>
  <c r="AL48" i="7"/>
  <c r="AL117"/>
  <c r="D13" i="89"/>
  <c r="AM25" i="7"/>
  <c r="Y63" i="8"/>
  <c r="AF62"/>
  <c r="AM8" i="7"/>
  <c r="AO51"/>
  <c r="AO54"/>
  <c r="AA56"/>
  <c r="AP51"/>
  <c r="AQ51"/>
  <c r="AA53"/>
  <c r="AB51"/>
  <c r="AA55"/>
  <c r="AI51"/>
  <c r="AM17"/>
  <c r="AN56"/>
  <c r="AN55"/>
  <c r="M20" i="56"/>
  <c r="H64" i="7"/>
  <c r="G64"/>
  <c r="G63"/>
  <c r="AN58"/>
  <c r="AN62" i="8"/>
  <c r="AO62"/>
  <c r="BW40"/>
  <c r="BW34"/>
  <c r="BW14"/>
  <c r="BU15"/>
  <c r="BV14"/>
  <c r="BU78"/>
  <c r="BV24"/>
  <c r="BU25"/>
  <c r="BV25"/>
  <c r="BW24"/>
  <c r="BU17"/>
  <c r="BV14" i="7"/>
  <c r="BR14" i="8"/>
  <c r="BR24"/>
  <c r="AL59"/>
  <c r="AL58"/>
  <c r="AL56"/>
  <c r="AL62"/>
  <c r="D11" i="90"/>
  <c r="D42"/>
  <c r="I13"/>
  <c r="I12"/>
  <c r="J11" i="88"/>
  <c r="I10"/>
  <c r="BI8" i="7"/>
  <c r="M10" i="56"/>
  <c r="M9"/>
  <c r="AL102" i="7"/>
  <c r="AO102"/>
  <c r="AO101"/>
  <c r="D37" i="89"/>
  <c r="D12"/>
  <c r="D11" i="86"/>
  <c r="D10"/>
  <c r="BJ8" i="7"/>
  <c r="D30" i="85"/>
  <c r="D10" i="89"/>
  <c r="D35"/>
  <c r="BI117" i="7"/>
  <c r="I11" i="85"/>
  <c r="I10"/>
  <c r="J11" i="87"/>
  <c r="BJ48" i="7"/>
  <c r="AL120"/>
  <c r="AM120"/>
  <c r="BH117"/>
  <c r="AT50" i="19"/>
  <c r="BF85" i="8"/>
  <c r="BF88"/>
  <c r="D11" i="66"/>
  <c r="BE85" i="8"/>
  <c r="BE88"/>
  <c r="D11" i="65"/>
  <c r="BE49" i="8"/>
  <c r="BI51" i="7"/>
  <c r="BG27"/>
  <c r="BH33"/>
  <c r="AI46" i="8"/>
  <c r="AH60" i="19"/>
  <c r="BF49" i="8"/>
  <c r="AN115" i="6"/>
  <c r="AO115"/>
  <c r="AO113"/>
  <c r="BC78" i="8"/>
  <c r="BR78"/>
  <c r="BD14"/>
  <c r="BG113" i="7"/>
  <c r="BG15"/>
  <c r="BH14"/>
  <c r="BC17" i="8"/>
  <c r="BR17"/>
  <c r="BD25"/>
  <c r="BD24"/>
  <c r="AN74" i="6"/>
  <c r="AW90"/>
  <c r="AP114"/>
  <c r="AT114"/>
  <c r="AV114"/>
  <c r="AQ114"/>
  <c r="AU114"/>
  <c r="BB58" i="8"/>
  <c r="AN64" i="6"/>
  <c r="AJ123"/>
  <c r="AB123"/>
  <c r="AB124"/>
  <c r="AN113"/>
  <c r="AO66"/>
  <c r="AO64"/>
  <c r="Z124"/>
  <c r="AP65"/>
  <c r="AT65"/>
  <c r="AV65"/>
  <c r="AQ65"/>
  <c r="AU65"/>
  <c r="AO76"/>
  <c r="AO74"/>
  <c r="AQ75"/>
  <c r="AU75"/>
  <c r="AV75"/>
  <c r="AP75"/>
  <c r="AT75"/>
  <c r="AP101"/>
  <c r="AP100"/>
  <c r="AT101"/>
  <c r="AV101"/>
  <c r="AO100"/>
  <c r="AQ101"/>
  <c r="AQ100"/>
  <c r="AU101"/>
  <c r="AU100"/>
  <c r="BB59" i="8"/>
  <c r="BB62"/>
  <c r="BB63"/>
  <c r="V9" i="56"/>
  <c r="P103"/>
  <c r="BB91" i="8"/>
  <c r="BB93"/>
  <c r="K83" i="56"/>
  <c r="P82"/>
  <c r="M19"/>
  <c r="V19"/>
  <c r="H20"/>
  <c r="H19"/>
  <c r="AL93" i="8"/>
  <c r="AL91"/>
  <c r="AO122" i="7"/>
  <c r="AO55"/>
  <c r="P20" i="56"/>
  <c r="AO123" i="7"/>
  <c r="AO124"/>
  <c r="AM117"/>
  <c r="AC127"/>
  <c r="AC128"/>
  <c r="AC125"/>
  <c r="AA128"/>
  <c r="AI128"/>
  <c r="AI127"/>
  <c r="AD127"/>
  <c r="AD128"/>
  <c r="AD125"/>
  <c r="AN127"/>
  <c r="AN128"/>
  <c r="AN125"/>
  <c r="BH48"/>
  <c r="AD58"/>
  <c r="AA58"/>
  <c r="AD53"/>
  <c r="AD55"/>
  <c r="AG11" i="19"/>
  <c r="AE50"/>
  <c r="AG49"/>
  <c r="AF63" i="8"/>
  <c r="AM63"/>
  <c r="AN63"/>
  <c r="AO63"/>
  <c r="AM48" i="7"/>
  <c r="AO56"/>
  <c r="AL51"/>
  <c r="AO53"/>
  <c r="S68"/>
  <c r="AP53"/>
  <c r="AQ53"/>
  <c r="AI53"/>
  <c r="AB53"/>
  <c r="AI55"/>
  <c r="AI56"/>
  <c r="AP56"/>
  <c r="AQ56"/>
  <c r="AB56"/>
  <c r="H63"/>
  <c r="AL54"/>
  <c r="AO58"/>
  <c r="AR51"/>
  <c r="AR58"/>
  <c r="AN59"/>
  <c r="AL101"/>
  <c r="AL63" i="8"/>
  <c r="T64" i="7"/>
  <c r="Q64"/>
  <c r="Q63"/>
  <c r="G65"/>
  <c r="T65"/>
  <c r="BW15" i="8"/>
  <c r="BW8"/>
  <c r="BW78"/>
  <c r="BW85"/>
  <c r="BV17"/>
  <c r="BW25"/>
  <c r="BW17"/>
  <c r="BW49"/>
  <c r="BU85"/>
  <c r="BV85"/>
  <c r="BV15"/>
  <c r="BU8"/>
  <c r="BX24"/>
  <c r="BV15" i="7"/>
  <c r="D11" i="61"/>
  <c r="I10" i="87"/>
  <c r="BI120" i="7"/>
  <c r="BI122"/>
  <c r="K11" i="88"/>
  <c r="K10"/>
  <c r="J10"/>
  <c r="I9"/>
  <c r="I22"/>
  <c r="AL123" i="7"/>
  <c r="AM123"/>
  <c r="D29" i="89"/>
  <c r="D27" i="86"/>
  <c r="D9"/>
  <c r="D30"/>
  <c r="D24" i="89"/>
  <c r="D22" i="86"/>
  <c r="D32" i="85"/>
  <c r="D40" i="89"/>
  <c r="D52"/>
  <c r="BI54" i="7"/>
  <c r="I27" i="85"/>
  <c r="BJ117" i="7"/>
  <c r="I24" i="90"/>
  <c r="I22" i="87"/>
  <c r="J13" i="90"/>
  <c r="J12"/>
  <c r="K11" i="87"/>
  <c r="J10"/>
  <c r="J11" i="85"/>
  <c r="BD17" i="8"/>
  <c r="AL122" i="7"/>
  <c r="BJ51"/>
  <c r="AD59"/>
  <c r="BG120"/>
  <c r="BH120"/>
  <c r="BH113"/>
  <c r="E11" i="66"/>
  <c r="D10"/>
  <c r="D10" i="61"/>
  <c r="D22"/>
  <c r="E11"/>
  <c r="E11" i="65"/>
  <c r="D10"/>
  <c r="BI123" i="7"/>
  <c r="BI124"/>
  <c r="BI127"/>
  <c r="BI128"/>
  <c r="BI130"/>
  <c r="BI132"/>
  <c r="BH27"/>
  <c r="AR100" i="6"/>
  <c r="AS100"/>
  <c r="AD124"/>
  <c r="BE56" i="8"/>
  <c r="BE57"/>
  <c r="BF56"/>
  <c r="BF59"/>
  <c r="BC85"/>
  <c r="BD78"/>
  <c r="BG8" i="7"/>
  <c r="BV8"/>
  <c r="BH15"/>
  <c r="BC8" i="8"/>
  <c r="BR8"/>
  <c r="BD15"/>
  <c r="BD46"/>
  <c r="AI82"/>
  <c r="D13" i="90"/>
  <c r="AR65" i="6"/>
  <c r="AS65"/>
  <c r="AV100"/>
  <c r="AX101"/>
  <c r="AW75"/>
  <c r="AX75"/>
  <c r="AX65"/>
  <c r="AP66"/>
  <c r="AT66"/>
  <c r="AT64"/>
  <c r="AV66"/>
  <c r="AV64"/>
  <c r="AQ66"/>
  <c r="AQ64"/>
  <c r="AU66"/>
  <c r="AU64"/>
  <c r="AJ124"/>
  <c r="AM124"/>
  <c r="AM123"/>
  <c r="AW114"/>
  <c r="AR101"/>
  <c r="AS101"/>
  <c r="AD123"/>
  <c r="AT100"/>
  <c r="AW101"/>
  <c r="AQ76"/>
  <c r="AQ74"/>
  <c r="AU76"/>
  <c r="AU74"/>
  <c r="AP76"/>
  <c r="AT76"/>
  <c r="AR76"/>
  <c r="AS76"/>
  <c r="AV76"/>
  <c r="AX76"/>
  <c r="AO123"/>
  <c r="AW65"/>
  <c r="AX114"/>
  <c r="AP115"/>
  <c r="AT115"/>
  <c r="AV115"/>
  <c r="AV113"/>
  <c r="AQ115"/>
  <c r="AU115"/>
  <c r="AU113"/>
  <c r="AP74"/>
  <c r="AR75"/>
  <c r="AS75"/>
  <c r="AP64"/>
  <c r="AQ113"/>
  <c r="AR114"/>
  <c r="AS114"/>
  <c r="P93" i="56"/>
  <c r="BB94" i="8"/>
  <c r="K103" i="56"/>
  <c r="K102"/>
  <c r="T102"/>
  <c r="P102"/>
  <c r="X102"/>
  <c r="AL94" i="8"/>
  <c r="P73" i="56"/>
  <c r="X82"/>
  <c r="K20"/>
  <c r="P19"/>
  <c r="X19"/>
  <c r="AO59" i="7"/>
  <c r="H69"/>
  <c r="P10" i="56"/>
  <c r="R19"/>
  <c r="J19"/>
  <c r="E59"/>
  <c r="I21"/>
  <c r="G21"/>
  <c r="N21"/>
  <c r="L21"/>
  <c r="AO127" i="7"/>
  <c r="AO128"/>
  <c r="AO125"/>
  <c r="AM122"/>
  <c r="AL124"/>
  <c r="AW55"/>
  <c r="AW56"/>
  <c r="AW53"/>
  <c r="AL55"/>
  <c r="L20" i="56"/>
  <c r="AL58" i="7"/>
  <c r="L10" i="56"/>
  <c r="L9"/>
  <c r="T63" i="7"/>
  <c r="AS51"/>
  <c r="AL53"/>
  <c r="AM51"/>
  <c r="AL56"/>
  <c r="AM56"/>
  <c r="AA59"/>
  <c r="AP58"/>
  <c r="AQ58"/>
  <c r="AS58"/>
  <c r="AI58"/>
  <c r="AR56"/>
  <c r="AS56"/>
  <c r="P68"/>
  <c r="S70"/>
  <c r="P70"/>
  <c r="AR53"/>
  <c r="AS53"/>
  <c r="H70"/>
  <c r="G70"/>
  <c r="G69"/>
  <c r="G71"/>
  <c r="H109" i="8"/>
  <c r="H110"/>
  <c r="G110"/>
  <c r="G109"/>
  <c r="G111"/>
  <c r="T83" i="7"/>
  <c r="Q65"/>
  <c r="BW62" i="8"/>
  <c r="BW58"/>
  <c r="BV8"/>
  <c r="BU49"/>
  <c r="BW56"/>
  <c r="BW59"/>
  <c r="BX25"/>
  <c r="BX17"/>
  <c r="BX49"/>
  <c r="BX78"/>
  <c r="BX85"/>
  <c r="BU88"/>
  <c r="BV88"/>
  <c r="BU90"/>
  <c r="BW88"/>
  <c r="BW90"/>
  <c r="BW93"/>
  <c r="D12" i="90"/>
  <c r="D24"/>
  <c r="BG54" i="7"/>
  <c r="I30" i="88"/>
  <c r="I32"/>
  <c r="L31"/>
  <c r="I11" i="90"/>
  <c r="I42"/>
  <c r="J9" i="88"/>
  <c r="J22"/>
  <c r="K22"/>
  <c r="K9"/>
  <c r="BH8" i="7"/>
  <c r="D35" i="85"/>
  <c r="D41"/>
  <c r="D9" i="89"/>
  <c r="K11" i="85"/>
  <c r="J27" i="87"/>
  <c r="J22"/>
  <c r="J24" i="90"/>
  <c r="BG123" i="7"/>
  <c r="BG124"/>
  <c r="BH124"/>
  <c r="I22" i="85"/>
  <c r="K13" i="90"/>
  <c r="K12"/>
  <c r="K10" i="87"/>
  <c r="D11" i="64"/>
  <c r="I11" i="86"/>
  <c r="BJ120" i="7"/>
  <c r="D27" i="61"/>
  <c r="D9"/>
  <c r="D30"/>
  <c r="D32"/>
  <c r="I29" i="89"/>
  <c r="BC49" i="8"/>
  <c r="AR115" i="6"/>
  <c r="AS115"/>
  <c r="AP113"/>
  <c r="AR113"/>
  <c r="AS113"/>
  <c r="AR66"/>
  <c r="AS66"/>
  <c r="BG122" i="7"/>
  <c r="BH122"/>
  <c r="BH123"/>
  <c r="E10" i="66"/>
  <c r="F11"/>
  <c r="F10"/>
  <c r="D9"/>
  <c r="D30"/>
  <c r="D22"/>
  <c r="F11" i="61"/>
  <c r="F10"/>
  <c r="E10"/>
  <c r="F11" i="65"/>
  <c r="F10"/>
  <c r="E10"/>
  <c r="D22"/>
  <c r="AN124" i="6"/>
  <c r="BG51" i="7"/>
  <c r="BI125"/>
  <c r="BH54"/>
  <c r="BE59" i="8"/>
  <c r="BE64"/>
  <c r="BE62"/>
  <c r="BF62"/>
  <c r="AJ82"/>
  <c r="BD82"/>
  <c r="AI85"/>
  <c r="BF58"/>
  <c r="BF89"/>
  <c r="BF90"/>
  <c r="BE58"/>
  <c r="BC57"/>
  <c r="BV57"/>
  <c r="BE89"/>
  <c r="I27" i="87"/>
  <c r="BD8" i="8"/>
  <c r="BC88"/>
  <c r="AR74" i="6"/>
  <c r="AS74"/>
  <c r="AW100"/>
  <c r="AX64"/>
  <c r="AW64"/>
  <c r="AP123"/>
  <c r="AP124"/>
  <c r="AW115"/>
  <c r="AR64"/>
  <c r="AS64"/>
  <c r="AN123"/>
  <c r="AT113"/>
  <c r="AW113"/>
  <c r="AW66"/>
  <c r="AV74"/>
  <c r="AX100"/>
  <c r="AO124"/>
  <c r="AU123"/>
  <c r="AU124"/>
  <c r="AX115"/>
  <c r="AW76"/>
  <c r="AQ123"/>
  <c r="AQ124"/>
  <c r="AX66"/>
  <c r="AT74"/>
  <c r="AW74"/>
  <c r="K93" i="56"/>
  <c r="K92"/>
  <c r="T92"/>
  <c r="P92"/>
  <c r="P72"/>
  <c r="L19"/>
  <c r="U19"/>
  <c r="G20"/>
  <c r="G19"/>
  <c r="Q19"/>
  <c r="J20"/>
  <c r="O20"/>
  <c r="O19"/>
  <c r="E39"/>
  <c r="K10"/>
  <c r="P9"/>
  <c r="X9"/>
  <c r="U9"/>
  <c r="AM124" i="7"/>
  <c r="AL127"/>
  <c r="AL125"/>
  <c r="AM125"/>
  <c r="AM55"/>
  <c r="AL59"/>
  <c r="AM59"/>
  <c r="AK46" i="8"/>
  <c r="AK82"/>
  <c r="AJ46"/>
  <c r="AI49"/>
  <c r="AM58" i="7"/>
  <c r="AI59"/>
  <c r="AP59"/>
  <c r="AQ59"/>
  <c r="S63"/>
  <c r="S64"/>
  <c r="P64"/>
  <c r="P63"/>
  <c r="P65"/>
  <c r="AM53"/>
  <c r="P69"/>
  <c r="P71"/>
  <c r="U83"/>
  <c r="BU93" i="8"/>
  <c r="BV93"/>
  <c r="BV90"/>
  <c r="BX62"/>
  <c r="BX58"/>
  <c r="BU58"/>
  <c r="X245" i="6"/>
  <c r="C105" i="93"/>
  <c r="BU62" i="8"/>
  <c r="BW94"/>
  <c r="BW97"/>
  <c r="BW98"/>
  <c r="BW91"/>
  <c r="BU94"/>
  <c r="BV94"/>
  <c r="BU91"/>
  <c r="BV91"/>
  <c r="BX90"/>
  <c r="BX93"/>
  <c r="BX88"/>
  <c r="BW63"/>
  <c r="M167" i="56"/>
  <c r="M166"/>
  <c r="BX59" i="8"/>
  <c r="BX56"/>
  <c r="BV49"/>
  <c r="BU56"/>
  <c r="BU59"/>
  <c r="X246" i="6"/>
  <c r="C106" i="93"/>
  <c r="L34" i="88"/>
  <c r="AK85" i="8"/>
  <c r="D11" i="87"/>
  <c r="K30" i="88"/>
  <c r="K11" i="90"/>
  <c r="K42"/>
  <c r="J30" i="88"/>
  <c r="J11" i="90"/>
  <c r="J42"/>
  <c r="I35" i="88"/>
  <c r="I39"/>
  <c r="J31"/>
  <c r="D34" i="89"/>
  <c r="D11"/>
  <c r="D41"/>
  <c r="I29" i="90"/>
  <c r="I9"/>
  <c r="I35"/>
  <c r="I44"/>
  <c r="L43"/>
  <c r="I9" i="87"/>
  <c r="J11" i="86"/>
  <c r="I10"/>
  <c r="I13" i="89"/>
  <c r="I12"/>
  <c r="K24" i="90"/>
  <c r="J9" i="87"/>
  <c r="J31"/>
  <c r="J29" i="90"/>
  <c r="K10" i="85"/>
  <c r="I9"/>
  <c r="BJ122" i="7"/>
  <c r="BJ124"/>
  <c r="D10" i="64"/>
  <c r="E11"/>
  <c r="K22" i="87"/>
  <c r="K27"/>
  <c r="BF63" i="8"/>
  <c r="BC89"/>
  <c r="BC90"/>
  <c r="L123" i="56"/>
  <c r="D32" i="66"/>
  <c r="BG125" i="7"/>
  <c r="BH125"/>
  <c r="BG127"/>
  <c r="BG128"/>
  <c r="E9" i="66"/>
  <c r="E30"/>
  <c r="E22"/>
  <c r="F22"/>
  <c r="F9"/>
  <c r="F30"/>
  <c r="F22" i="61"/>
  <c r="F27"/>
  <c r="F9"/>
  <c r="F30"/>
  <c r="E22"/>
  <c r="E27"/>
  <c r="E9"/>
  <c r="E30"/>
  <c r="D35"/>
  <c r="D41"/>
  <c r="E31"/>
  <c r="E34"/>
  <c r="BE90" i="8"/>
  <c r="M123" i="56"/>
  <c r="D27" i="65"/>
  <c r="D9"/>
  <c r="D30"/>
  <c r="E22"/>
  <c r="E27"/>
  <c r="E9"/>
  <c r="E30"/>
  <c r="F22"/>
  <c r="F27"/>
  <c r="F9"/>
  <c r="F30"/>
  <c r="BE63" i="8"/>
  <c r="BC66"/>
  <c r="BF64"/>
  <c r="BE66"/>
  <c r="BD85"/>
  <c r="AJ85"/>
  <c r="AI88"/>
  <c r="BC59"/>
  <c r="BC62"/>
  <c r="BC58"/>
  <c r="BC56"/>
  <c r="P123" i="56"/>
  <c r="BF93" i="8"/>
  <c r="BF91"/>
  <c r="AR124" i="6"/>
  <c r="AS124"/>
  <c r="AT123"/>
  <c r="AX113"/>
  <c r="AR123"/>
  <c r="AS123"/>
  <c r="AX74"/>
  <c r="AV123"/>
  <c r="X72" i="56"/>
  <c r="X92"/>
  <c r="E60"/>
  <c r="D61"/>
  <c r="D41"/>
  <c r="B41"/>
  <c r="E40"/>
  <c r="AK88" i="8"/>
  <c r="BD49"/>
  <c r="AL128" i="7"/>
  <c r="AM128"/>
  <c r="AM127"/>
  <c r="AI56" i="8"/>
  <c r="AJ49"/>
  <c r="AK49"/>
  <c r="AK57"/>
  <c r="AR59" i="7"/>
  <c r="AS59"/>
  <c r="J9" i="90"/>
  <c r="J35"/>
  <c r="BV62" i="8"/>
  <c r="BU63"/>
  <c r="L167" i="56"/>
  <c r="L166"/>
  <c r="BX63" i="8"/>
  <c r="P167" i="56"/>
  <c r="P166"/>
  <c r="BX94" i="8"/>
  <c r="BX97"/>
  <c r="BX98"/>
  <c r="BX91"/>
  <c r="BV58"/>
  <c r="BV59"/>
  <c r="BV56"/>
  <c r="I41" i="88"/>
  <c r="L38"/>
  <c r="D10" i="87"/>
  <c r="D22"/>
  <c r="D11" i="88"/>
  <c r="D10"/>
  <c r="D22"/>
  <c r="BC93" i="8"/>
  <c r="BC91"/>
  <c r="I56" i="90"/>
  <c r="L55"/>
  <c r="J43"/>
  <c r="J46"/>
  <c r="I47"/>
  <c r="J32" i="88"/>
  <c r="J34"/>
  <c r="J38"/>
  <c r="I40"/>
  <c r="D22" i="64"/>
  <c r="D9"/>
  <c r="D30"/>
  <c r="D32"/>
  <c r="D35"/>
  <c r="I10" i="89"/>
  <c r="I35"/>
  <c r="I37"/>
  <c r="L36"/>
  <c r="I30" i="85"/>
  <c r="I32"/>
  <c r="L31"/>
  <c r="I24" i="89"/>
  <c r="I9"/>
  <c r="I34"/>
  <c r="K11" i="86"/>
  <c r="J10"/>
  <c r="J13" i="89"/>
  <c r="K9" i="87"/>
  <c r="K29" i="90"/>
  <c r="K9"/>
  <c r="K35"/>
  <c r="E10" i="64"/>
  <c r="F11"/>
  <c r="F10"/>
  <c r="BJ125" i="7"/>
  <c r="BJ127"/>
  <c r="BJ128"/>
  <c r="K27" i="85"/>
  <c r="K29" i="89"/>
  <c r="K22" i="85"/>
  <c r="K9"/>
  <c r="J10" i="90"/>
  <c r="J36"/>
  <c r="I9" i="86"/>
  <c r="I22"/>
  <c r="I31" i="87"/>
  <c r="I33"/>
  <c r="L32"/>
  <c r="I10" i="90"/>
  <c r="I36"/>
  <c r="I38"/>
  <c r="L37"/>
  <c r="BC65" i="8"/>
  <c r="AA244" i="6"/>
  <c r="Y244"/>
  <c r="BC63" i="8"/>
  <c r="D39" i="66"/>
  <c r="D35"/>
  <c r="D41"/>
  <c r="E31"/>
  <c r="E34"/>
  <c r="D32" i="65"/>
  <c r="E31" i="64"/>
  <c r="BH128" i="7"/>
  <c r="BH127"/>
  <c r="E32" i="61"/>
  <c r="E41"/>
  <c r="BE93" i="8"/>
  <c r="M113" i="56"/>
  <c r="M112"/>
  <c r="V166"/>
  <c r="BE91" i="8"/>
  <c r="BF66"/>
  <c r="BF65"/>
  <c r="BG65"/>
  <c r="BF94"/>
  <c r="P113" i="56"/>
  <c r="P122"/>
  <c r="X122"/>
  <c r="K123"/>
  <c r="K122"/>
  <c r="T122"/>
  <c r="L122"/>
  <c r="G123"/>
  <c r="G122"/>
  <c r="Q122"/>
  <c r="BD88" i="8"/>
  <c r="AJ88"/>
  <c r="L113" i="56"/>
  <c r="L112"/>
  <c r="BC94" i="8"/>
  <c r="M122" i="56"/>
  <c r="H123"/>
  <c r="H122"/>
  <c r="AX123" i="6"/>
  <c r="AV124"/>
  <c r="AT124"/>
  <c r="AW123"/>
  <c r="C40" i="56"/>
  <c r="B40"/>
  <c r="B39"/>
  <c r="B61"/>
  <c r="C60"/>
  <c r="BD56" i="8"/>
  <c r="AJ56"/>
  <c r="AK56"/>
  <c r="AK103"/>
  <c r="AK104"/>
  <c r="U166" i="56"/>
  <c r="BV63" i="8"/>
  <c r="L34" i="85"/>
  <c r="L39" i="89"/>
  <c r="L35" i="87"/>
  <c r="D41" i="64"/>
  <c r="J44" i="90"/>
  <c r="J56"/>
  <c r="J39" i="88"/>
  <c r="J35"/>
  <c r="K31"/>
  <c r="I57" i="90"/>
  <c r="J55"/>
  <c r="I58"/>
  <c r="J32" i="87"/>
  <c r="J33"/>
  <c r="I36"/>
  <c r="I42"/>
  <c r="I30" i="86"/>
  <c r="I32"/>
  <c r="L31"/>
  <c r="L34"/>
  <c r="I11" i="89"/>
  <c r="I41"/>
  <c r="I43"/>
  <c r="L42"/>
  <c r="E22" i="64"/>
  <c r="E9"/>
  <c r="E30"/>
  <c r="K31" i="87"/>
  <c r="K10" i="90"/>
  <c r="K36"/>
  <c r="K10" i="86"/>
  <c r="K13" i="89"/>
  <c r="K12"/>
  <c r="J36"/>
  <c r="I52"/>
  <c r="I40"/>
  <c r="E32" i="64"/>
  <c r="F31"/>
  <c r="F34"/>
  <c r="J37" i="90"/>
  <c r="J38"/>
  <c r="I41"/>
  <c r="I53"/>
  <c r="K30" i="85"/>
  <c r="K10" i="89"/>
  <c r="K35"/>
  <c r="F9" i="64"/>
  <c r="F30"/>
  <c r="F32"/>
  <c r="F35"/>
  <c r="F22"/>
  <c r="J22" i="86"/>
  <c r="J9"/>
  <c r="J34" i="85"/>
  <c r="I35"/>
  <c r="I41"/>
  <c r="AA245" i="6"/>
  <c r="D105" i="93"/>
  <c r="Y245" i="6"/>
  <c r="AA246"/>
  <c r="D106" i="93"/>
  <c r="Y246" i="6"/>
  <c r="E34" i="64"/>
  <c r="E32" i="66"/>
  <c r="E39"/>
  <c r="F38"/>
  <c r="D35" i="65"/>
  <c r="E31"/>
  <c r="E32"/>
  <c r="E41"/>
  <c r="D41"/>
  <c r="D40" i="66"/>
  <c r="E38"/>
  <c r="F31" i="61"/>
  <c r="F34"/>
  <c r="E35"/>
  <c r="BE94" i="8"/>
  <c r="BE97"/>
  <c r="AX124" i="6"/>
  <c r="C39" i="56"/>
  <c r="I124"/>
  <c r="G124"/>
  <c r="N124"/>
  <c r="L124"/>
  <c r="R122"/>
  <c r="J122"/>
  <c r="J123"/>
  <c r="O123"/>
  <c r="O122"/>
  <c r="K113"/>
  <c r="K112"/>
  <c r="P112"/>
  <c r="AW124" i="6"/>
  <c r="C59" i="56"/>
  <c r="B60"/>
  <c r="B59"/>
  <c r="AK62" i="8"/>
  <c r="AK89"/>
  <c r="H104"/>
  <c r="G104"/>
  <c r="AK58"/>
  <c r="AK59"/>
  <c r="AI57"/>
  <c r="X112" i="56"/>
  <c r="X166"/>
  <c r="T112"/>
  <c r="F155"/>
  <c r="F156"/>
  <c r="F166"/>
  <c r="F167"/>
  <c r="K167"/>
  <c r="K166"/>
  <c r="T166"/>
  <c r="BE98" i="8"/>
  <c r="BS96"/>
  <c r="E41" i="64"/>
  <c r="E35"/>
  <c r="T70" i="7"/>
  <c r="Q70"/>
  <c r="D10" i="90"/>
  <c r="D36"/>
  <c r="D38"/>
  <c r="AK90" i="8"/>
  <c r="M83" i="56"/>
  <c r="D27" i="87"/>
  <c r="D9"/>
  <c r="D31"/>
  <c r="D33"/>
  <c r="K43" i="90"/>
  <c r="K44"/>
  <c r="J47"/>
  <c r="J57"/>
  <c r="K55"/>
  <c r="K34" i="88"/>
  <c r="K32"/>
  <c r="K38"/>
  <c r="J40"/>
  <c r="J41"/>
  <c r="J58" i="90"/>
  <c r="K46"/>
  <c r="J39" i="89"/>
  <c r="K9" i="86"/>
  <c r="K22"/>
  <c r="I35"/>
  <c r="J41" i="90"/>
  <c r="K37"/>
  <c r="J11" i="89"/>
  <c r="J41"/>
  <c r="J40" i="90"/>
  <c r="J53"/>
  <c r="K32" i="87"/>
  <c r="K33"/>
  <c r="K36"/>
  <c r="J36"/>
  <c r="K9" i="89"/>
  <c r="K34"/>
  <c r="K24"/>
  <c r="J42"/>
  <c r="J45"/>
  <c r="I46"/>
  <c r="J35" i="87"/>
  <c r="J42"/>
  <c r="E40" i="66"/>
  <c r="E41"/>
  <c r="F31"/>
  <c r="F32"/>
  <c r="E34" i="65"/>
  <c r="F31"/>
  <c r="F34"/>
  <c r="E35"/>
  <c r="S104" i="8"/>
  <c r="Q107"/>
  <c r="E35" i="66"/>
  <c r="F32" i="61"/>
  <c r="F35"/>
  <c r="F41" i="64"/>
  <c r="AK63" i="8"/>
  <c r="T69" i="7"/>
  <c r="H83" i="56"/>
  <c r="M82"/>
  <c r="AI89" i="8"/>
  <c r="D29" i="90"/>
  <c r="D27" i="88"/>
  <c r="AK93" i="8"/>
  <c r="AK91"/>
  <c r="H103"/>
  <c r="AI58"/>
  <c r="AI62"/>
  <c r="AI59"/>
  <c r="G103"/>
  <c r="G74" i="7"/>
  <c r="Q69"/>
  <c r="G77"/>
  <c r="D36" i="87"/>
  <c r="D42"/>
  <c r="D41" i="90"/>
  <c r="D53"/>
  <c r="D9"/>
  <c r="D35"/>
  <c r="D9" i="88"/>
  <c r="D30"/>
  <c r="K39"/>
  <c r="K40"/>
  <c r="K35"/>
  <c r="K56" i="90"/>
  <c r="K57"/>
  <c r="K47"/>
  <c r="K58"/>
  <c r="K38"/>
  <c r="K41"/>
  <c r="K40"/>
  <c r="J32" i="86"/>
  <c r="J34"/>
  <c r="K30"/>
  <c r="K11" i="89"/>
  <c r="K41"/>
  <c r="K35" i="87"/>
  <c r="K42"/>
  <c r="F34" i="66"/>
  <c r="F32" i="65"/>
  <c r="F35"/>
  <c r="P104" i="8"/>
  <c r="P103"/>
  <c r="P105"/>
  <c r="Q104"/>
  <c r="Q103"/>
  <c r="Q105"/>
  <c r="F35" i="66"/>
  <c r="F39"/>
  <c r="F40"/>
  <c r="F41" i="61"/>
  <c r="S103" i="8"/>
  <c r="V82" i="56"/>
  <c r="V122"/>
  <c r="AK94" i="8"/>
  <c r="M73" i="56"/>
  <c r="AJ89" i="8"/>
  <c r="BD89"/>
  <c r="AI90"/>
  <c r="L83" i="56"/>
  <c r="Q71" i="7"/>
  <c r="T84"/>
  <c r="G105" i="8"/>
  <c r="U117"/>
  <c r="U120"/>
  <c r="W120"/>
  <c r="P106"/>
  <c r="AJ59"/>
  <c r="H77" i="7"/>
  <c r="G78"/>
  <c r="H74"/>
  <c r="G75"/>
  <c r="AJ62" i="8"/>
  <c r="AI63"/>
  <c r="K41" i="88"/>
  <c r="K53" i="90"/>
  <c r="K42" i="89"/>
  <c r="K45"/>
  <c r="J46"/>
  <c r="K31" i="86"/>
  <c r="J35"/>
  <c r="F41" i="65"/>
  <c r="F41" i="66"/>
  <c r="L82" i="56"/>
  <c r="G83"/>
  <c r="G82"/>
  <c r="Q82"/>
  <c r="H73"/>
  <c r="H72"/>
  <c r="M72"/>
  <c r="AJ90" i="8"/>
  <c r="AI93"/>
  <c r="L73" i="56"/>
  <c r="AI91" i="8"/>
  <c r="BD90"/>
  <c r="AJ63"/>
  <c r="U84" i="7"/>
  <c r="U85"/>
  <c r="T85"/>
  <c r="D55" i="34"/>
  <c r="K43" i="89"/>
  <c r="K46"/>
  <c r="K34" i="86"/>
  <c r="K32"/>
  <c r="K35"/>
  <c r="L72" i="56"/>
  <c r="G73"/>
  <c r="G72"/>
  <c r="Q72"/>
  <c r="V72"/>
  <c r="V112"/>
  <c r="I74"/>
  <c r="G74"/>
  <c r="N74"/>
  <c r="L74"/>
  <c r="R72"/>
  <c r="J72"/>
  <c r="U82"/>
  <c r="U122"/>
  <c r="AJ91" i="8"/>
  <c r="BD91"/>
  <c r="AI94"/>
  <c r="AJ93"/>
  <c r="BD93"/>
  <c r="Q55" i="34"/>
  <c r="E92" i="56"/>
  <c r="E112"/>
  <c r="J73"/>
  <c r="O73"/>
  <c r="O72"/>
  <c r="U72"/>
  <c r="U112"/>
  <c r="AJ94" i="8"/>
  <c r="BD94"/>
  <c r="E113" i="56"/>
  <c r="D114"/>
  <c r="D94"/>
  <c r="E93"/>
  <c r="AM11" i="19"/>
  <c r="AM49"/>
  <c r="AM50"/>
  <c r="AM14"/>
  <c r="AN14"/>
  <c r="B94" i="56"/>
  <c r="C93"/>
  <c r="B114"/>
  <c r="C113"/>
  <c r="AP14" i="19"/>
  <c r="AO14"/>
  <c r="AN10"/>
  <c r="B113" i="56"/>
  <c r="C112"/>
  <c r="H113"/>
  <c r="H112"/>
  <c r="C92"/>
  <c r="B93"/>
  <c r="AQ14" i="19"/>
  <c r="AO10"/>
  <c r="AP10"/>
  <c r="AN11"/>
  <c r="AP11"/>
  <c r="B92" i="56"/>
  <c r="I114"/>
  <c r="G114"/>
  <c r="N114"/>
  <c r="L114"/>
  <c r="R112"/>
  <c r="J112"/>
  <c r="B112"/>
  <c r="G113"/>
  <c r="G112"/>
  <c r="AN49" i="19"/>
  <c r="AO11"/>
  <c r="AQ11"/>
  <c r="AQ10"/>
  <c r="J113" i="56"/>
  <c r="O113"/>
  <c r="O112"/>
  <c r="E166"/>
  <c r="E155"/>
  <c r="AO49" i="19"/>
  <c r="AO50"/>
  <c r="Q112" i="56"/>
  <c r="AM56" i="19"/>
  <c r="AN50"/>
  <c r="AP49"/>
  <c r="D157" i="56"/>
  <c r="E156"/>
  <c r="E167"/>
  <c r="D168"/>
  <c r="AQ49" i="19"/>
  <c r="AM57"/>
  <c r="BA49" i="8"/>
  <c r="AY82"/>
  <c r="AZ46"/>
  <c r="BC117" i="7"/>
  <c r="BE48"/>
  <c r="BD48"/>
  <c r="AM60" i="19"/>
  <c r="B157" i="56"/>
  <c r="C156"/>
  <c r="B168"/>
  <c r="C167"/>
  <c r="BE117" i="7"/>
  <c r="BE120"/>
  <c r="BE122"/>
  <c r="BE51"/>
  <c r="BA82" i="8"/>
  <c r="BA85"/>
  <c r="BF48" i="7"/>
  <c r="AY56" i="8"/>
  <c r="AZ56"/>
  <c r="AZ49"/>
  <c r="BC120" i="7"/>
  <c r="BD117"/>
  <c r="AZ82" i="8"/>
  <c r="AY85"/>
  <c r="BD17" i="7"/>
  <c r="H167" i="56"/>
  <c r="H166"/>
  <c r="C166"/>
  <c r="B167"/>
  <c r="C155"/>
  <c r="B156"/>
  <c r="B155"/>
  <c r="BA88" i="8"/>
  <c r="BF117" i="7"/>
  <c r="BF120"/>
  <c r="BF122"/>
  <c r="BF51"/>
  <c r="BC122"/>
  <c r="BD122"/>
  <c r="BD120"/>
  <c r="AY88" i="8"/>
  <c r="AZ88"/>
  <c r="AZ85"/>
  <c r="BA57"/>
  <c r="BA56"/>
  <c r="BD8" i="7"/>
  <c r="B166" i="56"/>
  <c r="G167"/>
  <c r="G166"/>
  <c r="Q166"/>
  <c r="I168"/>
  <c r="G168"/>
  <c r="N168"/>
  <c r="L168"/>
  <c r="R166"/>
  <c r="J166"/>
  <c r="J167"/>
  <c r="O167"/>
  <c r="O166"/>
  <c r="BA59" i="8"/>
  <c r="BA62"/>
  <c r="BA58"/>
  <c r="BA89"/>
  <c r="AY57"/>
  <c r="BD27" i="7"/>
  <c r="BA90" i="8"/>
  <c r="BA63"/>
  <c r="AY62"/>
  <c r="AY63"/>
  <c r="AY89"/>
  <c r="AZ57"/>
  <c r="AY59"/>
  <c r="AZ59"/>
  <c r="AY58"/>
  <c r="AZ58"/>
  <c r="BA93"/>
  <c r="M103" i="56"/>
  <c r="BA91" i="8"/>
  <c r="AF41" i="7"/>
  <c r="AG41"/>
  <c r="M102" i="56"/>
  <c r="V102"/>
  <c r="H103"/>
  <c r="H102"/>
  <c r="M93"/>
  <c r="BA94" i="8"/>
  <c r="AY90"/>
  <c r="AZ89"/>
  <c r="BD35" i="7"/>
  <c r="BA97" i="8"/>
  <c r="BA98"/>
  <c r="R102" i="56"/>
  <c r="I104"/>
  <c r="G104"/>
  <c r="N104"/>
  <c r="L104"/>
  <c r="J102"/>
  <c r="J103"/>
  <c r="O103"/>
  <c r="O102"/>
  <c r="AY93" i="8"/>
  <c r="AY91"/>
  <c r="AZ91"/>
  <c r="L103" i="56"/>
  <c r="AZ90" i="8"/>
  <c r="M92" i="56"/>
  <c r="V92"/>
  <c r="H93"/>
  <c r="H92"/>
  <c r="AY56" i="7"/>
  <c r="AY55"/>
  <c r="AY53"/>
  <c r="AY58"/>
  <c r="L93" i="56"/>
  <c r="AY94" i="8"/>
  <c r="AZ94"/>
  <c r="AZ93"/>
  <c r="L102" i="56"/>
  <c r="U102"/>
  <c r="G103"/>
  <c r="G102"/>
  <c r="Q102"/>
  <c r="J92"/>
  <c r="J93"/>
  <c r="O93"/>
  <c r="O92"/>
  <c r="I94"/>
  <c r="G94"/>
  <c r="N94"/>
  <c r="L94"/>
  <c r="R92"/>
  <c r="AY59" i="7"/>
  <c r="L92" i="56"/>
  <c r="U92"/>
  <c r="G93"/>
  <c r="G92"/>
  <c r="Q92"/>
  <c r="BH35" i="7"/>
  <c r="AF8"/>
  <c r="AG8"/>
  <c r="AF35"/>
  <c r="AG35"/>
  <c r="AG51"/>
  <c r="AF51"/>
  <c r="AF58"/>
  <c r="BD57" i="8"/>
  <c r="BD58"/>
  <c r="BD59"/>
  <c r="BD62"/>
  <c r="BD63"/>
  <c r="AD27"/>
  <c r="AD49"/>
  <c r="AD56"/>
  <c r="AC27"/>
  <c r="AC49"/>
  <c r="AC59"/>
  <c r="AC58"/>
  <c r="AC56"/>
  <c r="AC62"/>
  <c r="AC63"/>
  <c r="AD59"/>
  <c r="AD58"/>
  <c r="AD62"/>
  <c r="AD63"/>
  <c r="AF55" i="7"/>
  <c r="AG56"/>
  <c r="AF59"/>
  <c r="AG58"/>
  <c r="AE58"/>
  <c r="AF53"/>
  <c r="AF56"/>
  <c r="AG53"/>
  <c r="AG55"/>
  <c r="AG59"/>
  <c r="AE59"/>
  <c r="AE51"/>
  <c r="AE56"/>
  <c r="AE55"/>
  <c r="AE53"/>
  <c r="AV55"/>
  <c r="AU53"/>
  <c r="AU56"/>
  <c r="AV58"/>
  <c r="AV56"/>
  <c r="AV53"/>
  <c r="AX53"/>
  <c r="AX56"/>
  <c r="AX55"/>
  <c r="AX58"/>
  <c r="AU55"/>
  <c r="AU59"/>
  <c r="BF54"/>
  <c r="BJ55"/>
  <c r="BI55"/>
  <c r="P60" i="56"/>
  <c r="P59"/>
  <c r="X59"/>
  <c r="M60"/>
  <c r="H60"/>
  <c r="H59"/>
  <c r="AX59" i="7"/>
  <c r="AW58"/>
  <c r="AW59"/>
  <c r="AV59"/>
  <c r="AT58"/>
  <c r="AT59"/>
  <c r="K60" i="56"/>
  <c r="K59"/>
  <c r="T59"/>
  <c r="M59"/>
  <c r="V59"/>
  <c r="BE54" i="7"/>
  <c r="BE123"/>
  <c r="BE124"/>
  <c r="BJ58"/>
  <c r="BC51"/>
  <c r="BD51"/>
  <c r="BI58"/>
  <c r="BF55"/>
  <c r="P40" i="56"/>
  <c r="BF53" i="7"/>
  <c r="BE53"/>
  <c r="BI56"/>
  <c r="BI53"/>
  <c r="BJ56"/>
  <c r="BF58"/>
  <c r="BJ53"/>
  <c r="BE56"/>
  <c r="BG102"/>
  <c r="BJ102"/>
  <c r="BJ101"/>
  <c r="BK101"/>
  <c r="BI59"/>
  <c r="M50" i="56"/>
  <c r="M49"/>
  <c r="V49"/>
  <c r="BJ59" i="7"/>
  <c r="P50" i="56"/>
  <c r="R59"/>
  <c r="J59"/>
  <c r="J60"/>
  <c r="O60"/>
  <c r="O59"/>
  <c r="I61"/>
  <c r="G61"/>
  <c r="N61"/>
  <c r="L61"/>
  <c r="K40"/>
  <c r="P39"/>
  <c r="X39"/>
  <c r="BF59" i="7"/>
  <c r="P30" i="56"/>
  <c r="BF56" i="7"/>
  <c r="BF123"/>
  <c r="BF124"/>
  <c r="BE127"/>
  <c r="BE128"/>
  <c r="BE130"/>
  <c r="BE132"/>
  <c r="BE125"/>
  <c r="BC54"/>
  <c r="BC55"/>
  <c r="BE58"/>
  <c r="BE55"/>
  <c r="M40" i="56"/>
  <c r="BC53" i="7"/>
  <c r="BD53"/>
  <c r="BH51"/>
  <c r="BG53"/>
  <c r="BG55"/>
  <c r="BG56"/>
  <c r="BG58"/>
  <c r="BH56"/>
  <c r="BH53"/>
  <c r="L50" i="56"/>
  <c r="L49"/>
  <c r="U49"/>
  <c r="BG101" i="7"/>
  <c r="M39" i="56"/>
  <c r="V39"/>
  <c r="H40"/>
  <c r="H39"/>
  <c r="BH55" i="7"/>
  <c r="L60" i="56"/>
  <c r="BE59" i="7"/>
  <c r="M30" i="56"/>
  <c r="M29"/>
  <c r="V29"/>
  <c r="P49"/>
  <c r="X49"/>
  <c r="K30"/>
  <c r="K29"/>
  <c r="T29"/>
  <c r="P29"/>
  <c r="X29"/>
  <c r="BD55" i="7"/>
  <c r="L40" i="56"/>
  <c r="BD54" i="7"/>
  <c r="BC123"/>
  <c r="BF127"/>
  <c r="BF128"/>
  <c r="BF125"/>
  <c r="BC58"/>
  <c r="BC56"/>
  <c r="BD56"/>
  <c r="BH58"/>
  <c r="BG59"/>
  <c r="AZ61" i="8"/>
  <c r="BH59" i="7"/>
  <c r="L59" i="56"/>
  <c r="U59"/>
  <c r="G60"/>
  <c r="G59"/>
  <c r="Q59"/>
  <c r="R39"/>
  <c r="I41"/>
  <c r="G41"/>
  <c r="N41"/>
  <c r="L41"/>
  <c r="J39"/>
  <c r="J40"/>
  <c r="O40"/>
  <c r="O39"/>
  <c r="BD58" i="7"/>
  <c r="L30" i="56"/>
  <c r="G40"/>
  <c r="G39"/>
  <c r="Q39"/>
  <c r="L39"/>
  <c r="U39"/>
  <c r="BD123" i="7"/>
  <c r="BC124"/>
  <c r="BC59"/>
  <c r="BD59"/>
  <c r="AZ63" i="8"/>
  <c r="AZ62"/>
  <c r="L29" i="56"/>
  <c r="U29"/>
  <c r="BD124" i="7"/>
  <c r="BC127"/>
  <c r="BC125"/>
  <c r="BD125"/>
  <c r="BC128"/>
  <c r="BD128"/>
  <c r="BD127"/>
  <c r="B11" i="56"/>
  <c r="C10"/>
  <c r="H10"/>
  <c r="C9"/>
  <c r="H9"/>
  <c r="B10"/>
  <c r="G10"/>
  <c r="G9"/>
  <c r="I11"/>
  <c r="G11"/>
  <c r="N11"/>
  <c r="L11"/>
  <c r="R9"/>
  <c r="J9"/>
  <c r="B9"/>
  <c r="J10"/>
  <c r="O10"/>
  <c r="O9"/>
  <c r="E29"/>
  <c r="Q9"/>
  <c r="D31"/>
  <c r="B31"/>
  <c r="E30"/>
  <c r="E50"/>
  <c r="D51"/>
  <c r="B51"/>
  <c r="C30"/>
  <c r="C29"/>
  <c r="C50"/>
  <c r="K39"/>
  <c r="T39"/>
  <c r="B30"/>
  <c r="G30"/>
  <c r="G29"/>
  <c r="H30"/>
  <c r="H29"/>
  <c r="I31"/>
  <c r="G31"/>
  <c r="N31"/>
  <c r="L31"/>
  <c r="H50"/>
  <c r="H49"/>
  <c r="C49"/>
  <c r="B29"/>
  <c r="Q29"/>
  <c r="R29"/>
  <c r="J29"/>
  <c r="J30"/>
  <c r="O30"/>
  <c r="O29"/>
  <c r="I51"/>
  <c r="G51"/>
  <c r="N51"/>
  <c r="L51"/>
  <c r="R49"/>
  <c r="J49"/>
  <c r="J50"/>
  <c r="O50"/>
  <c r="O49"/>
  <c r="E144"/>
  <c r="E133"/>
  <c r="D146"/>
  <c r="E145"/>
  <c r="D135"/>
  <c r="E134"/>
  <c r="B135"/>
  <c r="C134"/>
  <c r="B146"/>
  <c r="C145"/>
  <c r="C144"/>
  <c r="C133"/>
  <c r="F50"/>
  <c r="K50"/>
  <c r="K49"/>
  <c r="T49"/>
  <c r="F133"/>
  <c r="F134"/>
  <c r="F144"/>
  <c r="F145"/>
  <c r="B145"/>
  <c r="B144"/>
  <c r="B50"/>
  <c r="B134"/>
  <c r="B133"/>
  <c r="G50"/>
  <c r="G49"/>
  <c r="B49"/>
  <c r="Q49"/>
  <c r="AA257" i="6"/>
  <c r="AA258"/>
  <c r="Z208"/>
  <c r="Z257"/>
  <c r="Z258"/>
  <c r="AM216"/>
  <c r="AR216"/>
  <c r="AP216"/>
  <c r="AK216"/>
  <c r="AC216"/>
  <c r="AH216"/>
  <c r="AQ216"/>
  <c r="AG216"/>
  <c r="AF216"/>
  <c r="AB208"/>
  <c r="AD216"/>
  <c r="AL216"/>
  <c r="AQ208"/>
  <c r="AC208"/>
  <c r="AL208"/>
  <c r="AG208"/>
  <c r="AH208"/>
  <c r="AM208"/>
  <c r="AD208"/>
  <c r="AE216"/>
  <c r="AB257"/>
  <c r="AK208"/>
  <c r="AN216"/>
  <c r="AT216"/>
  <c r="AR208"/>
  <c r="AI216"/>
  <c r="AF208"/>
  <c r="AS216"/>
  <c r="AP208"/>
  <c r="AE208"/>
  <c r="AJ216"/>
  <c r="AM257"/>
  <c r="AM258"/>
  <c r="AH257"/>
  <c r="AH258"/>
  <c r="AG257"/>
  <c r="AG258"/>
  <c r="AL257"/>
  <c r="AL258"/>
  <c r="AC257"/>
  <c r="AC258"/>
  <c r="AQ257"/>
  <c r="AQ258"/>
  <c r="AD257"/>
  <c r="AD258"/>
  <c r="AS208"/>
  <c r="AP257"/>
  <c r="AI208"/>
  <c r="AF257"/>
  <c r="AN208"/>
  <c r="AK257"/>
  <c r="AT208"/>
  <c r="AR257"/>
  <c r="AB258"/>
  <c r="AJ208"/>
  <c r="AE258"/>
  <c r="AE257"/>
  <c r="AO216"/>
  <c r="AO208"/>
  <c r="AT257"/>
  <c r="AR258"/>
  <c r="AK258"/>
  <c r="AN258"/>
  <c r="AN257"/>
  <c r="AI257"/>
  <c r="AF258"/>
  <c r="AI258"/>
  <c r="AP258"/>
  <c r="AS257"/>
  <c r="AJ258"/>
  <c r="AO258"/>
  <c r="AJ257"/>
  <c r="AO257"/>
  <c r="AS258"/>
  <c r="AT258"/>
  <c r="AZ28" i="7"/>
  <c r="BA111"/>
  <c r="AZ111"/>
  <c r="BB27"/>
  <c r="BB51"/>
  <c r="BA110"/>
  <c r="E21" i="85"/>
  <c r="BA27" i="7"/>
  <c r="BA51"/>
  <c r="BA58"/>
  <c r="AZ110"/>
  <c r="AZ120"/>
  <c r="BB110"/>
  <c r="BB120"/>
  <c r="BB124"/>
  <c r="BA120"/>
  <c r="BA124"/>
  <c r="BA127"/>
  <c r="BA128"/>
  <c r="E21" i="86"/>
  <c r="E9" i="85"/>
  <c r="E30"/>
  <c r="E22"/>
  <c r="BA55" i="7"/>
  <c r="BB55"/>
  <c r="BB53"/>
  <c r="BB56"/>
  <c r="BB58"/>
  <c r="BB59"/>
  <c r="BB125"/>
  <c r="BB127"/>
  <c r="BB128"/>
  <c r="AZ122"/>
  <c r="AZ124"/>
  <c r="AZ27"/>
  <c r="AZ51"/>
  <c r="E10" i="89"/>
  <c r="BB122" i="7"/>
  <c r="BA53"/>
  <c r="BA56"/>
  <c r="BA125"/>
  <c r="BA122"/>
  <c r="E9" i="86"/>
  <c r="E30"/>
  <c r="E22"/>
  <c r="E35" i="89"/>
  <c r="E11"/>
  <c r="E41"/>
  <c r="AZ58" i="7"/>
  <c r="AZ59"/>
  <c r="BA59"/>
  <c r="AZ125"/>
  <c r="AZ127"/>
  <c r="AZ128"/>
  <c r="AZ56"/>
  <c r="AZ53"/>
  <c r="AZ55"/>
  <c r="BA30" i="11"/>
  <c r="BA31"/>
  <c r="BA32"/>
  <c r="BA33"/>
  <c r="BA34"/>
  <c r="BB39"/>
  <c r="BA35"/>
  <c r="BB45"/>
  <c r="BA43"/>
  <c r="CA14" i="7"/>
  <c r="CB14"/>
  <c r="BU116"/>
  <c r="CB24"/>
  <c r="CB8"/>
  <c r="BY14"/>
  <c r="CA8"/>
  <c r="BY15"/>
  <c r="CB17"/>
  <c r="BY8"/>
  <c r="BZ8"/>
  <c r="BU121"/>
  <c r="BW31"/>
  <c r="BW32"/>
  <c r="BW36"/>
  <c r="BX36"/>
  <c r="BW39"/>
  <c r="BW40"/>
  <c r="BW29"/>
  <c r="BW110"/>
  <c r="BX29"/>
  <c r="BX110"/>
  <c r="BW112"/>
  <c r="BX39"/>
  <c r="BX40"/>
  <c r="BX31"/>
  <c r="BX32"/>
  <c r="BX112"/>
  <c r="BW27"/>
  <c r="BW113"/>
  <c r="BU40"/>
  <c r="BV40"/>
  <c r="BX27"/>
  <c r="BX113"/>
  <c r="BU32"/>
  <c r="BV32"/>
  <c r="BU35"/>
  <c r="BV35"/>
  <c r="BU113"/>
  <c r="BV113"/>
  <c r="CA41"/>
  <c r="CA35"/>
  <c r="BU27"/>
  <c r="BV27"/>
  <c r="CB41"/>
  <c r="CB35"/>
  <c r="BY41"/>
  <c r="BY113"/>
  <c r="BY35"/>
  <c r="BZ35"/>
  <c r="AN45" i="5"/>
  <c r="AN46"/>
  <c r="AO12"/>
  <c r="AO45"/>
  <c r="AO46"/>
  <c r="AN12"/>
  <c r="AM45"/>
  <c r="AM12"/>
  <c r="AM54"/>
  <c r="AM52"/>
  <c r="AM46"/>
  <c r="AM53"/>
  <c r="AM51"/>
  <c r="AO53"/>
  <c r="AO52"/>
  <c r="AO51"/>
  <c r="AO54"/>
  <c r="AN45" i="6"/>
  <c r="AN46"/>
  <c r="AO45"/>
  <c r="AP13"/>
  <c r="AN13"/>
  <c r="AO13"/>
  <c r="AN54"/>
  <c r="AN52"/>
  <c r="AN53"/>
  <c r="AN51"/>
  <c r="AO46"/>
  <c r="AP46"/>
  <c r="BG49" i="19"/>
  <c r="BG50"/>
  <c r="BI49"/>
  <c r="BQ46" i="8"/>
  <c r="BK49" i="19"/>
  <c r="AR57"/>
  <c r="BI50"/>
  <c r="BH49"/>
  <c r="BX111" i="7"/>
  <c r="BX35"/>
  <c r="BW111"/>
  <c r="BW35"/>
  <c r="BX43"/>
  <c r="BX116"/>
  <c r="BW43"/>
  <c r="BW116"/>
  <c r="BU48"/>
  <c r="BJ49" i="19"/>
  <c r="AR56"/>
  <c r="AR60"/>
  <c r="BH50"/>
  <c r="BT46" i="8"/>
  <c r="BT82"/>
  <c r="BR46"/>
  <c r="BQ82"/>
  <c r="BQ49"/>
  <c r="BR49"/>
  <c r="BQ56"/>
  <c r="BR56"/>
  <c r="L13" i="90"/>
  <c r="L12"/>
  <c r="BR82" i="8"/>
  <c r="BQ85"/>
  <c r="BV48" i="7"/>
  <c r="BU117"/>
  <c r="BW48"/>
  <c r="BX48"/>
  <c r="BX117"/>
  <c r="BX120"/>
  <c r="BX122"/>
  <c r="BX51"/>
  <c r="L13" i="89"/>
  <c r="BV117" i="7"/>
  <c r="BR85" i="8"/>
  <c r="BQ88"/>
  <c r="BR88"/>
  <c r="L24" i="90"/>
  <c r="BW117" i="7"/>
  <c r="L11" i="85"/>
  <c r="BX54" i="7"/>
  <c r="BX53"/>
  <c r="BX123"/>
  <c r="BX124"/>
  <c r="BX58"/>
  <c r="BX55"/>
  <c r="BX56"/>
  <c r="M11" i="85"/>
  <c r="L11" i="86"/>
  <c r="BX59" i="7"/>
  <c r="L11" i="89"/>
  <c r="L41"/>
  <c r="L43"/>
  <c r="P134" i="56"/>
  <c r="BX125" i="7"/>
  <c r="BX127"/>
  <c r="BX128"/>
  <c r="M11" i="86"/>
  <c r="M13" i="89"/>
  <c r="L46"/>
  <c r="M42"/>
  <c r="P133" i="56"/>
  <c r="X133"/>
  <c r="K134"/>
  <c r="K133"/>
  <c r="T133"/>
  <c r="BT42" i="8"/>
  <c r="BT81"/>
  <c r="BT85"/>
  <c r="BS42"/>
  <c r="BS81"/>
  <c r="BS49"/>
  <c r="BS56"/>
  <c r="BS85"/>
  <c r="L15" i="87"/>
  <c r="BS88" i="8"/>
  <c r="BT88"/>
  <c r="BT49"/>
  <c r="BS57"/>
  <c r="BS62"/>
  <c r="L10" i="90"/>
  <c r="L36"/>
  <c r="L38"/>
  <c r="M37"/>
  <c r="L41"/>
  <c r="L53"/>
  <c r="M15" i="87"/>
  <c r="M13"/>
  <c r="M10"/>
  <c r="L13"/>
  <c r="L10"/>
  <c r="BS63" i="8"/>
  <c r="M156" i="56"/>
  <c r="BT57" i="8"/>
  <c r="BT89"/>
  <c r="BT90"/>
  <c r="BT56"/>
  <c r="BS58"/>
  <c r="BS59"/>
  <c r="BQ57"/>
  <c r="BS89"/>
  <c r="L22" i="87"/>
  <c r="M40" i="90"/>
  <c r="BS90" i="8"/>
  <c r="L27" i="87"/>
  <c r="L9"/>
  <c r="L31"/>
  <c r="L33"/>
  <c r="M24"/>
  <c r="M27"/>
  <c r="BT59" i="8"/>
  <c r="BT62"/>
  <c r="BT58"/>
  <c r="BS93"/>
  <c r="BS94"/>
  <c r="BS97"/>
  <c r="BS98"/>
  <c r="BS91"/>
  <c r="BT63"/>
  <c r="BQ58"/>
  <c r="BR58"/>
  <c r="BQ89"/>
  <c r="L29" i="90"/>
  <c r="BR57" i="8"/>
  <c r="BQ59"/>
  <c r="BR59"/>
  <c r="BQ62"/>
  <c r="BT91"/>
  <c r="BT93"/>
  <c r="BT94"/>
  <c r="M155" i="56"/>
  <c r="V155"/>
  <c r="H156"/>
  <c r="H155"/>
  <c r="L36" i="87"/>
  <c r="M32"/>
  <c r="L42"/>
  <c r="L27" i="88"/>
  <c r="L9" i="90"/>
  <c r="L35"/>
  <c r="P156" i="56"/>
  <c r="K156"/>
  <c r="K155"/>
  <c r="T155"/>
  <c r="L11" i="90"/>
  <c r="L42"/>
  <c r="L44"/>
  <c r="M23" i="87"/>
  <c r="M26" i="90"/>
  <c r="M25"/>
  <c r="R155" i="56"/>
  <c r="I157"/>
  <c r="G157"/>
  <c r="N157"/>
  <c r="L157"/>
  <c r="J155"/>
  <c r="J156"/>
  <c r="O156"/>
  <c r="O155"/>
  <c r="BR62" i="8"/>
  <c r="L156" i="56"/>
  <c r="BQ63" i="8"/>
  <c r="BR63"/>
  <c r="BQ90"/>
  <c r="BR89"/>
  <c r="P155" i="56"/>
  <c r="X155"/>
  <c r="M43" i="90"/>
  <c r="M46"/>
  <c r="L47"/>
  <c r="L56"/>
  <c r="M22" i="87"/>
  <c r="M9"/>
  <c r="M35"/>
  <c r="BR90" i="8"/>
  <c r="BQ93"/>
  <c r="BQ91"/>
  <c r="BR91"/>
  <c r="G156" i="56"/>
  <c r="G155"/>
  <c r="Q155"/>
  <c r="L155"/>
  <c r="U155"/>
  <c r="M10" i="90"/>
  <c r="M36"/>
  <c r="M38"/>
  <c r="M31" i="87"/>
  <c r="M33"/>
  <c r="M55" i="90"/>
  <c r="L57"/>
  <c r="L58"/>
  <c r="BR93" i="8"/>
  <c r="BQ94"/>
  <c r="BR94"/>
  <c r="L14" i="88"/>
  <c r="L19"/>
  <c r="L15"/>
  <c r="M15"/>
  <c r="L20"/>
  <c r="L21"/>
  <c r="M21"/>
  <c r="M23" i="90"/>
  <c r="L11" i="88"/>
  <c r="M11"/>
  <c r="L17"/>
  <c r="L12"/>
  <c r="M12"/>
  <c r="M14" i="90"/>
  <c r="L16" i="88"/>
  <c r="L18"/>
  <c r="L24"/>
  <c r="L23"/>
  <c r="M41" i="90"/>
  <c r="M53"/>
  <c r="M36" i="87"/>
  <c r="M42"/>
  <c r="M13" i="88"/>
  <c r="M10"/>
  <c r="M17" i="90"/>
  <c r="M15"/>
  <c r="M13"/>
  <c r="L13" i="88"/>
  <c r="L10"/>
  <c r="M12" i="90"/>
  <c r="M27" i="88"/>
  <c r="M29" i="90"/>
  <c r="M24"/>
  <c r="L9" i="88"/>
  <c r="L30"/>
  <c r="L32"/>
  <c r="L22"/>
  <c r="M9"/>
  <c r="M9" i="90"/>
  <c r="M35"/>
  <c r="M30" i="88"/>
  <c r="M11" i="90"/>
  <c r="M42"/>
  <c r="M44"/>
  <c r="M31" i="88"/>
  <c r="L35"/>
  <c r="L39"/>
  <c r="L40"/>
  <c r="L41"/>
  <c r="M56" i="90"/>
  <c r="M47"/>
  <c r="M34" i="88"/>
  <c r="M38"/>
  <c r="M32"/>
  <c r="M39"/>
  <c r="M40"/>
  <c r="M35"/>
  <c r="M58" i="90"/>
  <c r="M57"/>
  <c r="BM15" i="7"/>
  <c r="BN14"/>
  <c r="BN15"/>
  <c r="BN8"/>
  <c r="BN51"/>
  <c r="BM113"/>
  <c r="BM120"/>
  <c r="BM8"/>
  <c r="BM51"/>
  <c r="BM55"/>
  <c r="BM124"/>
  <c r="BM122"/>
  <c r="R62"/>
  <c r="BN55"/>
  <c r="BN58"/>
  <c r="BN59"/>
  <c r="BN56"/>
  <c r="R63"/>
  <c r="BN53"/>
  <c r="R64"/>
  <c r="O62"/>
  <c r="O64"/>
  <c r="BM53"/>
  <c r="BM56"/>
  <c r="BM58"/>
  <c r="BN113"/>
  <c r="BN120"/>
  <c r="BL58"/>
  <c r="BL59"/>
  <c r="BM59"/>
  <c r="BN122"/>
  <c r="BN124"/>
  <c r="BM125"/>
  <c r="BM127"/>
  <c r="BM128"/>
  <c r="BN127"/>
  <c r="BN128"/>
  <c r="BN125"/>
  <c r="BE14" i="19"/>
  <c r="BE12"/>
  <c r="BE49"/>
  <c r="BD10"/>
  <c r="BD12"/>
  <c r="BF14"/>
  <c r="BF49"/>
  <c r="BD14"/>
  <c r="BD49"/>
  <c r="BN15" i="8"/>
  <c r="BN8"/>
  <c r="BN49"/>
  <c r="BN78"/>
  <c r="BN85"/>
  <c r="BN90"/>
  <c r="BO14"/>
  <c r="BO15"/>
  <c r="BN56"/>
  <c r="BN59"/>
  <c r="BN62"/>
  <c r="BN63"/>
  <c r="BN58"/>
  <c r="BN91"/>
  <c r="BN93"/>
  <c r="BN94"/>
  <c r="BO78"/>
  <c r="BO8"/>
  <c r="BO49"/>
  <c r="BN88"/>
  <c r="BO85"/>
  <c r="H11" i="87"/>
  <c r="BO56" i="8"/>
  <c r="BO58"/>
  <c r="BO59"/>
  <c r="BO62"/>
  <c r="BO63"/>
  <c r="BO88"/>
  <c r="BO90"/>
  <c r="H13" i="90"/>
  <c r="H12"/>
  <c r="H10" i="87"/>
  <c r="BO91" i="8"/>
  <c r="BO93"/>
  <c r="BO94"/>
  <c r="H9" i="90"/>
  <c r="H35"/>
  <c r="H24"/>
  <c r="H9" i="87"/>
  <c r="H22"/>
  <c r="CC59" i="9"/>
  <c r="BW59"/>
  <c r="BU50"/>
  <c r="BU51"/>
  <c r="CB51"/>
  <c r="BV50"/>
  <c r="CC50"/>
  <c r="H31" i="87"/>
  <c r="H10" i="90"/>
  <c r="H36"/>
  <c r="CG50" i="72"/>
  <c r="BW50" i="9"/>
  <c r="CB50"/>
  <c r="CH50" i="72"/>
  <c r="BV51" i="9"/>
  <c r="CC51"/>
  <c r="BW51"/>
  <c r="BT51"/>
  <c r="CA51"/>
  <c r="CF50" i="72"/>
  <c r="CH51"/>
  <c r="BU18" i="7"/>
  <c r="CA18"/>
  <c r="BY109"/>
  <c r="BY17"/>
  <c r="BZ17"/>
  <c r="CG51" i="72"/>
  <c r="CH59"/>
  <c r="BV18" i="7"/>
  <c r="BW18"/>
  <c r="BU17"/>
  <c r="BV17"/>
  <c r="BU109"/>
  <c r="CF51" i="72"/>
  <c r="CA109" i="7"/>
  <c r="CA17"/>
  <c r="BV109"/>
  <c r="BU120"/>
  <c r="L14" i="89"/>
  <c r="BW17" i="7"/>
  <c r="BW51"/>
  <c r="BW109"/>
  <c r="L12" i="89"/>
  <c r="BU51" i="7"/>
  <c r="BW53"/>
  <c r="BW55"/>
  <c r="BW54"/>
  <c r="BW58"/>
  <c r="BV120"/>
  <c r="BU122"/>
  <c r="BV122"/>
  <c r="BW120"/>
  <c r="L12" i="85"/>
  <c r="L10"/>
  <c r="M12"/>
  <c r="BW122" i="7"/>
  <c r="BW123"/>
  <c r="BW124"/>
  <c r="BU54"/>
  <c r="L27" i="85"/>
  <c r="BW56" i="7"/>
  <c r="L12" i="86"/>
  <c r="BW59" i="7"/>
  <c r="L10" i="89"/>
  <c r="L35"/>
  <c r="L37"/>
  <c r="M134" i="56"/>
  <c r="BV51" i="7"/>
  <c r="BU56"/>
  <c r="BV56"/>
  <c r="BU53"/>
  <c r="BV53"/>
  <c r="BU55"/>
  <c r="BV55"/>
  <c r="BU58"/>
  <c r="L24" i="89"/>
  <c r="BW125" i="7"/>
  <c r="BW127"/>
  <c r="BW128"/>
  <c r="BW130"/>
  <c r="BW131"/>
  <c r="L10" i="86"/>
  <c r="M12"/>
  <c r="M10"/>
  <c r="M133" i="56"/>
  <c r="V133"/>
  <c r="H134"/>
  <c r="H133"/>
  <c r="BV54" i="7"/>
  <c r="L29" i="89"/>
  <c r="BU123" i="7"/>
  <c r="L22" i="85"/>
  <c r="L9"/>
  <c r="L30"/>
  <c r="L32"/>
  <c r="BU59" i="7"/>
  <c r="BV59"/>
  <c r="L134" i="56"/>
  <c r="BV58" i="7"/>
  <c r="L40" i="89"/>
  <c r="M36"/>
  <c r="L52"/>
  <c r="M10" i="85"/>
  <c r="M14" i="89"/>
  <c r="M12"/>
  <c r="M31" i="85"/>
  <c r="L41"/>
  <c r="L35"/>
  <c r="L27" i="86"/>
  <c r="L9" i="89"/>
  <c r="L34"/>
  <c r="M24" i="85"/>
  <c r="M27"/>
  <c r="M39" i="89"/>
  <c r="BV123" i="7"/>
  <c r="BU124"/>
  <c r="L22" i="86"/>
  <c r="L9"/>
  <c r="L30"/>
  <c r="L32"/>
  <c r="L133" i="56"/>
  <c r="U133"/>
  <c r="G134"/>
  <c r="G133"/>
  <c r="Q133"/>
  <c r="R133"/>
  <c r="J133"/>
  <c r="J134"/>
  <c r="O134"/>
  <c r="O133"/>
  <c r="I135"/>
  <c r="G135"/>
  <c r="N135"/>
  <c r="L135"/>
  <c r="M27" i="86"/>
  <c r="M9"/>
  <c r="M30"/>
  <c r="M11" i="89"/>
  <c r="M41"/>
  <c r="M43"/>
  <c r="M46"/>
  <c r="L35" i="86"/>
  <c r="M31"/>
  <c r="M34"/>
  <c r="BV124" i="7"/>
  <c r="BU125"/>
  <c r="BV125"/>
  <c r="BU127"/>
  <c r="M23" i="85"/>
  <c r="M26" i="89"/>
  <c r="M25"/>
  <c r="M29"/>
  <c r="M34" i="85"/>
  <c r="M24" i="89"/>
  <c r="M9"/>
  <c r="M34"/>
  <c r="BV127" i="7"/>
  <c r="BU128"/>
  <c r="BV128"/>
  <c r="M32" i="86"/>
  <c r="M35"/>
  <c r="M22" i="85"/>
  <c r="M9"/>
  <c r="M30"/>
  <c r="M32"/>
  <c r="M10" i="89"/>
  <c r="M35"/>
  <c r="M37"/>
  <c r="M40"/>
  <c r="M52"/>
  <c r="M35" i="85"/>
  <c r="M41"/>
  <c r="CB113" i="7"/>
  <c r="CB27"/>
  <c r="CA113"/>
  <c r="CA27"/>
  <c r="BY43"/>
  <c r="BZ43"/>
  <c r="BY116"/>
  <c r="BZ116"/>
  <c r="CB43"/>
  <c r="CB116"/>
  <c r="CB120"/>
  <c r="CA43"/>
  <c r="CA51"/>
  <c r="J15" i="85"/>
  <c r="CB122" i="7"/>
  <c r="CB124"/>
  <c r="CA53"/>
  <c r="CA56"/>
  <c r="CB51"/>
  <c r="CA116"/>
  <c r="CA120"/>
  <c r="J13" i="85"/>
  <c r="J10"/>
  <c r="J17" i="89"/>
  <c r="J15"/>
  <c r="J12"/>
  <c r="CA123" i="7"/>
  <c r="CA124"/>
  <c r="BY54"/>
  <c r="BZ54"/>
  <c r="CA55"/>
  <c r="CA122"/>
  <c r="CB55"/>
  <c r="CB58"/>
  <c r="CB56"/>
  <c r="CB53"/>
  <c r="CB125"/>
  <c r="CB127"/>
  <c r="CB128"/>
  <c r="CB130"/>
  <c r="CB131"/>
  <c r="CA58"/>
  <c r="J27" i="85"/>
  <c r="J29" i="89"/>
  <c r="J22" i="85"/>
  <c r="J9"/>
  <c r="J24" i="89"/>
  <c r="J9"/>
  <c r="J34"/>
  <c r="CB59" i="7"/>
  <c r="P145" i="56"/>
  <c r="CA59" i="7"/>
  <c r="M145" i="56"/>
  <c r="CA125" i="7"/>
  <c r="CA127"/>
  <c r="CA128"/>
  <c r="CA130"/>
  <c r="CA131"/>
  <c r="BY123"/>
  <c r="BZ123"/>
  <c r="J30" i="85"/>
  <c r="J32"/>
  <c r="J10" i="89"/>
  <c r="J35"/>
  <c r="M144" i="56"/>
  <c r="V144"/>
  <c r="H145"/>
  <c r="H144"/>
  <c r="P144"/>
  <c r="X144"/>
  <c r="K145"/>
  <c r="K144"/>
  <c r="T144"/>
  <c r="J52" i="89"/>
  <c r="K36"/>
  <c r="J40"/>
  <c r="J35" i="85"/>
  <c r="K31"/>
  <c r="J41"/>
  <c r="R144" i="56"/>
  <c r="I146"/>
  <c r="G146"/>
  <c r="N146"/>
  <c r="L146"/>
  <c r="J144"/>
  <c r="J145"/>
  <c r="O145"/>
  <c r="O144"/>
  <c r="BN23" i="19"/>
  <c r="BP23"/>
  <c r="BN49"/>
  <c r="BP49"/>
  <c r="BL49"/>
  <c r="BL50"/>
  <c r="BM23"/>
  <c r="BO23"/>
  <c r="BM49"/>
  <c r="BO49"/>
  <c r="B154" i="91"/>
  <c r="K32" i="85"/>
  <c r="K35"/>
  <c r="K34"/>
  <c r="K41"/>
  <c r="K37" i="89"/>
  <c r="K40"/>
  <c r="K39"/>
  <c r="K52"/>
  <c r="BN50" i="19"/>
  <c r="BM50"/>
  <c r="BY51" i="7"/>
  <c r="B163" i="91"/>
  <c r="BY117" i="7"/>
  <c r="BM51" i="19"/>
  <c r="BL51"/>
  <c r="BZ48" i="7"/>
  <c r="AU56" i="19"/>
  <c r="AU57"/>
  <c r="BZ117" i="7"/>
  <c r="BY120"/>
  <c r="BZ51"/>
  <c r="BY53"/>
  <c r="BY55"/>
  <c r="BY56"/>
  <c r="BY58"/>
  <c r="B170" i="91"/>
  <c r="B198"/>
  <c r="BZ56" i="7"/>
  <c r="B168" i="91"/>
  <c r="B184"/>
  <c r="B92" i="92"/>
  <c r="BZ53" i="7"/>
  <c r="B165" i="91"/>
  <c r="B106" i="92"/>
  <c r="B200" i="91"/>
  <c r="BZ55" i="7"/>
  <c r="B167" i="91"/>
  <c r="B175"/>
  <c r="AU60" i="19"/>
  <c r="B155" i="91"/>
  <c r="B156"/>
  <c r="B131" i="93"/>
  <c r="C131"/>
  <c r="B130"/>
  <c r="C130"/>
  <c r="BZ120" i="7"/>
  <c r="BY124"/>
  <c r="BY122"/>
  <c r="BZ122"/>
  <c r="BY59"/>
  <c r="L145" i="56"/>
  <c r="BZ58" i="7"/>
  <c r="C132" i="93"/>
  <c r="BZ59" i="7"/>
  <c r="B171" i="91"/>
  <c r="B207"/>
  <c r="B115" i="92"/>
  <c r="B132" i="93"/>
  <c r="E156" i="91"/>
  <c r="C156"/>
  <c r="D156"/>
  <c r="D64" i="92"/>
  <c r="E155" i="91"/>
  <c r="D155"/>
  <c r="C155"/>
  <c r="C63" i="92"/>
  <c r="B157" i="91"/>
  <c r="E157"/>
  <c r="B83" i="92"/>
  <c r="B177" i="91"/>
  <c r="B108" i="92"/>
  <c r="B209" i="91"/>
  <c r="BY125" i="7"/>
  <c r="BZ125"/>
  <c r="BZ124"/>
  <c r="BY127"/>
  <c r="L144" i="56"/>
  <c r="U144"/>
  <c r="G145"/>
  <c r="G144"/>
  <c r="Q144"/>
  <c r="D63" i="92"/>
  <c r="D65"/>
  <c r="D157" i="91"/>
  <c r="C157"/>
  <c r="C64" i="92"/>
  <c r="B64"/>
  <c r="K131" i="93"/>
  <c r="F131"/>
  <c r="G131"/>
  <c r="J131"/>
  <c r="I131"/>
  <c r="B210" i="91"/>
  <c r="B118" i="92"/>
  <c r="B117"/>
  <c r="B85"/>
  <c r="B186" i="91"/>
  <c r="S157"/>
  <c r="K157"/>
  <c r="T157"/>
  <c r="N157"/>
  <c r="F157"/>
  <c r="G157"/>
  <c r="U157"/>
  <c r="O157"/>
  <c r="P157"/>
  <c r="J157"/>
  <c r="I157"/>
  <c r="B63" i="92"/>
  <c r="E63"/>
  <c r="K155" i="91"/>
  <c r="K63" i="92"/>
  <c r="G155" i="91"/>
  <c r="G63" i="92"/>
  <c r="F155" i="91"/>
  <c r="I155"/>
  <c r="J155"/>
  <c r="J63" i="92"/>
  <c r="E154" i="91"/>
  <c r="E64" i="92"/>
  <c r="I156" i="91"/>
  <c r="J156"/>
  <c r="J64" i="92"/>
  <c r="K156" i="91"/>
  <c r="K64" i="92"/>
  <c r="G156" i="91"/>
  <c r="G64" i="92"/>
  <c r="F156" i="91"/>
  <c r="E132" i="93"/>
  <c r="K130"/>
  <c r="G130"/>
  <c r="F130"/>
  <c r="I130"/>
  <c r="J130"/>
  <c r="BY128" i="7"/>
  <c r="BZ128"/>
  <c r="BZ127"/>
  <c r="BV102" i="9"/>
  <c r="BX102"/>
  <c r="BX104"/>
  <c r="CE102"/>
  <c r="CE104"/>
  <c r="CF102"/>
  <c r="CF104"/>
  <c r="BZ102"/>
  <c r="BZ104"/>
  <c r="BU102"/>
  <c r="BU104"/>
  <c r="K69" i="91"/>
  <c r="K68"/>
  <c r="CB102" i="9"/>
  <c r="CB104"/>
  <c r="R69" i="91"/>
  <c r="BO102" i="9"/>
  <c r="BP102"/>
  <c r="BS102"/>
  <c r="CA102"/>
  <c r="CA104"/>
  <c r="BT102"/>
  <c r="BT107"/>
  <c r="CC102"/>
  <c r="CD102"/>
  <c r="BQ102"/>
  <c r="BW102"/>
  <c r="BY102"/>
  <c r="BN102"/>
  <c r="BN107"/>
  <c r="BR102"/>
  <c r="CH102"/>
  <c r="C65" i="92"/>
  <c r="B65"/>
  <c r="W157" i="91"/>
  <c r="H155"/>
  <c r="H131" i="93"/>
  <c r="J154" i="91"/>
  <c r="J62" i="92"/>
  <c r="H130" i="93"/>
  <c r="I63" i="92"/>
  <c r="L155" i="91"/>
  <c r="L63" i="92"/>
  <c r="E62"/>
  <c r="F63"/>
  <c r="F154" i="91"/>
  <c r="F62" i="92"/>
  <c r="I154" i="91"/>
  <c r="L157"/>
  <c r="B187"/>
  <c r="B95" i="92"/>
  <c r="B94"/>
  <c r="L130" i="93"/>
  <c r="H157" i="91"/>
  <c r="Q157"/>
  <c r="K154"/>
  <c r="K62" i="92"/>
  <c r="L131" i="93"/>
  <c r="M131"/>
  <c r="N131"/>
  <c r="E129"/>
  <c r="S132"/>
  <c r="K132"/>
  <c r="K129"/>
  <c r="K136"/>
  <c r="T132"/>
  <c r="N132"/>
  <c r="F132"/>
  <c r="G132"/>
  <c r="G129"/>
  <c r="G136"/>
  <c r="U132"/>
  <c r="O132"/>
  <c r="I132"/>
  <c r="P132"/>
  <c r="J132"/>
  <c r="J129"/>
  <c r="J136"/>
  <c r="H132"/>
  <c r="H156" i="91"/>
  <c r="H64" i="92"/>
  <c r="F64"/>
  <c r="I64"/>
  <c r="L156" i="91"/>
  <c r="H63" i="92"/>
  <c r="M155" i="91"/>
  <c r="J65" i="92"/>
  <c r="J71"/>
  <c r="G154" i="91"/>
  <c r="G62" i="92"/>
  <c r="V157" i="91"/>
  <c r="CA109" i="9"/>
  <c r="Q69" i="91"/>
  <c r="BZ109" i="9"/>
  <c r="P69" i="91"/>
  <c r="P68"/>
  <c r="CE109" i="9"/>
  <c r="U69" i="91"/>
  <c r="U68"/>
  <c r="CF109" i="9"/>
  <c r="V69" i="91"/>
  <c r="BX109" i="9"/>
  <c r="N69" i="91"/>
  <c r="N68"/>
  <c r="BW107" i="9"/>
  <c r="BW104"/>
  <c r="M69" i="91"/>
  <c r="BY107" i="9"/>
  <c r="BY104"/>
  <c r="BQ107"/>
  <c r="BQ104"/>
  <c r="G69" i="91"/>
  <c r="G68"/>
  <c r="CC107" i="9"/>
  <c r="CC104"/>
  <c r="BP107"/>
  <c r="BP104"/>
  <c r="F69" i="91"/>
  <c r="F68"/>
  <c r="BV107" i="9"/>
  <c r="BV104"/>
  <c r="L69" i="91"/>
  <c r="CD107" i="9"/>
  <c r="CD104"/>
  <c r="BS107"/>
  <c r="BS104"/>
  <c r="I69" i="91"/>
  <c r="I68"/>
  <c r="CG102" i="9"/>
  <c r="BJ102"/>
  <c r="BO107"/>
  <c r="BO104"/>
  <c r="E69" i="91"/>
  <c r="BN104" i="9"/>
  <c r="BZ107"/>
  <c r="BZ108"/>
  <c r="CF107"/>
  <c r="CF108"/>
  <c r="BR107"/>
  <c r="BX107"/>
  <c r="BX108"/>
  <c r="CA107"/>
  <c r="CA108"/>
  <c r="CE107"/>
  <c r="CE108"/>
  <c r="BU107"/>
  <c r="CB107"/>
  <c r="BR104"/>
  <c r="H69" i="91"/>
  <c r="BT104" i="9"/>
  <c r="J69" i="91"/>
  <c r="J68"/>
  <c r="W132" i="93"/>
  <c r="Q132"/>
  <c r="P131"/>
  <c r="S131"/>
  <c r="T131"/>
  <c r="U131"/>
  <c r="O131"/>
  <c r="Q131"/>
  <c r="R131"/>
  <c r="G65" i="92"/>
  <c r="G71"/>
  <c r="M63"/>
  <c r="N155" i="91"/>
  <c r="M156"/>
  <c r="L64" i="92"/>
  <c r="I129" i="93"/>
  <c r="L132"/>
  <c r="M132"/>
  <c r="F65" i="92"/>
  <c r="F71"/>
  <c r="V132" i="93"/>
  <c r="M130"/>
  <c r="N130"/>
  <c r="M157" i="91"/>
  <c r="R157"/>
  <c r="H154"/>
  <c r="F129" i="93"/>
  <c r="F136"/>
  <c r="J73" i="92"/>
  <c r="J139" i="93"/>
  <c r="J140"/>
  <c r="K139"/>
  <c r="K140"/>
  <c r="E136"/>
  <c r="K65" i="92"/>
  <c r="K71"/>
  <c r="G140" i="93"/>
  <c r="G139"/>
  <c r="I62" i="92"/>
  <c r="L154" i="91"/>
  <c r="L62" i="92"/>
  <c r="E65"/>
  <c r="E71"/>
  <c r="E68" i="91"/>
  <c r="L68"/>
  <c r="CD109" i="9"/>
  <c r="CD108"/>
  <c r="T69" i="91"/>
  <c r="T68"/>
  <c r="CC109" i="9"/>
  <c r="CC108"/>
  <c r="S69" i="91"/>
  <c r="S68"/>
  <c r="BY109" i="9"/>
  <c r="O69" i="91"/>
  <c r="O68"/>
  <c r="BY108" i="9"/>
  <c r="BN109"/>
  <c r="BN108"/>
  <c r="CG104"/>
  <c r="CH107"/>
  <c r="CG107"/>
  <c r="BJ107"/>
  <c r="BT95"/>
  <c r="BT96"/>
  <c r="BP95"/>
  <c r="BP96"/>
  <c r="BU95"/>
  <c r="BU96"/>
  <c r="BQ95"/>
  <c r="BQ96"/>
  <c r="BS95"/>
  <c r="BV95"/>
  <c r="BV96"/>
  <c r="BO96"/>
  <c r="E45" i="91"/>
  <c r="R132" i="93"/>
  <c r="H129"/>
  <c r="I65" i="92"/>
  <c r="I71"/>
  <c r="G149" i="93"/>
  <c r="G142"/>
  <c r="G158"/>
  <c r="K73" i="92"/>
  <c r="E139" i="93"/>
  <c r="E140"/>
  <c r="M154" i="91"/>
  <c r="M62" i="92"/>
  <c r="H62"/>
  <c r="U130" i="93"/>
  <c r="U129"/>
  <c r="U136"/>
  <c r="T130"/>
  <c r="T129"/>
  <c r="T136"/>
  <c r="S130"/>
  <c r="N129"/>
  <c r="P130"/>
  <c r="P129"/>
  <c r="P136"/>
  <c r="O130"/>
  <c r="O129"/>
  <c r="O136"/>
  <c r="F73" i="92"/>
  <c r="N63"/>
  <c r="T155" i="91"/>
  <c r="U155"/>
  <c r="O155"/>
  <c r="P155"/>
  <c r="S155"/>
  <c r="G73" i="92"/>
  <c r="V131" i="93"/>
  <c r="E73" i="92"/>
  <c r="L65"/>
  <c r="L71"/>
  <c r="K149" i="93"/>
  <c r="K142"/>
  <c r="K158"/>
  <c r="J142"/>
  <c r="J158"/>
  <c r="J149"/>
  <c r="F140"/>
  <c r="F139"/>
  <c r="I136"/>
  <c r="L129"/>
  <c r="M64" i="92"/>
  <c r="N156" i="91"/>
  <c r="H136" i="93"/>
  <c r="M129"/>
  <c r="W131"/>
  <c r="BQ109" i="9"/>
  <c r="BQ108"/>
  <c r="G45" i="91"/>
  <c r="G44"/>
  <c r="BV109" i="9"/>
  <c r="BV108"/>
  <c r="L45" i="91"/>
  <c r="BU109" i="9"/>
  <c r="BU108"/>
  <c r="K45" i="91"/>
  <c r="K44"/>
  <c r="K163"/>
  <c r="BT109" i="9"/>
  <c r="BT108"/>
  <c r="J45" i="91"/>
  <c r="J44"/>
  <c r="J163"/>
  <c r="V68"/>
  <c r="W69"/>
  <c r="E44"/>
  <c r="BP109" i="9"/>
  <c r="BP108"/>
  <c r="F45" i="91"/>
  <c r="F44"/>
  <c r="F163"/>
  <c r="H68"/>
  <c r="M68"/>
  <c r="W68"/>
  <c r="Q68"/>
  <c r="CH104" i="9"/>
  <c r="BJ104"/>
  <c r="BR95"/>
  <c r="BR96"/>
  <c r="CG95"/>
  <c r="BJ95"/>
  <c r="CB95"/>
  <c r="CB96"/>
  <c r="BO109"/>
  <c r="BW95"/>
  <c r="BW96"/>
  <c r="BS96"/>
  <c r="L73" i="92"/>
  <c r="M57" i="95"/>
  <c r="M55"/>
  <c r="M58"/>
  <c r="W155" i="91"/>
  <c r="Q155"/>
  <c r="Q63" i="92"/>
  <c r="Q130" i="93"/>
  <c r="R130"/>
  <c r="R155" i="91"/>
  <c r="R63" i="92"/>
  <c r="N64"/>
  <c r="U156" i="91"/>
  <c r="U64" i="92"/>
  <c r="P156" i="91"/>
  <c r="P64" i="92"/>
  <c r="S156" i="91"/>
  <c r="S154"/>
  <c r="T156"/>
  <c r="T64" i="92"/>
  <c r="O156" i="91"/>
  <c r="O64" i="92"/>
  <c r="J172" i="93"/>
  <c r="J174"/>
  <c r="J145"/>
  <c r="J181"/>
  <c r="K172"/>
  <c r="K174"/>
  <c r="K145"/>
  <c r="K181"/>
  <c r="S63" i="92"/>
  <c r="V155" i="91"/>
  <c r="V63" i="92"/>
  <c r="O63"/>
  <c r="T63"/>
  <c r="O139" i="93"/>
  <c r="O140"/>
  <c r="N136"/>
  <c r="Q129"/>
  <c r="R129"/>
  <c r="T140"/>
  <c r="T139"/>
  <c r="H65" i="92"/>
  <c r="H71"/>
  <c r="H140" i="93"/>
  <c r="G145"/>
  <c r="G181"/>
  <c r="G172"/>
  <c r="G174"/>
  <c r="W130"/>
  <c r="H139"/>
  <c r="I139"/>
  <c r="I140"/>
  <c r="L136"/>
  <c r="L139"/>
  <c r="F142"/>
  <c r="F158"/>
  <c r="F149"/>
  <c r="P154" i="91"/>
  <c r="P63" i="92"/>
  <c r="U63"/>
  <c r="P140" i="93"/>
  <c r="P139"/>
  <c r="V130"/>
  <c r="S129"/>
  <c r="U140"/>
  <c r="U139"/>
  <c r="M65" i="92"/>
  <c r="M71"/>
  <c r="M73"/>
  <c r="I73"/>
  <c r="N154" i="91"/>
  <c r="BS109" i="9"/>
  <c r="BS108"/>
  <c r="I45" i="91"/>
  <c r="BW109" i="9"/>
  <c r="BW108"/>
  <c r="M45" i="91"/>
  <c r="CB109" i="9"/>
  <c r="CB108"/>
  <c r="R45" i="91"/>
  <c r="BR109" i="9"/>
  <c r="CH109"/>
  <c r="H45" i="91"/>
  <c r="F165"/>
  <c r="F166"/>
  <c r="E163"/>
  <c r="J166"/>
  <c r="J165"/>
  <c r="K166"/>
  <c r="K165"/>
  <c r="H44"/>
  <c r="G163"/>
  <c r="R68"/>
  <c r="BR108" i="9"/>
  <c r="CH108"/>
  <c r="BO108"/>
  <c r="CG108"/>
  <c r="BJ108"/>
  <c r="CG109"/>
  <c r="BJ109"/>
  <c r="CG96"/>
  <c r="H73" i="92"/>
  <c r="L57" i="95"/>
  <c r="L55"/>
  <c r="G183" i="93"/>
  <c r="G96" i="94"/>
  <c r="K183" i="93"/>
  <c r="K96" i="94"/>
  <c r="J183" i="93"/>
  <c r="J96" i="94"/>
  <c r="U154" i="91"/>
  <c r="T154"/>
  <c r="W63" i="92"/>
  <c r="O154" i="91"/>
  <c r="Q154"/>
  <c r="W156"/>
  <c r="J167"/>
  <c r="J175"/>
  <c r="J74" i="92"/>
  <c r="J75"/>
  <c r="F167" i="91"/>
  <c r="F168"/>
  <c r="F184"/>
  <c r="F92" i="92"/>
  <c r="F74"/>
  <c r="F75"/>
  <c r="V129" i="93"/>
  <c r="S136"/>
  <c r="F172"/>
  <c r="F174"/>
  <c r="F145"/>
  <c r="F181"/>
  <c r="L140"/>
  <c r="E149"/>
  <c r="E142"/>
  <c r="E158"/>
  <c r="H141"/>
  <c r="T142"/>
  <c r="T158"/>
  <c r="T149"/>
  <c r="O142"/>
  <c r="O158"/>
  <c r="O149"/>
  <c r="W154" i="91"/>
  <c r="S62" i="92"/>
  <c r="V154" i="91"/>
  <c r="V62" i="92"/>
  <c r="S163" i="91"/>
  <c r="M136" i="93"/>
  <c r="Q156" i="91"/>
  <c r="K167"/>
  <c r="K170"/>
  <c r="K74" i="92"/>
  <c r="K75"/>
  <c r="N62"/>
  <c r="N163" i="91"/>
  <c r="U149" i="93"/>
  <c r="U142"/>
  <c r="U158"/>
  <c r="P149"/>
  <c r="P142"/>
  <c r="P158"/>
  <c r="U62" i="92"/>
  <c r="U163" i="91"/>
  <c r="P62" i="92"/>
  <c r="P163" i="91"/>
  <c r="Q136" i="93"/>
  <c r="Q139"/>
  <c r="N139"/>
  <c r="N140"/>
  <c r="T62" i="92"/>
  <c r="T163" i="91"/>
  <c r="O62" i="92"/>
  <c r="O163" i="91"/>
  <c r="S64" i="92"/>
  <c r="W64"/>
  <c r="V156" i="91"/>
  <c r="V64" i="92"/>
  <c r="M140" i="93"/>
  <c r="W129"/>
  <c r="G165" i="91"/>
  <c r="G166"/>
  <c r="E165"/>
  <c r="E166"/>
  <c r="E74" i="92"/>
  <c r="H163" i="91"/>
  <c r="K168"/>
  <c r="K184"/>
  <c r="K92" i="92"/>
  <c r="J170" i="91"/>
  <c r="F170"/>
  <c r="F175"/>
  <c r="I44"/>
  <c r="W45"/>
  <c r="BJ96" i="9"/>
  <c r="CH96"/>
  <c r="N55" i="95"/>
  <c r="L58"/>
  <c r="N58"/>
  <c r="J168" i="91"/>
  <c r="J184"/>
  <c r="J92" i="92"/>
  <c r="J184" i="93"/>
  <c r="J106" i="94"/>
  <c r="J105"/>
  <c r="K184" i="93"/>
  <c r="K106" i="94"/>
  <c r="K105"/>
  <c r="G184" i="93"/>
  <c r="G106" i="94"/>
  <c r="G105"/>
  <c r="F183" i="93"/>
  <c r="F96" i="94"/>
  <c r="K175" i="91"/>
  <c r="K83" i="92"/>
  <c r="E167" i="91"/>
  <c r="F177"/>
  <c r="F83" i="92"/>
  <c r="K177" i="91"/>
  <c r="E75" i="92"/>
  <c r="G167" i="91"/>
  <c r="G74" i="92"/>
  <c r="G75"/>
  <c r="O165" i="91"/>
  <c r="O166"/>
  <c r="T166"/>
  <c r="T165"/>
  <c r="Q140" i="93"/>
  <c r="R140"/>
  <c r="P65" i="92"/>
  <c r="P71"/>
  <c r="U65"/>
  <c r="U71"/>
  <c r="R154" i="91"/>
  <c r="R62" i="92"/>
  <c r="Q62"/>
  <c r="K76"/>
  <c r="K78"/>
  <c r="K79"/>
  <c r="S166" i="91"/>
  <c r="S165"/>
  <c r="V163"/>
  <c r="V165"/>
  <c r="S65" i="92"/>
  <c r="S71"/>
  <c r="O172" i="93"/>
  <c r="O174"/>
  <c r="O145"/>
  <c r="O181"/>
  <c r="H149"/>
  <c r="I149"/>
  <c r="L141"/>
  <c r="L142"/>
  <c r="L158"/>
  <c r="I142"/>
  <c r="I158"/>
  <c r="J177" i="91"/>
  <c r="J83" i="92"/>
  <c r="O65"/>
  <c r="O71"/>
  <c r="T65"/>
  <c r="T71"/>
  <c r="P166" i="91"/>
  <c r="P165"/>
  <c r="U166"/>
  <c r="U165"/>
  <c r="P145" i="93"/>
  <c r="P181"/>
  <c r="P172"/>
  <c r="P174"/>
  <c r="U145"/>
  <c r="U181"/>
  <c r="U172"/>
  <c r="U174"/>
  <c r="Q163" i="91"/>
  <c r="Q165"/>
  <c r="N166"/>
  <c r="N165"/>
  <c r="N167"/>
  <c r="N65" i="92"/>
  <c r="W65"/>
  <c r="N71"/>
  <c r="W62"/>
  <c r="R156" i="91"/>
  <c r="R64" i="92"/>
  <c r="Q64"/>
  <c r="M139" i="93"/>
  <c r="R136"/>
  <c r="R139"/>
  <c r="V71" i="92"/>
  <c r="V65"/>
  <c r="T145" i="93"/>
  <c r="T181"/>
  <c r="T172"/>
  <c r="T174"/>
  <c r="M141"/>
  <c r="H142"/>
  <c r="H158"/>
  <c r="E172"/>
  <c r="E145"/>
  <c r="E181"/>
  <c r="H144"/>
  <c r="W136"/>
  <c r="W139"/>
  <c r="S140"/>
  <c r="V140"/>
  <c r="V136"/>
  <c r="V139"/>
  <c r="S139"/>
  <c r="F76" i="92"/>
  <c r="F78"/>
  <c r="F79"/>
  <c r="J76"/>
  <c r="J78"/>
  <c r="J79"/>
  <c r="L44" i="91"/>
  <c r="M44"/>
  <c r="R44"/>
  <c r="I163"/>
  <c r="W44"/>
  <c r="H165"/>
  <c r="F198"/>
  <c r="F171"/>
  <c r="F207"/>
  <c r="F115" i="92"/>
  <c r="J171" i="91"/>
  <c r="J207"/>
  <c r="J115" i="92"/>
  <c r="J198" i="91"/>
  <c r="K198"/>
  <c r="K171"/>
  <c r="K207"/>
  <c r="K115" i="92"/>
  <c r="E175" i="91"/>
  <c r="E83" i="92"/>
  <c r="H167" i="91"/>
  <c r="E168"/>
  <c r="E184"/>
  <c r="E92" i="92"/>
  <c r="E170" i="91"/>
  <c r="H166"/>
  <c r="H74" i="92"/>
  <c r="G175" i="91"/>
  <c r="G170"/>
  <c r="G168"/>
  <c r="G184"/>
  <c r="G92" i="92"/>
  <c r="N57" i="95"/>
  <c r="V73" i="92"/>
  <c r="Q57" i="95"/>
  <c r="Q55"/>
  <c r="Q58"/>
  <c r="U183" i="93"/>
  <c r="U96" i="94"/>
  <c r="P183" i="93"/>
  <c r="P96" i="94"/>
  <c r="F184" i="93"/>
  <c r="F106" i="94"/>
  <c r="F105"/>
  <c r="T183" i="93"/>
  <c r="T96" i="94"/>
  <c r="O183" i="93"/>
  <c r="O96" i="94"/>
  <c r="G177" i="91"/>
  <c r="G83" i="92"/>
  <c r="J200" i="91"/>
  <c r="J106" i="92"/>
  <c r="K200" i="91"/>
  <c r="K106" i="92"/>
  <c r="F200" i="91"/>
  <c r="F106" i="92"/>
  <c r="E174" i="93"/>
  <c r="E96" i="94"/>
  <c r="H172" i="93"/>
  <c r="M142"/>
  <c r="M158"/>
  <c r="N73" i="92"/>
  <c r="W71"/>
  <c r="W73"/>
  <c r="N175" i="91"/>
  <c r="N168"/>
  <c r="N184"/>
  <c r="N92" i="92"/>
  <c r="N170" i="91"/>
  <c r="N74" i="92"/>
  <c r="N75"/>
  <c r="Q166" i="91"/>
  <c r="Q74" i="92"/>
  <c r="T73"/>
  <c r="O73"/>
  <c r="L149" i="93"/>
  <c r="S73" i="92"/>
  <c r="V166" i="91"/>
  <c r="V74" i="92"/>
  <c r="S74"/>
  <c r="S75"/>
  <c r="S167" i="91"/>
  <c r="R65" i="92"/>
  <c r="R71"/>
  <c r="R73"/>
  <c r="Q141" i="93"/>
  <c r="Q142"/>
  <c r="Q158"/>
  <c r="N149"/>
  <c r="N142"/>
  <c r="N158"/>
  <c r="T167" i="91"/>
  <c r="T74" i="92"/>
  <c r="T75"/>
  <c r="K186" i="91"/>
  <c r="K85" i="92"/>
  <c r="F186" i="91"/>
  <c r="F85" i="92"/>
  <c r="W140" i="93"/>
  <c r="M149"/>
  <c r="H145"/>
  <c r="H181"/>
  <c r="U167" i="91"/>
  <c r="U74" i="92"/>
  <c r="U75"/>
  <c r="P167" i="91"/>
  <c r="P74" i="92"/>
  <c r="J186" i="91"/>
  <c r="J85" i="92"/>
  <c r="I172" i="93"/>
  <c r="I145"/>
  <c r="I181"/>
  <c r="L144"/>
  <c r="L145"/>
  <c r="L181"/>
  <c r="Q65" i="92"/>
  <c r="Q71"/>
  <c r="U73"/>
  <c r="P73"/>
  <c r="P75"/>
  <c r="O167" i="91"/>
  <c r="O74" i="92"/>
  <c r="O75"/>
  <c r="G76"/>
  <c r="G78"/>
  <c r="G79"/>
  <c r="E76"/>
  <c r="E78"/>
  <c r="H75"/>
  <c r="G198" i="91"/>
  <c r="G171"/>
  <c r="G207"/>
  <c r="G115" i="92"/>
  <c r="H175" i="91"/>
  <c r="H83" i="92"/>
  <c r="E177" i="91"/>
  <c r="E85" i="92"/>
  <c r="E171" i="91"/>
  <c r="E207"/>
  <c r="E115" i="92"/>
  <c r="E198" i="91"/>
  <c r="E106" i="92"/>
  <c r="H170" i="91"/>
  <c r="H168"/>
  <c r="H184"/>
  <c r="H92" i="92"/>
  <c r="I166" i="91"/>
  <c r="I165"/>
  <c r="L163"/>
  <c r="W163"/>
  <c r="W165"/>
  <c r="Q73" i="92"/>
  <c r="O57" i="95"/>
  <c r="O55"/>
  <c r="O184" i="93"/>
  <c r="O106" i="94"/>
  <c r="O105"/>
  <c r="T184" i="93"/>
  <c r="T106" i="94"/>
  <c r="T105"/>
  <c r="P184" i="93"/>
  <c r="P106" i="94"/>
  <c r="P105"/>
  <c r="U184" i="93"/>
  <c r="U106" i="94"/>
  <c r="U105"/>
  <c r="M144" i="93"/>
  <c r="O76" i="92"/>
  <c r="O78"/>
  <c r="O79"/>
  <c r="U76"/>
  <c r="U78"/>
  <c r="U79"/>
  <c r="S78"/>
  <c r="S76"/>
  <c r="V75"/>
  <c r="V76"/>
  <c r="N78"/>
  <c r="Q75"/>
  <c r="Q76"/>
  <c r="N76"/>
  <c r="T76"/>
  <c r="T78"/>
  <c r="T79"/>
  <c r="G200" i="91"/>
  <c r="G106" i="92"/>
  <c r="H76"/>
  <c r="O175" i="91"/>
  <c r="O168"/>
  <c r="O184"/>
  <c r="O92" i="92"/>
  <c r="O170" i="91"/>
  <c r="I174" i="93"/>
  <c r="I96" i="94"/>
  <c r="L172" i="93"/>
  <c r="M172"/>
  <c r="J187" i="91"/>
  <c r="J95" i="92"/>
  <c r="J94"/>
  <c r="P168" i="91"/>
  <c r="P184"/>
  <c r="P92" i="92"/>
  <c r="P170" i="91"/>
  <c r="P175"/>
  <c r="U168"/>
  <c r="U184"/>
  <c r="U92" i="92"/>
  <c r="U170" i="91"/>
  <c r="U175"/>
  <c r="S142" i="93"/>
  <c r="S158"/>
  <c r="W144"/>
  <c r="W145"/>
  <c r="W181"/>
  <c r="S149"/>
  <c r="V141"/>
  <c r="V142"/>
  <c r="V158"/>
  <c r="N171" i="91"/>
  <c r="N207"/>
  <c r="N115" i="92"/>
  <c r="N198" i="91"/>
  <c r="W141" i="93"/>
  <c r="W142"/>
  <c r="W158"/>
  <c r="Q167" i="91"/>
  <c r="Q168"/>
  <c r="Q184"/>
  <c r="Q92" i="92"/>
  <c r="R141" i="93"/>
  <c r="R142"/>
  <c r="R158"/>
  <c r="I167" i="91"/>
  <c r="I175"/>
  <c r="I83" i="92"/>
  <c r="I74"/>
  <c r="H78"/>
  <c r="E79"/>
  <c r="P76"/>
  <c r="P78"/>
  <c r="P79"/>
  <c r="M145" i="93"/>
  <c r="M181"/>
  <c r="F187" i="91"/>
  <c r="F95" i="92"/>
  <c r="F94"/>
  <c r="K187" i="91"/>
  <c r="K95" i="92"/>
  <c r="K94"/>
  <c r="T170" i="91"/>
  <c r="T175"/>
  <c r="T168"/>
  <c r="T184"/>
  <c r="T92" i="92"/>
  <c r="N172" i="93"/>
  <c r="N145"/>
  <c r="N181"/>
  <c r="Q144"/>
  <c r="Q145"/>
  <c r="Q181"/>
  <c r="Q149"/>
  <c r="R149"/>
  <c r="W149"/>
  <c r="S170" i="91"/>
  <c r="S175"/>
  <c r="S168"/>
  <c r="S184"/>
  <c r="S92" i="92"/>
  <c r="V167" i="91"/>
  <c r="V168"/>
  <c r="V184"/>
  <c r="V92" i="92"/>
  <c r="N83"/>
  <c r="N177" i="91"/>
  <c r="Q175"/>
  <c r="Q83" i="92"/>
  <c r="E183" i="93"/>
  <c r="H174"/>
  <c r="H96" i="94"/>
  <c r="F209" i="91"/>
  <c r="F108" i="92"/>
  <c r="K209" i="91"/>
  <c r="K108" i="92"/>
  <c r="J209" i="91"/>
  <c r="J108" i="92"/>
  <c r="G186" i="91"/>
  <c r="G85" i="92"/>
  <c r="L165" i="91"/>
  <c r="M163"/>
  <c r="L166"/>
  <c r="W166"/>
  <c r="H198"/>
  <c r="H106" i="92"/>
  <c r="E200" i="91"/>
  <c r="E108" i="92"/>
  <c r="H171" i="91"/>
  <c r="H207"/>
  <c r="H115" i="92"/>
  <c r="E186" i="91"/>
  <c r="H177"/>
  <c r="H85" i="92"/>
  <c r="D52"/>
  <c r="B50"/>
  <c r="D71"/>
  <c r="O58" i="95"/>
  <c r="P58"/>
  <c r="R58"/>
  <c r="P55"/>
  <c r="E184" i="93"/>
  <c r="E106" i="94"/>
  <c r="E105"/>
  <c r="W167" i="91"/>
  <c r="W168"/>
  <c r="W184"/>
  <c r="Q170"/>
  <c r="Q171"/>
  <c r="Q207"/>
  <c r="Q115" i="92"/>
  <c r="I168" i="91"/>
  <c r="I184"/>
  <c r="I92" i="92"/>
  <c r="I170" i="91"/>
  <c r="L167"/>
  <c r="L168"/>
  <c r="L184"/>
  <c r="L92" i="92"/>
  <c r="E187" i="91"/>
  <c r="E95" i="92"/>
  <c r="E94"/>
  <c r="N85"/>
  <c r="N186" i="91"/>
  <c r="S83" i="92"/>
  <c r="S177" i="91"/>
  <c r="V175"/>
  <c r="V83" i="92"/>
  <c r="T198" i="91"/>
  <c r="T171"/>
  <c r="T207"/>
  <c r="T115" i="92"/>
  <c r="I75"/>
  <c r="W74"/>
  <c r="V149" i="93"/>
  <c r="U198" i="91"/>
  <c r="U171"/>
  <c r="U207"/>
  <c r="U115" i="92"/>
  <c r="P177" i="91"/>
  <c r="P83" i="92"/>
  <c r="L174" i="93"/>
  <c r="I183"/>
  <c r="V78" i="92"/>
  <c r="V79"/>
  <c r="S79"/>
  <c r="M166" i="91"/>
  <c r="L74" i="92"/>
  <c r="G187" i="91"/>
  <c r="G95" i="92"/>
  <c r="G94"/>
  <c r="J210" i="91"/>
  <c r="J118" i="92"/>
  <c r="J117"/>
  <c r="K210" i="91"/>
  <c r="K118" i="92"/>
  <c r="K117"/>
  <c r="F210" i="91"/>
  <c r="F118" i="92"/>
  <c r="F117"/>
  <c r="M174" i="93"/>
  <c r="M96" i="94"/>
  <c r="H183" i="93"/>
  <c r="S198" i="91"/>
  <c r="V170"/>
  <c r="V171"/>
  <c r="V207"/>
  <c r="V115" i="92"/>
  <c r="S171" i="91"/>
  <c r="S207"/>
  <c r="S115" i="92"/>
  <c r="Q172" i="93"/>
  <c r="R172"/>
  <c r="N174"/>
  <c r="N96" i="94"/>
  <c r="T177" i="91"/>
  <c r="T83" i="92"/>
  <c r="H79"/>
  <c r="N106"/>
  <c r="N200" i="91"/>
  <c r="V144" i="93"/>
  <c r="V145"/>
  <c r="V181"/>
  <c r="S172"/>
  <c r="S145"/>
  <c r="S181"/>
  <c r="U177" i="91"/>
  <c r="U83" i="92"/>
  <c r="P171" i="91"/>
  <c r="P207"/>
  <c r="P115" i="92"/>
  <c r="P198" i="91"/>
  <c r="O198"/>
  <c r="O171"/>
  <c r="O207"/>
  <c r="O115" i="92"/>
  <c r="O177" i="91"/>
  <c r="O83" i="92"/>
  <c r="G209" i="91"/>
  <c r="G108" i="92"/>
  <c r="Q78"/>
  <c r="Q79"/>
  <c r="N79"/>
  <c r="R144" i="93"/>
  <c r="R145"/>
  <c r="R181"/>
  <c r="E209" i="91"/>
  <c r="H200"/>
  <c r="H108" i="92"/>
  <c r="M165" i="91"/>
  <c r="R163"/>
  <c r="R165"/>
  <c r="L175"/>
  <c r="I177"/>
  <c r="I85" i="92"/>
  <c r="W175" i="91"/>
  <c r="H186"/>
  <c r="I171"/>
  <c r="I207"/>
  <c r="I115" i="92"/>
  <c r="I198" i="91"/>
  <c r="I106" i="92"/>
  <c r="L170" i="91"/>
  <c r="W170"/>
  <c r="W171"/>
  <c r="W207"/>
  <c r="M167"/>
  <c r="D75" i="92"/>
  <c r="D73"/>
  <c r="B71"/>
  <c r="B73"/>
  <c r="B52"/>
  <c r="R55" i="95"/>
  <c r="R57"/>
  <c r="P57"/>
  <c r="W83" i="92"/>
  <c r="L183" i="93"/>
  <c r="L96" i="94"/>
  <c r="H184" i="93"/>
  <c r="H106" i="94"/>
  <c r="H105"/>
  <c r="I184" i="93"/>
  <c r="I106" i="94"/>
  <c r="I105"/>
  <c r="Q177" i="91"/>
  <c r="Q186"/>
  <c r="M175"/>
  <c r="L83" i="92"/>
  <c r="E210" i="91"/>
  <c r="E118" i="92"/>
  <c r="E117"/>
  <c r="H187" i="91"/>
  <c r="H95" i="92"/>
  <c r="H94"/>
  <c r="P200" i="91"/>
  <c r="P106" i="92"/>
  <c r="N108"/>
  <c r="N209" i="91"/>
  <c r="N183" i="93"/>
  <c r="Q174"/>
  <c r="G210" i="91"/>
  <c r="G118" i="92"/>
  <c r="G117"/>
  <c r="O186" i="91"/>
  <c r="O85" i="92"/>
  <c r="O200" i="91"/>
  <c r="Q200"/>
  <c r="O106" i="92"/>
  <c r="U186" i="91"/>
  <c r="U85" i="92"/>
  <c r="S174" i="93"/>
  <c r="S96" i="94"/>
  <c r="W96"/>
  <c r="W105"/>
  <c r="W106"/>
  <c r="V172" i="93"/>
  <c r="W172"/>
  <c r="T186" i="91"/>
  <c r="T85" i="92"/>
  <c r="S106"/>
  <c r="S200" i="91"/>
  <c r="V198"/>
  <c r="V106" i="92"/>
  <c r="M183" i="93"/>
  <c r="R174"/>
  <c r="R166" i="91"/>
  <c r="R74" i="92"/>
  <c r="M74"/>
  <c r="P186" i="91"/>
  <c r="P85" i="92"/>
  <c r="U200" i="91"/>
  <c r="U106" i="92"/>
  <c r="I78"/>
  <c r="I76"/>
  <c r="L75"/>
  <c r="W75"/>
  <c r="W76"/>
  <c r="W92"/>
  <c r="T200" i="91"/>
  <c r="T106" i="92"/>
  <c r="S85"/>
  <c r="S186" i="91"/>
  <c r="V177"/>
  <c r="N187"/>
  <c r="N95" i="92"/>
  <c r="N94"/>
  <c r="Q198" i="91"/>
  <c r="Q106" i="92"/>
  <c r="M168" i="91"/>
  <c r="M184"/>
  <c r="M92" i="92"/>
  <c r="R167" i="91"/>
  <c r="R168"/>
  <c r="R184"/>
  <c r="R92" i="92"/>
  <c r="I200" i="91"/>
  <c r="I108" i="92"/>
  <c r="L198" i="91"/>
  <c r="W198"/>
  <c r="H209"/>
  <c r="L171"/>
  <c r="L207"/>
  <c r="L115" i="92"/>
  <c r="M170" i="91"/>
  <c r="L177"/>
  <c r="L85" i="92"/>
  <c r="I186" i="91"/>
  <c r="W177"/>
  <c r="W186"/>
  <c r="W187"/>
  <c r="D78" i="92"/>
  <c r="D79"/>
  <c r="B75"/>
  <c r="D76"/>
  <c r="Q85"/>
  <c r="M184" i="93"/>
  <c r="M106" i="94"/>
  <c r="M105"/>
  <c r="N184" i="93"/>
  <c r="N106" i="94"/>
  <c r="N105"/>
  <c r="R183" i="93"/>
  <c r="R96" i="94"/>
  <c r="Q183" i="93"/>
  <c r="Q96" i="94"/>
  <c r="L184" i="93"/>
  <c r="L106" i="94"/>
  <c r="L105"/>
  <c r="W106" i="92"/>
  <c r="W85"/>
  <c r="W94"/>
  <c r="W95"/>
  <c r="Q209" i="91"/>
  <c r="Q108" i="92"/>
  <c r="I187" i="91"/>
  <c r="I95" i="92"/>
  <c r="I94"/>
  <c r="H210" i="91"/>
  <c r="H118" i="92"/>
  <c r="H117"/>
  <c r="M198" i="91"/>
  <c r="L106" i="92"/>
  <c r="S187" i="91"/>
  <c r="S95" i="92"/>
  <c r="S94"/>
  <c r="T187" i="91"/>
  <c r="T95" i="92"/>
  <c r="T94"/>
  <c r="P209" i="91"/>
  <c r="P108" i="92"/>
  <c r="R175" i="91"/>
  <c r="R83" i="92"/>
  <c r="M83"/>
  <c r="Q187" i="91"/>
  <c r="Q95" i="92"/>
  <c r="Q94"/>
  <c r="V186" i="91"/>
  <c r="V85" i="92"/>
  <c r="T209" i="91"/>
  <c r="T108" i="92"/>
  <c r="L76"/>
  <c r="M75"/>
  <c r="I79"/>
  <c r="L78"/>
  <c r="W78"/>
  <c r="W79"/>
  <c r="W115"/>
  <c r="U209" i="91"/>
  <c r="U108" i="92"/>
  <c r="P187" i="91"/>
  <c r="P95" i="92"/>
  <c r="P94"/>
  <c r="S108"/>
  <c r="V200" i="91"/>
  <c r="S209"/>
  <c r="S183" i="93"/>
  <c r="V174"/>
  <c r="U187" i="91"/>
  <c r="U95" i="92"/>
  <c r="U94"/>
  <c r="O209" i="91"/>
  <c r="O108" i="92"/>
  <c r="O187" i="91"/>
  <c r="O95" i="92"/>
  <c r="O94"/>
  <c r="N210" i="91"/>
  <c r="N118" i="92"/>
  <c r="N117"/>
  <c r="W174" i="93"/>
  <c r="W183"/>
  <c r="W184"/>
  <c r="M171" i="91"/>
  <c r="M207"/>
  <c r="M115" i="92"/>
  <c r="R170" i="91"/>
  <c r="R171"/>
  <c r="R207"/>
  <c r="R115" i="92"/>
  <c r="L200" i="91"/>
  <c r="L108" i="92"/>
  <c r="I209" i="91"/>
  <c r="W200"/>
  <c r="W209"/>
  <c r="W210"/>
  <c r="L186"/>
  <c r="M177"/>
  <c r="M85" i="92"/>
  <c r="B78"/>
  <c r="B79"/>
  <c r="B76"/>
  <c r="S184" i="93"/>
  <c r="S106" i="94"/>
  <c r="S105"/>
  <c r="Q184" i="93"/>
  <c r="Q106" i="94"/>
  <c r="Q105"/>
  <c r="R184" i="93"/>
  <c r="R106" i="94"/>
  <c r="R105"/>
  <c r="V183" i="93"/>
  <c r="V96" i="94"/>
  <c r="W108" i="92"/>
  <c r="W117"/>
  <c r="W118"/>
  <c r="L187" i="91"/>
  <c r="L95" i="92"/>
  <c r="L94"/>
  <c r="I210" i="91"/>
  <c r="I118" i="92"/>
  <c r="I117"/>
  <c r="O210" i="91"/>
  <c r="O118" i="92"/>
  <c r="O117"/>
  <c r="V209" i="91"/>
  <c r="V108" i="92"/>
  <c r="S210" i="91"/>
  <c r="S118" i="92"/>
  <c r="S117"/>
  <c r="U210" i="91"/>
  <c r="U118" i="92"/>
  <c r="U117"/>
  <c r="L79"/>
  <c r="M78"/>
  <c r="R75"/>
  <c r="R76"/>
  <c r="M76"/>
  <c r="Q210" i="91"/>
  <c r="Q118" i="92"/>
  <c r="Q117"/>
  <c r="T210" i="91"/>
  <c r="T118" i="92"/>
  <c r="T117"/>
  <c r="V187" i="91"/>
  <c r="V95" i="92"/>
  <c r="V94"/>
  <c r="P210" i="91"/>
  <c r="P118" i="92"/>
  <c r="P117"/>
  <c r="R198" i="91"/>
  <c r="R106" i="92"/>
  <c r="M106"/>
  <c r="M186" i="91"/>
  <c r="R177"/>
  <c r="L209"/>
  <c r="M200"/>
  <c r="M108" i="92"/>
  <c r="V184" i="93"/>
  <c r="V106" i="94"/>
  <c r="V105"/>
  <c r="L210" i="91"/>
  <c r="L118" i="92"/>
  <c r="L117"/>
  <c r="M187" i="91"/>
  <c r="M95" i="92"/>
  <c r="M94"/>
  <c r="V210" i="91"/>
  <c r="V118" i="92"/>
  <c r="V117"/>
  <c r="R186" i="91"/>
  <c r="R85" i="92"/>
  <c r="R78"/>
  <c r="R79"/>
  <c r="M79"/>
  <c r="M209" i="91"/>
  <c r="R200"/>
  <c r="R209"/>
  <c r="R108" i="92"/>
  <c r="M210" i="91"/>
  <c r="M118" i="92"/>
  <c r="M117"/>
  <c r="R187" i="91"/>
  <c r="R95" i="92"/>
  <c r="R94"/>
  <c r="R210" i="91"/>
  <c r="R118" i="92"/>
  <c r="R117"/>
  <c r="B151" i="93"/>
  <c r="B160"/>
  <c r="B161"/>
  <c r="E159"/>
  <c r="Q159"/>
  <c r="S159"/>
  <c r="S150"/>
  <c r="S151"/>
  <c r="I159"/>
  <c r="I150"/>
  <c r="T159"/>
  <c r="T150"/>
  <c r="T151"/>
  <c r="T160"/>
  <c r="T161"/>
  <c r="P159"/>
  <c r="P150"/>
  <c r="P151"/>
  <c r="P160"/>
  <c r="P161"/>
  <c r="J159"/>
  <c r="J150"/>
  <c r="J151"/>
  <c r="J160"/>
  <c r="J161"/>
  <c r="G159"/>
  <c r="G150"/>
  <c r="G151"/>
  <c r="G160"/>
  <c r="G161"/>
  <c r="H159"/>
  <c r="R159"/>
  <c r="L159"/>
  <c r="V159"/>
  <c r="E150"/>
  <c r="N159"/>
  <c r="N150"/>
  <c r="U159"/>
  <c r="U150"/>
  <c r="U151"/>
  <c r="U160"/>
  <c r="U161"/>
  <c r="O159"/>
  <c r="O150"/>
  <c r="O151"/>
  <c r="O160"/>
  <c r="O161"/>
  <c r="F159"/>
  <c r="F150"/>
  <c r="F151"/>
  <c r="F160"/>
  <c r="F161"/>
  <c r="K159"/>
  <c r="K150"/>
  <c r="K151"/>
  <c r="K160"/>
  <c r="K161"/>
  <c r="M159"/>
  <c r="W159"/>
  <c r="N151"/>
  <c r="Q150"/>
  <c r="L150"/>
  <c r="I151"/>
  <c r="S160"/>
  <c r="S161"/>
  <c r="V151"/>
  <c r="V160"/>
  <c r="V161"/>
  <c r="W150"/>
  <c r="H150"/>
  <c r="M150"/>
  <c r="R150"/>
  <c r="E151"/>
  <c r="V150"/>
  <c r="L151"/>
  <c r="L160"/>
  <c r="L161"/>
  <c r="I160"/>
  <c r="I161"/>
  <c r="W151"/>
  <c r="W160"/>
  <c r="W161"/>
  <c r="E160"/>
  <c r="E161"/>
  <c r="H151"/>
  <c r="N160"/>
  <c r="N161"/>
  <c r="Q151"/>
  <c r="Q160"/>
  <c r="Q161"/>
  <c r="M151"/>
  <c r="H160"/>
  <c r="H161"/>
  <c r="R151"/>
  <c r="R160"/>
  <c r="R161"/>
  <c r="M160"/>
  <c r="M161"/>
  <c r="AT59" i="104" l="1"/>
  <c r="AY59" s="1"/>
  <c r="BR59" s="1"/>
  <c r="AQ60"/>
  <c r="V195" i="103"/>
  <c r="AC195"/>
  <c r="AD195" s="1"/>
  <c r="AU42" i="104"/>
  <c r="AV42" s="1"/>
  <c r="AX42"/>
  <c r="AX44"/>
  <c r="AU44"/>
  <c r="AV44" s="1"/>
  <c r="AS51"/>
  <c r="AS50"/>
  <c r="AX50" s="1"/>
  <c r="BQ50" s="1"/>
  <c r="AS49"/>
  <c r="AX49" s="1"/>
  <c r="BQ49" s="1"/>
  <c r="AS48"/>
  <c r="AX48" s="1"/>
  <c r="BQ48" s="1"/>
  <c r="AS47"/>
  <c r="AS45"/>
  <c r="AX45" s="1"/>
  <c r="AS46"/>
  <c r="AC46" i="103"/>
  <c r="AD46" s="1"/>
  <c r="AC98"/>
  <c r="AD98" s="1"/>
  <c r="AS63" i="102"/>
  <c r="AS62"/>
  <c r="AX62" s="1"/>
  <c r="BQ62" s="1"/>
  <c r="AS61"/>
  <c r="AX61" s="1"/>
  <c r="BQ61" s="1"/>
  <c r="AS60"/>
  <c r="AX60" s="1"/>
  <c r="BQ60" s="1"/>
  <c r="AS59"/>
  <c r="AU59" s="1"/>
  <c r="AV59" s="1"/>
  <c r="AS58"/>
  <c r="AS57"/>
  <c r="AX57" s="1"/>
  <c r="AC96" i="101"/>
  <c r="R249"/>
  <c r="R254" s="1"/>
  <c r="S92"/>
  <c r="S85" s="1"/>
  <c r="AS39" i="102"/>
  <c r="AU39" s="1"/>
  <c r="AV39" s="1"/>
  <c r="V54" i="101"/>
  <c r="AC54"/>
  <c r="U183"/>
  <c r="V183" s="1"/>
  <c r="R49"/>
  <c r="R147" s="1"/>
  <c r="R188"/>
  <c r="S249"/>
  <c r="S254" s="1"/>
  <c r="AX53" i="102"/>
  <c r="AU53"/>
  <c r="AV53" s="1"/>
  <c r="R210" i="101"/>
  <c r="R216" s="1"/>
  <c r="AP52" i="102"/>
  <c r="AS52" s="1"/>
  <c r="AU54"/>
  <c r="AV54" s="1"/>
  <c r="AX54"/>
  <c r="AS43"/>
  <c r="S181" i="101"/>
  <c r="AS50" i="102"/>
  <c r="AU50" s="1"/>
  <c r="AV50" s="1"/>
  <c r="AS42"/>
  <c r="AU42" s="1"/>
  <c r="AV42" s="1"/>
  <c r="AS40"/>
  <c r="AX40" s="1"/>
  <c r="AU41" i="104"/>
  <c r="AV41" s="1"/>
  <c r="AX41"/>
  <c r="AU43"/>
  <c r="AV43" s="1"/>
  <c r="AX43"/>
  <c r="AC203" i="103"/>
  <c r="AD203" s="1"/>
  <c r="V203"/>
  <c r="V202"/>
  <c r="AC202"/>
  <c r="AD202" s="1"/>
  <c r="AC148"/>
  <c r="AD70"/>
  <c r="AD148" s="1"/>
  <c r="V200"/>
  <c r="AC200"/>
  <c r="AD200" s="1"/>
  <c r="V144"/>
  <c r="V199"/>
  <c r="AC199"/>
  <c r="AD199" s="1"/>
  <c r="S207"/>
  <c r="U207" s="1"/>
  <c r="V206"/>
  <c r="AC206"/>
  <c r="AD206" s="1"/>
  <c r="V192"/>
  <c r="AC192"/>
  <c r="AD192" s="1"/>
  <c r="AS31" i="104"/>
  <c r="AS28"/>
  <c r="AS39"/>
  <c r="AU39" s="1"/>
  <c r="AV39" s="1"/>
  <c r="R95" i="103"/>
  <c r="R152" s="1"/>
  <c r="AS32" i="104"/>
  <c r="AU32" s="1"/>
  <c r="AV32" s="1"/>
  <c r="R88" i="103"/>
  <c r="V102"/>
  <c r="AC102"/>
  <c r="AD102" s="1"/>
  <c r="AS29" i="104"/>
  <c r="AU29" s="1"/>
  <c r="AV29" s="1"/>
  <c r="AS34"/>
  <c r="AX34" s="1"/>
  <c r="AS38"/>
  <c r="AS49" i="102"/>
  <c r="AS45"/>
  <c r="AX45" s="1"/>
  <c r="S185" i="101"/>
  <c r="AC89"/>
  <c r="U185"/>
  <c r="AS33" i="104"/>
  <c r="R120" i="103"/>
  <c r="R122" s="1"/>
  <c r="AS37" i="104"/>
  <c r="AS48" i="102"/>
  <c r="AU48" s="1"/>
  <c r="AV48" s="1"/>
  <c r="R187" i="101"/>
  <c r="AP46" i="102" s="1"/>
  <c r="AS20"/>
  <c r="AS19"/>
  <c r="R12" i="101"/>
  <c r="R13" s="1"/>
  <c r="AS16" i="102"/>
  <c r="AX16" s="1"/>
  <c r="AP14"/>
  <c r="S169" i="101"/>
  <c r="S167" s="1"/>
  <c r="S168" s="1"/>
  <c r="AS15" i="102"/>
  <c r="AS17"/>
  <c r="AP57" i="104"/>
  <c r="AP23"/>
  <c r="S10" i="101"/>
  <c r="R167"/>
  <c r="AP12" i="102" s="1"/>
  <c r="R165" i="101"/>
  <c r="AP10" i="102" s="1"/>
  <c r="AS9"/>
  <c r="AS8"/>
  <c r="AS11" s="1"/>
  <c r="AP8"/>
  <c r="AU63"/>
  <c r="AV63" s="1"/>
  <c r="AX63"/>
  <c r="AX58"/>
  <c r="AU58"/>
  <c r="AV58" s="1"/>
  <c r="AU51" i="104"/>
  <c r="AV51" s="1"/>
  <c r="AX51"/>
  <c r="AU47"/>
  <c r="AV47" s="1"/>
  <c r="AX47"/>
  <c r="AU46"/>
  <c r="AV46" s="1"/>
  <c r="AX46"/>
  <c r="Q92" i="101"/>
  <c r="Q85" s="1"/>
  <c r="U92"/>
  <c r="V105"/>
  <c r="AX39" i="102"/>
  <c r="AC61" i="101"/>
  <c r="V61"/>
  <c r="U226"/>
  <c r="V226" s="1"/>
  <c r="S58"/>
  <c r="S49" s="1"/>
  <c r="V81"/>
  <c r="U250"/>
  <c r="AC81"/>
  <c r="U80"/>
  <c r="AX43" i="102"/>
  <c r="AU43"/>
  <c r="AV43" s="1"/>
  <c r="AD144" i="103"/>
  <c r="S43"/>
  <c r="S34" s="1"/>
  <c r="U34" s="1"/>
  <c r="V34" s="1"/>
  <c r="U59"/>
  <c r="AC191"/>
  <c r="AD191" s="1"/>
  <c r="V191"/>
  <c r="AC196"/>
  <c r="AD196" s="1"/>
  <c r="V196"/>
  <c r="AX31" i="104"/>
  <c r="AU31"/>
  <c r="AV31" s="1"/>
  <c r="AC198" i="103"/>
  <c r="AD198" s="1"/>
  <c r="V198"/>
  <c r="AC194"/>
  <c r="AD194" s="1"/>
  <c r="V194"/>
  <c r="AX28" i="104"/>
  <c r="AU28"/>
  <c r="AV28" s="1"/>
  <c r="AC188" i="103"/>
  <c r="AD188" s="1"/>
  <c r="V188"/>
  <c r="V212"/>
  <c r="AC212"/>
  <c r="AD212" s="1"/>
  <c r="Q216"/>
  <c r="V29"/>
  <c r="AC29"/>
  <c r="AD29" s="1"/>
  <c r="Q23"/>
  <c r="Q15" s="1"/>
  <c r="V148"/>
  <c r="AC211"/>
  <c r="AD211" s="1"/>
  <c r="V211"/>
  <c r="S210"/>
  <c r="U210" s="1"/>
  <c r="U32"/>
  <c r="S23"/>
  <c r="V145"/>
  <c r="AD145"/>
  <c r="AC197"/>
  <c r="AD197" s="1"/>
  <c r="V197"/>
  <c r="AC201"/>
  <c r="AD201" s="1"/>
  <c r="V201"/>
  <c r="AX39" i="104"/>
  <c r="Q88" i="103"/>
  <c r="Q152"/>
  <c r="S205"/>
  <c r="U100"/>
  <c r="S95"/>
  <c r="S88" s="1"/>
  <c r="AX32" i="104"/>
  <c r="AC189" i="103"/>
  <c r="AD189" s="1"/>
  <c r="V189"/>
  <c r="AX29" i="104"/>
  <c r="AX50" i="102"/>
  <c r="Q188" i="101"/>
  <c r="Q192" s="1"/>
  <c r="AM51" i="102" s="1"/>
  <c r="Q109" i="101"/>
  <c r="Q254"/>
  <c r="S116"/>
  <c r="S109" s="1"/>
  <c r="AD153" i="103"/>
  <c r="AZ17" i="104"/>
  <c r="BA17" s="1"/>
  <c r="BQ17"/>
  <c r="BS17" s="1"/>
  <c r="BT17" s="1"/>
  <c r="BQ25" i="102"/>
  <c r="BS25" s="1"/>
  <c r="BT25" s="1"/>
  <c r="AZ25"/>
  <c r="BA25" s="1"/>
  <c r="V140" i="103"/>
  <c r="AC140"/>
  <c r="AD140" s="1"/>
  <c r="AC139"/>
  <c r="AD139" s="1"/>
  <c r="V139"/>
  <c r="AM23" i="104"/>
  <c r="AM57"/>
  <c r="AS9"/>
  <c r="V138" i="103"/>
  <c r="AC138"/>
  <c r="AD138" s="1"/>
  <c r="AX20" i="102"/>
  <c r="AU20"/>
  <c r="AV20" s="1"/>
  <c r="Q12" i="101"/>
  <c r="Q13" s="1"/>
  <c r="AU19" i="102"/>
  <c r="AV19" s="1"/>
  <c r="AS18"/>
  <c r="AU18" s="1"/>
  <c r="AV18" s="1"/>
  <c r="AX19"/>
  <c r="S211" i="101"/>
  <c r="Q169"/>
  <c r="AU16" i="102"/>
  <c r="AV16" s="1"/>
  <c r="AU17"/>
  <c r="AV17" s="1"/>
  <c r="AX17"/>
  <c r="AX15"/>
  <c r="AS14"/>
  <c r="AU15"/>
  <c r="AV15" s="1"/>
  <c r="S12" i="101"/>
  <c r="S13" s="1"/>
  <c r="AD149" i="103"/>
  <c r="AD151" s="1"/>
  <c r="Q120"/>
  <c r="Q126" s="1"/>
  <c r="V149"/>
  <c r="V151" s="1"/>
  <c r="AU33" i="104"/>
  <c r="AV33" s="1"/>
  <c r="Q151" i="103"/>
  <c r="AM35" i="104" s="1"/>
  <c r="AD154" i="103"/>
  <c r="V154"/>
  <c r="V153"/>
  <c r="AU38" i="104"/>
  <c r="AV38" s="1"/>
  <c r="AX38"/>
  <c r="AU37"/>
  <c r="AV37" s="1"/>
  <c r="AX37"/>
  <c r="S187" i="101"/>
  <c r="AU49" i="102"/>
  <c r="AV49" s="1"/>
  <c r="AX49"/>
  <c r="AX48"/>
  <c r="AU45"/>
  <c r="AV45" s="1"/>
  <c r="AS44"/>
  <c r="AX9"/>
  <c r="AU9"/>
  <c r="AV9" s="1"/>
  <c r="AS10"/>
  <c r="AU10" s="1"/>
  <c r="AV10" s="1"/>
  <c r="AU8"/>
  <c r="AV8" s="1"/>
  <c r="AU45" i="104" l="1"/>
  <c r="AV45" s="1"/>
  <c r="AQ64"/>
  <c r="AQ62"/>
  <c r="AT60"/>
  <c r="AU57" i="102"/>
  <c r="AV57" s="1"/>
  <c r="AX59"/>
  <c r="BQ59" s="1"/>
  <c r="BS59" s="1"/>
  <c r="BT59" s="1"/>
  <c r="AZ42" i="104"/>
  <c r="BA42" s="1"/>
  <c r="BQ42"/>
  <c r="BS42" s="1"/>
  <c r="BT42" s="1"/>
  <c r="AU40" i="102"/>
  <c r="AV40" s="1"/>
  <c r="AS35" i="104"/>
  <c r="AU35" s="1"/>
  <c r="AV35" s="1"/>
  <c r="U43" i="103"/>
  <c r="AZ44" i="104"/>
  <c r="BA44" s="1"/>
  <c r="BQ44"/>
  <c r="BS44" s="1"/>
  <c r="BT44" s="1"/>
  <c r="AC191" i="101"/>
  <c r="AD191" s="1"/>
  <c r="AD96"/>
  <c r="AC92"/>
  <c r="AD92" s="1"/>
  <c r="AC234"/>
  <c r="AD234" s="1"/>
  <c r="AX42" i="102"/>
  <c r="AD54" i="101"/>
  <c r="AC183"/>
  <c r="AD183" s="1"/>
  <c r="R212"/>
  <c r="R153"/>
  <c r="R149"/>
  <c r="AP47" i="102"/>
  <c r="AP69" s="1"/>
  <c r="R192" i="101"/>
  <c r="AP51" i="102" s="1"/>
  <c r="AS51" s="1"/>
  <c r="AX51" s="1"/>
  <c r="BQ53"/>
  <c r="BS53" s="1"/>
  <c r="BT53" s="1"/>
  <c r="AZ53"/>
  <c r="BA53" s="1"/>
  <c r="AZ54"/>
  <c r="BA54" s="1"/>
  <c r="BQ54"/>
  <c r="BS54" s="1"/>
  <c r="BT54" s="1"/>
  <c r="AU52"/>
  <c r="AV52" s="1"/>
  <c r="AX52"/>
  <c r="AU34" i="104"/>
  <c r="AV34" s="1"/>
  <c r="BQ43"/>
  <c r="BS43" s="1"/>
  <c r="BT43" s="1"/>
  <c r="AZ43"/>
  <c r="BA43" s="1"/>
  <c r="AZ41"/>
  <c r="BA41" s="1"/>
  <c r="BQ41"/>
  <c r="BS41" s="1"/>
  <c r="BT41" s="1"/>
  <c r="V207" i="103"/>
  <c r="AC207"/>
  <c r="AD207" s="1"/>
  <c r="R126"/>
  <c r="R177" s="1"/>
  <c r="AP36" i="104"/>
  <c r="AP55" s="1"/>
  <c r="AP58" s="1"/>
  <c r="R156" i="103"/>
  <c r="AP40" i="104" s="1"/>
  <c r="R171" i="103"/>
  <c r="R173" s="1"/>
  <c r="U95"/>
  <c r="V95" s="1"/>
  <c r="AC34"/>
  <c r="AD34" s="1"/>
  <c r="AX33" i="104"/>
  <c r="AX35" s="1"/>
  <c r="AZ35" s="1"/>
  <c r="BA35" s="1"/>
  <c r="AD89" i="101"/>
  <c r="AC91"/>
  <c r="AD91" s="1"/>
  <c r="AC85"/>
  <c r="AD85" s="1"/>
  <c r="AC185"/>
  <c r="V185"/>
  <c r="U187"/>
  <c r="V187" s="1"/>
  <c r="S152" i="103"/>
  <c r="S171" s="1"/>
  <c r="S173" s="1"/>
  <c r="AP34" i="102"/>
  <c r="AP70"/>
  <c r="R168" i="101"/>
  <c r="AP13" i="102" s="1"/>
  <c r="AS57" i="104"/>
  <c r="AX8" i="102"/>
  <c r="BQ63"/>
  <c r="BS63" s="1"/>
  <c r="BT63" s="1"/>
  <c r="AZ63"/>
  <c r="BA63" s="1"/>
  <c r="AZ59"/>
  <c r="BA59" s="1"/>
  <c r="BQ58"/>
  <c r="BS58" s="1"/>
  <c r="BT58" s="1"/>
  <c r="AZ58"/>
  <c r="BA58" s="1"/>
  <c r="AZ57"/>
  <c r="BA57" s="1"/>
  <c r="BQ57"/>
  <c r="BS57" s="1"/>
  <c r="BT57" s="1"/>
  <c r="BQ51" i="104"/>
  <c r="BS51" s="1"/>
  <c r="BT51" s="1"/>
  <c r="AZ51"/>
  <c r="BA51" s="1"/>
  <c r="BQ47"/>
  <c r="BS47" s="1"/>
  <c r="BT47" s="1"/>
  <c r="AZ47"/>
  <c r="BA47" s="1"/>
  <c r="BQ45"/>
  <c r="BS45" s="1"/>
  <c r="BT45" s="1"/>
  <c r="AZ45"/>
  <c r="BA45" s="1"/>
  <c r="BQ46"/>
  <c r="BS46" s="1"/>
  <c r="BT46" s="1"/>
  <c r="AZ46"/>
  <c r="BA46" s="1"/>
  <c r="Q147" i="101"/>
  <c r="Q149" s="1"/>
  <c r="V92"/>
  <c r="U85"/>
  <c r="V85" s="1"/>
  <c r="S147"/>
  <c r="S153" s="1"/>
  <c r="AZ39" i="102"/>
  <c r="BA39" s="1"/>
  <c r="BQ39"/>
  <c r="BS39" s="1"/>
  <c r="BT39" s="1"/>
  <c r="AC226" i="101"/>
  <c r="AD226" s="1"/>
  <c r="AD61"/>
  <c r="S188"/>
  <c r="S192" s="1"/>
  <c r="U58"/>
  <c r="V80"/>
  <c r="V250"/>
  <c r="U249"/>
  <c r="AD81"/>
  <c r="AC250"/>
  <c r="AC80"/>
  <c r="BQ43" i="102"/>
  <c r="BS43" s="1"/>
  <c r="BT43" s="1"/>
  <c r="AZ43"/>
  <c r="BA43" s="1"/>
  <c r="AC59" i="103"/>
  <c r="AD59" s="1"/>
  <c r="V59"/>
  <c r="V43"/>
  <c r="AC43"/>
  <c r="AD43" s="1"/>
  <c r="AZ31" i="104"/>
  <c r="BA31" s="1"/>
  <c r="BQ31"/>
  <c r="BS31" s="1"/>
  <c r="BT31" s="1"/>
  <c r="BQ28"/>
  <c r="BS28" s="1"/>
  <c r="BT28" s="1"/>
  <c r="AZ28"/>
  <c r="BA28" s="1"/>
  <c r="V32" i="103"/>
  <c r="AC32"/>
  <c r="AD32" s="1"/>
  <c r="S15"/>
  <c r="U15" s="1"/>
  <c r="U23"/>
  <c r="V210"/>
  <c r="AC210"/>
  <c r="AD210" s="1"/>
  <c r="U88"/>
  <c r="AC88" s="1"/>
  <c r="AD88" s="1"/>
  <c r="AZ39" i="104"/>
  <c r="BA39" s="1"/>
  <c r="BQ39"/>
  <c r="BS39" s="1"/>
  <c r="BT39" s="1"/>
  <c r="V100" i="103"/>
  <c r="AC100"/>
  <c r="AD100" s="1"/>
  <c r="AM36" i="104"/>
  <c r="Q171" i="103"/>
  <c r="Q173" s="1"/>
  <c r="Q156"/>
  <c r="AM40" i="104" s="1"/>
  <c r="U205" i="103"/>
  <c r="S216"/>
  <c r="U216" s="1"/>
  <c r="AZ32" i="104"/>
  <c r="BA32" s="1"/>
  <c r="BQ32"/>
  <c r="BS32" s="1"/>
  <c r="BT32" s="1"/>
  <c r="BQ29"/>
  <c r="BS29" s="1"/>
  <c r="BT29" s="1"/>
  <c r="AZ29"/>
  <c r="BA29" s="1"/>
  <c r="AZ50" i="102"/>
  <c r="BA50" s="1"/>
  <c r="BQ50"/>
  <c r="BS50" s="1"/>
  <c r="BT50" s="1"/>
  <c r="Q153" i="101"/>
  <c r="AM47" i="102"/>
  <c r="Q210" i="101"/>
  <c r="Q216" s="1"/>
  <c r="BQ42" i="102"/>
  <c r="BS42" s="1"/>
  <c r="BT42" s="1"/>
  <c r="AZ42"/>
  <c r="BA42" s="1"/>
  <c r="BQ40"/>
  <c r="BS40" s="1"/>
  <c r="BT40" s="1"/>
  <c r="AZ40"/>
  <c r="BA40" s="1"/>
  <c r="Q122" i="103"/>
  <c r="AU9" i="104"/>
  <c r="AV9" s="1"/>
  <c r="AS23"/>
  <c r="AU23" s="1"/>
  <c r="AV23" s="1"/>
  <c r="AX9"/>
  <c r="AU57"/>
  <c r="AV57" s="1"/>
  <c r="AX57"/>
  <c r="BQ20" i="102"/>
  <c r="BS20" s="1"/>
  <c r="BT20" s="1"/>
  <c r="AZ20"/>
  <c r="BA20" s="1"/>
  <c r="Q211" i="101"/>
  <c r="Q167"/>
  <c r="BQ19" i="102"/>
  <c r="AZ19"/>
  <c r="BA19" s="1"/>
  <c r="AX18"/>
  <c r="AZ18" s="1"/>
  <c r="BA18" s="1"/>
  <c r="AM14"/>
  <c r="AM70" s="1"/>
  <c r="AZ16"/>
  <c r="BA16" s="1"/>
  <c r="BQ16"/>
  <c r="BS16" s="1"/>
  <c r="BT16" s="1"/>
  <c r="BQ17"/>
  <c r="BS17" s="1"/>
  <c r="BT17" s="1"/>
  <c r="AZ17"/>
  <c r="BA17" s="1"/>
  <c r="BQ15"/>
  <c r="AZ15"/>
  <c r="BA15" s="1"/>
  <c r="AX14"/>
  <c r="AS70"/>
  <c r="AU70" s="1"/>
  <c r="AV70" s="1"/>
  <c r="AS34"/>
  <c r="AU34" s="1"/>
  <c r="AV34" s="1"/>
  <c r="AU14"/>
  <c r="AV14" s="1"/>
  <c r="BQ34" i="104"/>
  <c r="BS34" s="1"/>
  <c r="BT34" s="1"/>
  <c r="AZ34"/>
  <c r="BA34" s="1"/>
  <c r="Q177" i="103"/>
  <c r="BQ38" i="104"/>
  <c r="BS38" s="1"/>
  <c r="BT38" s="1"/>
  <c r="AZ38"/>
  <c r="BA38" s="1"/>
  <c r="AZ37"/>
  <c r="BA37" s="1"/>
  <c r="BQ37"/>
  <c r="BS37" s="1"/>
  <c r="BT37" s="1"/>
  <c r="V88" i="103"/>
  <c r="BQ49" i="102"/>
  <c r="BS49" s="1"/>
  <c r="BT49" s="1"/>
  <c r="AZ49"/>
  <c r="BA49" s="1"/>
  <c r="BQ48"/>
  <c r="BS48" s="1"/>
  <c r="BT48" s="1"/>
  <c r="AZ48"/>
  <c r="BA48" s="1"/>
  <c r="AZ45"/>
  <c r="BA45" s="1"/>
  <c r="BQ45"/>
  <c r="BS45" s="1"/>
  <c r="BT45" s="1"/>
  <c r="AU44"/>
  <c r="AV44" s="1"/>
  <c r="AX44"/>
  <c r="AS46"/>
  <c r="AU46" s="1"/>
  <c r="AV46" s="1"/>
  <c r="AZ9"/>
  <c r="BA9" s="1"/>
  <c r="BQ9"/>
  <c r="BS9" s="1"/>
  <c r="BT9" s="1"/>
  <c r="AX11"/>
  <c r="AZ8"/>
  <c r="BA8" s="1"/>
  <c r="BQ8"/>
  <c r="AX10"/>
  <c r="AZ10" s="1"/>
  <c r="BA10" s="1"/>
  <c r="AU11"/>
  <c r="AV11" s="1"/>
  <c r="AS12"/>
  <c r="AT62" i="104" l="1"/>
  <c r="AY60"/>
  <c r="AT64"/>
  <c r="AQ65"/>
  <c r="AC95" i="103"/>
  <c r="AU51" i="102"/>
  <c r="AV51" s="1"/>
  <c r="AP72"/>
  <c r="AP73" s="1"/>
  <c r="AP76" s="1"/>
  <c r="AP77" s="1"/>
  <c r="AP81"/>
  <c r="AZ52"/>
  <c r="BA52" s="1"/>
  <c r="BQ52"/>
  <c r="BS52" s="1"/>
  <c r="BT52" s="1"/>
  <c r="S126" i="103"/>
  <c r="U126" s="1"/>
  <c r="AS40" i="104"/>
  <c r="AX40" s="1"/>
  <c r="AP59"/>
  <c r="AP60" s="1"/>
  <c r="AP69"/>
  <c r="S156" i="103"/>
  <c r="BQ33" i="104"/>
  <c r="AZ33"/>
  <c r="BA33" s="1"/>
  <c r="AD185" i="101"/>
  <c r="AC187"/>
  <c r="AD187" s="1"/>
  <c r="AP71" i="102"/>
  <c r="AP74"/>
  <c r="S210" i="101"/>
  <c r="S212" s="1"/>
  <c r="S149"/>
  <c r="AD250"/>
  <c r="AC249"/>
  <c r="U254"/>
  <c r="V254" s="1"/>
  <c r="V249"/>
  <c r="AC58"/>
  <c r="AD80"/>
  <c r="U188"/>
  <c r="U49"/>
  <c r="V58"/>
  <c r="S120" i="103"/>
  <c r="S122" s="1"/>
  <c r="V23"/>
  <c r="AC23"/>
  <c r="AD23" s="1"/>
  <c r="V15"/>
  <c r="AC15"/>
  <c r="AD15" s="1"/>
  <c r="V152"/>
  <c r="V156" s="1"/>
  <c r="U152"/>
  <c r="AC205"/>
  <c r="AD205" s="1"/>
  <c r="V205"/>
  <c r="V216"/>
  <c r="AC216"/>
  <c r="AD216" s="1"/>
  <c r="AU40" i="104"/>
  <c r="AV40" s="1"/>
  <c r="AS36"/>
  <c r="AM55"/>
  <c r="AD95" i="103"/>
  <c r="AS47" i="102"/>
  <c r="AM69"/>
  <c r="Q212" i="101"/>
  <c r="AZ57" i="104"/>
  <c r="BA57" s="1"/>
  <c r="BQ57"/>
  <c r="BS57" s="1"/>
  <c r="BT57" s="1"/>
  <c r="BQ9"/>
  <c r="AZ9"/>
  <c r="BA9" s="1"/>
  <c r="AX23"/>
  <c r="AZ23" s="1"/>
  <c r="BA23" s="1"/>
  <c r="AM34" i="102"/>
  <c r="AM12"/>
  <c r="Q168" i="101"/>
  <c r="AM13" i="102" s="1"/>
  <c r="BS19"/>
  <c r="BT19" s="1"/>
  <c r="BQ18"/>
  <c r="BS18" s="1"/>
  <c r="BT18" s="1"/>
  <c r="AZ14"/>
  <c r="BA14" s="1"/>
  <c r="AX70"/>
  <c r="AZ70" s="1"/>
  <c r="BA70" s="1"/>
  <c r="AX34"/>
  <c r="AZ34" s="1"/>
  <c r="BA34" s="1"/>
  <c r="BQ14"/>
  <c r="BS15"/>
  <c r="BT15" s="1"/>
  <c r="BQ35" i="104"/>
  <c r="BS35" s="1"/>
  <c r="BT35" s="1"/>
  <c r="BS33"/>
  <c r="BT33" s="1"/>
  <c r="AZ51" i="102"/>
  <c r="BA51" s="1"/>
  <c r="BQ51"/>
  <c r="BS51" s="1"/>
  <c r="BT51" s="1"/>
  <c r="AZ44"/>
  <c r="BA44" s="1"/>
  <c r="AX46"/>
  <c r="AZ46" s="1"/>
  <c r="BA46" s="1"/>
  <c r="BQ44"/>
  <c r="BS8"/>
  <c r="BT8" s="1"/>
  <c r="BQ11"/>
  <c r="BQ10"/>
  <c r="BS10" s="1"/>
  <c r="BT10" s="1"/>
  <c r="AX12"/>
  <c r="AZ11"/>
  <c r="BA11" s="1"/>
  <c r="AU12"/>
  <c r="AV12" s="1"/>
  <c r="AS13"/>
  <c r="AU13" s="1"/>
  <c r="AV13" s="1"/>
  <c r="BR60" i="104" l="1"/>
  <c r="BR62" s="1"/>
  <c r="AY62"/>
  <c r="AT65"/>
  <c r="AY64"/>
  <c r="S216" i="101"/>
  <c r="S177" i="103"/>
  <c r="AP64" i="104"/>
  <c r="AP65" s="1"/>
  <c r="AP62"/>
  <c r="AD152" i="103"/>
  <c r="AD156" s="1"/>
  <c r="V49" i="101"/>
  <c r="U147"/>
  <c r="AC254"/>
  <c r="AD254" s="1"/>
  <c r="AD249"/>
  <c r="V188"/>
  <c r="U210"/>
  <c r="U192"/>
  <c r="V192" s="1"/>
  <c r="AC188"/>
  <c r="AC49"/>
  <c r="AD58"/>
  <c r="V171" i="103"/>
  <c r="V173" s="1"/>
  <c r="U120"/>
  <c r="V120" s="1"/>
  <c r="U156"/>
  <c r="U171"/>
  <c r="U173" s="1"/>
  <c r="AC152"/>
  <c r="AC171" s="1"/>
  <c r="AC173" s="1"/>
  <c r="AM69" i="104"/>
  <c r="AS69" s="1"/>
  <c r="AM58"/>
  <c r="AM59"/>
  <c r="AS55"/>
  <c r="AZ40"/>
  <c r="BA40" s="1"/>
  <c r="BQ40"/>
  <c r="BS40" s="1"/>
  <c r="BT40" s="1"/>
  <c r="AX36"/>
  <c r="AU36"/>
  <c r="AV36" s="1"/>
  <c r="AD171" i="103"/>
  <c r="AD173" s="1"/>
  <c r="AM72" i="102"/>
  <c r="AM81"/>
  <c r="AS81" s="1"/>
  <c r="AU47"/>
  <c r="AV47" s="1"/>
  <c r="AX47"/>
  <c r="AS69"/>
  <c r="AM71"/>
  <c r="BQ23" i="104"/>
  <c r="BS23" s="1"/>
  <c r="BT23" s="1"/>
  <c r="BS9"/>
  <c r="BT9" s="1"/>
  <c r="BQ34" i="102"/>
  <c r="BS34" s="1"/>
  <c r="BT34" s="1"/>
  <c r="BS14"/>
  <c r="BT14" s="1"/>
  <c r="BQ70"/>
  <c r="BS70" s="1"/>
  <c r="BT70" s="1"/>
  <c r="U177" i="103"/>
  <c r="AC126"/>
  <c r="V126"/>
  <c r="V177" s="1"/>
  <c r="BS44" i="102"/>
  <c r="BT44" s="1"/>
  <c r="BQ46"/>
  <c r="BS46" s="1"/>
  <c r="BT46" s="1"/>
  <c r="AZ12"/>
  <c r="BA12" s="1"/>
  <c r="AX13"/>
  <c r="AZ13" s="1"/>
  <c r="BA13" s="1"/>
  <c r="BS11"/>
  <c r="BT11" s="1"/>
  <c r="BQ12"/>
  <c r="BR64" i="104" l="1"/>
  <c r="BR65" s="1"/>
  <c r="AY65"/>
  <c r="AC156" i="103"/>
  <c r="AC210" i="101"/>
  <c r="AC192"/>
  <c r="AD192" s="1"/>
  <c r="AD188"/>
  <c r="U216"/>
  <c r="V216" s="1"/>
  <c r="V210"/>
  <c r="U212"/>
  <c r="V212" s="1"/>
  <c r="V147"/>
  <c r="V153" s="1"/>
  <c r="U149"/>
  <c r="V149" s="1"/>
  <c r="U153"/>
  <c r="AD49"/>
  <c r="AC147"/>
  <c r="AC120" i="103"/>
  <c r="U122"/>
  <c r="V122" s="1"/>
  <c r="AS58" i="104"/>
  <c r="AU58" s="1"/>
  <c r="AV58" s="1"/>
  <c r="AU55"/>
  <c r="AV55" s="1"/>
  <c r="AX55"/>
  <c r="AZ36"/>
  <c r="BA36" s="1"/>
  <c r="BQ36"/>
  <c r="BS36" s="1"/>
  <c r="BT36" s="1"/>
  <c r="AS59"/>
  <c r="AM60"/>
  <c r="AU69"/>
  <c r="AV69" s="1"/>
  <c r="AX69"/>
  <c r="BQ47" i="102"/>
  <c r="AZ47"/>
  <c r="BA47" s="1"/>
  <c r="AX69"/>
  <c r="AX81"/>
  <c r="AU81"/>
  <c r="AV81" s="1"/>
  <c r="AU69"/>
  <c r="AV69" s="1"/>
  <c r="AS71"/>
  <c r="AU71" s="1"/>
  <c r="AV71" s="1"/>
  <c r="AS72"/>
  <c r="AM73"/>
  <c r="AD126" i="103"/>
  <c r="AD177" s="1"/>
  <c r="AC177"/>
  <c r="BQ13" i="102"/>
  <c r="BS13" s="1"/>
  <c r="BT13" s="1"/>
  <c r="BS12"/>
  <c r="BT12" s="1"/>
  <c r="AD147" i="101" l="1"/>
  <c r="AD153" s="1"/>
  <c r="AC153"/>
  <c r="AC149"/>
  <c r="AD149" s="1"/>
  <c r="AC212"/>
  <c r="AD212" s="1"/>
  <c r="AC216"/>
  <c r="AD216" s="1"/>
  <c r="AD210"/>
  <c r="AC122" i="103"/>
  <c r="AD122" s="1"/>
  <c r="AD120"/>
  <c r="AU59" i="104"/>
  <c r="AV59" s="1"/>
  <c r="AX59"/>
  <c r="BQ69"/>
  <c r="BS69" s="1"/>
  <c r="BT69" s="1"/>
  <c r="AZ69"/>
  <c r="BA69" s="1"/>
  <c r="AS60"/>
  <c r="AM64"/>
  <c r="AM62"/>
  <c r="BQ55"/>
  <c r="AX58"/>
  <c r="AZ58" s="1"/>
  <c r="BA58" s="1"/>
  <c r="AZ55"/>
  <c r="BA55" s="1"/>
  <c r="AM76" i="102"/>
  <c r="AM77" s="1"/>
  <c r="AM74"/>
  <c r="AZ81"/>
  <c r="BA81" s="1"/>
  <c r="BQ81"/>
  <c r="BS81" s="1"/>
  <c r="BT81" s="1"/>
  <c r="AU72"/>
  <c r="AV72" s="1"/>
  <c r="AX72"/>
  <c r="AZ69"/>
  <c r="BA69" s="1"/>
  <c r="AX71"/>
  <c r="AZ71" s="1"/>
  <c r="BA71" s="1"/>
  <c r="BS47"/>
  <c r="BT47" s="1"/>
  <c r="BQ69"/>
  <c r="AS73"/>
  <c r="BQ58" i="104" l="1"/>
  <c r="BS58" s="1"/>
  <c r="BT58" s="1"/>
  <c r="BS55"/>
  <c r="BT55" s="1"/>
  <c r="AS64"/>
  <c r="AM65"/>
  <c r="AZ59"/>
  <c r="BA59" s="1"/>
  <c r="BQ59"/>
  <c r="BS59" s="1"/>
  <c r="BT59" s="1"/>
  <c r="AU60"/>
  <c r="AV60" s="1"/>
  <c r="AX60"/>
  <c r="AS62"/>
  <c r="AU62" s="1"/>
  <c r="AV62" s="1"/>
  <c r="AS76" i="102"/>
  <c r="AS74"/>
  <c r="AU74" s="1"/>
  <c r="AV74" s="1"/>
  <c r="AU73"/>
  <c r="AV73" s="1"/>
  <c r="AZ72"/>
  <c r="BA72" s="1"/>
  <c r="BQ72"/>
  <c r="BS72" s="1"/>
  <c r="BT72" s="1"/>
  <c r="BS69"/>
  <c r="BT69" s="1"/>
  <c r="BQ71"/>
  <c r="BS71" s="1"/>
  <c r="BT71" s="1"/>
  <c r="AX73"/>
  <c r="BQ73" l="1"/>
  <c r="BQ76" s="1"/>
  <c r="AX62" i="104"/>
  <c r="AZ62" s="1"/>
  <c r="BA62" s="1"/>
  <c r="AZ60"/>
  <c r="BA60" s="1"/>
  <c r="BQ60"/>
  <c r="AS65"/>
  <c r="AU65" s="1"/>
  <c r="AV65" s="1"/>
  <c r="AU64"/>
  <c r="AV64" s="1"/>
  <c r="AX64"/>
  <c r="AZ73" i="102"/>
  <c r="BA73" s="1"/>
  <c r="AX76"/>
  <c r="AX74"/>
  <c r="AZ74" s="1"/>
  <c r="BA74" s="1"/>
  <c r="BQ74"/>
  <c r="BS74" s="1"/>
  <c r="BT74" s="1"/>
  <c r="AU76"/>
  <c r="AV76" s="1"/>
  <c r="AS77"/>
  <c r="AU77" s="1"/>
  <c r="AV77" s="1"/>
  <c r="BS73" l="1"/>
  <c r="BT73" s="1"/>
  <c r="AZ64" i="104"/>
  <c r="BA64" s="1"/>
  <c r="BQ64"/>
  <c r="AX65"/>
  <c r="AZ65" s="1"/>
  <c r="BA65" s="1"/>
  <c r="BS60"/>
  <c r="BT60" s="1"/>
  <c r="BQ62"/>
  <c r="BS62" s="1"/>
  <c r="BT62" s="1"/>
  <c r="AZ76" i="102"/>
  <c r="BA76" s="1"/>
  <c r="AX77"/>
  <c r="AZ77" s="1"/>
  <c r="BA77" s="1"/>
  <c r="BS76"/>
  <c r="BT76" s="1"/>
  <c r="BQ77"/>
  <c r="BS77" s="1"/>
  <c r="BT77" s="1"/>
  <c r="BS64" i="104" l="1"/>
  <c r="BT64" s="1"/>
  <c r="BQ65"/>
  <c r="BS65" s="1"/>
  <c r="BT65" s="1"/>
</calcChain>
</file>

<file path=xl/comments1.xml><?xml version="1.0" encoding="utf-8"?>
<comments xmlns="http://schemas.openxmlformats.org/spreadsheetml/2006/main">
  <authors>
    <author>berdennikovasn</author>
  </authors>
  <commentList>
    <comment ref="Y54" author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<sst xmlns="http://schemas.openxmlformats.org/spreadsheetml/2006/main" count="10457" uniqueCount="1926">
  <si>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</si>
  <si>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</si>
  <si>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</si>
  <si>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</si>
  <si>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</si>
  <si>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</si>
  <si>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</si>
  <si>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</si>
  <si>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</si>
  <si>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</si>
  <si>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</si>
  <si>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</si>
  <si>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</si>
  <si>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</si>
  <si>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</si>
  <si>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</si>
  <si>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</si>
  <si>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</si>
  <si>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</si>
  <si>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</si>
  <si>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</si>
  <si>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</si>
  <si>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</si>
  <si>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</si>
  <si>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</si>
  <si>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</si>
  <si>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</si>
  <si>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</si>
  <si>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</si>
  <si>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</si>
  <si>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</si>
  <si>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</si>
  <si>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</si>
  <si>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</si>
  <si>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</si>
  <si>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</si>
  <si>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</si>
  <si>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</si>
  <si>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</si>
  <si>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</si>
  <si>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</si>
  <si>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</si>
  <si>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</si>
  <si>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</si>
  <si>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</si>
  <si>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</si>
  <si>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</si>
  <si>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</si>
  <si>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</si>
  <si>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</si>
  <si>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</si>
  <si>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</si>
  <si>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</si>
  <si>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</si>
  <si>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</si>
  <si>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</si>
  <si>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</si>
  <si>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</si>
  <si>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</si>
  <si>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</si>
  <si>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</si>
  <si>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</si>
  <si>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</si>
  <si>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</si>
  <si>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</si>
  <si>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</si>
  <si>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</si>
  <si>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</si>
  <si>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</si>
  <si>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</si>
  <si>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</si>
  <si>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</si>
  <si>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</si>
  <si>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</si>
  <si>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</si>
  <si>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</si>
  <si>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</si>
  <si>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</si>
  <si>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</si>
  <si>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</si>
  <si>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</si>
  <si>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</si>
  <si>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</si>
  <si>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</si>
  <si>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</si>
  <si>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</si>
  <si>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</si>
  <si>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</si>
  <si>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</si>
  <si>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</si>
  <si>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</si>
  <si>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</si>
  <si>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</si>
  <si>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</si>
  <si>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</si>
  <si>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</si>
  <si>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</si>
  <si>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</si>
  <si>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</si>
  <si>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</si>
  <si>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</si>
  <si>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</si>
  <si>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</si>
  <si>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</si>
  <si>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</si>
  <si>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</si>
  <si>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</si>
  <si>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</si>
  <si>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</si>
  <si>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</si>
  <si>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</si>
  <si>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</si>
  <si>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</si>
  <si>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</si>
  <si>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в том числе от неканализованного жилого фонда</t>
  </si>
  <si>
    <t>Доход от реализации услуг неканализованному ж/ф, тыс. руб.</t>
  </si>
  <si>
    <t>Итого расходов (без учета расходов по неканализованному ж/ф)</t>
  </si>
  <si>
    <t>% потерь к объему поданой  в сеть воды</t>
  </si>
  <si>
    <t>тариф</t>
  </si>
  <si>
    <t>Объем реализации (без неканализованного ж/ф, тыс.куб. м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</si>
  <si>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</si>
  <si>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</si>
  <si>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</si>
  <si>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</si>
  <si>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</si>
  <si>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</si>
  <si>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</si>
  <si>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</si>
  <si>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</si>
  <si>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</si>
  <si>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</si>
  <si>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</si>
  <si>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</si>
  <si>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</si>
  <si>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</si>
  <si>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</si>
  <si>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</si>
  <si>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</si>
  <si>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</si>
  <si>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</si>
  <si>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</si>
  <si>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</si>
  <si>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</si>
  <si>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</si>
  <si>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</si>
  <si>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</si>
  <si>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</si>
  <si>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</si>
  <si>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</si>
  <si>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</si>
  <si>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</si>
  <si>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</si>
  <si>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</si>
  <si>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</si>
  <si>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</si>
  <si>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</si>
  <si>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</si>
  <si>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</si>
  <si>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</si>
  <si>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</si>
  <si>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</si>
  <si>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</si>
  <si>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</si>
  <si>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</si>
  <si>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</si>
  <si>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</si>
  <si>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</si>
  <si>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</si>
  <si>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</si>
  <si>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</si>
  <si>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</si>
  <si>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</si>
  <si>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</si>
  <si>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</si>
  <si>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</si>
  <si>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</si>
  <si>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</si>
  <si>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</si>
  <si>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</si>
  <si>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</si>
  <si>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</si>
  <si>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</si>
  <si>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</si>
  <si>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</si>
  <si>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</si>
  <si>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</si>
  <si>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</si>
  <si>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</si>
  <si>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</si>
  <si>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</si>
  <si>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</si>
  <si>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</si>
  <si>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</si>
  <si>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</si>
  <si>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</si>
  <si>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</si>
  <si>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</si>
  <si>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</si>
  <si>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</si>
  <si>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</si>
  <si>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</si>
  <si>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</si>
  <si>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</si>
  <si>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</si>
  <si>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</si>
  <si>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</si>
  <si>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</si>
  <si>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</si>
  <si>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</si>
  <si>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</si>
  <si>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</si>
  <si>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</si>
  <si>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</si>
  <si>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</si>
  <si>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</si>
  <si>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</si>
  <si>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</si>
  <si>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</si>
  <si>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</si>
  <si>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</si>
  <si>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</si>
  <si>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</si>
  <si>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</si>
  <si>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</si>
  <si>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</si>
  <si>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</si>
  <si>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</si>
  <si>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</si>
  <si>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</si>
  <si>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</si>
  <si>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</si>
  <si>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</si>
  <si>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</si>
  <si>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</si>
  <si>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</si>
  <si>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</si>
  <si>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</si>
  <si>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</si>
  <si>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</si>
  <si>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</si>
  <si>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</si>
  <si>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</si>
  <si>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</si>
  <si>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</si>
  <si>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</si>
  <si>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</si>
  <si>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</si>
  <si>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</si>
  <si>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</si>
  <si>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</si>
  <si>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</si>
  <si>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</si>
  <si>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</si>
  <si>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</si>
  <si>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</si>
  <si>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</si>
  <si>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</si>
  <si>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</si>
  <si>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</si>
  <si>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</si>
  <si>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</si>
  <si>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</si>
  <si>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</si>
  <si>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</si>
  <si>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</si>
  <si>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</si>
  <si>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</si>
  <si>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</si>
  <si>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</si>
  <si>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</si>
  <si>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</si>
  <si>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</si>
  <si>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</si>
  <si>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</si>
  <si>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</si>
  <si>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</si>
  <si>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</si>
  <si>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</si>
  <si>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</si>
  <si>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</si>
  <si>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ЭО тариф</t>
  </si>
  <si>
    <t>тариф для населения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</si>
  <si>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</si>
  <si>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</si>
  <si>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</si>
  <si>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</si>
  <si>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</si>
  <si>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</si>
  <si>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</si>
  <si>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</si>
  <si>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</si>
  <si>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</si>
  <si>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</si>
  <si>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</si>
  <si>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</si>
  <si>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</si>
  <si>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</si>
  <si>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</si>
  <si>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</si>
  <si>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</si>
  <si>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</si>
  <si>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</si>
  <si>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</si>
  <si>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</si>
  <si>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</si>
  <si>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</si>
  <si>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</si>
  <si>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</si>
  <si>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</si>
  <si>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</si>
  <si>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</si>
  <si>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</si>
  <si>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</si>
  <si>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</si>
  <si>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</si>
  <si>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</si>
  <si>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</si>
  <si>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</si>
  <si>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</si>
  <si>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</si>
  <si>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</si>
  <si>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</si>
  <si>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</si>
  <si>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</si>
  <si>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Субсидии</t>
  </si>
  <si>
    <t>ЭОТ</t>
  </si>
  <si>
    <t>насел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</si>
  <si>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</si>
  <si>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</si>
  <si>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</si>
  <si>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</si>
  <si>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</si>
  <si>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</si>
  <si>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</si>
  <si>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</si>
  <si>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</si>
  <si>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</si>
  <si>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</si>
  <si>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</si>
  <si>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</si>
  <si>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</si>
  <si>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</si>
  <si>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</si>
  <si>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</si>
  <si>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</si>
  <si>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</si>
  <si>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</si>
  <si>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</si>
  <si>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</si>
  <si>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</si>
  <si>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</si>
  <si>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</si>
  <si>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</si>
  <si>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</si>
  <si>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</si>
  <si>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</si>
  <si>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</si>
  <si>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</si>
  <si>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</si>
  <si>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</si>
  <si>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</si>
  <si>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</si>
  <si>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</si>
  <si>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</si>
  <si>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</si>
  <si>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</si>
  <si>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</si>
  <si>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</si>
  <si>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</si>
  <si>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</si>
  <si>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</si>
  <si>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</si>
  <si>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</si>
  <si>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</si>
  <si>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</si>
  <si>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</si>
  <si>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</si>
  <si>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</si>
  <si>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</si>
  <si>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</si>
  <si>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</si>
  <si>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</si>
  <si>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</si>
  <si>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</si>
  <si>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</si>
  <si>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</si>
  <si>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</si>
  <si>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</si>
  <si>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</si>
  <si>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</si>
  <si>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</si>
  <si>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</si>
  <si>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</si>
  <si>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</si>
  <si>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</si>
  <si>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</si>
  <si>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</si>
  <si>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</si>
  <si>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</si>
  <si>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</si>
  <si>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</si>
  <si>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</si>
  <si>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</si>
  <si>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</si>
  <si>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</si>
  <si>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</si>
  <si>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</si>
  <si>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</si>
  <si>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</si>
  <si>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</si>
  <si>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</si>
  <si>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</si>
  <si>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</si>
  <si>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</si>
  <si>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</si>
  <si>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</si>
  <si>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</si>
  <si>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</si>
  <si>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</si>
  <si>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</si>
  <si>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</si>
  <si>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</si>
  <si>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</si>
  <si>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</si>
  <si>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</si>
  <si>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</si>
  <si>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</si>
  <si>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</si>
  <si>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</si>
  <si>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</si>
  <si>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</si>
  <si>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</si>
  <si>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</si>
  <si>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</si>
  <si>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</si>
  <si>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</si>
  <si>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</si>
  <si>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</si>
  <si>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</si>
  <si>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</si>
  <si>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</si>
  <si>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</si>
  <si>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</si>
  <si>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СТОКИ без ИП</t>
  </si>
  <si>
    <t>СТОКИ С ИП</t>
  </si>
  <si>
    <t>макс ИП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</si>
  <si>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</si>
  <si>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</si>
  <si>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</si>
  <si>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</si>
  <si>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</si>
  <si>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</si>
  <si>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</si>
  <si>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</si>
  <si>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</si>
  <si>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</si>
  <si>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</si>
  <si>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</si>
  <si>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</si>
  <si>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</si>
  <si>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</si>
  <si>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</si>
  <si>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</si>
  <si>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</si>
  <si>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</si>
  <si>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</si>
  <si>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</si>
  <si>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</si>
  <si>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</si>
  <si>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</si>
  <si>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</si>
  <si>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</si>
  <si>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</si>
  <si>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</si>
  <si>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</si>
  <si>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</si>
  <si>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</si>
  <si>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</si>
  <si>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</si>
  <si>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</si>
  <si>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</si>
  <si>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</si>
  <si>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</si>
  <si>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</si>
  <si>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</si>
  <si>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</si>
  <si>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</si>
  <si>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</si>
  <si>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</si>
  <si>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</si>
  <si>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</si>
  <si>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</si>
  <si>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</si>
  <si>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</si>
  <si>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</si>
  <si>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</si>
  <si>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</si>
  <si>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</si>
  <si>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</si>
  <si>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</si>
  <si>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</si>
  <si>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</si>
  <si>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</si>
  <si>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</si>
  <si>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</si>
  <si>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</si>
  <si>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</si>
  <si>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</si>
  <si>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</si>
  <si>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</si>
  <si>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</si>
  <si>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</si>
  <si>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</si>
  <si>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</si>
  <si>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</si>
  <si>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</si>
  <si>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</si>
  <si>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</si>
  <si>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</si>
  <si>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</si>
  <si>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</si>
  <si>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</si>
  <si>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</si>
  <si>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</si>
  <si>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</si>
  <si>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</si>
  <si>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</si>
  <si>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</si>
  <si>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</si>
  <si>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</si>
  <si>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</si>
  <si>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</si>
  <si>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</si>
  <si>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</si>
  <si>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</si>
  <si>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</si>
  <si>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</si>
  <si>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</si>
  <si>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</si>
  <si>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</si>
  <si>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</si>
  <si>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</si>
  <si>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</si>
  <si>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</si>
  <si>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</si>
  <si>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</si>
  <si>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</si>
  <si>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</si>
  <si>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</si>
  <si>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</si>
  <si>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</si>
  <si>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медосмотр</t>
  </si>
  <si>
    <t>проезд в отпуск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</si>
  <si>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</si>
  <si>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</si>
  <si>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</si>
  <si>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</si>
  <si>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</si>
  <si>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</si>
  <si>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</si>
  <si>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</si>
  <si>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</si>
  <si>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</si>
  <si>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</si>
  <si>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</si>
  <si>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</si>
  <si>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</si>
  <si>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</si>
  <si>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</si>
  <si>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</si>
  <si>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</si>
  <si>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</si>
  <si>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</si>
  <si>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</si>
  <si>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предл. АТЦ</t>
  </si>
  <si>
    <t>факт 1 полуг.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</si>
  <si>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</si>
  <si>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</si>
  <si>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</si>
  <si>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</si>
  <si>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</si>
  <si>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</si>
  <si>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</si>
  <si>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</si>
  <si>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</si>
  <si>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</si>
  <si>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</si>
  <si>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</si>
  <si>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</si>
  <si>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</si>
  <si>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</si>
  <si>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</si>
  <si>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</si>
  <si>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</si>
  <si>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</si>
  <si>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</si>
  <si>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</si>
  <si>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</si>
  <si>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</si>
  <si>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</si>
  <si>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</si>
  <si>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</si>
  <si>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</si>
  <si>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</si>
  <si>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</si>
  <si>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</si>
  <si>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</si>
  <si>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</si>
  <si>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</si>
  <si>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</si>
  <si>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</si>
  <si>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</si>
  <si>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</si>
  <si>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</si>
  <si>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</si>
  <si>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</si>
  <si>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</si>
  <si>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</si>
  <si>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</si>
  <si>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</si>
  <si>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</si>
  <si>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</si>
  <si>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</si>
  <si>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</si>
  <si>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</si>
  <si>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</si>
  <si>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</si>
  <si>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</si>
  <si>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</si>
  <si>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</si>
  <si>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</si>
  <si>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</si>
  <si>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</si>
  <si>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</si>
  <si>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</si>
  <si>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</si>
  <si>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</si>
  <si>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</si>
  <si>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</si>
  <si>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</si>
  <si>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</si>
  <si>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</si>
  <si>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</si>
  <si>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</si>
  <si>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</si>
  <si>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</si>
  <si>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</si>
  <si>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</si>
  <si>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</si>
  <si>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</si>
  <si>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</si>
  <si>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</si>
  <si>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</si>
  <si>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</si>
  <si>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</si>
  <si>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</si>
  <si>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</si>
  <si>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</si>
  <si>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</si>
  <si>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</si>
  <si>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</si>
  <si>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</si>
  <si>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>Регулируемый период (2016 год) предложение агентства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</si>
  <si>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</si>
  <si>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</si>
  <si>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</si>
  <si>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</si>
  <si>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</si>
  <si>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</si>
  <si>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</si>
  <si>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</si>
  <si>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</si>
  <si>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</si>
  <si>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</si>
  <si>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</si>
  <si>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</si>
  <si>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</si>
  <si>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</si>
  <si>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</si>
  <si>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</si>
  <si>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</si>
  <si>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</si>
  <si>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</si>
  <si>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</si>
  <si>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</si>
  <si>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</si>
  <si>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</si>
  <si>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</si>
  <si>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</si>
  <si>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</si>
  <si>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</si>
  <si>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</si>
  <si>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</si>
  <si>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</si>
  <si>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</si>
  <si>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</si>
  <si>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</si>
  <si>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</si>
  <si>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</si>
  <si>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</si>
  <si>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</si>
  <si>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</si>
  <si>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</si>
  <si>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</si>
  <si>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</si>
  <si>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</si>
  <si>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</si>
  <si>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</si>
  <si>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</si>
  <si>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</si>
  <si>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</si>
  <si>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</si>
  <si>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</si>
  <si>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</si>
  <si>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</si>
  <si>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</si>
  <si>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</si>
  <si>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</si>
  <si>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</si>
  <si>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</si>
  <si>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</si>
  <si>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</si>
  <si>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</si>
  <si>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</si>
  <si>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</si>
  <si>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</si>
  <si>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</si>
  <si>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</si>
  <si>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</si>
  <si>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</si>
  <si>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</si>
  <si>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</si>
  <si>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</si>
  <si>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</si>
  <si>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</si>
  <si>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</si>
  <si>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</si>
  <si>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</si>
  <si>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</si>
  <si>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</si>
  <si>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</si>
  <si>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</si>
  <si>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</si>
  <si>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</si>
  <si>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</si>
  <si>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</si>
  <si>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</si>
  <si>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</si>
  <si>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</si>
  <si>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</si>
  <si>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</si>
  <si>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</si>
  <si>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</si>
  <si>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</si>
  <si>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</si>
  <si>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</si>
  <si>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</si>
  <si>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</si>
  <si>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</si>
  <si>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</si>
  <si>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</si>
  <si>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</si>
  <si>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</si>
  <si>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</si>
  <si>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</si>
  <si>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</si>
  <si>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</si>
  <si>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</si>
  <si>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</si>
  <si>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</si>
  <si>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</si>
  <si>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</si>
  <si>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</si>
  <si>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</si>
  <si>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</si>
  <si>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</si>
  <si>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</si>
  <si>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</si>
  <si>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</si>
  <si>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</si>
  <si>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</si>
  <si>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</si>
  <si>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</si>
  <si>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</si>
  <si>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</si>
  <si>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</si>
  <si>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</si>
  <si>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</si>
  <si>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</si>
  <si>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</si>
  <si>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</si>
  <si>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</si>
  <si>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</si>
  <si>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</si>
  <si>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</si>
  <si>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</si>
  <si>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</si>
  <si>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</si>
  <si>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</si>
  <si>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</si>
  <si>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</si>
  <si>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</si>
  <si>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</si>
  <si>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</si>
  <si>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</si>
  <si>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</si>
  <si>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</si>
  <si>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</si>
  <si>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</si>
  <si>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</si>
  <si>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</si>
  <si>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</si>
  <si>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</si>
  <si>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</si>
  <si>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</si>
  <si>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</si>
  <si>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</si>
  <si>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</si>
  <si>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</si>
  <si>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</si>
  <si>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</si>
  <si>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</si>
  <si>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</si>
  <si>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</si>
  <si>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</si>
  <si>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</si>
  <si>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</si>
  <si>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</si>
  <si>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</si>
  <si>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</si>
  <si>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</si>
  <si>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</si>
  <si>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</si>
  <si>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</si>
  <si>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</si>
  <si>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</si>
  <si>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</si>
  <si>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</si>
  <si>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</si>
  <si>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</si>
  <si>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</si>
  <si>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</si>
  <si>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</si>
  <si>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</si>
  <si>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Расчет платы за водопользование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</si>
  <si>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</si>
  <si>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</si>
  <si>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</si>
  <si>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</si>
  <si>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</si>
  <si>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</si>
  <si>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</si>
  <si>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</si>
  <si>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</si>
  <si>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</si>
  <si>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</si>
  <si>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</si>
  <si>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</si>
  <si>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</si>
  <si>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</si>
  <si>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</si>
  <si>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</si>
  <si>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</si>
  <si>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</si>
  <si>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</si>
  <si>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</si>
  <si>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предложение агентства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</si>
  <si>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</si>
  <si>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</si>
  <si>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</si>
  <si>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</si>
  <si>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</si>
  <si>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</si>
  <si>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</si>
  <si>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</si>
  <si>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</si>
  <si>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</si>
  <si>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</si>
  <si>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</si>
  <si>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</si>
  <si>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</si>
  <si>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</si>
  <si>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</si>
  <si>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</si>
  <si>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</si>
  <si>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</si>
  <si>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</si>
  <si>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</si>
  <si>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</si>
  <si>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</si>
  <si>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</si>
  <si>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</si>
  <si>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</si>
  <si>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</si>
  <si>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</si>
  <si>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</si>
  <si>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</si>
  <si>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</si>
  <si>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</si>
  <si>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</si>
  <si>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</si>
  <si>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</si>
  <si>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</si>
  <si>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</si>
  <si>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</si>
  <si>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</si>
  <si>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</si>
  <si>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</si>
  <si>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</si>
  <si>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</si>
  <si>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</si>
  <si>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</si>
  <si>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</si>
  <si>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</si>
  <si>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</si>
  <si>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</si>
  <si>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</si>
  <si>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</si>
  <si>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</si>
  <si>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</si>
  <si>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</si>
  <si>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</si>
  <si>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</si>
  <si>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</si>
  <si>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</si>
  <si>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</si>
  <si>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</si>
  <si>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</si>
  <si>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</si>
  <si>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</si>
  <si>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</si>
  <si>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</si>
  <si>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</si>
  <si>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</si>
  <si>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</si>
  <si>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</si>
  <si>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</si>
  <si>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</si>
  <si>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</si>
  <si>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</si>
  <si>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</si>
  <si>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</si>
  <si>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</si>
  <si>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</si>
  <si>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</si>
  <si>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</si>
  <si>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</si>
  <si>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</si>
  <si>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</si>
  <si>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</si>
  <si>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</si>
  <si>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</si>
  <si>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</si>
  <si>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</si>
  <si>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</si>
  <si>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</si>
  <si>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</si>
  <si>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</si>
  <si>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</si>
  <si>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</si>
  <si>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</si>
  <si>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</si>
  <si>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</si>
  <si>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</si>
  <si>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</si>
  <si>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</si>
  <si>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Расчет тарифа на питьевую воду для МУП "Горводоканал"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</si>
  <si>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</si>
  <si>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</si>
  <si>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</si>
  <si>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</si>
  <si>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</si>
  <si>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</si>
  <si>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</si>
  <si>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</si>
  <si>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</si>
  <si>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</si>
  <si>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</si>
  <si>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</si>
  <si>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</si>
  <si>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</si>
  <si>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</si>
  <si>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</si>
  <si>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</si>
  <si>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</si>
  <si>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</si>
  <si>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</si>
  <si>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</si>
  <si>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</si>
  <si>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</si>
  <si>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</si>
  <si>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</si>
  <si>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</si>
  <si>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</si>
  <si>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</si>
  <si>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</si>
  <si>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</si>
  <si>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</si>
  <si>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</si>
  <si>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</si>
  <si>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</si>
  <si>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</si>
  <si>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Расчет тарифа на техническую воду воду для МУП "Горводоканал"</t>
  </si>
  <si>
    <t>Расчет тарифа на услуги водоотведения для МУП "Горводоканал"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</si>
  <si>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</si>
  <si>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</si>
  <si>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</si>
  <si>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</si>
  <si>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</si>
  <si>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</si>
  <si>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</si>
  <si>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</si>
  <si>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</si>
  <si>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</si>
  <si>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</si>
  <si>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</si>
  <si>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</si>
  <si>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</si>
  <si>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</si>
  <si>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</si>
  <si>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</si>
  <si>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</si>
  <si>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</si>
  <si>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</si>
  <si>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</si>
  <si>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</si>
  <si>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</si>
  <si>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</si>
  <si>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</si>
  <si>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</si>
  <si>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</si>
  <si>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</si>
  <si>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</si>
  <si>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</si>
  <si>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</si>
  <si>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</si>
  <si>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</si>
  <si>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</si>
  <si>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</si>
  <si>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</si>
  <si>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</si>
  <si>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</si>
  <si>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</si>
  <si>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</si>
  <si>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</si>
  <si>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</si>
  <si>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</si>
  <si>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</si>
  <si>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</si>
  <si>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</si>
  <si>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</si>
  <si>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</si>
  <si>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</si>
  <si>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</si>
  <si>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</si>
  <si>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</si>
  <si>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</si>
  <si>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</si>
  <si>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</si>
  <si>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</si>
  <si>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</si>
  <si>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</si>
  <si>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</si>
  <si>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</si>
  <si>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</si>
  <si>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</si>
  <si>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</si>
  <si>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</si>
  <si>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</si>
  <si>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</si>
  <si>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</si>
  <si>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</si>
  <si>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</si>
  <si>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</si>
  <si>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</si>
  <si>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</si>
  <si>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</si>
  <si>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</si>
  <si>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</si>
  <si>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</si>
  <si>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</si>
  <si>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</si>
  <si>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</si>
  <si>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</si>
  <si>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</si>
  <si>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</si>
  <si>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</si>
  <si>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</si>
  <si>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</si>
  <si>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</si>
  <si>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</si>
  <si>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</si>
  <si>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</si>
  <si>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</si>
  <si>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</si>
  <si>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</si>
  <si>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</si>
  <si>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</si>
  <si>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</si>
  <si>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</si>
  <si>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</si>
  <si>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</si>
  <si>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</si>
  <si>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</si>
  <si>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</si>
  <si>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</si>
  <si>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</si>
  <si>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</si>
  <si>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</si>
  <si>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</si>
  <si>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</si>
  <si>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</si>
  <si>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</si>
  <si>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</si>
  <si>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</si>
  <si>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</si>
  <si>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</si>
  <si>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</si>
  <si>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</si>
  <si>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</si>
  <si>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</si>
  <si>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</si>
  <si>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</si>
  <si>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</si>
  <si>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</si>
  <si>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</si>
  <si>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</si>
  <si>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</si>
  <si>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</si>
  <si>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</si>
  <si>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</si>
  <si>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</si>
  <si>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</si>
  <si>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</si>
  <si>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</si>
  <si>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</si>
  <si>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</si>
  <si>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</si>
  <si>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</si>
  <si>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</si>
  <si>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</si>
  <si>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</si>
  <si>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</si>
  <si>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</si>
  <si>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</si>
  <si>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</si>
  <si>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</si>
  <si>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</si>
  <si>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</si>
  <si>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</si>
  <si>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</si>
  <si>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</si>
  <si>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</si>
  <si>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</si>
  <si>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</si>
  <si>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</si>
  <si>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</si>
  <si>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</si>
  <si>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</si>
  <si>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</si>
  <si>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</si>
  <si>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</si>
  <si>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</si>
  <si>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</si>
  <si>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</si>
  <si>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</si>
  <si>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</si>
  <si>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</si>
  <si>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</si>
  <si>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</si>
  <si>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</si>
  <si>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</si>
  <si>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</si>
  <si>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</si>
  <si>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</si>
  <si>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</si>
  <si>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</si>
  <si>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</si>
  <si>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</si>
  <si>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</si>
  <si>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</si>
  <si>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</si>
  <si>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</si>
  <si>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</si>
  <si>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</si>
  <si>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</si>
  <si>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</si>
  <si>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</si>
  <si>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</si>
  <si>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</si>
  <si>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</si>
  <si>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</si>
  <si>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</si>
  <si>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</si>
  <si>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</si>
  <si>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</si>
  <si>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</si>
  <si>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</si>
  <si>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</si>
  <si>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</si>
  <si>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</si>
  <si>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</si>
  <si>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</si>
  <si>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</si>
  <si>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</si>
  <si>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</si>
  <si>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</si>
  <si>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</si>
  <si>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</si>
  <si>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</si>
  <si>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</si>
  <si>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</si>
  <si>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</si>
  <si>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</si>
  <si>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</si>
  <si>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</si>
  <si>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</si>
  <si>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</si>
  <si>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</si>
  <si>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</si>
  <si>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</si>
  <si>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</si>
  <si>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</si>
  <si>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</si>
  <si>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</si>
  <si>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</si>
  <si>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</si>
  <si>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</si>
  <si>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</si>
  <si>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</si>
  <si>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</si>
  <si>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</si>
  <si>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</si>
  <si>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</si>
  <si>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</si>
  <si>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</si>
  <si>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</si>
  <si>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</si>
  <si>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</si>
  <si>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</si>
  <si>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</si>
  <si>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</si>
  <si>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</si>
  <si>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</si>
  <si>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</si>
  <si>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</si>
  <si>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</si>
  <si>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</si>
  <si>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</si>
  <si>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</si>
  <si>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</si>
  <si>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</si>
  <si>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</si>
  <si>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</si>
  <si>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</si>
  <si>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</si>
  <si>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</si>
  <si>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</si>
  <si>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</si>
  <si>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</si>
  <si>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</si>
  <si>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</si>
  <si>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</si>
  <si>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</si>
  <si>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</si>
  <si>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</si>
  <si>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</si>
  <si>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</si>
  <si>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</si>
  <si>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</si>
  <si>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</si>
  <si>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</si>
  <si>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</si>
  <si>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</si>
  <si>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</si>
  <si>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</si>
  <si>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</si>
  <si>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</si>
  <si>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</si>
  <si>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</si>
  <si>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</si>
  <si>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</si>
  <si>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</si>
  <si>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</si>
  <si>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</si>
  <si>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</si>
  <si>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</si>
  <si>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</si>
  <si>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</si>
  <si>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</si>
  <si>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</si>
  <si>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</si>
  <si>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</si>
  <si>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</si>
  <si>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</si>
  <si>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</si>
  <si>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</si>
  <si>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</si>
  <si>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</si>
  <si>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</si>
  <si>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</si>
  <si>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</si>
  <si>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</si>
  <si>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</si>
  <si>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</si>
  <si>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</si>
  <si>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</si>
  <si>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</si>
  <si>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</si>
  <si>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</si>
  <si>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</si>
  <si>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</si>
  <si>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</si>
  <si>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</si>
  <si>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</si>
  <si>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</si>
  <si>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</si>
  <si>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</si>
  <si>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</si>
  <si>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</si>
  <si>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</si>
  <si>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</si>
  <si>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</si>
  <si>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</si>
  <si>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</si>
  <si>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</si>
  <si>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</si>
  <si>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</si>
  <si>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</si>
  <si>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</si>
  <si>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</si>
  <si>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</si>
  <si>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</si>
  <si>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</si>
  <si>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</si>
  <si>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</si>
  <si>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</si>
  <si>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</si>
  <si>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</si>
  <si>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</si>
  <si>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</si>
  <si>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</si>
  <si>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</si>
  <si>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</si>
  <si>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</si>
  <si>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</si>
  <si>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</si>
  <si>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</si>
  <si>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</si>
  <si>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</si>
  <si>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</si>
  <si>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</si>
  <si>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</si>
  <si>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</si>
  <si>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</si>
  <si>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</si>
  <si>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</si>
  <si>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</si>
  <si>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</si>
  <si>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</si>
  <si>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</si>
  <si>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</si>
  <si>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</si>
  <si>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</si>
  <si>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</si>
  <si>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</si>
  <si>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</si>
  <si>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</si>
  <si>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</si>
  <si>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</si>
  <si>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</si>
  <si>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</si>
  <si>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</si>
  <si>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</si>
  <si>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</si>
  <si>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</si>
  <si>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</si>
  <si>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</si>
  <si>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</si>
  <si>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</si>
  <si>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</si>
  <si>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</si>
  <si>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</si>
  <si>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</si>
  <si>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</si>
  <si>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</si>
  <si>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</si>
  <si>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</si>
  <si>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</si>
  <si>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</si>
  <si>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</si>
  <si>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</si>
  <si>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</si>
  <si>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</si>
  <si>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</si>
  <si>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</si>
  <si>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</si>
  <si>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</si>
  <si>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</si>
  <si>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</si>
  <si>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</si>
  <si>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</si>
  <si>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</si>
  <si>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</si>
  <si>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</si>
  <si>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</si>
  <si>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</si>
  <si>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</si>
  <si>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</si>
  <si>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</si>
  <si>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</si>
  <si>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</si>
  <si>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</si>
  <si>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</si>
  <si>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</si>
  <si>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</si>
  <si>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</si>
  <si>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</si>
  <si>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</si>
  <si>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</si>
  <si>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</si>
  <si>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</si>
  <si>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</si>
  <si>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</si>
  <si>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</si>
  <si>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</si>
  <si>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</si>
  <si>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</si>
  <si>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</si>
  <si>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</si>
  <si>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</si>
  <si>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</si>
  <si>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</si>
  <si>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</si>
  <si>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</si>
  <si>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</si>
  <si>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</si>
  <si>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</si>
  <si>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</si>
  <si>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</si>
  <si>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</si>
  <si>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</si>
  <si>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</si>
  <si>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</si>
  <si>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</si>
  <si>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</si>
  <si>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</si>
  <si>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</si>
  <si>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</si>
  <si>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</si>
  <si>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</si>
  <si>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</si>
  <si>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</si>
  <si>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</si>
  <si>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</si>
  <si>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</si>
  <si>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</si>
  <si>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</si>
  <si>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</si>
  <si>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</si>
  <si>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</si>
  <si>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</si>
  <si>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</si>
  <si>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</si>
  <si>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</si>
  <si>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</si>
  <si>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</si>
  <si>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</si>
  <si>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</si>
  <si>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</si>
  <si>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</si>
  <si>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</si>
  <si>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</si>
  <si>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</si>
  <si>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</si>
  <si>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</si>
  <si>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</si>
  <si>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</si>
  <si>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</si>
  <si>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</si>
  <si>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</si>
  <si>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</si>
  <si>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</si>
  <si>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</si>
  <si>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</si>
  <si>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</si>
  <si>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</si>
  <si>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</si>
  <si>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</si>
  <si>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</si>
  <si>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</si>
  <si>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</si>
  <si>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</si>
  <si>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</si>
  <si>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</si>
  <si>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</si>
  <si>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</si>
  <si>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За счет неиспользованных средств прошлых лет</t>
  </si>
  <si>
    <t>ИПЦ в размере 107,4% от факт.ЗП за 2014 год</t>
  </si>
  <si>
    <t>Отсутствует расчет и обоснование</t>
  </si>
  <si>
    <t>На уровне факт.за 2014 год</t>
  </si>
  <si>
    <t>ИЦП 106,2% от факт.9 мес.2015</t>
  </si>
  <si>
    <t>Предварительно</t>
  </si>
  <si>
    <t>ИЦП 106,2% к утв.на 2015 г.</t>
  </si>
  <si>
    <t>ИЦП 103,3% от факт.1 полуг.2015 г.</t>
  </si>
  <si>
    <t>ИЦП 106,2% от факт.1 полуг.2015 г.</t>
  </si>
  <si>
    <t>ИЦП 106,2% от факт.9 мес.2015 г.</t>
  </si>
  <si>
    <t>ИЦП 106,2 % к факт.1 полуг.2015</t>
  </si>
  <si>
    <t>ИПЦ 107,4 % к факт.2014 г.</t>
  </si>
  <si>
    <t>ИЦП 106,2 % к факт.9 мес.2015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</si>
  <si>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</si>
  <si>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</si>
  <si>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</si>
  <si>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</si>
  <si>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</si>
  <si>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</si>
  <si>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</si>
  <si>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</si>
  <si>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</si>
  <si>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</si>
  <si>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</si>
  <si>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</si>
  <si>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</si>
  <si>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Расчет тарифа на услуги водоотведения (в стадии очистки) для МУП "Горводоканал"</t>
  </si>
  <si>
    <t>Приложение № 2</t>
  </si>
  <si>
    <t>Приложение № 1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</si>
  <si>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</si>
  <si>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</si>
  <si>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</si>
  <si>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</si>
  <si>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</si>
  <si>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</si>
  <si>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</si>
  <si>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</si>
  <si>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</si>
  <si>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</si>
  <si>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</si>
  <si>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</si>
  <si>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</si>
  <si>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</si>
  <si>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</si>
  <si>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</si>
  <si>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20</t>
  </si>
  <si>
    <t>Приложение № 21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</si>
  <si>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</si>
  <si>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</si>
  <si>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</si>
  <si>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</si>
  <si>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</si>
  <si>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ИЦП 106,2% от утв. В тарифе на 2015 г.</t>
  </si>
  <si>
    <t>2017 год-2018 год</t>
  </si>
  <si>
    <t>На 2017 год</t>
  </si>
  <si>
    <t>На 2018 год</t>
  </si>
  <si>
    <t>Содержание канализационного коллектора (дубль трансп. стоков ЭМЗ)</t>
  </si>
  <si>
    <t>Питьевая вода</t>
  </si>
  <si>
    <t>Технич. вода</t>
  </si>
  <si>
    <t>Охрана правого берега реки Лименда</t>
  </si>
  <si>
    <t>Страхование опасных объектов</t>
  </si>
  <si>
    <t>Транспортировка воды КЭМЗ</t>
  </si>
  <si>
    <t>Аккредитация лаборатории</t>
  </si>
  <si>
    <t>Медосмотр</t>
  </si>
  <si>
    <t>В том числе</t>
  </si>
  <si>
    <t>Планируемые показатели</t>
  </si>
  <si>
    <t>Апрель</t>
  </si>
  <si>
    <t>Кол-во кВт./ч на подъем воды</t>
  </si>
  <si>
    <t>Тариф руб./кВт.ч</t>
  </si>
  <si>
    <t>Стоимость, тыс. руб.</t>
  </si>
  <si>
    <t>Удельн. расход на подъем воды</t>
  </si>
  <si>
    <t>Стоимость, тыс. руб. по расч.</t>
  </si>
  <si>
    <t>Подъем воды, тыс. куб.м.</t>
  </si>
  <si>
    <t>Кол-во кВт./ч на очистку воды</t>
  </si>
  <si>
    <t>Удельн. расход на очистку воды</t>
  </si>
  <si>
    <t>Очистка воды, тыс. куб.м.</t>
  </si>
  <si>
    <t>ИОГО ПО ВОДОСНАБЖЕНИЮ</t>
  </si>
  <si>
    <t>Кол-во кВт./ч Всего</t>
  </si>
  <si>
    <t>Тариф руб./кВт.ч Средний</t>
  </si>
  <si>
    <t>Стоимость, тыс. руб. Всего</t>
  </si>
  <si>
    <t>Кол-во кВт./ч на перек. стоков</t>
  </si>
  <si>
    <t>Удельн. расход на перек. стоков</t>
  </si>
  <si>
    <t>Очистка стоков, тыс. куб.м.</t>
  </si>
  <si>
    <t>Кол-во кВт./ч на очистку стоков</t>
  </si>
  <si>
    <t>Удельн. Расх. на очистку. стоков</t>
  </si>
  <si>
    <t>Кол-во кВт./ч на очист. стоков</t>
  </si>
  <si>
    <t>ИОГО ПО ВОДООТВЕДЕНИЮ</t>
  </si>
  <si>
    <t>Расчет цены 3 квартала 2015 г.</t>
  </si>
  <si>
    <t>Потери</t>
  </si>
  <si>
    <t>Корректир.</t>
  </si>
  <si>
    <t>ПРОВЕРКА</t>
  </si>
  <si>
    <t>Перекачка стоков, тыс. куб.м.</t>
  </si>
  <si>
    <t>проверка</t>
  </si>
  <si>
    <t>1. Цеховые расх. на подъем</t>
  </si>
  <si>
    <t>2. Цеховые расх. на очистку</t>
  </si>
  <si>
    <t>3. Цеховые расх. на транспортир.</t>
  </si>
  <si>
    <t>4. Цеховые расх. на провед. АВР</t>
  </si>
  <si>
    <t>Всего                2016</t>
  </si>
  <si>
    <t>Транспортировка стоков ЭМЗ</t>
  </si>
  <si>
    <t>Факт 2016 год</t>
  </si>
  <si>
    <t>Факт                   2015 год</t>
  </si>
  <si>
    <t>Инвест. программа</t>
  </si>
  <si>
    <t>Тариф на питьевую воду</t>
  </si>
  <si>
    <t>необходимая валовая выручка на питьевую воду</t>
  </si>
  <si>
    <t>необходимая валовая выручка на техническую воду</t>
  </si>
  <si>
    <t>ПИТЬЕВАЯ ВОДА, в т.ч.</t>
  </si>
  <si>
    <t>ТЕХНИЧЕСКАЯ ВОДА</t>
  </si>
  <si>
    <t xml:space="preserve"> НАСЕЛЕНИЮ</t>
  </si>
  <si>
    <t>3.1.</t>
  </si>
  <si>
    <t>3.2.</t>
  </si>
  <si>
    <t>Тариф на питьевое водоснабжение для НАСЕЛЕНИЯ</t>
  </si>
  <si>
    <t>Тариф на техническую воду</t>
  </si>
  <si>
    <t>Утверждено               2015 год</t>
  </si>
  <si>
    <t>Утверждено                 2015 год</t>
  </si>
  <si>
    <t>Утверждено                   2015 год</t>
  </si>
  <si>
    <t>Утверждено                  2015 год</t>
  </si>
  <si>
    <t>Необходимая валовая выручка ВСЕГО, в том числе:</t>
  </si>
  <si>
    <t>необходимая валовая выручка на водоотведение</t>
  </si>
  <si>
    <t>необходимая валовая выручка на водоотведение (в стадии очистки)</t>
  </si>
  <si>
    <t xml:space="preserve">Объем водоотведения </t>
  </si>
  <si>
    <t xml:space="preserve">Объем водоотведения (в стадии очистки) </t>
  </si>
  <si>
    <t>Объем водоснабжения ВСЕГО, в том числе:</t>
  </si>
  <si>
    <t>Объем водоотведения ВСЕГО, в том числе:</t>
  </si>
  <si>
    <t>ВОДООТВЕДЕНИЕ, в т.ч.</t>
  </si>
  <si>
    <t>НАСЕЛЕНИЕ</t>
  </si>
  <si>
    <t>ВОДООТВЕДЕНИЕ (В СТАДИИ ОЧИСТКИ)</t>
  </si>
  <si>
    <t xml:space="preserve">Тариф на водоотведение </t>
  </si>
  <si>
    <t>Тариф на водоотведение для НАСЕЛЕНИЯ</t>
  </si>
  <si>
    <t>Тариф на водоотведение (в стадии очистки)</t>
  </si>
  <si>
    <t>Тариф на водоотведение для НАСЕЛЕНИЯ (в стадии очистки)</t>
  </si>
  <si>
    <t>Тариф на водоотведение</t>
  </si>
  <si>
    <t>4.1.</t>
  </si>
  <si>
    <t>Тариф на водоотведение (В СТАДИИ ОЧИСТКИ)</t>
  </si>
  <si>
    <t>Тариф на водоотведение ВСЕГО</t>
  </si>
  <si>
    <t>Пост. 406. п. 58. Текущие расходы регулируемой организации включают в себя операционные расходы, неподконтрольные расходы и расходы на приобретение электрической энергии и топлива.</t>
  </si>
  <si>
    <t>Пост. 406 п.60. Операционные расходы регулируемой организации определяются на каждый год долгосрочного периода регулирования путем индексации установленного базового уровня операционных расходов. При индексации применяются индекс потребительских цен (в среднем за год к предыдущему году), определенный в базовом варианте прогноза социально-экономического развития Российской Федерации на очередной год и плановый период, индекс эффективности операционных расходов и индекс изменения количества активов.</t>
  </si>
  <si>
    <t>факт за 12 месяцев 2015</t>
  </si>
  <si>
    <t>Вода</t>
  </si>
  <si>
    <t>Стоки</t>
  </si>
  <si>
    <t>факт                       2014 год</t>
  </si>
  <si>
    <t>Проверка приборов, экспертиза</t>
  </si>
  <si>
    <t xml:space="preserve">Тариф на питьевое водоснабжение </t>
  </si>
  <si>
    <t xml:space="preserve">Тариф на техническое водоснабжение </t>
  </si>
  <si>
    <t>факт 12 месяцев 2015 год</t>
  </si>
  <si>
    <t>Ремонт и тех. Обсл.+затраты на оплату труда+отчисл. На опл. Труда+материалы+ цех. Расх.+ОХР-1.1.3.1.-1.1.3.3.-цех.отопление-ОХР электр.-прир.газ-амортиз.</t>
  </si>
  <si>
    <t>Элекр.+цех. Отопление+ОХР электр.+прир. Газ</t>
  </si>
  <si>
    <t>Цех.оплата услуг КЭМЗ</t>
  </si>
  <si>
    <t>Цех. Аренда подъездного пути+ аренда земли</t>
  </si>
  <si>
    <t>Выпадающие доходы</t>
  </si>
  <si>
    <t>Амортизация + ОХР амортизация</t>
  </si>
  <si>
    <t>Прибыль</t>
  </si>
  <si>
    <t>Факт 12 месяцев</t>
  </si>
  <si>
    <t>ФАКТ 2015 год</t>
  </si>
  <si>
    <t>Ожидаемое год</t>
  </si>
  <si>
    <t>факт 12 месяцев</t>
  </si>
  <si>
    <t>Факт         2015 г.</t>
  </si>
  <si>
    <t>акредитация, проверка лаборат.оборуд.</t>
  </si>
  <si>
    <t>выдача госномеров, регистр. Техосмотр</t>
  </si>
  <si>
    <t>Факт 2015 год</t>
  </si>
  <si>
    <t xml:space="preserve">услуги банка и почты, вознагражд. </t>
  </si>
  <si>
    <t>техосмотр, регистрация выдача №</t>
  </si>
  <si>
    <t>отопление (природный газ)</t>
  </si>
  <si>
    <t>ФАКТ 2016 год</t>
  </si>
  <si>
    <t>предложение предприятия 2017 год</t>
  </si>
  <si>
    <t>предложение агентства 2017 год</t>
  </si>
  <si>
    <t>факт 1 полугодие 2016 год</t>
  </si>
  <si>
    <t>факт 9 месяцев 2016 год</t>
  </si>
  <si>
    <r>
      <t xml:space="preserve">ВСЕГО </t>
    </r>
    <r>
      <rPr>
        <sz val="10"/>
        <rFont val="Times New Roman"/>
        <family val="1"/>
        <charset val="204"/>
      </rPr>
      <t>(ожидаемое)</t>
    </r>
  </si>
  <si>
    <r>
      <t>Факт 12 месяцев</t>
    </r>
    <r>
      <rPr>
        <sz val="12"/>
        <rFont val="Times New Roman"/>
        <family val="1"/>
        <charset val="204"/>
      </rPr>
      <t xml:space="preserve"> (ожидаемое)</t>
    </r>
  </si>
  <si>
    <t>Приложение (Сняли 3 миллиона на стоки 500 тыс. потеряли)</t>
  </si>
  <si>
    <t>факт 12 месяцев 2016 год (ожидаемое)</t>
  </si>
  <si>
    <t>Оплата потерь</t>
  </si>
  <si>
    <t>Факт 12 месяцев (ожид.)</t>
  </si>
  <si>
    <t>Приложение 11</t>
  </si>
  <si>
    <t>факт 2016 год (ожид.)</t>
  </si>
  <si>
    <t>факт за 1 полугодие 2016</t>
  </si>
  <si>
    <t>факт за 9 месяцев 2016</t>
  </si>
  <si>
    <t>факт за 12 месяцев 2016 (ожид.)</t>
  </si>
  <si>
    <t>в % к 2016</t>
  </si>
  <si>
    <t>Факт год (ожид.)</t>
  </si>
  <si>
    <t xml:space="preserve">в % к 2016 </t>
  </si>
  <si>
    <t>Рост к факт.9 мес.2016, %</t>
  </si>
  <si>
    <t>факт 1 полугодие 2016</t>
  </si>
  <si>
    <t>2017 год предложение предприятия</t>
  </si>
  <si>
    <t>2017 год предложение агентства</t>
  </si>
  <si>
    <t>Расчет затрат на оплату труда согласно отраслевого тарифного соглашения  на 2017 год</t>
  </si>
  <si>
    <t>ИПЦ на 2017 год</t>
  </si>
  <si>
    <t>Регулируемый период (2017 год) предложение предприятия</t>
  </si>
  <si>
    <t>Регулируемый период (2017 год) предложение агентства</t>
  </si>
  <si>
    <t>Принято в тариф на 2017 год</t>
  </si>
  <si>
    <t>Тех. Ошибка при переносе</t>
  </si>
  <si>
    <t>1. Расчет тарифов на питьевую воду, отпускаемую МП "Горводоканал" потребителям на территории г.Котласа на 2017 год</t>
  </si>
  <si>
    <t>1. Расчет тарифа на услуги водоотведения, оказываемые МП "Горводоканал" потребителям на территории г. Котласа на 2017 год</t>
  </si>
  <si>
    <t>1.1. Расчет тарифа на услуги водоотведения, оказываемые МП "Горводоканал" потребителям на территории г. Котласа на 2017 год (СВОД)</t>
  </si>
  <si>
    <t>ПРЕДЛОЖЕНИЕ ПРЕДПРИЯТИЯ          ВОДОСНАБЖЕНИЕ (РЕГУЛИРУЕМЫЙ ПЕРИОД 2017 ГОД)</t>
  </si>
  <si>
    <t>1 полугодие 2017 года</t>
  </si>
  <si>
    <t>2 полугодие 2017 года</t>
  </si>
  <si>
    <t>ПРЕДЛОЖЕНИЕ АГЕНТСТВА          ВОДОСНАБЖЕНИЕ (РЕГУЛИРУЕМЫЙ ПЕРИОД 2017 ГОД)</t>
  </si>
  <si>
    <t>ПРЕДЛОЖЕНИЕ ПРЕДПРИЯТИЯ          ВОДООТВЕДЕНИЕ (РЕГУЛИРУЕМЫЙ ПЕРИОД 2017 ГОД)</t>
  </si>
  <si>
    <t>ПРЕДЛОЖЕНИЕ АГЕНТСТВА          ВОДООТВЕДЕНИЕ (РЕГУЛИРУЕМЫЙ ПЕРИОД 2017 ГОД)</t>
  </si>
  <si>
    <t>20167 год</t>
  </si>
  <si>
    <t>Расчет тарифа на услуги водоотведения для МУП "Горводоканал" (СВОД)</t>
  </si>
  <si>
    <t>Расчет тарифа на услуги водоснабжения для МУП "Горводоканал" (СВОД)</t>
  </si>
  <si>
    <t>Электрохозяйство, 50 % вода 50 % стоки</t>
  </si>
  <si>
    <t>Расчет агентства по налогу на имущество на 2017 год</t>
  </si>
  <si>
    <t>Ввод ОС (план)</t>
  </si>
  <si>
    <t>Июль 2016 г. передача станции 3 подъема 90 млн. руб.</t>
  </si>
  <si>
    <t>Стоимость ОС на 01 января 2017 года</t>
  </si>
  <si>
    <t>Стоимость ОС на 31 декабря 2017 года</t>
  </si>
  <si>
    <t>сумма налога на имущество по ВКХ на  2017 год</t>
  </si>
  <si>
    <t>Удельные нормы приняты исходя из фактических удельных норм за 2016 год. Расчет цены произведен в отдельной таблице</t>
  </si>
  <si>
    <t>факт за 3 квартал 2016</t>
  </si>
  <si>
    <t>экспертиза, пробы,разработка проекта ПДС</t>
  </si>
  <si>
    <t>Страхование опасных объектов, страхование ГО</t>
  </si>
  <si>
    <t>транспортировка стоков ОАО "КЭМЗ"</t>
  </si>
  <si>
    <t>договор временного управления, вознаграждение внешн. управл.)</t>
  </si>
  <si>
    <t>Прочие расходы (хох.расх. Под аванс)</t>
  </si>
  <si>
    <t>тариф 3 квартала</t>
  </si>
  <si>
    <t>Ожидаемое 2016 год</t>
  </si>
  <si>
    <t>ожидаемое за 12 месяцев 2016</t>
  </si>
  <si>
    <t>1.1. Расчет тарифов на питьевую воду, отпускаемую МП "Горводоканал" потребителям на территории г.Котласа на 2017 год (СВОД)</t>
  </si>
  <si>
    <t>водный налог</t>
  </si>
  <si>
    <t>Дельта сглаживания НВВ</t>
  </si>
  <si>
    <t>НВВ с инвест.составл. и дельтой сглаж., руб.</t>
  </si>
  <si>
    <t>Тариф с инвест. составл. и дельтой сглажив.</t>
  </si>
  <si>
    <t>1.5.</t>
  </si>
  <si>
    <t xml:space="preserve">Всего на 2017 год </t>
  </si>
  <si>
    <t>УТВЕРЖДАЮ:</t>
  </si>
  <si>
    <t>ПЛАНОВЫЕ ОБЪЕМНЫЕ ПОКАЗАТЕЛИ СИСТЕМЫ ВОДОСНАБЖЕНИЯ</t>
  </si>
  <si>
    <t xml:space="preserve">Поднято воды </t>
  </si>
  <si>
    <t xml:space="preserve">Подано воды в сеть </t>
  </si>
  <si>
    <t>Реализация воды, в том числе:</t>
  </si>
  <si>
    <t>прочим потребителям, в том числе:</t>
  </si>
  <si>
    <t>для осуществления ГВС, в том числе:</t>
  </si>
  <si>
    <t>ПЛАН ДОХОДОВ ИСХОДЯ ИЗ УСТАНОВЛЕННЫХ ТАРИФОВ</t>
  </si>
  <si>
    <t>Население</t>
  </si>
  <si>
    <t>Возмещение убытков</t>
  </si>
  <si>
    <t>Прочие потребители</t>
  </si>
  <si>
    <t>Техническая вода</t>
  </si>
  <si>
    <t>Для осуществления ГВС, в том числе:</t>
  </si>
  <si>
    <t>Всего доходов, в том числе:</t>
  </si>
  <si>
    <t>инвестиционная составляющая</t>
  </si>
  <si>
    <t>Отпускной тариф, руб. куб.м.</t>
  </si>
  <si>
    <t>возмещение убытков</t>
  </si>
  <si>
    <t>ПЛАН ФИНАНСОВЫХ ЗАТРАТ</t>
  </si>
  <si>
    <t>Цеховые расходы, в том числе</t>
  </si>
  <si>
    <t>компенсация за использ. личного трансп.</t>
  </si>
  <si>
    <t>Налоги и сборы всего, в том числе</t>
  </si>
  <si>
    <t>плата за водопользование (водный налог)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</si>
  <si>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</si>
  <si>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</si>
  <si>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</si>
  <si>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</si>
  <si>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</si>
  <si>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</si>
  <si>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ФИНАНСОВЫЕ ПОКАЗАТЕЛИ БЕЗ УЧЕТА ИНВЕСТИЦИОННОЙ ПРОГРАММЫ</t>
  </si>
  <si>
    <t>НВВ всего, тыс. руб., в т.ч.</t>
  </si>
  <si>
    <t>2 полугодие</t>
  </si>
  <si>
    <t>Объем реализ. всего, тыс. м. куб., в т.ч.</t>
  </si>
  <si>
    <t>в том числе население тыс. м. куб., в т.ч.</t>
  </si>
  <si>
    <t>Эконом. обосн. тариф, руб. куб.м., в т.ч.</t>
  </si>
  <si>
    <t>% изменения</t>
  </si>
  <si>
    <t>Тариф для населения с учетом пред. инд.</t>
  </si>
  <si>
    <t>% изменения (пред. индекс для населения)</t>
  </si>
  <si>
    <t>Размер субсидий всего, в т.ч.</t>
  </si>
  <si>
    <t>ФИНАНСОВЫЕ ПОКАЗАТЕЛИ С УЧЕТОМ ИНВЕСТИЦИОННОЙ ПРОГРАММЫ</t>
  </si>
  <si>
    <t>Главный экономист МП "Горводоканал"</t>
  </si>
  <si>
    <t>Горынцев А.Л.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</si>
  <si>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</si>
  <si>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</si>
  <si>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</si>
  <si>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</si>
  <si>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>ПЛАНОВЫЕ ОБЪЕМНЫЕ ПОКАЗАТЕЛИ СИСТЕМЫ ВОДООТВЕДЕНИЯ</t>
  </si>
  <si>
    <t>Неканализ. Жил.фонд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</si>
  <si>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</si>
  <si>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</si>
  <si>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</si>
  <si>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</si>
  <si>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Население (неканализованный жилфонд)</t>
  </si>
  <si>
    <t>платежи за сброс загрязняющих веществ в пределах норматива</t>
  </si>
  <si>
    <t>Принято стоков, в том числе</t>
  </si>
  <si>
    <t>Выпадающие расходы прошлых периодов, в т.ч.</t>
  </si>
  <si>
    <t>Директор МП "Горводоканал"</t>
  </si>
  <si>
    <t>_____________ А.В. Ерофеевский</t>
  </si>
  <si>
    <t>"___"_____________ 2017 г.</t>
  </si>
  <si>
    <t>Всего                  2017</t>
  </si>
  <si>
    <t>Производственная программа МП "Горводоканал"на услуги водоснабжения на 2017 г. с календарной разбивкой (по стадиям технологического процесса)</t>
  </si>
  <si>
    <t>Производственная программа МП "Горводоканал"на услуги водоснабжения на 2017 г. с календарной разбивкой (сводная)</t>
  </si>
  <si>
    <t>Производственная программа МП "Горводоканал"на услуги водоотведения на 2017 г. с календарной разбивкой (по стадиям технологического процесса)</t>
  </si>
  <si>
    <t>Производственная программа МП "Горводоканал"на услуги водоотведения на 2017 г. с календарной разбивкой (сводная)</t>
  </si>
  <si>
    <t>ТАРИФ 1 полугодия</t>
  </si>
  <si>
    <t>План цеховых расходов по водоснабжению по видам технологического процесса на 2017 год с учетом календарной разбивки</t>
  </si>
  <si>
    <t>Всего                2017</t>
  </si>
  <si>
    <t>План цеховых расходов по водоотведению по видам технологического процесса на 2017 год с учетом календарной разбивки</t>
  </si>
  <si>
    <t>Дельта сглаживания</t>
  </si>
  <si>
    <t>ФИНАНСОВЫЕ ПОКАЗАТЕЛИ С УЧЕТОМ ИНВЕСТИЦИОННОЙ ПРОГРАММЫ И ДЕЛЬТЫ СГЛАЖИВАНИЯ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</si>
  <si>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</si>
  <si>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Глава МО "Котлас"</t>
  </si>
  <si>
    <t>_______________________А.В. Бральнин</t>
  </si>
  <si>
    <t>Таблица 2</t>
  </si>
  <si>
    <t>Ед. измер.</t>
  </si>
  <si>
    <t>4 кв.</t>
  </si>
  <si>
    <t>Год</t>
  </si>
  <si>
    <t>тыс. м. куб.</t>
  </si>
  <si>
    <t>руб./куб. м</t>
  </si>
  <si>
    <t>Прибыль (5 %)</t>
  </si>
  <si>
    <t>А.Л. Горынцев</t>
  </si>
  <si>
    <t>Прибыль (5%)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</si>
  <si>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</si>
  <si>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</si>
  <si>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</si>
  <si>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</si>
  <si>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</si>
  <si>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</si>
  <si>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</si>
  <si>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</si>
  <si>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</si>
  <si>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</si>
  <si>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Водоснабжение, в том числе :</t>
  </si>
  <si>
    <t>Водоотведение в том числе:</t>
  </si>
  <si>
    <t>Прочие доходы (прочие платные услуги )</t>
  </si>
  <si>
    <t>Прочие доходы всего, в том числе:</t>
  </si>
  <si>
    <t>Прочие расходы всего, в том числе:</t>
  </si>
  <si>
    <t xml:space="preserve">плата за негативное воздействие </t>
  </si>
  <si>
    <t>услуги банка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</si>
  <si>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</si>
  <si>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</si>
  <si>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</si>
  <si>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</si>
  <si>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</si>
  <si>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</si>
  <si>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</si>
  <si>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"___" ___________________ 2017 г.</t>
  </si>
  <si>
    <t xml:space="preserve">План по формированию расходной части МП "Горводоканал" по статьям затрат                                                             на услуги водоснабжения на 2017 г. </t>
  </si>
  <si>
    <t>А.В. Ерофеевский</t>
  </si>
  <si>
    <t xml:space="preserve">План по формированию расходной части МП "Горводоканал" по статьям затрат                                                             на услуги водоотведения на 2017 г. </t>
  </si>
  <si>
    <t>Водоснабжение, в том числе:</t>
  </si>
  <si>
    <t>Валовая прибыль, в том числе:</t>
  </si>
  <si>
    <t>исключение инвестиционной составляющей</t>
  </si>
  <si>
    <t>Водоотведение, в том числе:</t>
  </si>
  <si>
    <t>дельта сглаживания НВВ</t>
  </si>
  <si>
    <t>оплата % за мировое соглаш.и внешнее управл.</t>
  </si>
  <si>
    <t>социальные выплаты по коллективному договору</t>
  </si>
  <si>
    <t>Доходная часть всего, в том числе:</t>
  </si>
  <si>
    <t>Расходная  часть всего, в том числе:</t>
  </si>
  <si>
    <t>План финансово-хозяйственной деятельности                                                                                                                               МП "Горводоканал" на 2017 год</t>
  </si>
  <si>
    <t>1 квартал</t>
  </si>
  <si>
    <t>2 квартал</t>
  </si>
  <si>
    <t>1 пол.</t>
  </si>
  <si>
    <t>3 квартал</t>
  </si>
  <si>
    <t>Доходная часть всего, в том числе</t>
  </si>
  <si>
    <t>прочие доходы (прочие платные услуги)</t>
  </si>
  <si>
    <t>Расходная часть всего, в том числе:</t>
  </si>
  <si>
    <t>Валовая прибыль:</t>
  </si>
  <si>
    <t>плата за негативное воздействие</t>
  </si>
  <si>
    <t>социальные выплаты</t>
  </si>
  <si>
    <t>Прибыль до налогооблажения</t>
  </si>
  <si>
    <t>инвестиционная составляющая на реализацию инвестиционной программы МП "Горводоканал" в сфере  водоотведения</t>
  </si>
  <si>
    <t>Всего:</t>
  </si>
  <si>
    <t>Текущий ремонт и тех.обслуживание  (план) на 2017 год</t>
  </si>
  <si>
    <t>26 счет</t>
  </si>
  <si>
    <t>Гл. Экономист                                                  А.Л. Горынцев</t>
  </si>
  <si>
    <t>____________________ А.В. Ерофеевский</t>
  </si>
  <si>
    <t>План финансово-хозяйственной деятельности МП "Горводоканал" на 2017 г. (в разрезе по месяцам)</t>
  </si>
  <si>
    <t>водоснабжение, в том числе:</t>
  </si>
  <si>
    <t>исключение инвест. составляющей</t>
  </si>
  <si>
    <t>водоотведение, в том числе:</t>
  </si>
  <si>
    <t>оплата % за мир. согл. и внешн. управл.</t>
  </si>
  <si>
    <t>Гл. Экономист                                                                            А.Л. Горынцев</t>
  </si>
  <si>
    <t>период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</si>
  <si>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</si>
  <si>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</si>
  <si>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</si>
  <si>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</si>
  <si>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</si>
  <si>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</si>
  <si>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</si>
  <si>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</si>
  <si>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</si>
  <si>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ФАКТ</t>
  </si>
  <si>
    <t>ОТКЛ.</t>
  </si>
  <si>
    <t>ФИНАНСОВЫЕ ЗАТРАТЫ</t>
  </si>
  <si>
    <t>Информационные услуги, программы</t>
  </si>
  <si>
    <t>вывоз мусора, обезвр.опасных отходов</t>
  </si>
  <si>
    <t xml:space="preserve">плата за водопользование </t>
  </si>
  <si>
    <t>природный газ</t>
  </si>
  <si>
    <t>ПРОЧИЕ РАССХОДЫ ВСЕГО, В Т.Ч.:</t>
  </si>
  <si>
    <t>установка приборов учета, по заявке</t>
  </si>
  <si>
    <t>членские взносы СРО</t>
  </si>
  <si>
    <t>Всего расходов (с прочими расходами)</t>
  </si>
  <si>
    <t>СВОДНАЯ</t>
  </si>
  <si>
    <t>установка приборов учета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</si>
  <si>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</si>
  <si>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</si>
  <si>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</si>
  <si>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</si>
  <si>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</si>
  <si>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</si>
  <si>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</si>
  <si>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</si>
  <si>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</si>
  <si>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</si>
  <si>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</si>
  <si>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</si>
  <si>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</si>
  <si>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</si>
  <si>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</si>
  <si>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</si>
  <si>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</si>
  <si>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</t>
  </si>
  <si>
    <t>абс.</t>
  </si>
  <si>
    <t>ДОХОДЫ С УЧЕТОМ УСТАНОВЛЕННЫХ ТАРИФОВ</t>
  </si>
  <si>
    <t>ПРОЧИЕ РАСХОДЫ ВСЕГО, В Т.Ч.:</t>
  </si>
  <si>
    <t>ОБЪЕМНЫЕ ПОКАЗАТЕЛИ СИСТЕМЫ ВОДООТВЕДЕНИЯ</t>
  </si>
  <si>
    <t>Экспертиза, пробы, проекты, лицензии, аккредит. лаб.</t>
  </si>
  <si>
    <t>ПРОЧИЕ РАСХОДЫ ВСЕГО, В Т.Ч.</t>
  </si>
  <si>
    <t>Экономист                                 Горынцев А.Л.</t>
  </si>
  <si>
    <t xml:space="preserve">                                                 Гавриленко О.В.</t>
  </si>
  <si>
    <t xml:space="preserve">                                                  Гавриленко О.В.</t>
  </si>
  <si>
    <t>ФАКТИЧЕСКИЕ ФИНАНСОВЫЕ ПОКАЗАТЕЛИ</t>
  </si>
  <si>
    <t>Неканализованный жилой фонд</t>
  </si>
  <si>
    <t>ПОЛНАЯ СЕБЕСТОИМОСТЬ УСЛУГ ВОДОСНАБЖЕНИЯ НА 2017 ГОД</t>
  </si>
  <si>
    <t>ЦЕХОВЫЕ РАСХОДЫ ПО ВОДОСНАБЖЕНИЮ НА 2017 год</t>
  </si>
  <si>
    <t>УСЛУГ ВОДОСНАБЖЕНИЯ ЗА 2017 ГОД</t>
  </si>
  <si>
    <t>ПОЛНАЯ СЕБЕСТОИМОСТЬ УСЛУГ ВОДООТВЕДЕНИЯ НА 2017 ГОД</t>
  </si>
  <si>
    <t>ЦЕХОВЫЕ РАСХОДЫ ПО ВОДООТВЕДЕНИЮ НА 2017 ГОД</t>
  </si>
  <si>
    <t>УСЛУГ ВОДООТВЕДЕНИЯ ЗА 2017 ГОД</t>
  </si>
  <si>
    <t>вывоз мусора, обезврежив. опаных отходов</t>
  </si>
  <si>
    <t>НВВ с инвест.составл. и дельтой сглажив., руб.</t>
  </si>
</sst>
</file>

<file path=xl/styles.xml><?xml version="1.0" encoding="utf-8"?>
<styleSheet xmlns="http://schemas.openxmlformats.org/spreadsheetml/2006/main">
  <numFmts count="2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00"/>
    <numFmt numFmtId="165" formatCode="0.0000"/>
    <numFmt numFmtId="166" formatCode="0.000"/>
    <numFmt numFmtId="167" formatCode="0.0"/>
    <numFmt numFmtId="168" formatCode="#,##0.0"/>
    <numFmt numFmtId="169" formatCode="0.0%"/>
    <numFmt numFmtId="170" formatCode="_(* #,##0.00_);_(* \(#,##0.00\);_(* \-??_);_(@_)"/>
    <numFmt numFmtId="171" formatCode="_-* #,##0.00_р_._-;\-* #,##0.00_р_._-;_-* \-??_р_._-;_-@_-"/>
    <numFmt numFmtId="172" formatCode="#,##0.0000"/>
    <numFmt numFmtId="173" formatCode="_(* #,##0.00_);_(* \(#,##0.00\);_(* &quot;-&quot;??_);_(@_)"/>
    <numFmt numFmtId="174" formatCode="0.000%"/>
    <numFmt numFmtId="175" formatCode="0.0000000"/>
    <numFmt numFmtId="176" formatCode="#,##0.000"/>
    <numFmt numFmtId="177" formatCode="_-* #,##0\ _P_t_s_-;\-* #,##0\ _P_t_s_-;_-* &quot;- &quot;_P_t_s_-;_-@_-"/>
    <numFmt numFmtId="178" formatCode="_-* #,##0.00\ _P_t_s_-;\-* #,##0.00\ _P_t_s_-;_-* \-??\ _P_t_s_-;_-@_-"/>
    <numFmt numFmtId="179" formatCode="_-* #,##0&quot; Pts&quot;_-;\-* #,##0&quot; Pts&quot;_-;_-* &quot;- Pts&quot;_-;_-@_-"/>
    <numFmt numFmtId="180" formatCode="_-* #,##0.00&quot; Pts&quot;_-;\-* #,##0.00&quot; Pts&quot;_-;_-* \-??&quot; Pts&quot;_-;_-@_-"/>
    <numFmt numFmtId="181" formatCode="_-* #,##0.00&quot;р.&quot;_-;\-* #,##0.00&quot;р.&quot;_-;_-* \-??&quot;р.&quot;_-;_-@_-"/>
    <numFmt numFmtId="182" formatCode="#,##0;[Red]\-#,##0"/>
    <numFmt numFmtId="183" formatCode="#,##0.00;[Red]\-#,##0.00"/>
    <numFmt numFmtId="184" formatCode="0.000000000"/>
    <numFmt numFmtId="185" formatCode="0.00000000"/>
  </numFmts>
  <fonts count="15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4"/>
      <color indexed="10"/>
      <name val="Arial Cyr"/>
      <charset val="204"/>
    </font>
    <font>
      <b/>
      <sz val="16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indexed="1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b/>
      <sz val="16"/>
      <color rgb="FFFF0000"/>
      <name val="Arial Cyr"/>
      <charset val="204"/>
    </font>
    <font>
      <sz val="12.5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3" tint="0.39997558519241921"/>
      <name val="Times New Roman"/>
      <family val="1"/>
      <charset val="204"/>
    </font>
    <font>
      <sz val="20"/>
      <name val="Arial Cyr"/>
      <charset val="204"/>
    </font>
    <font>
      <sz val="22"/>
      <name val="Arial Cyr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i/>
      <sz val="10"/>
      <name val="Arial Cyr"/>
      <charset val="204"/>
    </font>
    <font>
      <b/>
      <i/>
      <sz val="14"/>
      <name val="Arial Cyr"/>
      <charset val="204"/>
    </font>
    <font>
      <b/>
      <sz val="14"/>
      <color rgb="FFFF0000"/>
      <name val="Arial Cyr"/>
      <charset val="204"/>
    </font>
    <font>
      <b/>
      <sz val="20"/>
      <color rgb="FFFF0000"/>
      <name val="Arial Cyr"/>
      <charset val="204"/>
    </font>
    <font>
      <sz val="14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3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1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36" fillId="3" borderId="0" applyNumberFormat="0" applyBorder="0" applyAlignment="0" applyProtection="0"/>
    <xf numFmtId="0" fontId="28" fillId="20" borderId="1" applyNumberFormat="0" applyAlignment="0" applyProtection="0"/>
    <xf numFmtId="0" fontId="33" fillId="21" borderId="2" applyNumberFormat="0" applyAlignment="0" applyProtection="0"/>
    <xf numFmtId="0" fontId="37" fillId="0" borderId="0" applyNumberFormat="0" applyFill="0" applyBorder="0" applyAlignment="0" applyProtection="0"/>
    <xf numFmtId="0" fontId="40" fillId="4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26" fillId="7" borderId="1" applyNumberFormat="0" applyAlignment="0" applyProtection="0"/>
    <xf numFmtId="0" fontId="38" fillId="0" borderId="6" applyNumberFormat="0" applyFill="0" applyAlignment="0" applyProtection="0"/>
    <xf numFmtId="0" fontId="35" fillId="22" borderId="0" applyNumberFormat="0" applyBorder="0" applyAlignment="0" applyProtection="0"/>
    <xf numFmtId="0" fontId="24" fillId="23" borderId="7" applyNumberFormat="0" applyFont="0" applyAlignment="0" applyProtection="0"/>
    <xf numFmtId="0" fontId="27" fillId="20" borderId="8" applyNumberFormat="0" applyAlignment="0" applyProtection="0"/>
    <xf numFmtId="0" fontId="34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9" fillId="0" borderId="0" applyNumberFormat="0" applyFill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8" applyNumberFormat="0" applyAlignment="0" applyProtection="0"/>
    <xf numFmtId="0" fontId="28" fillId="20" borderId="1" applyNumberFormat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21" borderId="2" applyNumberFormat="0" applyAlignment="0" applyProtection="0"/>
    <xf numFmtId="0" fontId="34" fillId="0" borderId="0" applyNumberFormat="0" applyFill="0" applyBorder="0" applyAlignment="0" applyProtection="0"/>
    <xf numFmtId="0" fontId="35" fillId="22" borderId="0" applyNumberFormat="0" applyBorder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24" fillId="0" borderId="0"/>
    <xf numFmtId="0" fontId="36" fillId="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23" borderId="7" applyNumberFormat="0" applyFon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38" fillId="0" borderId="6" applyNumberFormat="0" applyFill="0" applyAlignment="0" applyProtection="0"/>
    <xf numFmtId="0" fontId="3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70" fontId="23" fillId="0" borderId="0" applyFill="0" applyBorder="0" applyAlignment="0" applyProtection="0"/>
    <xf numFmtId="170" fontId="23" fillId="0" borderId="0" applyFill="0" applyBorder="0" applyAlignment="0" applyProtection="0"/>
    <xf numFmtId="173" fontId="17" fillId="0" borderId="0" applyFont="0" applyFill="0" applyBorder="0" applyAlignment="0" applyProtection="0"/>
    <xf numFmtId="170" fontId="23" fillId="0" borderId="0" applyFill="0" applyBorder="0" applyAlignment="0" applyProtection="0"/>
    <xf numFmtId="171" fontId="23" fillId="0" borderId="0" applyFill="0" applyBorder="0" applyAlignment="0" applyProtection="0"/>
    <xf numFmtId="0" fontId="40" fillId="4" borderId="0" applyNumberFormat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4" fillId="40" borderId="0"/>
    <xf numFmtId="0" fontId="105" fillId="0" borderId="0">
      <alignment horizontal="left" vertical="center" wrapText="1"/>
    </xf>
    <xf numFmtId="0" fontId="106" fillId="0" borderId="0">
      <alignment horizontal="left" vertical="center" wrapText="1" indent="1"/>
    </xf>
    <xf numFmtId="0" fontId="106" fillId="0" borderId="0">
      <alignment horizontal="left" vertical="center" wrapText="1" indent="3"/>
    </xf>
    <xf numFmtId="177" fontId="23" fillId="0" borderId="0" applyFill="0" applyBorder="0" applyAlignment="0" applyProtection="0"/>
    <xf numFmtId="178" fontId="23" fillId="0" borderId="0" applyFill="0" applyBorder="0" applyAlignment="0" applyProtection="0"/>
    <xf numFmtId="179" fontId="23" fillId="0" borderId="0" applyFill="0" applyBorder="0" applyAlignment="0" applyProtection="0"/>
    <xf numFmtId="180" fontId="23" fillId="0" borderId="0" applyFill="0" applyBorder="0" applyAlignment="0" applyProtection="0"/>
    <xf numFmtId="0" fontId="104" fillId="0" borderId="176"/>
    <xf numFmtId="0" fontId="24" fillId="0" borderId="0"/>
    <xf numFmtId="0" fontId="24" fillId="0" borderId="0"/>
    <xf numFmtId="0" fontId="24" fillId="0" borderId="0"/>
    <xf numFmtId="0" fontId="17" fillId="0" borderId="0"/>
    <xf numFmtId="0" fontId="104" fillId="0" borderId="0"/>
    <xf numFmtId="0" fontId="17" fillId="0" borderId="0" applyNumberFormat="0" applyFill="0" applyBorder="0" applyAlignment="0" applyProtection="0"/>
    <xf numFmtId="0" fontId="17" fillId="0" borderId="0"/>
    <xf numFmtId="0" fontId="107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81" fontId="23" fillId="0" borderId="0" applyFill="0" applyBorder="0" applyAlignment="0" applyProtection="0"/>
    <xf numFmtId="181" fontId="23" fillId="0" borderId="0" applyFill="0" applyBorder="0" applyAlignment="0" applyProtection="0"/>
    <xf numFmtId="0" fontId="24" fillId="0" borderId="0"/>
    <xf numFmtId="0" fontId="23" fillId="0" borderId="0"/>
    <xf numFmtId="0" fontId="24" fillId="0" borderId="0"/>
    <xf numFmtId="0" fontId="17" fillId="0" borderId="0"/>
    <xf numFmtId="0" fontId="23" fillId="0" borderId="0"/>
    <xf numFmtId="0" fontId="24" fillId="0" borderId="0"/>
    <xf numFmtId="0" fontId="24" fillId="0" borderId="0"/>
    <xf numFmtId="0" fontId="5" fillId="0" borderId="0"/>
    <xf numFmtId="0" fontId="108" fillId="0" borderId="0"/>
    <xf numFmtId="0" fontId="5" fillId="0" borderId="0"/>
    <xf numFmtId="0" fontId="5" fillId="0" borderId="0"/>
    <xf numFmtId="9" fontId="23" fillId="0" borderId="0" applyFill="0" applyBorder="0" applyAlignment="0" applyProtection="0"/>
    <xf numFmtId="9" fontId="5" fillId="0" borderId="0" applyFont="0" applyFill="0" applyBorder="0" applyAlignment="0" applyProtection="0"/>
    <xf numFmtId="9" fontId="24" fillId="0" borderId="0"/>
    <xf numFmtId="9" fontId="24" fillId="0" borderId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182" fontId="23" fillId="0" borderId="0" applyFill="0" applyBorder="0" applyAlignment="0" applyProtection="0"/>
    <xf numFmtId="183" fontId="23" fillId="0" borderId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1" fillId="0" borderId="0"/>
  </cellStyleXfs>
  <cellXfs count="5830">
    <xf numFmtId="0" fontId="0" fillId="0" borderId="0" xfId="0"/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11" fillId="0" borderId="0" xfId="0" applyFont="1"/>
    <xf numFmtId="167" fontId="12" fillId="0" borderId="10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167" fontId="10" fillId="0" borderId="10" xfId="0" applyNumberFormat="1" applyFont="1" applyBorder="1" applyAlignment="1">
      <alignment horizontal="center"/>
    </xf>
    <xf numFmtId="167" fontId="11" fillId="0" borderId="10" xfId="0" applyNumberFormat="1" applyFont="1" applyBorder="1" applyAlignment="1">
      <alignment horizontal="center"/>
    </xf>
    <xf numFmtId="167" fontId="11" fillId="0" borderId="10" xfId="0" applyNumberFormat="1" applyFont="1" applyFill="1" applyBorder="1" applyAlignment="1">
      <alignment horizontal="center"/>
    </xf>
    <xf numFmtId="2" fontId="10" fillId="0" borderId="10" xfId="0" applyNumberFormat="1" applyFont="1" applyBorder="1" applyAlignment="1">
      <alignment horizontal="center"/>
    </xf>
    <xf numFmtId="0" fontId="10" fillId="0" borderId="10" xfId="0" applyFont="1" applyFill="1" applyBorder="1"/>
    <xf numFmtId="2" fontId="11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7" fontId="11" fillId="0" borderId="10" xfId="0" applyNumberFormat="1" applyFont="1" applyBorder="1" applyAlignment="1">
      <alignment horizontal="center" vertical="center"/>
    </xf>
    <xf numFmtId="167" fontId="10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wrapText="1"/>
    </xf>
    <xf numFmtId="2" fontId="11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0" fillId="0" borderId="0" xfId="0" applyFont="1" applyFill="1" applyBorder="1"/>
    <xf numFmtId="0" fontId="10" fillId="0" borderId="0" xfId="0" applyFont="1" applyBorder="1" applyAlignment="1">
      <alignment horizontal="center"/>
    </xf>
    <xf numFmtId="0" fontId="11" fillId="0" borderId="0" xfId="0" applyFont="1" applyBorder="1"/>
    <xf numFmtId="167" fontId="11" fillId="0" borderId="10" xfId="0" applyNumberFormat="1" applyFont="1" applyBorder="1" applyAlignment="1">
      <alignment horizontal="center" vertical="center" wrapText="1"/>
    </xf>
    <xf numFmtId="167" fontId="12" fillId="0" borderId="10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/>
    <xf numFmtId="0" fontId="11" fillId="0" borderId="12" xfId="0" applyFont="1" applyBorder="1"/>
    <xf numFmtId="0" fontId="11" fillId="0" borderId="14" xfId="0" applyFont="1" applyBorder="1" applyAlignment="1">
      <alignment wrapText="1"/>
    </xf>
    <xf numFmtId="0" fontId="11" fillId="0" borderId="15" xfId="0" applyFont="1" applyBorder="1"/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167" fontId="11" fillId="0" borderId="12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167" fontId="12" fillId="0" borderId="18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1" fillId="0" borderId="19" xfId="0" applyNumberFormat="1" applyFont="1" applyBorder="1" applyAlignment="1">
      <alignment horizontal="center" vertical="center" wrapText="1"/>
    </xf>
    <xf numFmtId="167" fontId="12" fillId="0" borderId="20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167" fontId="12" fillId="0" borderId="23" xfId="0" applyNumberFormat="1" applyFont="1" applyBorder="1" applyAlignment="1">
      <alignment horizontal="center"/>
    </xf>
    <xf numFmtId="167" fontId="11" fillId="0" borderId="22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12" fillId="0" borderId="22" xfId="0" applyNumberFormat="1" applyFont="1" applyBorder="1" applyAlignment="1">
      <alignment horizontal="center"/>
    </xf>
    <xf numFmtId="167" fontId="12" fillId="0" borderId="17" xfId="0" applyNumberFormat="1" applyFont="1" applyBorder="1" applyAlignment="1">
      <alignment horizontal="center"/>
    </xf>
    <xf numFmtId="0" fontId="11" fillId="0" borderId="12" xfId="0" applyFont="1" applyBorder="1" applyAlignment="1">
      <alignment vertical="center" wrapText="1"/>
    </xf>
    <xf numFmtId="0" fontId="11" fillId="0" borderId="19" xfId="0" applyFont="1" applyBorder="1" applyAlignment="1">
      <alignment horizontal="center" vertical="center"/>
    </xf>
    <xf numFmtId="166" fontId="11" fillId="0" borderId="10" xfId="0" applyNumberFormat="1" applyFont="1" applyBorder="1" applyAlignment="1">
      <alignment horizontal="center"/>
    </xf>
    <xf numFmtId="2" fontId="10" fillId="0" borderId="10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2" fontId="14" fillId="0" borderId="0" xfId="0" applyNumberFormat="1" applyFont="1" applyAlignment="1">
      <alignment horizontal="center"/>
    </xf>
    <xf numFmtId="2" fontId="11" fillId="0" borderId="10" xfId="0" applyNumberFormat="1" applyFont="1" applyBorder="1"/>
    <xf numFmtId="166" fontId="10" fillId="0" borderId="10" xfId="0" applyNumberFormat="1" applyFont="1" applyBorder="1" applyAlignment="1">
      <alignment horizontal="center" vertical="top" wrapText="1"/>
    </xf>
    <xf numFmtId="1" fontId="10" fillId="0" borderId="10" xfId="0" applyNumberFormat="1" applyFont="1" applyBorder="1" applyAlignment="1">
      <alignment horizontal="center" vertical="top" wrapText="1"/>
    </xf>
    <xf numFmtId="2" fontId="10" fillId="0" borderId="10" xfId="0" applyNumberFormat="1" applyFont="1" applyBorder="1" applyAlignment="1">
      <alignment horizontal="center" vertical="top" wrapText="1"/>
    </xf>
    <xf numFmtId="2" fontId="10" fillId="0" borderId="25" xfId="0" applyNumberFormat="1" applyFont="1" applyBorder="1" applyAlignment="1">
      <alignment horizontal="center" vertical="top" wrapText="1"/>
    </xf>
    <xf numFmtId="166" fontId="11" fillId="0" borderId="19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6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167" fontId="11" fillId="0" borderId="25" xfId="0" applyNumberFormat="1" applyFont="1" applyBorder="1"/>
    <xf numFmtId="166" fontId="13" fillId="0" borderId="10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6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0" fontId="11" fillId="0" borderId="25" xfId="0" applyFont="1" applyBorder="1"/>
    <xf numFmtId="166" fontId="21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wrapText="1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66" fontId="19" fillId="0" borderId="10" xfId="0" applyNumberFormat="1" applyFont="1" applyBorder="1" applyAlignment="1">
      <alignment horizontal="center"/>
    </xf>
    <xf numFmtId="1" fontId="19" fillId="0" borderId="10" xfId="0" applyNumberFormat="1" applyFont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6" fontId="22" fillId="0" borderId="10" xfId="0" applyNumberFormat="1" applyFont="1" applyBorder="1" applyAlignment="1">
      <alignment horizontal="center"/>
    </xf>
    <xf numFmtId="2" fontId="18" fillId="0" borderId="10" xfId="0" applyNumberFormat="1" applyFont="1" applyBorder="1"/>
    <xf numFmtId="2" fontId="11" fillId="0" borderId="10" xfId="0" applyNumberFormat="1" applyFont="1" applyBorder="1" applyAlignment="1">
      <alignment horizontal="right"/>
    </xf>
    <xf numFmtId="2" fontId="11" fillId="0" borderId="10" xfId="0" applyNumberFormat="1" applyFont="1" applyBorder="1" applyAlignment="1">
      <alignment horizontal="center" vertical="center" wrapText="1"/>
    </xf>
    <xf numFmtId="166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166" fontId="10" fillId="0" borderId="10" xfId="0" applyNumberFormat="1" applyFont="1" applyBorder="1" applyAlignment="1">
      <alignment horizontal="center" vertical="center"/>
    </xf>
    <xf numFmtId="166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vertical="center"/>
    </xf>
    <xf numFmtId="1" fontId="19" fillId="0" borderId="10" xfId="0" applyNumberFormat="1" applyFont="1" applyBorder="1" applyAlignment="1">
      <alignment horizontal="center" vertical="center"/>
    </xf>
    <xf numFmtId="2" fontId="19" fillId="0" borderId="10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6" fontId="20" fillId="0" borderId="10" xfId="0" applyNumberFormat="1" applyFont="1" applyBorder="1" applyAlignment="1">
      <alignment horizontal="center" vertical="center"/>
    </xf>
    <xf numFmtId="166" fontId="22" fillId="0" borderId="10" xfId="0" applyNumberFormat="1" applyFont="1" applyBorder="1" applyAlignment="1">
      <alignment horizontal="center" vertical="center"/>
    </xf>
    <xf numFmtId="0" fontId="11" fillId="0" borderId="0" xfId="0" applyFont="1" applyFill="1" applyBorder="1"/>
    <xf numFmtId="167" fontId="12" fillId="0" borderId="26" xfId="0" applyNumberFormat="1" applyFont="1" applyBorder="1" applyAlignment="1">
      <alignment horizontal="center"/>
    </xf>
    <xf numFmtId="167" fontId="12" fillId="0" borderId="27" xfId="0" applyNumberFormat="1" applyFont="1" applyBorder="1" applyAlignment="1">
      <alignment horizontal="center"/>
    </xf>
    <xf numFmtId="167" fontId="12" fillId="0" borderId="25" xfId="0" applyNumberFormat="1" applyFont="1" applyBorder="1" applyAlignment="1">
      <alignment horizontal="center"/>
    </xf>
    <xf numFmtId="167" fontId="12" fillId="0" borderId="25" xfId="0" applyNumberFormat="1" applyFont="1" applyBorder="1" applyAlignment="1">
      <alignment horizontal="center" vertical="center"/>
    </xf>
    <xf numFmtId="167" fontId="11" fillId="0" borderId="10" xfId="0" applyNumberFormat="1" applyFont="1" applyBorder="1" applyAlignment="1">
      <alignment horizontal="center" vertical="top" wrapText="1"/>
    </xf>
    <xf numFmtId="167" fontId="10" fillId="0" borderId="10" xfId="0" applyNumberFormat="1" applyFont="1" applyBorder="1" applyAlignment="1">
      <alignment horizontal="center" vertical="top" wrapText="1"/>
    </xf>
    <xf numFmtId="0" fontId="11" fillId="0" borderId="28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/>
    </xf>
    <xf numFmtId="167" fontId="12" fillId="0" borderId="29" xfId="0" applyNumberFormat="1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1" fontId="11" fillId="0" borderId="28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>
      <alignment horizontal="center"/>
    </xf>
    <xf numFmtId="167" fontId="12" fillId="0" borderId="19" xfId="0" applyNumberFormat="1" applyFont="1" applyBorder="1" applyAlignment="1">
      <alignment horizontal="center"/>
    </xf>
    <xf numFmtId="167" fontId="11" fillId="0" borderId="19" xfId="0" applyNumberFormat="1" applyFont="1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166" fontId="11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1" fontId="10" fillId="24" borderId="10" xfId="0" applyNumberFormat="1" applyFont="1" applyFill="1" applyBorder="1" applyAlignment="1">
      <alignment horizontal="center" vertical="top" wrapText="1"/>
    </xf>
    <xf numFmtId="2" fontId="10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11" fillId="0" borderId="10" xfId="0" applyFont="1" applyBorder="1" applyAlignment="1">
      <alignment vertical="center"/>
    </xf>
    <xf numFmtId="167" fontId="0" fillId="0" borderId="0" xfId="0" applyNumberFormat="1"/>
    <xf numFmtId="2" fontId="11" fillId="0" borderId="0" xfId="0" applyNumberFormat="1" applyFont="1" applyAlignment="1">
      <alignment horizontal="center"/>
    </xf>
    <xf numFmtId="1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Border="1" applyAlignment="1">
      <alignment horizontal="center" wrapText="1"/>
    </xf>
    <xf numFmtId="167" fontId="13" fillId="0" borderId="10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10" xfId="0" applyNumberFormat="1" applyFont="1" applyBorder="1" applyAlignment="1">
      <alignment horizontal="center"/>
    </xf>
    <xf numFmtId="4" fontId="11" fillId="0" borderId="10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top" wrapText="1"/>
    </xf>
    <xf numFmtId="4" fontId="11" fillId="0" borderId="0" xfId="0" applyNumberFormat="1" applyFont="1" applyAlignment="1">
      <alignment horizontal="center"/>
    </xf>
    <xf numFmtId="4" fontId="10" fillId="0" borderId="10" xfId="0" applyNumberFormat="1" applyFont="1" applyBorder="1" applyAlignment="1">
      <alignment horizontal="center" vertical="top" wrapText="1"/>
    </xf>
    <xf numFmtId="4" fontId="11" fillId="0" borderId="10" xfId="0" applyNumberFormat="1" applyFont="1" applyBorder="1" applyAlignment="1">
      <alignment horizontal="center" vertical="center"/>
    </xf>
    <xf numFmtId="166" fontId="11" fillId="0" borderId="10" xfId="0" applyNumberFormat="1" applyFont="1" applyBorder="1"/>
    <xf numFmtId="2" fontId="13" fillId="0" borderId="10" xfId="0" applyNumberFormat="1" applyFont="1" applyBorder="1" applyAlignment="1">
      <alignment wrapText="1"/>
    </xf>
    <xf numFmtId="2" fontId="19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1" fillId="0" borderId="11" xfId="0" applyFont="1" applyBorder="1" applyAlignment="1">
      <alignment horizontal="center"/>
    </xf>
    <xf numFmtId="165" fontId="11" fillId="0" borderId="10" xfId="0" applyNumberFormat="1" applyFont="1" applyBorder="1" applyAlignment="1">
      <alignment horizontal="center"/>
    </xf>
    <xf numFmtId="169" fontId="0" fillId="0" borderId="10" xfId="85" applyNumberFormat="1" applyFont="1" applyBorder="1"/>
    <xf numFmtId="0" fontId="11" fillId="0" borderId="34" xfId="0" applyFont="1" applyBorder="1" applyAlignment="1">
      <alignment wrapText="1"/>
    </xf>
    <xf numFmtId="0" fontId="11" fillId="0" borderId="34" xfId="0" applyFont="1" applyBorder="1" applyAlignment="1">
      <alignment horizontal="center"/>
    </xf>
    <xf numFmtId="167" fontId="12" fillId="0" borderId="35" xfId="0" applyNumberFormat="1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167" fontId="12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1" fillId="0" borderId="0" xfId="0" applyFont="1" applyFill="1" applyBorder="1" applyAlignment="1">
      <alignment wrapText="1"/>
    </xf>
    <xf numFmtId="4" fontId="11" fillId="0" borderId="11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1" fillId="0" borderId="10" xfId="0" applyNumberFormat="1" applyFont="1" applyBorder="1" applyAlignment="1">
      <alignment horizontal="center"/>
    </xf>
    <xf numFmtId="2" fontId="42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6" fontId="0" fillId="0" borderId="10" xfId="0" applyNumberFormat="1" applyBorder="1"/>
    <xf numFmtId="4" fontId="41" fillId="0" borderId="10" xfId="0" applyNumberFormat="1" applyFont="1" applyBorder="1" applyAlignment="1">
      <alignment horizontal="center"/>
    </xf>
    <xf numFmtId="4" fontId="42" fillId="0" borderId="10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5" fillId="0" borderId="0" xfId="79"/>
    <xf numFmtId="0" fontId="48" fillId="0" borderId="0" xfId="79" applyFont="1"/>
    <xf numFmtId="169" fontId="46" fillId="0" borderId="10" xfId="85" applyNumberFormat="1" applyFont="1" applyFill="1" applyBorder="1" applyAlignment="1">
      <alignment horizontal="center" vertical="center"/>
    </xf>
    <xf numFmtId="167" fontId="46" fillId="0" borderId="10" xfId="79" applyNumberFormat="1" applyFont="1" applyFill="1" applyBorder="1" applyAlignment="1">
      <alignment horizontal="center" vertical="center"/>
    </xf>
    <xf numFmtId="169" fontId="47" fillId="0" borderId="10" xfId="85" applyNumberFormat="1" applyFont="1" applyFill="1" applyBorder="1" applyAlignment="1">
      <alignment horizontal="center" vertical="center"/>
    </xf>
    <xf numFmtId="0" fontId="5" fillId="0" borderId="0" xfId="79" applyFont="1" applyFill="1"/>
    <xf numFmtId="0" fontId="5" fillId="0" borderId="0" xfId="79" applyFont="1"/>
    <xf numFmtId="168" fontId="46" fillId="0" borderId="10" xfId="79" applyNumberFormat="1" applyFont="1" applyFill="1" applyBorder="1" applyAlignment="1">
      <alignment horizontal="center" vertical="center"/>
    </xf>
    <xf numFmtId="0" fontId="11" fillId="0" borderId="0" xfId="79" applyFont="1" applyBorder="1" applyAlignment="1">
      <alignment horizontal="center" vertical="center"/>
    </xf>
    <xf numFmtId="0" fontId="6" fillId="0" borderId="0" xfId="79" applyFont="1"/>
    <xf numFmtId="10" fontId="12" fillId="0" borderId="11" xfId="85" applyNumberFormat="1" applyFont="1" applyBorder="1" applyAlignment="1">
      <alignment horizontal="center" vertical="center"/>
    </xf>
    <xf numFmtId="0" fontId="48" fillId="0" borderId="0" xfId="0" applyFont="1"/>
    <xf numFmtId="2" fontId="10" fillId="0" borderId="10" xfId="0" applyNumberFormat="1" applyFont="1" applyFill="1" applyBorder="1" applyAlignment="1">
      <alignment wrapText="1"/>
    </xf>
    <xf numFmtId="10" fontId="45" fillId="0" borderId="10" xfId="85" applyNumberFormat="1" applyFont="1" applyBorder="1"/>
    <xf numFmtId="0" fontId="52" fillId="0" borderId="0" xfId="81" applyFont="1" applyAlignment="1">
      <alignment horizontal="center"/>
    </xf>
    <xf numFmtId="0" fontId="24" fillId="0" borderId="0" xfId="81"/>
    <xf numFmtId="0" fontId="53" fillId="0" borderId="0" xfId="81" applyFont="1" applyAlignment="1">
      <alignment horizontal="left"/>
    </xf>
    <xf numFmtId="0" fontId="53" fillId="0" borderId="0" xfId="81" applyFont="1" applyAlignment="1">
      <alignment horizontal="center"/>
    </xf>
    <xf numFmtId="0" fontId="53" fillId="0" borderId="39" xfId="81" applyFont="1" applyBorder="1" applyAlignment="1">
      <alignment horizontal="center" vertical="center" wrapText="1"/>
    </xf>
    <xf numFmtId="0" fontId="53" fillId="0" borderId="22" xfId="81" applyFont="1" applyBorder="1" applyAlignment="1">
      <alignment horizontal="center" vertical="center"/>
    </xf>
    <xf numFmtId="0" fontId="53" fillId="0" borderId="22" xfId="81" applyFont="1" applyBorder="1" applyAlignment="1">
      <alignment horizontal="center" vertical="center" wrapText="1"/>
    </xf>
    <xf numFmtId="0" fontId="53" fillId="0" borderId="29" xfId="81" applyFont="1" applyBorder="1" applyAlignment="1">
      <alignment horizontal="center" vertical="center" wrapText="1"/>
    </xf>
    <xf numFmtId="0" fontId="53" fillId="0" borderId="21" xfId="81" applyFont="1" applyBorder="1" applyAlignment="1">
      <alignment horizontal="center" vertical="center" wrapText="1"/>
    </xf>
    <xf numFmtId="0" fontId="53" fillId="0" borderId="23" xfId="81" applyFont="1" applyBorder="1" applyAlignment="1">
      <alignment horizontal="center" vertical="center" wrapText="1"/>
    </xf>
    <xf numFmtId="0" fontId="53" fillId="0" borderId="40" xfId="81" applyFont="1" applyBorder="1"/>
    <xf numFmtId="0" fontId="53" fillId="0" borderId="34" xfId="81" applyFont="1" applyBorder="1" applyAlignment="1">
      <alignment horizontal="center"/>
    </xf>
    <xf numFmtId="0" fontId="53" fillId="0" borderId="31" xfId="81" applyFont="1" applyBorder="1" applyAlignment="1">
      <alignment horizontal="center"/>
    </xf>
    <xf numFmtId="4" fontId="53" fillId="0" borderId="11" xfId="81" applyNumberFormat="1" applyFont="1" applyBorder="1" applyAlignment="1">
      <alignment horizontal="center"/>
    </xf>
    <xf numFmtId="2" fontId="53" fillId="0" borderId="11" xfId="81" applyNumberFormat="1" applyFont="1" applyBorder="1" applyAlignment="1">
      <alignment horizontal="center"/>
    </xf>
    <xf numFmtId="43" fontId="53" fillId="0" borderId="35" xfId="89" applyFont="1" applyBorder="1" applyAlignment="1">
      <alignment horizontal="center"/>
    </xf>
    <xf numFmtId="0" fontId="53" fillId="0" borderId="37" xfId="81" applyFont="1" applyBorder="1" applyAlignment="1">
      <alignment horizontal="center"/>
    </xf>
    <xf numFmtId="43" fontId="53" fillId="0" borderId="11" xfId="89" applyFont="1" applyBorder="1" applyAlignment="1">
      <alignment horizontal="center"/>
    </xf>
    <xf numFmtId="167" fontId="53" fillId="0" borderId="38" xfId="81" applyNumberFormat="1" applyFont="1" applyBorder="1" applyAlignment="1">
      <alignment horizontal="center"/>
    </xf>
    <xf numFmtId="169" fontId="53" fillId="0" borderId="38" xfId="85" applyNumberFormat="1" applyFont="1" applyBorder="1" applyAlignment="1">
      <alignment horizontal="center"/>
    </xf>
    <xf numFmtId="0" fontId="53" fillId="0" borderId="41" xfId="81" applyFont="1" applyBorder="1"/>
    <xf numFmtId="0" fontId="53" fillId="0" borderId="12" xfId="81" applyFont="1" applyBorder="1" applyAlignment="1">
      <alignment horizontal="center"/>
    </xf>
    <xf numFmtId="0" fontId="53" fillId="0" borderId="28" xfId="81" applyFont="1" applyBorder="1" applyAlignment="1">
      <alignment horizontal="center"/>
    </xf>
    <xf numFmtId="2" fontId="53" fillId="0" borderId="10" xfId="81" applyNumberFormat="1" applyFont="1" applyBorder="1" applyAlignment="1">
      <alignment horizontal="center"/>
    </xf>
    <xf numFmtId="0" fontId="53" fillId="0" borderId="19" xfId="81" applyFont="1" applyBorder="1" applyAlignment="1">
      <alignment horizontal="center"/>
    </xf>
    <xf numFmtId="4" fontId="53" fillId="0" borderId="10" xfId="81" applyNumberFormat="1" applyFont="1" applyBorder="1" applyAlignment="1">
      <alignment horizontal="center"/>
    </xf>
    <xf numFmtId="2" fontId="53" fillId="0" borderId="28" xfId="81" applyNumberFormat="1" applyFont="1" applyBorder="1" applyAlignment="1">
      <alignment horizontal="center"/>
    </xf>
    <xf numFmtId="0" fontId="53" fillId="0" borderId="10" xfId="81" applyFont="1" applyBorder="1" applyAlignment="1">
      <alignment horizontal="center"/>
    </xf>
    <xf numFmtId="2" fontId="53" fillId="0" borderId="19" xfId="81" applyNumberFormat="1" applyFont="1" applyBorder="1" applyAlignment="1">
      <alignment horizontal="center"/>
    </xf>
    <xf numFmtId="0" fontId="53" fillId="0" borderId="42" xfId="81" applyFont="1" applyBorder="1"/>
    <xf numFmtId="0" fontId="53" fillId="0" borderId="15" xfId="81" applyFont="1" applyBorder="1" applyAlignment="1">
      <alignment horizontal="center"/>
    </xf>
    <xf numFmtId="0" fontId="53" fillId="0" borderId="39" xfId="81" applyFont="1" applyBorder="1" applyAlignment="1">
      <alignment horizontal="center"/>
    </xf>
    <xf numFmtId="4" fontId="53" fillId="0" borderId="43" xfId="81" applyNumberFormat="1" applyFont="1" applyBorder="1" applyAlignment="1">
      <alignment horizontal="center"/>
    </xf>
    <xf numFmtId="2" fontId="53" fillId="0" borderId="22" xfId="81" applyNumberFormat="1" applyFont="1" applyBorder="1" applyAlignment="1">
      <alignment horizontal="center"/>
    </xf>
    <xf numFmtId="43" fontId="53" fillId="0" borderId="29" xfId="89" applyFont="1" applyBorder="1" applyAlignment="1">
      <alignment horizontal="center"/>
    </xf>
    <xf numFmtId="2" fontId="53" fillId="0" borderId="21" xfId="81" applyNumberFormat="1" applyFont="1" applyBorder="1" applyAlignment="1">
      <alignment horizontal="center"/>
    </xf>
    <xf numFmtId="43" fontId="53" fillId="0" borderId="22" xfId="89" applyFont="1" applyBorder="1" applyAlignment="1">
      <alignment horizontal="center"/>
    </xf>
    <xf numFmtId="167" fontId="53" fillId="0" borderId="23" xfId="81" applyNumberFormat="1" applyFont="1" applyBorder="1" applyAlignment="1">
      <alignment horizontal="center"/>
    </xf>
    <xf numFmtId="0" fontId="53" fillId="0" borderId="22" xfId="81" applyFont="1" applyBorder="1" applyAlignment="1">
      <alignment horizontal="center"/>
    </xf>
    <xf numFmtId="169" fontId="53" fillId="0" borderId="44" xfId="85" applyNumberFormat="1" applyFont="1" applyBorder="1" applyAlignment="1">
      <alignment horizontal="center"/>
    </xf>
    <xf numFmtId="0" fontId="6" fillId="0" borderId="10" xfId="0" applyFont="1" applyBorder="1" applyAlignment="1">
      <alignment wrapText="1"/>
    </xf>
    <xf numFmtId="0" fontId="6" fillId="0" borderId="10" xfId="0" applyFont="1" applyBorder="1"/>
    <xf numFmtId="4" fontId="0" fillId="0" borderId="10" xfId="85" applyNumberFormat="1" applyFont="1" applyBorder="1"/>
    <xf numFmtId="4" fontId="56" fillId="0" borderId="10" xfId="0" applyNumberFormat="1" applyFont="1" applyBorder="1" applyAlignment="1">
      <alignment horizontal="center" vertical="center"/>
    </xf>
    <xf numFmtId="4" fontId="61" fillId="0" borderId="10" xfId="0" applyNumberFormat="1" applyFont="1" applyBorder="1"/>
    <xf numFmtId="0" fontId="61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4" fontId="10" fillId="0" borderId="11" xfId="0" applyNumberFormat="1" applyFont="1" applyBorder="1" applyAlignment="1">
      <alignment horizontal="center" vertical="center" wrapText="1"/>
    </xf>
    <xf numFmtId="0" fontId="11" fillId="0" borderId="46" xfId="0" applyFont="1" applyFill="1" applyBorder="1"/>
    <xf numFmtId="10" fontId="57" fillId="0" borderId="11" xfId="85" applyNumberFormat="1" applyFont="1" applyBorder="1" applyAlignment="1">
      <alignment horizontal="center" vertical="center"/>
    </xf>
    <xf numFmtId="4" fontId="16" fillId="0" borderId="10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right" vertical="center" indent="1"/>
    </xf>
    <xf numFmtId="1" fontId="16" fillId="0" borderId="19" xfId="0" applyNumberFormat="1" applyFont="1" applyBorder="1" applyAlignment="1">
      <alignment horizontal="right" vertical="center" indent="1"/>
    </xf>
    <xf numFmtId="168" fontId="16" fillId="0" borderId="10" xfId="0" applyNumberFormat="1" applyFont="1" applyBorder="1" applyAlignment="1">
      <alignment horizontal="right" vertical="center"/>
    </xf>
    <xf numFmtId="10" fontId="62" fillId="0" borderId="10" xfId="85" applyNumberFormat="1" applyFont="1" applyBorder="1"/>
    <xf numFmtId="3" fontId="56" fillId="0" borderId="10" xfId="0" applyNumberFormat="1" applyFont="1" applyBorder="1" applyAlignment="1">
      <alignment horizontal="right" vertical="center" indent="1"/>
    </xf>
    <xf numFmtId="1" fontId="56" fillId="0" borderId="19" xfId="0" applyNumberFormat="1" applyFont="1" applyBorder="1" applyAlignment="1">
      <alignment horizontal="right" vertical="center" indent="1"/>
    </xf>
    <xf numFmtId="168" fontId="56" fillId="0" borderId="10" xfId="0" applyNumberFormat="1" applyFont="1" applyBorder="1" applyAlignment="1">
      <alignment horizontal="right" vertical="center"/>
    </xf>
    <xf numFmtId="167" fontId="56" fillId="0" borderId="19" xfId="0" applyNumberFormat="1" applyFont="1" applyBorder="1" applyAlignment="1">
      <alignment horizontal="right" vertical="center" indent="1"/>
    </xf>
    <xf numFmtId="3" fontId="63" fillId="0" borderId="10" xfId="0" applyNumberFormat="1" applyFont="1" applyBorder="1" applyAlignment="1">
      <alignment horizontal="right" vertical="center" indent="1"/>
    </xf>
    <xf numFmtId="1" fontId="63" fillId="0" borderId="19" xfId="0" applyNumberFormat="1" applyFont="1" applyBorder="1" applyAlignment="1">
      <alignment horizontal="right" vertical="center" indent="1"/>
    </xf>
    <xf numFmtId="168" fontId="63" fillId="0" borderId="10" xfId="0" applyNumberFormat="1" applyFont="1" applyBorder="1" applyAlignment="1">
      <alignment horizontal="right" vertical="center"/>
    </xf>
    <xf numFmtId="2" fontId="10" fillId="0" borderId="25" xfId="0" applyNumberFormat="1" applyFont="1" applyBorder="1" applyAlignment="1">
      <alignment horizontal="center" vertical="center"/>
    </xf>
    <xf numFmtId="2" fontId="11" fillId="0" borderId="19" xfId="0" applyNumberFormat="1" applyFont="1" applyBorder="1" applyAlignment="1">
      <alignment horizontal="center" wrapText="1"/>
    </xf>
    <xf numFmtId="2" fontId="10" fillId="0" borderId="20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wrapText="1"/>
    </xf>
    <xf numFmtId="4" fontId="11" fillId="0" borderId="20" xfId="0" applyNumberFormat="1" applyFont="1" applyBorder="1" applyAlignment="1">
      <alignment horizontal="center" vertical="center" wrapText="1"/>
    </xf>
    <xf numFmtId="4" fontId="11" fillId="0" borderId="18" xfId="0" applyNumberFormat="1" applyFont="1" applyBorder="1" applyAlignment="1">
      <alignment horizontal="center"/>
    </xf>
    <xf numFmtId="4" fontId="11" fillId="0" borderId="20" xfId="0" applyNumberFormat="1" applyFont="1" applyBorder="1" applyAlignment="1">
      <alignment horizontal="center"/>
    </xf>
    <xf numFmtId="4" fontId="11" fillId="0" borderId="23" xfId="0" applyNumberFormat="1" applyFont="1" applyBorder="1" applyAlignment="1">
      <alignment horizontal="center"/>
    </xf>
    <xf numFmtId="0" fontId="11" fillId="0" borderId="19" xfId="0" applyFont="1" applyBorder="1"/>
    <xf numFmtId="0" fontId="10" fillId="0" borderId="19" xfId="0" applyFont="1" applyBorder="1"/>
    <xf numFmtId="0" fontId="10" fillId="0" borderId="19" xfId="0" applyFont="1" applyBorder="1" applyAlignment="1">
      <alignment vertical="center"/>
    </xf>
    <xf numFmtId="0" fontId="10" fillId="0" borderId="2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3" fontId="56" fillId="0" borderId="22" xfId="0" applyNumberFormat="1" applyFont="1" applyBorder="1" applyAlignment="1">
      <alignment horizontal="right" vertical="center" indent="1"/>
    </xf>
    <xf numFmtId="168" fontId="56" fillId="0" borderId="22" xfId="0" applyNumberFormat="1" applyFont="1" applyBorder="1" applyAlignment="1">
      <alignment horizontal="right" vertical="center"/>
    </xf>
    <xf numFmtId="10" fontId="62" fillId="0" borderId="22" xfId="85" applyNumberFormat="1" applyFont="1" applyBorder="1"/>
    <xf numFmtId="1" fontId="56" fillId="0" borderId="21" xfId="0" applyNumberFormat="1" applyFont="1" applyBorder="1" applyAlignment="1">
      <alignment horizontal="right" vertical="center" indent="1"/>
    </xf>
    <xf numFmtId="0" fontId="11" fillId="0" borderId="2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2" fontId="11" fillId="0" borderId="19" xfId="0" applyNumberFormat="1" applyFont="1" applyBorder="1" applyAlignment="1">
      <alignment horizontal="center"/>
    </xf>
    <xf numFmtId="2" fontId="11" fillId="0" borderId="35" xfId="0" applyNumberFormat="1" applyFont="1" applyBorder="1" applyAlignment="1">
      <alignment horizontal="center"/>
    </xf>
    <xf numFmtId="4" fontId="58" fillId="0" borderId="10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wrapText="1"/>
    </xf>
    <xf numFmtId="0" fontId="5" fillId="0" borderId="0" xfId="79" applyFill="1"/>
    <xf numFmtId="0" fontId="5" fillId="0" borderId="0" xfId="79" applyFill="1" applyAlignment="1">
      <alignment horizontal="center"/>
    </xf>
    <xf numFmtId="168" fontId="5" fillId="0" borderId="0" xfId="79" applyNumberFormat="1" applyFill="1"/>
    <xf numFmtId="165" fontId="11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6" fontId="11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4" fontId="11" fillId="0" borderId="11" xfId="0" applyNumberFormat="1" applyFont="1" applyBorder="1" applyAlignment="1">
      <alignment horizontal="center"/>
    </xf>
    <xf numFmtId="2" fontId="11" fillId="0" borderId="11" xfId="0" applyNumberFormat="1" applyFont="1" applyBorder="1" applyAlignment="1">
      <alignment horizontal="center"/>
    </xf>
    <xf numFmtId="0" fontId="0" fillId="0" borderId="0" xfId="0" applyBorder="1"/>
    <xf numFmtId="0" fontId="11" fillId="0" borderId="17" xfId="0" applyFont="1" applyBorder="1"/>
    <xf numFmtId="2" fontId="11" fillId="0" borderId="2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0" fontId="10" fillId="0" borderId="19" xfId="0" applyFont="1" applyBorder="1" applyAlignment="1">
      <alignment wrapText="1"/>
    </xf>
    <xf numFmtId="2" fontId="41" fillId="0" borderId="20" xfId="0" applyNumberFormat="1" applyFont="1" applyBorder="1" applyAlignment="1">
      <alignment horizontal="center"/>
    </xf>
    <xf numFmtId="2" fontId="42" fillId="0" borderId="20" xfId="0" applyNumberFormat="1" applyFont="1" applyFill="1" applyBorder="1" applyAlignment="1">
      <alignment horizontal="center"/>
    </xf>
    <xf numFmtId="0" fontId="11" fillId="0" borderId="19" xfId="0" applyFont="1" applyFill="1" applyBorder="1"/>
    <xf numFmtId="0" fontId="11" fillId="0" borderId="49" xfId="0" applyFont="1" applyFill="1" applyBorder="1"/>
    <xf numFmtId="167" fontId="10" fillId="0" borderId="20" xfId="0" applyNumberFormat="1" applyFont="1" applyBorder="1" applyAlignment="1">
      <alignment horizontal="center"/>
    </xf>
    <xf numFmtId="0" fontId="10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1" fillId="0" borderId="37" xfId="0" applyFont="1" applyBorder="1"/>
    <xf numFmtId="1" fontId="11" fillId="0" borderId="11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166" fontId="0" fillId="0" borderId="11" xfId="0" applyNumberFormat="1" applyBorder="1"/>
    <xf numFmtId="2" fontId="11" fillId="0" borderId="38" xfId="0" applyNumberFormat="1" applyFont="1" applyBorder="1" applyAlignment="1">
      <alignment horizontal="center"/>
    </xf>
    <xf numFmtId="0" fontId="11" fillId="0" borderId="27" xfId="0" applyFont="1" applyBorder="1"/>
    <xf numFmtId="2" fontId="11" fillId="0" borderId="25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9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 wrapText="1"/>
    </xf>
    <xf numFmtId="2" fontId="11" fillId="0" borderId="28" xfId="0" applyNumberFormat="1" applyFont="1" applyBorder="1" applyAlignment="1">
      <alignment horizontal="center"/>
    </xf>
    <xf numFmtId="2" fontId="10" fillId="0" borderId="28" xfId="0" applyNumberFormat="1" applyFont="1" applyBorder="1" applyAlignment="1">
      <alignment horizontal="center"/>
    </xf>
    <xf numFmtId="167" fontId="10" fillId="0" borderId="28" xfId="0" applyNumberFormat="1" applyFont="1" applyBorder="1" applyAlignment="1">
      <alignment horizontal="center" vertical="center"/>
    </xf>
    <xf numFmtId="2" fontId="11" fillId="0" borderId="28" xfId="0" applyNumberFormat="1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/>
    </xf>
    <xf numFmtId="2" fontId="11" fillId="0" borderId="37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 wrapText="1"/>
    </xf>
    <xf numFmtId="2" fontId="10" fillId="0" borderId="19" xfId="0" applyNumberFormat="1" applyFont="1" applyBorder="1" applyAlignment="1">
      <alignment horizontal="center"/>
    </xf>
    <xf numFmtId="2" fontId="10" fillId="0" borderId="19" xfId="0" applyNumberFormat="1" applyFont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/>
    </xf>
    <xf numFmtId="0" fontId="10" fillId="0" borderId="23" xfId="0" applyFont="1" applyBorder="1" applyAlignment="1">
      <alignment horizontal="center" vertical="center"/>
    </xf>
    <xf numFmtId="2" fontId="11" fillId="0" borderId="25" xfId="0" applyNumberFormat="1" applyFont="1" applyFill="1" applyBorder="1" applyAlignment="1">
      <alignment horizontal="center"/>
    </xf>
    <xf numFmtId="2" fontId="11" fillId="0" borderId="1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166" fontId="0" fillId="0" borderId="0" xfId="0" applyNumberFormat="1"/>
    <xf numFmtId="0" fontId="0" fillId="0" borderId="10" xfId="0" applyFill="1" applyBorder="1"/>
    <xf numFmtId="0" fontId="54" fillId="0" borderId="0" xfId="0" applyFont="1"/>
    <xf numFmtId="4" fontId="54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3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8" fillId="0" borderId="10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4" fontId="58" fillId="0" borderId="20" xfId="0" applyNumberFormat="1" applyFont="1" applyBorder="1" applyAlignment="1">
      <alignment horizontal="center" vertical="center"/>
    </xf>
    <xf numFmtId="174" fontId="69" fillId="0" borderId="10" xfId="85" applyNumberFormat="1" applyFont="1" applyBorder="1"/>
    <xf numFmtId="0" fontId="5" fillId="0" borderId="0" xfId="0" applyFont="1"/>
    <xf numFmtId="0" fontId="17" fillId="0" borderId="0" xfId="0" applyFont="1" applyAlignment="1">
      <alignment horizontal="center"/>
    </xf>
    <xf numFmtId="0" fontId="76" fillId="0" borderId="0" xfId="0" applyFont="1"/>
    <xf numFmtId="0" fontId="19" fillId="0" borderId="50" xfId="0" applyFont="1" applyBorder="1" applyAlignment="1">
      <alignment horizontal="center" wrapText="1"/>
    </xf>
    <xf numFmtId="0" fontId="19" fillId="0" borderId="51" xfId="0" applyFont="1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4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55" xfId="0" applyFont="1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57" xfId="0" applyFont="1" applyBorder="1" applyAlignment="1">
      <alignment horizontal="center" wrapText="1"/>
    </xf>
    <xf numFmtId="0" fontId="19" fillId="0" borderId="58" xfId="0" applyFont="1" applyBorder="1" applyAlignment="1">
      <alignment horizontal="center" wrapText="1"/>
    </xf>
    <xf numFmtId="0" fontId="77" fillId="0" borderId="0" xfId="0" applyFont="1"/>
    <xf numFmtId="0" fontId="19" fillId="0" borderId="58" xfId="0" applyFont="1" applyBorder="1" applyAlignment="1">
      <alignment horizontal="center" vertical="top" wrapText="1"/>
    </xf>
    <xf numFmtId="0" fontId="19" fillId="0" borderId="59" xfId="0" applyFont="1" applyBorder="1" applyAlignment="1">
      <alignment horizontal="center" vertical="top" wrapText="1"/>
    </xf>
    <xf numFmtId="0" fontId="19" fillId="0" borderId="48" xfId="0" applyFont="1" applyBorder="1" applyAlignment="1">
      <alignment vertical="top" wrapText="1"/>
    </xf>
    <xf numFmtId="0" fontId="19" fillId="0" borderId="48" xfId="0" applyFont="1" applyBorder="1" applyAlignment="1">
      <alignment horizontal="center" vertical="top" wrapText="1"/>
    </xf>
    <xf numFmtId="0" fontId="19" fillId="0" borderId="48" xfId="0" applyFont="1" applyBorder="1" applyAlignment="1">
      <alignment horizontal="right" vertical="top" wrapText="1"/>
    </xf>
    <xf numFmtId="0" fontId="19" fillId="0" borderId="33" xfId="0" applyFont="1" applyBorder="1" applyAlignment="1">
      <alignment vertical="top" wrapText="1"/>
    </xf>
    <xf numFmtId="0" fontId="19" fillId="0" borderId="33" xfId="0" applyFont="1" applyBorder="1" applyAlignment="1">
      <alignment horizontal="right" vertical="top" wrapText="1"/>
    </xf>
    <xf numFmtId="0" fontId="19" fillId="0" borderId="60" xfId="0" applyFont="1" applyBorder="1" applyAlignment="1">
      <alignment vertical="top" wrapText="1"/>
    </xf>
    <xf numFmtId="0" fontId="19" fillId="0" borderId="60" xfId="0" applyFont="1" applyBorder="1" applyAlignment="1">
      <alignment horizontal="center" vertical="top" wrapText="1"/>
    </xf>
    <xf numFmtId="0" fontId="19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1" fillId="0" borderId="45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80" fillId="0" borderId="0" xfId="0" applyFont="1"/>
    <xf numFmtId="0" fontId="80" fillId="0" borderId="10" xfId="0" applyFont="1" applyBorder="1" applyAlignment="1">
      <alignment vertical="center"/>
    </xf>
    <xf numFmtId="4" fontId="58" fillId="0" borderId="10" xfId="0" applyNumberFormat="1" applyFont="1" applyFill="1" applyBorder="1" applyAlignment="1">
      <alignment horizontal="center" vertical="center"/>
    </xf>
    <xf numFmtId="4" fontId="58" fillId="0" borderId="11" xfId="0" applyNumberFormat="1" applyFont="1" applyFill="1" applyBorder="1" applyAlignment="1">
      <alignment horizontal="center"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0" fillId="0" borderId="11" xfId="0" applyFont="1" applyFill="1" applyBorder="1"/>
    <xf numFmtId="0" fontId="0" fillId="0" borderId="0" xfId="0" applyAlignment="1">
      <alignment vertical="center"/>
    </xf>
    <xf numFmtId="0" fontId="54" fillId="0" borderId="0" xfId="0" applyFont="1" applyAlignment="1">
      <alignment vertical="center"/>
    </xf>
    <xf numFmtId="167" fontId="16" fillId="0" borderId="10" xfId="0" applyNumberFormat="1" applyFont="1" applyBorder="1" applyAlignment="1">
      <alignment horizontal="center" vertical="center"/>
    </xf>
    <xf numFmtId="10" fontId="12" fillId="0" borderId="10" xfId="85" applyNumberFormat="1" applyFont="1" applyBorder="1" applyAlignment="1">
      <alignment horizontal="center" vertical="center"/>
    </xf>
    <xf numFmtId="10" fontId="57" fillId="0" borderId="10" xfId="85" applyNumberFormat="1" applyFont="1" applyBorder="1" applyAlignment="1">
      <alignment horizontal="center" vertical="center"/>
    </xf>
    <xf numFmtId="167" fontId="10" fillId="0" borderId="45" xfId="0" applyNumberFormat="1" applyFont="1" applyBorder="1" applyAlignment="1">
      <alignment horizontal="center" vertical="center"/>
    </xf>
    <xf numFmtId="4" fontId="10" fillId="0" borderId="45" xfId="0" applyNumberFormat="1" applyFont="1" applyBorder="1" applyAlignment="1">
      <alignment horizontal="center" vertical="center"/>
    </xf>
    <xf numFmtId="4" fontId="16" fillId="0" borderId="45" xfId="0" applyNumberFormat="1" applyFont="1" applyBorder="1" applyAlignment="1">
      <alignment horizontal="center" vertical="center"/>
    </xf>
    <xf numFmtId="167" fontId="11" fillId="0" borderId="11" xfId="0" applyNumberFormat="1" applyFont="1" applyBorder="1" applyAlignment="1">
      <alignment horizontal="center" vertical="center"/>
    </xf>
    <xf numFmtId="4" fontId="57" fillId="0" borderId="10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wrapText="1"/>
    </xf>
    <xf numFmtId="4" fontId="59" fillId="0" borderId="10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167" fontId="13" fillId="0" borderId="22" xfId="0" applyNumberFormat="1" applyFont="1" applyBorder="1" applyAlignment="1">
      <alignment horizontal="center" vertical="center"/>
    </xf>
    <xf numFmtId="4" fontId="13" fillId="0" borderId="22" xfId="0" applyNumberFormat="1" applyFont="1" applyBorder="1" applyAlignment="1">
      <alignment horizontal="center" vertical="center"/>
    </xf>
    <xf numFmtId="4" fontId="16" fillId="0" borderId="22" xfId="0" applyNumberFormat="1" applyFont="1" applyBorder="1" applyAlignment="1">
      <alignment horizontal="center" vertical="center"/>
    </xf>
    <xf numFmtId="4" fontId="15" fillId="0" borderId="21" xfId="0" applyNumberFormat="1" applyFont="1" applyFill="1" applyBorder="1" applyAlignment="1">
      <alignment horizontal="center" vertical="center"/>
    </xf>
    <xf numFmtId="10" fontId="59" fillId="0" borderId="10" xfId="85" applyNumberFormat="1" applyFont="1" applyBorder="1" applyAlignment="1">
      <alignment horizontal="center" vertical="center"/>
    </xf>
    <xf numFmtId="167" fontId="15" fillId="0" borderId="20" xfId="0" applyNumberFormat="1" applyFont="1" applyBorder="1" applyAlignment="1">
      <alignment horizontal="center" vertical="center"/>
    </xf>
    <xf numFmtId="167" fontId="58" fillId="0" borderId="20" xfId="0" applyNumberFormat="1" applyFont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4" fontId="15" fillId="0" borderId="19" xfId="0" applyNumberFormat="1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2" fontId="15" fillId="0" borderId="20" xfId="0" applyNumberFormat="1" applyFont="1" applyBorder="1" applyAlignment="1">
      <alignment horizontal="center" vertical="center"/>
    </xf>
    <xf numFmtId="0" fontId="58" fillId="0" borderId="45" xfId="0" applyFont="1" applyBorder="1" applyAlignment="1">
      <alignment horizontal="center" vertical="center" wrapText="1"/>
    </xf>
    <xf numFmtId="4" fontId="15" fillId="0" borderId="10" xfId="0" applyNumberFormat="1" applyFont="1" applyFill="1" applyBorder="1"/>
    <xf numFmtId="0" fontId="58" fillId="0" borderId="10" xfId="0" applyFont="1" applyFill="1" applyBorder="1"/>
    <xf numFmtId="4" fontId="58" fillId="0" borderId="10" xfId="0" applyNumberFormat="1" applyFont="1" applyFill="1" applyBorder="1"/>
    <xf numFmtId="2" fontId="58" fillId="0" borderId="10" xfId="0" applyNumberFormat="1" applyFont="1" applyFill="1" applyBorder="1"/>
    <xf numFmtId="2" fontId="59" fillId="0" borderId="10" xfId="0" applyNumberFormat="1" applyFont="1" applyFill="1" applyBorder="1"/>
    <xf numFmtId="0" fontId="58" fillId="0" borderId="20" xfId="0" applyFont="1" applyBorder="1"/>
    <xf numFmtId="0" fontId="58" fillId="0" borderId="23" xfId="0" applyFont="1" applyBorder="1"/>
    <xf numFmtId="0" fontId="58" fillId="0" borderId="45" xfId="0" applyFont="1" applyFill="1" applyBorder="1" applyAlignment="1">
      <alignment horizontal="center" vertical="center" wrapText="1"/>
    </xf>
    <xf numFmtId="0" fontId="58" fillId="0" borderId="11" xfId="0" applyFont="1" applyBorder="1"/>
    <xf numFmtId="0" fontId="58" fillId="0" borderId="11" xfId="0" applyFont="1" applyFill="1" applyBorder="1"/>
    <xf numFmtId="0" fontId="58" fillId="0" borderId="38" xfId="0" applyFont="1" applyBorder="1"/>
    <xf numFmtId="2" fontId="58" fillId="0" borderId="45" xfId="0" applyNumberFormat="1" applyFont="1" applyFill="1" applyBorder="1"/>
    <xf numFmtId="4" fontId="58" fillId="0" borderId="20" xfId="0" applyNumberFormat="1" applyFont="1" applyFill="1" applyBorder="1" applyAlignment="1">
      <alignment horizontal="center" vertical="center"/>
    </xf>
    <xf numFmtId="4" fontId="15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8" fillId="0" borderId="64" xfId="0" applyFont="1" applyFill="1" applyBorder="1" applyAlignment="1">
      <alignment horizontal="center" vertical="center" wrapText="1"/>
    </xf>
    <xf numFmtId="0" fontId="58" fillId="0" borderId="63" xfId="0" applyFont="1" applyFill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/>
    </xf>
    <xf numFmtId="4" fontId="58" fillId="0" borderId="0" xfId="0" applyNumberFormat="1" applyFont="1" applyAlignment="1">
      <alignment horizontal="center" vertical="center"/>
    </xf>
    <xf numFmtId="0" fontId="59" fillId="0" borderId="10" xfId="0" applyFont="1" applyFill="1" applyBorder="1" applyAlignment="1">
      <alignment vertical="center"/>
    </xf>
    <xf numFmtId="0" fontId="58" fillId="0" borderId="0" xfId="0" applyFont="1"/>
    <xf numFmtId="0" fontId="58" fillId="0" borderId="28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25" borderId="0" xfId="0" applyFont="1" applyFill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/>
    <xf numFmtId="10" fontId="11" fillId="0" borderId="0" xfId="85" applyNumberFormat="1" applyFont="1" applyFill="1"/>
    <xf numFmtId="0" fontId="58" fillId="0" borderId="0" xfId="0" applyFont="1" applyAlignment="1">
      <alignment vertical="center"/>
    </xf>
    <xf numFmtId="0" fontId="58" fillId="0" borderId="10" xfId="0" applyFont="1" applyFill="1" applyBorder="1" applyAlignment="1">
      <alignment vertical="center"/>
    </xf>
    <xf numFmtId="0" fontId="81" fillId="0" borderId="10" xfId="0" applyFont="1" applyFill="1" applyBorder="1" applyAlignment="1">
      <alignment vertical="center"/>
    </xf>
    <xf numFmtId="1" fontId="58" fillId="0" borderId="10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66" fontId="46" fillId="0" borderId="0" xfId="0" applyNumberFormat="1" applyFont="1" applyBorder="1" applyAlignment="1">
      <alignment horizontal="center" vertical="center"/>
    </xf>
    <xf numFmtId="0" fontId="82" fillId="27" borderId="10" xfId="0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2" fillId="27" borderId="19" xfId="0" applyFont="1" applyFill="1" applyBorder="1" applyAlignment="1">
      <alignment horizontal="center" vertical="center"/>
    </xf>
    <xf numFmtId="0" fontId="61" fillId="0" borderId="47" xfId="0" applyFont="1" applyBorder="1" applyAlignment="1">
      <alignment vertical="center"/>
    </xf>
    <xf numFmtId="0" fontId="61" fillId="0" borderId="0" xfId="0" applyFont="1" applyBorder="1" applyAlignment="1">
      <alignment vertical="center"/>
    </xf>
    <xf numFmtId="0" fontId="61" fillId="0" borderId="55" xfId="0" applyFont="1" applyBorder="1" applyAlignment="1">
      <alignment vertical="center"/>
    </xf>
    <xf numFmtId="0" fontId="61" fillId="0" borderId="0" xfId="0" applyFont="1" applyAlignment="1">
      <alignment vertical="center"/>
    </xf>
    <xf numFmtId="2" fontId="82" fillId="27" borderId="11" xfId="0" applyNumberFormat="1" applyFont="1" applyFill="1" applyBorder="1" applyAlignment="1">
      <alignment horizontal="center" vertical="center"/>
    </xf>
    <xf numFmtId="172" fontId="82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3" fillId="27" borderId="11" xfId="0" applyNumberFormat="1" applyFont="1" applyFill="1" applyBorder="1" applyAlignment="1">
      <alignment horizontal="center" vertical="center"/>
    </xf>
    <xf numFmtId="4" fontId="82" fillId="27" borderId="38" xfId="0" applyNumberFormat="1" applyFont="1" applyFill="1" applyBorder="1" applyAlignment="1">
      <alignment horizontal="center" vertical="center"/>
    </xf>
    <xf numFmtId="2" fontId="82" fillId="28" borderId="11" xfId="0" applyNumberFormat="1" applyFont="1" applyFill="1" applyBorder="1" applyAlignment="1">
      <alignment horizontal="center" vertical="center"/>
    </xf>
    <xf numFmtId="166" fontId="82" fillId="28" borderId="11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4" fontId="82" fillId="28" borderId="38" xfId="0" applyNumberFormat="1" applyFont="1" applyFill="1" applyBorder="1" applyAlignment="1">
      <alignment horizontal="center" vertical="center"/>
    </xf>
    <xf numFmtId="4" fontId="83" fillId="28" borderId="11" xfId="0" applyNumberFormat="1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horizontal="center" vertical="center"/>
    </xf>
    <xf numFmtId="166" fontId="82" fillId="26" borderId="11" xfId="0" applyNumberFormat="1" applyFont="1" applyFill="1" applyBorder="1" applyAlignment="1">
      <alignment horizontal="center" vertical="center"/>
    </xf>
    <xf numFmtId="3" fontId="82" fillId="26" borderId="11" xfId="0" applyNumberFormat="1" applyFont="1" applyFill="1" applyBorder="1" applyAlignment="1">
      <alignment horizontal="center" vertical="center"/>
    </xf>
    <xf numFmtId="169" fontId="83" fillId="26" borderId="11" xfId="85" applyNumberFormat="1" applyFont="1" applyFill="1" applyBorder="1" applyAlignment="1">
      <alignment horizontal="center" vertical="center"/>
    </xf>
    <xf numFmtId="4" fontId="82" fillId="26" borderId="35" xfId="0" applyNumberFormat="1" applyFont="1" applyFill="1" applyBorder="1" applyAlignment="1">
      <alignment horizontal="center" vertical="center"/>
    </xf>
    <xf numFmtId="2" fontId="82" fillId="27" borderId="37" xfId="0" applyNumberFormat="1" applyFont="1" applyFill="1" applyBorder="1" applyAlignment="1">
      <alignment horizontal="center" vertical="center"/>
    </xf>
    <xf numFmtId="10" fontId="83" fillId="27" borderId="11" xfId="85" applyNumberFormat="1" applyFont="1" applyFill="1" applyBorder="1" applyAlignment="1">
      <alignment horizontal="center" vertical="center"/>
    </xf>
    <xf numFmtId="172" fontId="83" fillId="27" borderId="10" xfId="0" applyNumberFormat="1" applyFont="1" applyFill="1" applyBorder="1" applyAlignment="1">
      <alignment horizontal="center" vertical="center"/>
    </xf>
    <xf numFmtId="4" fontId="83" fillId="27" borderId="10" xfId="0" applyNumberFormat="1" applyFont="1" applyFill="1" applyBorder="1" applyAlignment="1">
      <alignment horizontal="center" vertical="center"/>
    </xf>
    <xf numFmtId="4" fontId="82" fillId="27" borderId="20" xfId="0" applyNumberFormat="1" applyFont="1" applyFill="1" applyBorder="1" applyAlignment="1">
      <alignment horizontal="center" vertical="center"/>
    </xf>
    <xf numFmtId="2" fontId="82" fillId="28" borderId="10" xfId="0" applyNumberFormat="1" applyFont="1" applyFill="1" applyBorder="1" applyAlignment="1">
      <alignment horizontal="center" vertical="center"/>
    </xf>
    <xf numFmtId="172" fontId="83" fillId="28" borderId="10" xfId="0" applyNumberFormat="1" applyFont="1" applyFill="1" applyBorder="1" applyAlignment="1">
      <alignment horizontal="center" vertical="center"/>
    </xf>
    <xf numFmtId="4" fontId="82" fillId="28" borderId="20" xfId="0" applyNumberFormat="1" applyFont="1" applyFill="1" applyBorder="1" applyAlignment="1">
      <alignment horizontal="center" vertical="center"/>
    </xf>
    <xf numFmtId="4" fontId="83" fillId="28" borderId="10" xfId="0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horizontal="center" vertical="center"/>
    </xf>
    <xf numFmtId="166" fontId="82" fillId="26" borderId="10" xfId="0" applyNumberFormat="1" applyFont="1" applyFill="1" applyBorder="1" applyAlignment="1">
      <alignment horizontal="center" vertical="center"/>
    </xf>
    <xf numFmtId="3" fontId="82" fillId="26" borderId="10" xfId="0" applyNumberFormat="1" applyFont="1" applyFill="1" applyBorder="1" applyAlignment="1">
      <alignment horizontal="center" vertical="center"/>
    </xf>
    <xf numFmtId="167" fontId="83" fillId="26" borderId="10" xfId="0" applyNumberFormat="1" applyFont="1" applyFill="1" applyBorder="1" applyAlignment="1">
      <alignment horizontal="center" vertical="center"/>
    </xf>
    <xf numFmtId="4" fontId="82" fillId="26" borderId="25" xfId="0" applyNumberFormat="1" applyFont="1" applyFill="1" applyBorder="1" applyAlignment="1">
      <alignment horizontal="center" vertical="center"/>
    </xf>
    <xf numFmtId="10" fontId="83" fillId="27" borderId="10" xfId="85" applyNumberFormat="1" applyFont="1" applyFill="1" applyBorder="1" applyAlignment="1">
      <alignment horizontal="center" vertical="center"/>
    </xf>
    <xf numFmtId="2" fontId="82" fillId="27" borderId="10" xfId="0" applyNumberFormat="1" applyFont="1" applyFill="1" applyBorder="1" applyAlignment="1">
      <alignment horizontal="center" vertical="center"/>
    </xf>
    <xf numFmtId="172" fontId="82" fillId="27" borderId="10" xfId="0" applyNumberFormat="1" applyFont="1" applyFill="1" applyBorder="1" applyAlignment="1">
      <alignment horizontal="center" vertical="center"/>
    </xf>
    <xf numFmtId="10" fontId="83" fillId="26" borderId="10" xfId="85" applyNumberFormat="1" applyFont="1" applyFill="1" applyBorder="1" applyAlignment="1">
      <alignment horizontal="center" vertical="center"/>
    </xf>
    <xf numFmtId="2" fontId="82" fillId="27" borderId="19" xfId="0" applyNumberFormat="1" applyFont="1" applyFill="1" applyBorder="1" applyAlignment="1">
      <alignment horizontal="center" vertical="center"/>
    </xf>
    <xf numFmtId="169" fontId="83" fillId="26" borderId="10" xfId="85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vertical="center"/>
    </xf>
    <xf numFmtId="0" fontId="82" fillId="26" borderId="10" xfId="0" applyFont="1" applyFill="1" applyBorder="1" applyAlignment="1">
      <alignment vertical="center"/>
    </xf>
    <xf numFmtId="0" fontId="82" fillId="26" borderId="25" xfId="0" applyFont="1" applyFill="1" applyBorder="1" applyAlignment="1">
      <alignment horizontal="center" vertical="center"/>
    </xf>
    <xf numFmtId="166" fontId="82" fillId="28" borderId="10" xfId="0" applyNumberFormat="1" applyFont="1" applyFill="1" applyBorder="1" applyAlignment="1">
      <alignment horizontal="center" vertical="center"/>
    </xf>
    <xf numFmtId="167" fontId="82" fillId="27" borderId="10" xfId="0" applyNumberFormat="1" applyFont="1" applyFill="1" applyBorder="1" applyAlignment="1">
      <alignment horizontal="center" vertical="center"/>
    </xf>
    <xf numFmtId="166" fontId="82" fillId="27" borderId="10" xfId="0" applyNumberFormat="1" applyFont="1" applyFill="1" applyBorder="1" applyAlignment="1">
      <alignment horizontal="center" vertical="center"/>
    </xf>
    <xf numFmtId="167" fontId="82" fillId="28" borderId="10" xfId="0" applyNumberFormat="1" applyFont="1" applyFill="1" applyBorder="1" applyAlignment="1">
      <alignment horizontal="center" vertical="center"/>
    </xf>
    <xf numFmtId="2" fontId="82" fillId="26" borderId="10" xfId="0" applyNumberFormat="1" applyFont="1" applyFill="1" applyBorder="1" applyAlignment="1">
      <alignment horizontal="center" vertical="center"/>
    </xf>
    <xf numFmtId="167" fontId="82" fillId="26" borderId="25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58" fillId="0" borderId="39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8" fillId="27" borderId="39" xfId="0" applyFont="1" applyFill="1" applyBorder="1" applyAlignment="1">
      <alignment horizontal="center" vertical="center" wrapText="1"/>
    </xf>
    <xf numFmtId="0" fontId="58" fillId="27" borderId="22" xfId="0" applyFont="1" applyFill="1" applyBorder="1" applyAlignment="1">
      <alignment horizontal="center" vertical="center" wrapText="1"/>
    </xf>
    <xf numFmtId="0" fontId="58" fillId="27" borderId="29" xfId="0" applyFont="1" applyFill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29" xfId="0" applyFont="1" applyBorder="1" applyAlignment="1">
      <alignment horizontal="center" vertical="center" wrapText="1"/>
    </xf>
    <xf numFmtId="0" fontId="58" fillId="24" borderId="63" xfId="0" applyFont="1" applyFill="1" applyBorder="1" applyAlignment="1">
      <alignment horizontal="center" vertical="center" wrapText="1"/>
    </xf>
    <xf numFmtId="0" fontId="58" fillId="24" borderId="45" xfId="0" applyFont="1" applyFill="1" applyBorder="1" applyAlignment="1">
      <alignment horizontal="center" vertical="center" wrapText="1"/>
    </xf>
    <xf numFmtId="0" fontId="58" fillId="24" borderId="64" xfId="0" applyFont="1" applyFill="1" applyBorder="1" applyAlignment="1">
      <alignment horizontal="center" vertical="center" wrapText="1"/>
    </xf>
    <xf numFmtId="0" fontId="58" fillId="24" borderId="65" xfId="0" applyFont="1" applyFill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/>
    </xf>
    <xf numFmtId="0" fontId="58" fillId="0" borderId="31" xfId="0" applyFont="1" applyBorder="1"/>
    <xf numFmtId="0" fontId="58" fillId="27" borderId="37" xfId="0" applyFont="1" applyFill="1" applyBorder="1"/>
    <xf numFmtId="0" fontId="58" fillId="27" borderId="11" xfId="0" applyFont="1" applyFill="1" applyBorder="1"/>
    <xf numFmtId="0" fontId="58" fillId="27" borderId="35" xfId="0" applyFont="1" applyFill="1" applyBorder="1"/>
    <xf numFmtId="0" fontId="58" fillId="0" borderId="37" xfId="0" applyFont="1" applyBorder="1"/>
    <xf numFmtId="0" fontId="58" fillId="0" borderId="35" xfId="0" applyFont="1" applyFill="1" applyBorder="1"/>
    <xf numFmtId="0" fontId="58" fillId="0" borderId="16" xfId="0" applyFont="1" applyBorder="1"/>
    <xf numFmtId="0" fontId="58" fillId="0" borderId="17" xfId="0" applyFont="1" applyBorder="1"/>
    <xf numFmtId="0" fontId="58" fillId="0" borderId="18" xfId="0" applyFont="1" applyFill="1" applyBorder="1"/>
    <xf numFmtId="0" fontId="58" fillId="0" borderId="36" xfId="0" applyFont="1" applyFill="1" applyBorder="1"/>
    <xf numFmtId="0" fontId="58" fillId="24" borderId="16" xfId="0" applyFont="1" applyFill="1" applyBorder="1" applyAlignment="1">
      <alignment horizontal="center" vertical="center"/>
    </xf>
    <xf numFmtId="0" fontId="58" fillId="24" borderId="17" xfId="0" applyFont="1" applyFill="1" applyBorder="1" applyAlignment="1">
      <alignment horizontal="center" vertical="center"/>
    </xf>
    <xf numFmtId="0" fontId="58" fillId="24" borderId="18" xfId="0" applyFont="1" applyFill="1" applyBorder="1" applyAlignment="1">
      <alignment horizontal="center" vertical="center"/>
    </xf>
    <xf numFmtId="0" fontId="58" fillId="24" borderId="30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27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8" xfId="0" applyFont="1" applyBorder="1"/>
    <xf numFmtId="0" fontId="80" fillId="0" borderId="34" xfId="0" applyFont="1" applyBorder="1"/>
    <xf numFmtId="0" fontId="15" fillId="0" borderId="19" xfId="0" applyFont="1" applyBorder="1" applyAlignment="1">
      <alignment horizontal="left" vertical="center"/>
    </xf>
    <xf numFmtId="0" fontId="15" fillId="0" borderId="20" xfId="0" applyFont="1" applyBorder="1" applyAlignment="1">
      <alignment wrapText="1"/>
    </xf>
    <xf numFmtId="1" fontId="15" fillId="0" borderId="28" xfId="0" applyNumberFormat="1" applyFont="1" applyBorder="1" applyAlignment="1">
      <alignment horizontal="right" vertical="center" indent="1"/>
    </xf>
    <xf numFmtId="3" fontId="15" fillId="0" borderId="10" xfId="0" applyNumberFormat="1" applyFont="1" applyBorder="1" applyAlignment="1">
      <alignment horizontal="right" vertical="center" indent="1"/>
    </xf>
    <xf numFmtId="168" fontId="15" fillId="0" borderId="20" xfId="0" applyNumberFormat="1" applyFont="1" applyBorder="1" applyAlignment="1">
      <alignment horizontal="right" vertical="center"/>
    </xf>
    <xf numFmtId="3" fontId="15" fillId="27" borderId="19" xfId="0" applyNumberFormat="1" applyFont="1" applyFill="1" applyBorder="1" applyAlignment="1">
      <alignment horizontal="right" vertical="center" indent="1"/>
    </xf>
    <xf numFmtId="3" fontId="15" fillId="27" borderId="10" xfId="0" applyNumberFormat="1" applyFont="1" applyFill="1" applyBorder="1" applyAlignment="1">
      <alignment horizontal="right" vertical="center" indent="1"/>
    </xf>
    <xf numFmtId="168" fontId="15" fillId="27" borderId="25" xfId="0" applyNumberFormat="1" applyFont="1" applyFill="1" applyBorder="1" applyAlignment="1">
      <alignment horizontal="right" vertical="center"/>
    </xf>
    <xf numFmtId="1" fontId="15" fillId="0" borderId="19" xfId="0" applyNumberFormat="1" applyFont="1" applyBorder="1" applyAlignment="1">
      <alignment horizontal="right" vertical="center" indent="1"/>
    </xf>
    <xf numFmtId="169" fontId="15" fillId="0" borderId="10" xfId="0" applyNumberFormat="1" applyFont="1" applyBorder="1" applyAlignment="1">
      <alignment horizontal="center" vertical="center" wrapText="1"/>
    </xf>
    <xf numFmtId="168" fontId="15" fillId="0" borderId="25" xfId="0" applyNumberFormat="1" applyFont="1" applyBorder="1" applyAlignment="1">
      <alignment horizontal="right" vertical="center"/>
    </xf>
    <xf numFmtId="168" fontId="15" fillId="0" borderId="26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167" fontId="15" fillId="0" borderId="25" xfId="0" applyNumberFormat="1" applyFont="1" applyBorder="1" applyAlignment="1">
      <alignment horizontal="center" vertical="center"/>
    </xf>
    <xf numFmtId="1" fontId="15" fillId="0" borderId="19" xfId="0" applyNumberFormat="1" applyFont="1" applyFill="1" applyBorder="1" applyAlignment="1">
      <alignment horizontal="center" vertical="center"/>
    </xf>
    <xf numFmtId="3" fontId="15" fillId="0" borderId="10" xfId="0" applyNumberFormat="1" applyFont="1" applyFill="1" applyBorder="1" applyAlignment="1">
      <alignment horizontal="right" vertical="center" indent="1"/>
    </xf>
    <xf numFmtId="168" fontId="15" fillId="0" borderId="20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 indent="1"/>
    </xf>
    <xf numFmtId="1" fontId="15" fillId="0" borderId="19" xfId="0" applyNumberFormat="1" applyFont="1" applyFill="1" applyBorder="1" applyAlignment="1">
      <alignment horizontal="right" vertical="center" indent="1"/>
    </xf>
    <xf numFmtId="168" fontId="15" fillId="0" borderId="10" xfId="0" applyNumberFormat="1" applyFont="1" applyFill="1" applyBorder="1" applyAlignment="1">
      <alignment horizontal="right" vertical="center" indent="1"/>
    </xf>
    <xf numFmtId="168" fontId="15" fillId="0" borderId="10" xfId="0" applyNumberFormat="1" applyFont="1" applyFill="1" applyBorder="1" applyAlignment="1">
      <alignment horizontal="right" vertical="center"/>
    </xf>
    <xf numFmtId="168" fontId="15" fillId="0" borderId="20" xfId="0" applyNumberFormat="1" applyFont="1" applyFill="1" applyBorder="1" applyAlignment="1">
      <alignment horizontal="right" vertical="center" indent="1"/>
    </xf>
    <xf numFmtId="168" fontId="15" fillId="0" borderId="25" xfId="0" applyNumberFormat="1" applyFont="1" applyFill="1" applyBorder="1" applyAlignment="1">
      <alignment horizontal="right" vertical="center" indent="1"/>
    </xf>
    <xf numFmtId="168" fontId="15" fillId="0" borderId="25" xfId="0" applyNumberFormat="1" applyFont="1" applyFill="1" applyBorder="1" applyAlignment="1">
      <alignment horizontal="right" vertical="center"/>
    </xf>
    <xf numFmtId="164" fontId="80" fillId="0" borderId="12" xfId="0" applyNumberFormat="1" applyFont="1" applyBorder="1"/>
    <xf numFmtId="0" fontId="58" fillId="0" borderId="19" xfId="0" applyFont="1" applyBorder="1" applyAlignment="1">
      <alignment horizontal="left" vertical="center"/>
    </xf>
    <xf numFmtId="1" fontId="58" fillId="0" borderId="28" xfId="0" applyNumberFormat="1" applyFont="1" applyBorder="1" applyAlignment="1">
      <alignment horizontal="right" vertical="center" indent="1"/>
    </xf>
    <xf numFmtId="3" fontId="58" fillId="0" borderId="10" xfId="0" applyNumberFormat="1" applyFont="1" applyBorder="1" applyAlignment="1">
      <alignment horizontal="right" vertical="center" indent="1"/>
    </xf>
    <xf numFmtId="168" fontId="58" fillId="0" borderId="20" xfId="0" applyNumberFormat="1" applyFont="1" applyBorder="1" applyAlignment="1">
      <alignment horizontal="right" vertical="center"/>
    </xf>
    <xf numFmtId="3" fontId="58" fillId="27" borderId="19" xfId="0" applyNumberFormat="1" applyFont="1" applyFill="1" applyBorder="1" applyAlignment="1">
      <alignment horizontal="right" vertical="center" indent="1"/>
    </xf>
    <xf numFmtId="3" fontId="58" fillId="27" borderId="10" xfId="0" applyNumberFormat="1" applyFont="1" applyFill="1" applyBorder="1" applyAlignment="1">
      <alignment horizontal="right" vertical="center" indent="1"/>
    </xf>
    <xf numFmtId="168" fontId="58" fillId="27" borderId="25" xfId="0" applyNumberFormat="1" applyFont="1" applyFill="1" applyBorder="1" applyAlignment="1">
      <alignment horizontal="right" vertical="center"/>
    </xf>
    <xf numFmtId="1" fontId="58" fillId="0" borderId="19" xfId="0" applyNumberFormat="1" applyFont="1" applyBorder="1" applyAlignment="1">
      <alignment horizontal="right" vertical="center" indent="1"/>
    </xf>
    <xf numFmtId="168" fontId="58" fillId="0" borderId="25" xfId="0" applyNumberFormat="1" applyFont="1" applyBorder="1" applyAlignment="1">
      <alignment horizontal="right" vertical="center"/>
    </xf>
    <xf numFmtId="1" fontId="58" fillId="0" borderId="26" xfId="0" applyNumberFormat="1" applyFont="1" applyBorder="1" applyAlignment="1">
      <alignment horizontal="center" vertical="center"/>
    </xf>
    <xf numFmtId="168" fontId="58" fillId="0" borderId="26" xfId="0" applyNumberFormat="1" applyFont="1" applyBorder="1" applyAlignment="1">
      <alignment horizontal="right" vertical="center"/>
    </xf>
    <xf numFmtId="1" fontId="58" fillId="0" borderId="10" xfId="0" applyNumberFormat="1" applyFont="1" applyFill="1" applyBorder="1" applyAlignment="1">
      <alignment horizontal="center" vertical="center"/>
    </xf>
    <xf numFmtId="167" fontId="58" fillId="0" borderId="25" xfId="0" applyNumberFormat="1" applyFont="1" applyBorder="1" applyAlignment="1">
      <alignment horizontal="center" vertical="center"/>
    </xf>
    <xf numFmtId="0" fontId="58" fillId="0" borderId="19" xfId="0" applyFont="1" applyFill="1" applyBorder="1" applyAlignment="1">
      <alignment horizontal="center" vertical="center"/>
    </xf>
    <xf numFmtId="168" fontId="58" fillId="0" borderId="20" xfId="0" applyNumberFormat="1" applyFont="1" applyFill="1" applyBorder="1" applyAlignment="1">
      <alignment horizontal="right" vertical="center"/>
    </xf>
    <xf numFmtId="3" fontId="58" fillId="0" borderId="25" xfId="0" applyNumberFormat="1" applyFont="1" applyFill="1" applyBorder="1" applyAlignment="1">
      <alignment horizontal="right" vertical="center" indent="1"/>
    </xf>
    <xf numFmtId="168" fontId="58" fillId="0" borderId="10" xfId="0" applyNumberFormat="1" applyFont="1" applyFill="1" applyBorder="1" applyAlignment="1">
      <alignment horizontal="right" vertical="center" indent="1"/>
    </xf>
    <xf numFmtId="168" fontId="58" fillId="0" borderId="10" xfId="0" applyNumberFormat="1" applyFont="1" applyFill="1" applyBorder="1" applyAlignment="1">
      <alignment horizontal="right" vertical="center"/>
    </xf>
    <xf numFmtId="168" fontId="58" fillId="0" borderId="20" xfId="0" applyNumberFormat="1" applyFont="1" applyFill="1" applyBorder="1" applyAlignment="1">
      <alignment horizontal="right" vertical="center" indent="1"/>
    </xf>
    <xf numFmtId="3" fontId="58" fillId="0" borderId="10" xfId="0" applyNumberFormat="1" applyFont="1" applyFill="1" applyBorder="1" applyAlignment="1">
      <alignment horizontal="center" vertical="center"/>
    </xf>
    <xf numFmtId="168" fontId="58" fillId="0" borderId="25" xfId="0" applyNumberFormat="1" applyFont="1" applyFill="1" applyBorder="1" applyAlignment="1">
      <alignment horizontal="right" vertical="center" indent="1"/>
    </xf>
    <xf numFmtId="168" fontId="58" fillId="0" borderId="25" xfId="0" applyNumberFormat="1" applyFont="1" applyFill="1" applyBorder="1" applyAlignment="1">
      <alignment horizontal="right" vertical="center"/>
    </xf>
    <xf numFmtId="167" fontId="58" fillId="0" borderId="19" xfId="0" applyNumberFormat="1" applyFont="1" applyBorder="1" applyAlignment="1">
      <alignment horizontal="right" vertical="center" indent="1"/>
    </xf>
    <xf numFmtId="3" fontId="58" fillId="0" borderId="26" xfId="0" applyNumberFormat="1" applyFont="1" applyBorder="1" applyAlignment="1">
      <alignment horizontal="center" vertical="center"/>
    </xf>
    <xf numFmtId="3" fontId="58" fillId="0" borderId="10" xfId="0" applyNumberFormat="1" applyFont="1" applyBorder="1" applyAlignment="1">
      <alignment horizontal="center" vertical="center"/>
    </xf>
    <xf numFmtId="168" fontId="58" fillId="0" borderId="10" xfId="0" applyNumberFormat="1" applyFont="1" applyBorder="1" applyAlignment="1">
      <alignment horizontal="right" vertical="center"/>
    </xf>
    <xf numFmtId="1" fontId="58" fillId="0" borderId="11" xfId="0" applyNumberFormat="1" applyFont="1" applyFill="1" applyBorder="1" applyAlignment="1">
      <alignment horizontal="center" vertical="center"/>
    </xf>
    <xf numFmtId="1" fontId="84" fillId="0" borderId="19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right" vertical="center" indent="1"/>
    </xf>
    <xf numFmtId="168" fontId="84" fillId="0" borderId="20" xfId="0" applyNumberFormat="1" applyFont="1" applyFill="1" applyBorder="1" applyAlignment="1">
      <alignment horizontal="right" vertical="center"/>
    </xf>
    <xf numFmtId="0" fontId="58" fillId="0" borderId="20" xfId="0" applyFont="1" applyBorder="1" applyAlignment="1">
      <alignment wrapText="1"/>
    </xf>
    <xf numFmtId="0" fontId="58" fillId="0" borderId="21" xfId="0" applyFont="1" applyBorder="1" applyAlignment="1">
      <alignment horizontal="left" vertical="center"/>
    </xf>
    <xf numFmtId="1" fontId="58" fillId="0" borderId="39" xfId="0" applyNumberFormat="1" applyFont="1" applyBorder="1" applyAlignment="1">
      <alignment horizontal="right" vertical="center" indent="1"/>
    </xf>
    <xf numFmtId="3" fontId="58" fillId="0" borderId="22" xfId="0" applyNumberFormat="1" applyFont="1" applyBorder="1" applyAlignment="1">
      <alignment horizontal="right" vertical="center" indent="1"/>
    </xf>
    <xf numFmtId="168" fontId="58" fillId="0" borderId="23" xfId="0" applyNumberFormat="1" applyFont="1" applyBorder="1" applyAlignment="1">
      <alignment horizontal="right" vertical="center"/>
    </xf>
    <xf numFmtId="3" fontId="58" fillId="27" borderId="21" xfId="0" applyNumberFormat="1" applyFont="1" applyFill="1" applyBorder="1" applyAlignment="1">
      <alignment horizontal="right" vertical="center" indent="1"/>
    </xf>
    <xf numFmtId="3" fontId="58" fillId="27" borderId="22" xfId="0" applyNumberFormat="1" applyFont="1" applyFill="1" applyBorder="1" applyAlignment="1">
      <alignment horizontal="right" vertical="center" indent="1"/>
    </xf>
    <xf numFmtId="168" fontId="58" fillId="27" borderId="29" xfId="0" applyNumberFormat="1" applyFont="1" applyFill="1" applyBorder="1" applyAlignment="1">
      <alignment horizontal="right" vertical="center"/>
    </xf>
    <xf numFmtId="1" fontId="58" fillId="0" borderId="21" xfId="0" applyNumberFormat="1" applyFont="1" applyBorder="1" applyAlignment="1">
      <alignment horizontal="right" vertical="center" indent="1"/>
    </xf>
    <xf numFmtId="169" fontId="15" fillId="0" borderId="22" xfId="0" applyNumberFormat="1" applyFont="1" applyBorder="1" applyAlignment="1">
      <alignment horizontal="center" vertical="center" wrapText="1"/>
    </xf>
    <xf numFmtId="168" fontId="58" fillId="0" borderId="29" xfId="0" applyNumberFormat="1" applyFont="1" applyBorder="1" applyAlignment="1">
      <alignment horizontal="right" vertical="center"/>
    </xf>
    <xf numFmtId="3" fontId="58" fillId="0" borderId="84" xfId="0" applyNumberFormat="1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center" vertical="center"/>
    </xf>
    <xf numFmtId="168" fontId="58" fillId="0" borderId="84" xfId="0" applyNumberFormat="1" applyFont="1" applyBorder="1" applyAlignment="1">
      <alignment horizontal="right" vertical="center"/>
    </xf>
    <xf numFmtId="0" fontId="58" fillId="0" borderId="21" xfId="0" applyFont="1" applyBorder="1" applyAlignment="1">
      <alignment horizontal="center" vertical="center"/>
    </xf>
    <xf numFmtId="167" fontId="58" fillId="0" borderId="23" xfId="0" applyNumberFormat="1" applyFont="1" applyBorder="1" applyAlignment="1">
      <alignment horizontal="center" vertical="center"/>
    </xf>
    <xf numFmtId="0" fontId="58" fillId="0" borderId="39" xfId="0" applyFont="1" applyBorder="1" applyAlignment="1">
      <alignment horizontal="center" vertical="center"/>
    </xf>
    <xf numFmtId="1" fontId="58" fillId="0" borderId="22" xfId="0" applyNumberFormat="1" applyFont="1" applyFill="1" applyBorder="1" applyAlignment="1">
      <alignment horizontal="center" vertical="center"/>
    </xf>
    <xf numFmtId="167" fontId="58" fillId="0" borderId="29" xfId="0" applyNumberFormat="1" applyFont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168" fontId="58" fillId="0" borderId="23" xfId="0" applyNumberFormat="1" applyFont="1" applyFill="1" applyBorder="1" applyAlignment="1">
      <alignment horizontal="right" vertical="center"/>
    </xf>
    <xf numFmtId="3" fontId="58" fillId="0" borderId="29" xfId="0" applyNumberFormat="1" applyFont="1" applyFill="1" applyBorder="1" applyAlignment="1">
      <alignment horizontal="right" vertical="center" indent="1"/>
    </xf>
    <xf numFmtId="3" fontId="58" fillId="0" borderId="22" xfId="0" applyNumberFormat="1" applyFont="1" applyFill="1" applyBorder="1" applyAlignment="1">
      <alignment horizontal="center" vertical="center"/>
    </xf>
    <xf numFmtId="168" fontId="15" fillId="0" borderId="29" xfId="0" applyNumberFormat="1" applyFont="1" applyFill="1" applyBorder="1" applyAlignment="1">
      <alignment horizontal="right" vertical="center" indent="1"/>
    </xf>
    <xf numFmtId="168" fontId="58" fillId="0" borderId="29" xfId="0" applyNumberFormat="1" applyFont="1" applyFill="1" applyBorder="1" applyAlignment="1">
      <alignment horizontal="right" vertical="center" indent="1"/>
    </xf>
    <xf numFmtId="168" fontId="58" fillId="0" borderId="29" xfId="0" applyNumberFormat="1" applyFont="1" applyFill="1" applyBorder="1" applyAlignment="1">
      <alignment horizontal="right" vertical="center"/>
    </xf>
    <xf numFmtId="0" fontId="58" fillId="0" borderId="23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/>
    </xf>
    <xf numFmtId="0" fontId="58" fillId="0" borderId="38" xfId="0" applyFont="1" applyFill="1" applyBorder="1" applyAlignment="1">
      <alignment vertical="center"/>
    </xf>
    <xf numFmtId="0" fontId="58" fillId="0" borderId="11" xfId="0" applyFont="1" applyFill="1" applyBorder="1" applyAlignment="1">
      <alignment vertical="center"/>
    </xf>
    <xf numFmtId="43" fontId="59" fillId="0" borderId="11" xfId="89" applyFont="1" applyFill="1" applyBorder="1" applyAlignment="1">
      <alignment vertical="center"/>
    </xf>
    <xf numFmtId="43" fontId="58" fillId="0" borderId="11" xfId="89" applyFont="1" applyFill="1" applyBorder="1" applyAlignment="1">
      <alignment vertical="center"/>
    </xf>
    <xf numFmtId="0" fontId="58" fillId="0" borderId="21" xfId="0" applyFont="1" applyFill="1" applyBorder="1" applyAlignment="1">
      <alignment vertical="center"/>
    </xf>
    <xf numFmtId="0" fontId="58" fillId="0" borderId="23" xfId="0" applyFont="1" applyFill="1" applyBorder="1" applyAlignment="1">
      <alignment vertical="center"/>
    </xf>
    <xf numFmtId="0" fontId="58" fillId="0" borderId="47" xfId="0" applyFont="1" applyFill="1" applyBorder="1" applyAlignment="1">
      <alignment vertical="center"/>
    </xf>
    <xf numFmtId="0" fontId="14" fillId="0" borderId="0" xfId="79" applyFont="1" applyFill="1" applyAlignment="1">
      <alignment horizontal="center"/>
    </xf>
    <xf numFmtId="0" fontId="46" fillId="0" borderId="61" xfId="79" applyFont="1" applyFill="1" applyBorder="1" applyAlignment="1">
      <alignment vertical="center" wrapText="1"/>
    </xf>
    <xf numFmtId="168" fontId="46" fillId="0" borderId="11" xfId="79" applyNumberFormat="1" applyFont="1" applyFill="1" applyBorder="1" applyAlignment="1">
      <alignment horizontal="center" vertical="center"/>
    </xf>
    <xf numFmtId="167" fontId="47" fillId="0" borderId="10" xfId="79" applyNumberFormat="1" applyFont="1" applyFill="1" applyBorder="1" applyAlignment="1">
      <alignment horizontal="center" vertical="center"/>
    </xf>
    <xf numFmtId="2" fontId="46" fillId="0" borderId="11" xfId="79" applyNumberFormat="1" applyFont="1" applyFill="1" applyBorder="1" applyAlignment="1">
      <alignment horizontal="center" vertical="center"/>
    </xf>
    <xf numFmtId="168" fontId="47" fillId="0" borderId="10" xfId="79" applyNumberFormat="1" applyFont="1" applyFill="1" applyBorder="1" applyAlignment="1">
      <alignment horizontal="center" vertical="center"/>
    </xf>
    <xf numFmtId="168" fontId="49" fillId="0" borderId="10" xfId="79" applyNumberFormat="1" applyFont="1" applyFill="1" applyBorder="1" applyAlignment="1">
      <alignment horizontal="center" vertical="center"/>
    </xf>
    <xf numFmtId="0" fontId="46" fillId="0" borderId="62" xfId="79" applyFont="1" applyFill="1" applyBorder="1" applyAlignment="1">
      <alignment vertical="center"/>
    </xf>
    <xf numFmtId="0" fontId="46" fillId="0" borderId="35" xfId="79" applyFont="1" applyFill="1" applyBorder="1" applyAlignment="1">
      <alignment vertical="center"/>
    </xf>
    <xf numFmtId="0" fontId="46" fillId="0" borderId="11" xfId="79" applyFont="1" applyFill="1" applyBorder="1" applyAlignment="1">
      <alignment vertical="center"/>
    </xf>
    <xf numFmtId="2" fontId="49" fillId="0" borderId="10" xfId="79" applyNumberFormat="1" applyFont="1" applyFill="1" applyBorder="1" applyAlignment="1">
      <alignment horizontal="center" vertical="center"/>
    </xf>
    <xf numFmtId="167" fontId="49" fillId="0" borderId="10" xfId="79" applyNumberFormat="1" applyFont="1" applyFill="1" applyBorder="1" applyAlignment="1">
      <alignment horizontal="center" vertical="center"/>
    </xf>
    <xf numFmtId="9" fontId="46" fillId="0" borderId="10" xfId="85" applyFont="1" applyFill="1" applyBorder="1" applyAlignment="1">
      <alignment horizontal="center" vertical="center"/>
    </xf>
    <xf numFmtId="2" fontId="46" fillId="0" borderId="10" xfId="79" applyNumberFormat="1" applyFont="1" applyFill="1" applyBorder="1" applyAlignment="1">
      <alignment horizontal="center" vertical="center"/>
    </xf>
    <xf numFmtId="0" fontId="49" fillId="0" borderId="10" xfId="79" applyFont="1" applyFill="1" applyBorder="1" applyAlignment="1">
      <alignment horizontal="center" vertical="center"/>
    </xf>
    <xf numFmtId="0" fontId="8" fillId="0" borderId="0" xfId="79" applyFont="1" applyFill="1"/>
    <xf numFmtId="0" fontId="0" fillId="0" borderId="0" xfId="0" applyFill="1"/>
    <xf numFmtId="0" fontId="86" fillId="0" borderId="0" xfId="0" applyFont="1"/>
    <xf numFmtId="0" fontId="86" fillId="0" borderId="0" xfId="0" applyFont="1" applyFill="1" applyBorder="1"/>
    <xf numFmtId="166" fontId="86" fillId="0" borderId="0" xfId="0" applyNumberFormat="1" applyFont="1"/>
    <xf numFmtId="167" fontId="11" fillId="0" borderId="0" xfId="0" applyNumberFormat="1" applyFont="1" applyBorder="1"/>
    <xf numFmtId="0" fontId="10" fillId="0" borderId="0" xfId="0" applyFont="1" applyBorder="1"/>
    <xf numFmtId="167" fontId="10" fillId="0" borderId="0" xfId="0" applyNumberFormat="1" applyFont="1" applyBorder="1"/>
    <xf numFmtId="166" fontId="11" fillId="0" borderId="0" xfId="0" applyNumberFormat="1" applyFont="1" applyBorder="1"/>
    <xf numFmtId="167" fontId="86" fillId="0" borderId="0" xfId="0" applyNumberFormat="1" applyFont="1"/>
    <xf numFmtId="175" fontId="86" fillId="0" borderId="0" xfId="0" applyNumberFormat="1" applyFont="1"/>
    <xf numFmtId="0" fontId="86" fillId="0" borderId="0" xfId="0" applyFont="1" applyAlignment="1">
      <alignment horizontal="left"/>
    </xf>
    <xf numFmtId="4" fontId="86" fillId="0" borderId="0" xfId="0" applyNumberFormat="1" applyFont="1"/>
    <xf numFmtId="168" fontId="86" fillId="0" borderId="0" xfId="0" applyNumberFormat="1" applyFont="1"/>
    <xf numFmtId="0" fontId="15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/>
    </xf>
    <xf numFmtId="0" fontId="58" fillId="30" borderId="10" xfId="0" applyFont="1" applyFill="1" applyBorder="1" applyAlignment="1">
      <alignment horizontal="center" wrapText="1"/>
    </xf>
    <xf numFmtId="4" fontId="58" fillId="30" borderId="10" xfId="0" applyNumberFormat="1" applyFont="1" applyFill="1" applyBorder="1"/>
    <xf numFmtId="2" fontId="58" fillId="0" borderId="10" xfId="0" applyNumberFormat="1" applyFont="1" applyBorder="1"/>
    <xf numFmtId="2" fontId="58" fillId="30" borderId="10" xfId="0" applyNumberFormat="1" applyFont="1" applyFill="1" applyBorder="1"/>
    <xf numFmtId="4" fontId="15" fillId="30" borderId="10" xfId="0" applyNumberFormat="1" applyFont="1" applyFill="1" applyBorder="1"/>
    <xf numFmtId="2" fontId="58" fillId="0" borderId="22" xfId="0" applyNumberFormat="1" applyFont="1" applyBorder="1" applyAlignment="1">
      <alignment horizontal="center" vertical="center"/>
    </xf>
    <xf numFmtId="0" fontId="15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59" fillId="30" borderId="10" xfId="0" applyNumberFormat="1" applyFont="1" applyFill="1" applyBorder="1"/>
    <xf numFmtId="2" fontId="58" fillId="31" borderId="0" xfId="0" applyNumberFormat="1" applyFont="1" applyFill="1"/>
    <xf numFmtId="4" fontId="15" fillId="30" borderId="25" xfId="0" applyNumberFormat="1" applyFont="1" applyFill="1" applyBorder="1"/>
    <xf numFmtId="4" fontId="58" fillId="30" borderId="25" xfId="0" applyNumberFormat="1" applyFont="1" applyFill="1" applyBorder="1"/>
    <xf numFmtId="2" fontId="15" fillId="30" borderId="10" xfId="0" applyNumberFormat="1" applyFont="1" applyFill="1" applyBorder="1"/>
    <xf numFmtId="0" fontId="48" fillId="30" borderId="0" xfId="0" applyFont="1" applyFill="1"/>
    <xf numFmtId="2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1" borderId="0" xfId="0" applyNumberFormat="1" applyFont="1" applyFill="1"/>
    <xf numFmtId="0" fontId="59" fillId="0" borderId="45" xfId="0" applyFont="1" applyFill="1" applyBorder="1" applyAlignment="1">
      <alignment vertical="center"/>
    </xf>
    <xf numFmtId="4" fontId="58" fillId="30" borderId="62" xfId="0" applyNumberFormat="1" applyFont="1" applyFill="1" applyBorder="1"/>
    <xf numFmtId="2" fontId="58" fillId="30" borderId="45" xfId="0" applyNumberFormat="1" applyFont="1" applyFill="1" applyBorder="1"/>
    <xf numFmtId="2" fontId="58" fillId="0" borderId="45" xfId="0" applyNumberFormat="1" applyFont="1" applyBorder="1"/>
    <xf numFmtId="0" fontId="0" fillId="30" borderId="10" xfId="0" applyFont="1" applyFill="1" applyBorder="1"/>
    <xf numFmtId="4" fontId="15" fillId="30" borderId="10" xfId="0" applyNumberFormat="1" applyFont="1" applyFill="1" applyBorder="1" applyAlignment="1">
      <alignment vertical="center"/>
    </xf>
    <xf numFmtId="4" fontId="15" fillId="0" borderId="10" xfId="0" applyNumberFormat="1" applyFont="1" applyFill="1" applyBorder="1" applyAlignment="1">
      <alignment vertical="center"/>
    </xf>
    <xf numFmtId="0" fontId="0" fillId="0" borderId="0" xfId="0" applyFont="1"/>
    <xf numFmtId="2" fontId="5" fillId="0" borderId="0" xfId="0" applyNumberFormat="1" applyFont="1"/>
    <xf numFmtId="10" fontId="5" fillId="0" borderId="0" xfId="0" applyNumberFormat="1" applyFont="1"/>
    <xf numFmtId="9" fontId="5" fillId="0" borderId="0" xfId="0" applyNumberFormat="1" applyFont="1"/>
    <xf numFmtId="0" fontId="58" fillId="0" borderId="85" xfId="0" applyFont="1" applyFill="1" applyBorder="1"/>
    <xf numFmtId="0" fontId="15" fillId="0" borderId="85" xfId="0" applyFont="1" applyFill="1" applyBorder="1"/>
    <xf numFmtId="0" fontId="15" fillId="0" borderId="85" xfId="0" applyFont="1" applyFill="1" applyBorder="1" applyAlignment="1">
      <alignment horizontal="center"/>
    </xf>
    <xf numFmtId="10" fontId="58" fillId="0" borderId="85" xfId="0" applyNumberFormat="1" applyFont="1" applyFill="1" applyBorder="1"/>
    <xf numFmtId="10" fontId="15" fillId="0" borderId="85" xfId="0" applyNumberFormat="1" applyFont="1" applyFill="1" applyBorder="1"/>
    <xf numFmtId="0" fontId="15" fillId="0" borderId="85" xfId="0" applyFont="1" applyFill="1" applyBorder="1" applyAlignment="1">
      <alignment horizontal="center"/>
    </xf>
    <xf numFmtId="174" fontId="58" fillId="0" borderId="85" xfId="0" applyNumberFormat="1" applyFont="1" applyFill="1" applyBorder="1"/>
    <xf numFmtId="0" fontId="58" fillId="0" borderId="85" xfId="0" applyFont="1" applyFill="1" applyBorder="1" applyAlignment="1">
      <alignment vertical="center"/>
    </xf>
    <xf numFmtId="4" fontId="11" fillId="0" borderId="0" xfId="0" applyNumberFormat="1" applyFont="1" applyFill="1"/>
    <xf numFmtId="4" fontId="0" fillId="0" borderId="0" xfId="0" applyNumberFormat="1" applyFill="1"/>
    <xf numFmtId="0" fontId="58" fillId="0" borderId="92" xfId="0" applyFont="1" applyFill="1" applyBorder="1" applyAlignment="1">
      <alignment vertical="center"/>
    </xf>
    <xf numFmtId="0" fontId="0" fillId="0" borderId="92" xfId="0" applyBorder="1"/>
    <xf numFmtId="4" fontId="58" fillId="30" borderId="92" xfId="0" applyNumberFormat="1" applyFont="1" applyFill="1" applyBorder="1"/>
    <xf numFmtId="4" fontId="58" fillId="30" borderId="93" xfId="0" applyNumberFormat="1" applyFont="1" applyFill="1" applyBorder="1"/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169" fontId="47" fillId="0" borderId="92" xfId="85" applyNumberFormat="1" applyFont="1" applyFill="1" applyBorder="1" applyAlignment="1">
      <alignment horizontal="center" vertical="center"/>
    </xf>
    <xf numFmtId="168" fontId="46" fillId="0" borderId="92" xfId="79" applyNumberFormat="1" applyFont="1" applyFill="1" applyBorder="1" applyAlignment="1">
      <alignment horizontal="center" vertical="center"/>
    </xf>
    <xf numFmtId="0" fontId="46" fillId="0" borderId="92" xfId="79" applyFont="1" applyFill="1" applyBorder="1" applyAlignment="1">
      <alignment horizontal="center" vertical="center"/>
    </xf>
    <xf numFmtId="168" fontId="47" fillId="0" borderId="92" xfId="79" applyNumberFormat="1" applyFont="1" applyFill="1" applyBorder="1" applyAlignment="1">
      <alignment horizontal="center" vertical="center"/>
    </xf>
    <xf numFmtId="167" fontId="46" fillId="0" borderId="92" xfId="79" applyNumberFormat="1" applyFont="1" applyFill="1" applyBorder="1" applyAlignment="1">
      <alignment horizontal="center" vertical="center"/>
    </xf>
    <xf numFmtId="167" fontId="46" fillId="0" borderId="35" xfId="79" applyNumberFormat="1" applyFont="1" applyFill="1" applyBorder="1" applyAlignment="1">
      <alignment horizontal="center" vertical="center"/>
    </xf>
    <xf numFmtId="167" fontId="46" fillId="0" borderId="93" xfId="79" applyNumberFormat="1" applyFont="1" applyFill="1" applyBorder="1" applyAlignment="1">
      <alignment horizontal="center" vertical="center"/>
    </xf>
    <xf numFmtId="168" fontId="46" fillId="0" borderId="93" xfId="79" applyNumberFormat="1" applyFont="1" applyFill="1" applyBorder="1" applyAlignment="1">
      <alignment horizontal="center" vertical="center"/>
    </xf>
    <xf numFmtId="169" fontId="46" fillId="0" borderId="93" xfId="85" applyNumberFormat="1" applyFont="1" applyFill="1" applyBorder="1" applyAlignment="1">
      <alignment horizontal="center" vertical="center"/>
    </xf>
    <xf numFmtId="168" fontId="49" fillId="0" borderId="93" xfId="79" applyNumberFormat="1" applyFont="1" applyFill="1" applyBorder="1" applyAlignment="1">
      <alignment horizontal="center" vertical="center"/>
    </xf>
    <xf numFmtId="167" fontId="46" fillId="0" borderId="91" xfId="79" applyNumberFormat="1" applyFont="1" applyFill="1" applyBorder="1" applyAlignment="1">
      <alignment horizontal="center" vertical="center"/>
    </xf>
    <xf numFmtId="168" fontId="46" fillId="0" borderId="91" xfId="79" applyNumberFormat="1" applyFont="1" applyFill="1" applyBorder="1" applyAlignment="1">
      <alignment horizontal="center" vertical="center"/>
    </xf>
    <xf numFmtId="169" fontId="47" fillId="0" borderId="91" xfId="85" applyNumberFormat="1" applyFont="1" applyFill="1" applyBorder="1" applyAlignment="1">
      <alignment horizontal="center" vertical="center"/>
    </xf>
    <xf numFmtId="0" fontId="46" fillId="0" borderId="37" xfId="79" applyFont="1" applyFill="1" applyBorder="1" applyAlignment="1">
      <alignment horizontal="center" vertical="center"/>
    </xf>
    <xf numFmtId="167" fontId="46" fillId="0" borderId="19" xfId="79" applyNumberFormat="1" applyFont="1" applyFill="1" applyBorder="1" applyAlignment="1">
      <alignment horizontal="center" vertical="center"/>
    </xf>
    <xf numFmtId="168" fontId="46" fillId="0" borderId="19" xfId="79" applyNumberFormat="1" applyFont="1" applyFill="1" applyBorder="1" applyAlignment="1">
      <alignment horizontal="center" vertical="center"/>
    </xf>
    <xf numFmtId="169" fontId="47" fillId="0" borderId="19" xfId="85" applyNumberFormat="1" applyFont="1" applyFill="1" applyBorder="1" applyAlignment="1">
      <alignment horizontal="center" vertical="center"/>
    </xf>
    <xf numFmtId="168" fontId="49" fillId="0" borderId="22" xfId="79" applyNumberFormat="1" applyFont="1" applyFill="1" applyBorder="1" applyAlignment="1">
      <alignment horizontal="center" vertical="center"/>
    </xf>
    <xf numFmtId="169" fontId="47" fillId="0" borderId="20" xfId="85" applyNumberFormat="1" applyFont="1" applyFill="1" applyBorder="1" applyAlignment="1">
      <alignment horizontal="center" vertical="center"/>
    </xf>
    <xf numFmtId="168" fontId="46" fillId="0" borderId="20" xfId="79" applyNumberFormat="1" applyFont="1" applyFill="1" applyBorder="1" applyAlignment="1">
      <alignment horizontal="center" vertical="center"/>
    </xf>
    <xf numFmtId="0" fontId="46" fillId="0" borderId="91" xfId="79" applyFont="1" applyFill="1" applyBorder="1" applyAlignment="1">
      <alignment horizontal="center" vertical="center"/>
    </xf>
    <xf numFmtId="0" fontId="46" fillId="0" borderId="19" xfId="79" applyFont="1" applyFill="1" applyBorder="1" applyAlignment="1">
      <alignment horizontal="center" vertical="center"/>
    </xf>
    <xf numFmtId="0" fontId="46" fillId="0" borderId="20" xfId="79" applyFont="1" applyFill="1" applyBorder="1" applyAlignment="1">
      <alignment horizontal="center" vertical="center"/>
    </xf>
    <xf numFmtId="4" fontId="46" fillId="0" borderId="20" xfId="79" applyNumberFormat="1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/>
    </xf>
    <xf numFmtId="0" fontId="46" fillId="0" borderId="20" xfId="79" applyFont="1" applyFill="1" applyBorder="1" applyAlignment="1">
      <alignment horizontal="center" vertical="center" wrapText="1"/>
    </xf>
    <xf numFmtId="9" fontId="46" fillId="0" borderId="92" xfId="85" applyFont="1" applyFill="1" applyBorder="1" applyAlignment="1">
      <alignment horizontal="center" vertical="center"/>
    </xf>
    <xf numFmtId="2" fontId="49" fillId="0" borderId="91" xfId="79" applyNumberFormat="1" applyFont="1" applyFill="1" applyBorder="1" applyAlignment="1">
      <alignment horizontal="center" vertical="center"/>
    </xf>
    <xf numFmtId="2" fontId="46" fillId="0" borderId="91" xfId="79" applyNumberFormat="1" applyFont="1" applyFill="1" applyBorder="1" applyAlignment="1">
      <alignment horizontal="center" vertical="center"/>
    </xf>
    <xf numFmtId="167" fontId="49" fillId="0" borderId="91" xfId="79" applyNumberFormat="1" applyFont="1" applyFill="1" applyBorder="1" applyAlignment="1">
      <alignment horizontal="center" vertical="center"/>
    </xf>
    <xf numFmtId="168" fontId="49" fillId="0" borderId="87" xfId="79" applyNumberFormat="1" applyFont="1" applyFill="1" applyBorder="1" applyAlignment="1">
      <alignment horizontal="center" vertical="center"/>
    </xf>
    <xf numFmtId="168" fontId="47" fillId="0" borderId="87" xfId="79" applyNumberFormat="1" applyFont="1" applyFill="1" applyBorder="1" applyAlignment="1">
      <alignment horizontal="center" vertical="center"/>
    </xf>
    <xf numFmtId="168" fontId="49" fillId="0" borderId="62" xfId="79" applyNumberFormat="1" applyFont="1" applyFill="1" applyBorder="1" applyAlignment="1">
      <alignment horizontal="center" vertical="center"/>
    </xf>
    <xf numFmtId="168" fontId="49" fillId="0" borderId="86" xfId="79" applyNumberFormat="1" applyFont="1" applyFill="1" applyBorder="1" applyAlignment="1">
      <alignment horizontal="center" vertical="center"/>
    </xf>
    <xf numFmtId="169" fontId="50" fillId="0" borderId="87" xfId="85" applyNumberFormat="1" applyFont="1" applyFill="1" applyBorder="1" applyAlignment="1">
      <alignment horizontal="center" vertical="center"/>
    </xf>
    <xf numFmtId="168" fontId="49" fillId="0" borderId="65" xfId="79" applyNumberFormat="1" applyFont="1" applyFill="1" applyBorder="1" applyAlignment="1">
      <alignment horizontal="center" vertical="center"/>
    </xf>
    <xf numFmtId="10" fontId="46" fillId="0" borderId="92" xfId="79" applyNumberFormat="1" applyFont="1" applyFill="1" applyBorder="1" applyAlignment="1">
      <alignment horizontal="center" vertical="center"/>
    </xf>
    <xf numFmtId="0" fontId="46" fillId="0" borderId="12" xfId="79" applyFont="1" applyFill="1" applyBorder="1" applyAlignment="1">
      <alignment vertical="center"/>
    </xf>
    <xf numFmtId="4" fontId="11" fillId="0" borderId="92" xfId="79" applyNumberFormat="1" applyFont="1" applyFill="1" applyBorder="1" applyAlignment="1">
      <alignment horizontal="center" vertical="center"/>
    </xf>
    <xf numFmtId="4" fontId="11" fillId="0" borderId="11" xfId="79" applyNumberFormat="1" applyFont="1" applyFill="1" applyBorder="1" applyAlignment="1">
      <alignment horizontal="center" vertical="center"/>
    </xf>
    <xf numFmtId="4" fontId="11" fillId="0" borderId="38" xfId="79" applyNumberFormat="1" applyFont="1" applyFill="1" applyBorder="1" applyAlignment="1">
      <alignment horizontal="center" vertical="center"/>
    </xf>
    <xf numFmtId="4" fontId="11" fillId="0" borderId="20" xfId="79" applyNumberFormat="1" applyFont="1" applyFill="1" applyBorder="1" applyAlignment="1">
      <alignment horizontal="center" vertical="center"/>
    </xf>
    <xf numFmtId="0" fontId="47" fillId="0" borderId="12" xfId="79" applyFont="1" applyFill="1" applyBorder="1" applyAlignment="1">
      <alignment vertical="center"/>
    </xf>
    <xf numFmtId="0" fontId="47" fillId="0" borderId="91" xfId="79" applyFont="1" applyFill="1" applyBorder="1" applyAlignment="1">
      <alignment horizontal="center" vertical="center"/>
    </xf>
    <xf numFmtId="0" fontId="47" fillId="0" borderId="10" xfId="79" applyFont="1" applyFill="1" applyBorder="1" applyAlignment="1">
      <alignment horizontal="center" vertical="center"/>
    </xf>
    <xf numFmtId="10" fontId="11" fillId="0" borderId="92" xfId="85" applyNumberFormat="1" applyFont="1" applyFill="1" applyBorder="1" applyAlignment="1">
      <alignment horizontal="center" vertical="center"/>
    </xf>
    <xf numFmtId="169" fontId="11" fillId="0" borderId="92" xfId="85" applyNumberFormat="1" applyFont="1" applyFill="1" applyBorder="1" applyAlignment="1">
      <alignment horizontal="center" vertical="center"/>
    </xf>
    <xf numFmtId="0" fontId="46" fillId="0" borderId="12" xfId="79" applyFont="1" applyFill="1" applyBorder="1" applyAlignment="1">
      <alignment vertical="center" wrapText="1"/>
    </xf>
    <xf numFmtId="167" fontId="47" fillId="0" borderId="92" xfId="79" applyNumberFormat="1" applyFont="1" applyFill="1" applyBorder="1" applyAlignment="1">
      <alignment horizontal="center" vertical="center"/>
    </xf>
    <xf numFmtId="0" fontId="49" fillId="0" borderId="14" xfId="79" applyFont="1" applyFill="1" applyBorder="1" applyAlignment="1">
      <alignment vertical="center"/>
    </xf>
    <xf numFmtId="0" fontId="49" fillId="0" borderId="65" xfId="79" applyFont="1" applyFill="1" applyBorder="1" applyAlignment="1">
      <alignment horizontal="center" vertical="center"/>
    </xf>
    <xf numFmtId="0" fontId="49" fillId="0" borderId="87" xfId="79" applyFont="1" applyFill="1" applyBorder="1" applyAlignment="1">
      <alignment horizontal="center" vertical="center"/>
    </xf>
    <xf numFmtId="167" fontId="47" fillId="0" borderId="87" xfId="79" applyNumberFormat="1" applyFont="1" applyFill="1" applyBorder="1" applyAlignment="1">
      <alignment horizontal="center" vertical="center"/>
    </xf>
    <xf numFmtId="4" fontId="10" fillId="0" borderId="87" xfId="79" applyNumberFormat="1" applyFont="1" applyFill="1" applyBorder="1" applyAlignment="1">
      <alignment horizontal="center" vertical="center"/>
    </xf>
    <xf numFmtId="4" fontId="10" fillId="0" borderId="88" xfId="79" applyNumberFormat="1" applyFont="1" applyFill="1" applyBorder="1" applyAlignment="1">
      <alignment horizontal="center" vertical="center"/>
    </xf>
    <xf numFmtId="0" fontId="8" fillId="0" borderId="0" xfId="79" applyFont="1" applyFill="1" applyAlignment="1">
      <alignment vertical="center"/>
    </xf>
    <xf numFmtId="0" fontId="11" fillId="0" borderId="0" xfId="79" applyFont="1" applyBorder="1" applyAlignment="1">
      <alignment vertical="center"/>
    </xf>
    <xf numFmtId="1" fontId="46" fillId="0" borderId="19" xfId="79" applyNumberFormat="1" applyFont="1" applyFill="1" applyBorder="1" applyAlignment="1">
      <alignment horizontal="center" vertical="center"/>
    </xf>
    <xf numFmtId="9" fontId="46" fillId="0" borderId="92" xfId="85" applyNumberFormat="1" applyFont="1" applyFill="1" applyBorder="1" applyAlignment="1">
      <alignment horizontal="center" vertical="center"/>
    </xf>
    <xf numFmtId="10" fontId="46" fillId="0" borderId="92" xfId="85" applyNumberFormat="1" applyFont="1" applyFill="1" applyBorder="1" applyAlignment="1">
      <alignment horizontal="center" vertical="center"/>
    </xf>
    <xf numFmtId="169" fontId="46" fillId="0" borderId="19" xfId="79" applyNumberFormat="1" applyFont="1" applyFill="1" applyBorder="1" applyAlignment="1">
      <alignment horizontal="center" vertical="center"/>
    </xf>
    <xf numFmtId="169" fontId="46" fillId="0" borderId="92" xfId="85" applyNumberFormat="1" applyFont="1" applyFill="1" applyBorder="1" applyAlignment="1">
      <alignment horizontal="center" vertical="center"/>
    </xf>
    <xf numFmtId="167" fontId="11" fillId="0" borderId="0" xfId="79" applyNumberFormat="1" applyFont="1" applyBorder="1" applyAlignment="1">
      <alignment horizontal="center" vertical="center"/>
    </xf>
    <xf numFmtId="9" fontId="46" fillId="0" borderId="10" xfId="85" applyNumberFormat="1" applyFont="1" applyFill="1" applyBorder="1" applyAlignment="1">
      <alignment horizontal="center" vertical="center"/>
    </xf>
    <xf numFmtId="0" fontId="49" fillId="0" borderId="12" xfId="79" applyFont="1" applyFill="1" applyBorder="1" applyAlignment="1">
      <alignment vertical="center"/>
    </xf>
    <xf numFmtId="9" fontId="49" fillId="0" borderId="10" xfId="85" applyFont="1" applyFill="1" applyBorder="1" applyAlignment="1">
      <alignment horizontal="center" vertical="center"/>
    </xf>
    <xf numFmtId="167" fontId="10" fillId="0" borderId="0" xfId="79" applyNumberFormat="1" applyFont="1" applyBorder="1" applyAlignment="1">
      <alignment horizontal="center" vertical="center"/>
    </xf>
    <xf numFmtId="168" fontId="46" fillId="0" borderId="10" xfId="79" applyNumberFormat="1" applyFont="1" applyFill="1" applyBorder="1" applyAlignment="1">
      <alignment vertical="center"/>
    </xf>
    <xf numFmtId="0" fontId="46" fillId="0" borderId="93" xfId="79" applyFont="1" applyFill="1" applyBorder="1" applyAlignment="1">
      <alignment vertical="center"/>
    </xf>
    <xf numFmtId="0" fontId="46" fillId="0" borderId="19" xfId="79" applyFont="1" applyFill="1" applyBorder="1" applyAlignment="1">
      <alignment vertical="center"/>
    </xf>
    <xf numFmtId="0" fontId="46" fillId="0" borderId="92" xfId="79" applyFont="1" applyFill="1" applyBorder="1" applyAlignment="1">
      <alignment vertical="center"/>
    </xf>
    <xf numFmtId="0" fontId="49" fillId="0" borderId="15" xfId="79" applyFont="1" applyFill="1" applyBorder="1" applyAlignment="1">
      <alignment vertical="center"/>
    </xf>
    <xf numFmtId="0" fontId="49" fillId="0" borderId="21" xfId="79" applyFont="1" applyFill="1" applyBorder="1" applyAlignment="1">
      <alignment vertical="center"/>
    </xf>
    <xf numFmtId="168" fontId="49" fillId="0" borderId="29" xfId="79" applyNumberFormat="1" applyFont="1" applyFill="1" applyBorder="1" applyAlignment="1">
      <alignment horizontal="center" vertical="center"/>
    </xf>
    <xf numFmtId="168" fontId="49" fillId="0" borderId="23" xfId="79" applyNumberFormat="1" applyFont="1" applyFill="1" applyBorder="1" applyAlignment="1">
      <alignment horizontal="center" vertical="center"/>
    </xf>
    <xf numFmtId="0" fontId="49" fillId="0" borderId="21" xfId="79" applyFont="1" applyFill="1" applyBorder="1" applyAlignment="1">
      <alignment horizontal="center" vertical="center"/>
    </xf>
    <xf numFmtId="10" fontId="49" fillId="0" borderId="22" xfId="79" applyNumberFormat="1" applyFont="1" applyFill="1" applyBorder="1" applyAlignment="1">
      <alignment horizontal="center" vertical="center"/>
    </xf>
    <xf numFmtId="4" fontId="49" fillId="0" borderId="23" xfId="79" applyNumberFormat="1" applyFont="1" applyFill="1" applyBorder="1" applyAlignment="1">
      <alignment horizontal="center" vertical="center"/>
    </xf>
    <xf numFmtId="0" fontId="8" fillId="0" borderId="0" xfId="79" applyFont="1" applyFill="1" applyAlignment="1">
      <alignment horizontal="center" vertical="center"/>
    </xf>
    <xf numFmtId="0" fontId="5" fillId="0" borderId="0" xfId="79" applyFill="1" applyAlignment="1">
      <alignment vertical="center"/>
    </xf>
    <xf numFmtId="10" fontId="46" fillId="0" borderId="19" xfId="79" applyNumberFormat="1" applyFont="1" applyFill="1" applyBorder="1" applyAlignment="1">
      <alignment horizontal="center" vertical="center"/>
    </xf>
    <xf numFmtId="10" fontId="49" fillId="0" borderId="21" xfId="79" applyNumberFormat="1" applyFont="1" applyFill="1" applyBorder="1" applyAlignment="1">
      <alignment horizontal="center" vertical="center"/>
    </xf>
    <xf numFmtId="2" fontId="46" fillId="0" borderId="37" xfId="79" applyNumberFormat="1" applyFont="1" applyFill="1" applyBorder="1" applyAlignment="1">
      <alignment horizontal="center" vertical="center"/>
    </xf>
    <xf numFmtId="0" fontId="11" fillId="0" borderId="87" xfId="0" applyFont="1" applyBorder="1" applyAlignment="1">
      <alignment horizontal="center" vertical="center" wrapText="1"/>
    </xf>
    <xf numFmtId="167" fontId="11" fillId="0" borderId="92" xfId="0" applyNumberFormat="1" applyFont="1" applyBorder="1" applyAlignment="1">
      <alignment horizontal="center"/>
    </xf>
    <xf numFmtId="167" fontId="11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/>
    </xf>
    <xf numFmtId="0" fontId="0" fillId="0" borderId="90" xfId="0" applyBorder="1" applyAlignment="1"/>
    <xf numFmtId="167" fontId="12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0" fillId="0" borderId="91" xfId="0" applyFont="1" applyBorder="1" applyAlignment="1">
      <alignment vertical="center"/>
    </xf>
    <xf numFmtId="0" fontId="59" fillId="0" borderId="91" xfId="0" applyFont="1" applyBorder="1" applyAlignment="1">
      <alignment vertical="center"/>
    </xf>
    <xf numFmtId="0" fontId="15" fillId="0" borderId="13" xfId="0" applyFont="1" applyBorder="1" applyAlignment="1">
      <alignment vertical="center" wrapText="1"/>
    </xf>
    <xf numFmtId="0" fontId="58" fillId="0" borderId="12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58" fillId="0" borderId="15" xfId="0" applyFont="1" applyBorder="1" applyAlignment="1">
      <alignment vertical="center" wrapText="1"/>
    </xf>
    <xf numFmtId="0" fontId="15" fillId="0" borderId="34" xfId="0" applyFont="1" applyBorder="1" applyAlignment="1">
      <alignment vertical="center" wrapText="1"/>
    </xf>
    <xf numFmtId="0" fontId="80" fillId="0" borderId="31" xfId="0" applyFont="1" applyBorder="1" applyAlignment="1">
      <alignment vertical="center"/>
    </xf>
    <xf numFmtId="0" fontId="80" fillId="0" borderId="11" xfId="0" applyFont="1" applyBorder="1" applyAlignment="1">
      <alignment vertical="center"/>
    </xf>
    <xf numFmtId="0" fontId="80" fillId="0" borderId="35" xfId="0" applyFont="1" applyBorder="1" applyAlignment="1">
      <alignment vertical="center"/>
    </xf>
    <xf numFmtId="0" fontId="80" fillId="0" borderId="93" xfId="0" applyFont="1" applyBorder="1" applyAlignment="1">
      <alignment vertical="center"/>
    </xf>
    <xf numFmtId="4" fontId="15" fillId="0" borderId="16" xfId="0" applyNumberFormat="1" applyFont="1" applyBorder="1" applyAlignment="1">
      <alignment horizontal="right" vertical="center"/>
    </xf>
    <xf numFmtId="4" fontId="15" fillId="0" borderId="17" xfId="0" applyNumberFormat="1" applyFont="1" applyBorder="1" applyAlignment="1">
      <alignment horizontal="right" vertical="center"/>
    </xf>
    <xf numFmtId="4" fontId="15" fillId="0" borderId="18" xfId="0" applyNumberFormat="1" applyFont="1" applyBorder="1" applyAlignment="1">
      <alignment horizontal="right" vertical="center"/>
    </xf>
    <xf numFmtId="10" fontId="59" fillId="0" borderId="92" xfId="85" applyNumberFormat="1" applyFont="1" applyBorder="1" applyAlignment="1">
      <alignment horizontal="right" vertical="center"/>
    </xf>
    <xf numFmtId="0" fontId="58" fillId="0" borderId="30" xfId="0" applyFont="1" applyFill="1" applyBorder="1" applyAlignment="1">
      <alignment horizontal="center" wrapText="1"/>
    </xf>
    <xf numFmtId="0" fontId="58" fillId="0" borderId="17" xfId="0" applyFont="1" applyFill="1" applyBorder="1" applyAlignment="1">
      <alignment horizontal="center" wrapText="1"/>
    </xf>
    <xf numFmtId="0" fontId="58" fillId="0" borderId="27" xfId="0" applyFont="1" applyFill="1" applyBorder="1" applyAlignment="1">
      <alignment horizontal="center" wrapText="1"/>
    </xf>
    <xf numFmtId="4" fontId="58" fillId="0" borderId="18" xfId="0" applyNumberFormat="1" applyFont="1" applyBorder="1" applyAlignment="1">
      <alignment horizontal="right" vertical="center"/>
    </xf>
    <xf numFmtId="0" fontId="54" fillId="0" borderId="19" xfId="0" applyFont="1" applyBorder="1" applyAlignment="1">
      <alignment vertical="center"/>
    </xf>
    <xf numFmtId="4" fontId="54" fillId="0" borderId="92" xfId="0" applyNumberFormat="1" applyFont="1" applyBorder="1" applyAlignment="1">
      <alignment vertical="center" wrapText="1"/>
    </xf>
    <xf numFmtId="0" fontId="54" fillId="0" borderId="92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54" fillId="0" borderId="92" xfId="0" applyFont="1" applyBorder="1" applyAlignment="1">
      <alignment vertical="center" wrapText="1"/>
    </xf>
    <xf numFmtId="4" fontId="54" fillId="0" borderId="20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4" fontId="0" fillId="0" borderId="92" xfId="0" applyNumberFormat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4" fontId="0" fillId="0" borderId="20" xfId="0" applyNumberFormat="1" applyBorder="1" applyAlignment="1">
      <alignment vertical="center" wrapText="1"/>
    </xf>
    <xf numFmtId="0" fontId="6" fillId="0" borderId="21" xfId="0" applyFont="1" applyBorder="1" applyAlignment="1">
      <alignment vertical="center"/>
    </xf>
    <xf numFmtId="0" fontId="6" fillId="0" borderId="22" xfId="0" applyFont="1" applyBorder="1" applyAlignment="1">
      <alignment vertical="center" wrapText="1"/>
    </xf>
    <xf numFmtId="4" fontId="6" fillId="0" borderId="23" xfId="0" applyNumberFormat="1" applyFont="1" applyBorder="1" applyAlignment="1">
      <alignment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6" fillId="0" borderId="21" xfId="0" applyFont="1" applyBorder="1" applyAlignment="1">
      <alignment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4" fontId="54" fillId="0" borderId="19" xfId="0" applyNumberFormat="1" applyFont="1" applyBorder="1" applyAlignment="1">
      <alignment vertical="center"/>
    </xf>
    <xf numFmtId="0" fontId="92" fillId="0" borderId="21" xfId="0" applyFont="1" applyBorder="1" applyAlignment="1">
      <alignment vertical="center"/>
    </xf>
    <xf numFmtId="0" fontId="92" fillId="0" borderId="22" xfId="0" applyFont="1" applyBorder="1" applyAlignment="1">
      <alignment vertical="center"/>
    </xf>
    <xf numFmtId="4" fontId="92" fillId="0" borderId="23" xfId="0" applyNumberFormat="1" applyFont="1" applyBorder="1" applyAlignment="1">
      <alignment vertical="center"/>
    </xf>
    <xf numFmtId="0" fontId="92" fillId="0" borderId="22" xfId="0" applyFont="1" applyBorder="1" applyAlignment="1">
      <alignment vertical="center" wrapText="1"/>
    </xf>
    <xf numFmtId="0" fontId="58" fillId="0" borderId="19" xfId="0" applyFont="1" applyBorder="1" applyAlignment="1">
      <alignment horizontal="center" vertical="center"/>
    </xf>
    <xf numFmtId="0" fontId="0" fillId="0" borderId="33" xfId="0" applyBorder="1"/>
    <xf numFmtId="0" fontId="19" fillId="0" borderId="57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19" fillId="0" borderId="55" xfId="0" applyFont="1" applyBorder="1" applyAlignment="1">
      <alignment horizontal="right" vertical="top" wrapText="1"/>
    </xf>
    <xf numFmtId="0" fontId="19" fillId="0" borderId="55" xfId="0" applyFont="1" applyBorder="1" applyAlignment="1">
      <alignment vertical="top" wrapText="1"/>
    </xf>
    <xf numFmtId="0" fontId="58" fillId="0" borderId="54" xfId="0" applyFont="1" applyBorder="1"/>
    <xf numFmtId="0" fontId="0" fillId="0" borderId="60" xfId="0" applyBorder="1"/>
    <xf numFmtId="0" fontId="17" fillId="0" borderId="54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2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7" fillId="0" borderId="54" xfId="0" applyFont="1" applyBorder="1"/>
    <xf numFmtId="0" fontId="19" fillId="0" borderId="0" xfId="0" applyFont="1" applyBorder="1" applyAlignment="1">
      <alignment horizontal="right" vertical="top" wrapText="1"/>
    </xf>
    <xf numFmtId="0" fontId="11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8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1" fillId="0" borderId="60" xfId="0" applyFont="1" applyBorder="1" applyAlignment="1">
      <alignment wrapText="1"/>
    </xf>
    <xf numFmtId="0" fontId="11" fillId="0" borderId="33" xfId="0" applyFont="1" applyBorder="1" applyAlignment="1">
      <alignment wrapText="1"/>
    </xf>
    <xf numFmtId="0" fontId="19" fillId="0" borderId="0" xfId="0" applyFont="1" applyBorder="1" applyAlignment="1">
      <alignment vertical="top" wrapText="1"/>
    </xf>
    <xf numFmtId="0" fontId="9" fillId="0" borderId="0" xfId="0" applyFont="1"/>
    <xf numFmtId="0" fontId="9" fillId="29" borderId="0" xfId="0" applyFont="1" applyFill="1"/>
    <xf numFmtId="0" fontId="13" fillId="0" borderId="54" xfId="0" applyFont="1" applyBorder="1" applyAlignment="1">
      <alignment vertical="top" wrapText="1"/>
    </xf>
    <xf numFmtId="0" fontId="15" fillId="0" borderId="54" xfId="0" applyFont="1" applyBorder="1"/>
    <xf numFmtId="0" fontId="21" fillId="0" borderId="54" xfId="0" applyFont="1" applyBorder="1"/>
    <xf numFmtId="0" fontId="6" fillId="29" borderId="0" xfId="0" applyFont="1" applyFill="1"/>
    <xf numFmtId="0" fontId="10" fillId="0" borderId="92" xfId="0" applyFont="1" applyBorder="1" applyAlignment="1">
      <alignment horizontal="center"/>
    </xf>
    <xf numFmtId="167" fontId="10" fillId="0" borderId="92" xfId="0" applyNumberFormat="1" applyFont="1" applyBorder="1" applyAlignment="1">
      <alignment horizontal="center"/>
    </xf>
    <xf numFmtId="4" fontId="58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 wrapText="1"/>
    </xf>
    <xf numFmtId="169" fontId="58" fillId="0" borderId="92" xfId="85" applyNumberFormat="1" applyFont="1" applyBorder="1" applyAlignment="1">
      <alignment horizontal="center" vertical="center"/>
    </xf>
    <xf numFmtId="169" fontId="15" fillId="0" borderId="92" xfId="85" applyNumberFormat="1" applyFont="1" applyBorder="1" applyAlignment="1">
      <alignment horizontal="center" vertical="center"/>
    </xf>
    <xf numFmtId="4" fontId="58" fillId="0" borderId="19" xfId="0" applyNumberFormat="1" applyFont="1" applyBorder="1" applyAlignment="1">
      <alignment horizontal="center" vertical="center"/>
    </xf>
    <xf numFmtId="167" fontId="59" fillId="0" borderId="92" xfId="0" applyNumberFormat="1" applyFont="1" applyBorder="1" applyAlignment="1">
      <alignment horizontal="center" vertical="center"/>
    </xf>
    <xf numFmtId="4" fontId="15" fillId="0" borderId="92" xfId="0" applyNumberFormat="1" applyFont="1" applyBorder="1" applyAlignment="1">
      <alignment horizontal="center" vertical="center"/>
    </xf>
    <xf numFmtId="0" fontId="59" fillId="0" borderId="92" xfId="0" applyFont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4" fontId="15" fillId="0" borderId="86" xfId="0" applyNumberFormat="1" applyFont="1" applyBorder="1" applyAlignment="1">
      <alignment horizontal="center" vertical="center"/>
    </xf>
    <xf numFmtId="167" fontId="59" fillId="0" borderId="87" xfId="0" applyNumberFormat="1" applyFont="1" applyBorder="1" applyAlignment="1">
      <alignment horizontal="center" vertical="center"/>
    </xf>
    <xf numFmtId="4" fontId="15" fillId="0" borderId="87" xfId="0" applyNumberFormat="1" applyFont="1" applyBorder="1" applyAlignment="1">
      <alignment horizontal="center" vertical="center"/>
    </xf>
    <xf numFmtId="4" fontId="58" fillId="0" borderId="87" xfId="0" applyNumberFormat="1" applyFont="1" applyBorder="1" applyAlignment="1">
      <alignment horizontal="center" vertical="center"/>
    </xf>
    <xf numFmtId="4" fontId="15" fillId="0" borderId="88" xfId="0" applyNumberFormat="1" applyFont="1" applyBorder="1" applyAlignment="1">
      <alignment horizontal="center" vertical="center"/>
    </xf>
    <xf numFmtId="169" fontId="15" fillId="0" borderId="87" xfId="85" applyNumberFormat="1" applyFont="1" applyBorder="1" applyAlignment="1">
      <alignment horizontal="center" vertical="center"/>
    </xf>
    <xf numFmtId="169" fontId="15" fillId="0" borderId="76" xfId="85" applyNumberFormat="1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6" fontId="0" fillId="0" borderId="92" xfId="0" applyNumberFormat="1" applyBorder="1"/>
    <xf numFmtId="0" fontId="82" fillId="0" borderId="34" xfId="0" applyFont="1" applyBorder="1" applyAlignment="1">
      <alignment vertical="center" wrapText="1"/>
    </xf>
    <xf numFmtId="0" fontId="82" fillId="0" borderId="12" xfId="0" applyFont="1" applyBorder="1" applyAlignment="1">
      <alignment vertical="center" wrapText="1"/>
    </xf>
    <xf numFmtId="0" fontId="82" fillId="0" borderId="12" xfId="0" applyFont="1" applyFill="1" applyBorder="1" applyAlignment="1">
      <alignment vertical="center" wrapText="1"/>
    </xf>
    <xf numFmtId="0" fontId="82" fillId="0" borderId="46" xfId="0" applyFont="1" applyFill="1" applyBorder="1" applyAlignment="1">
      <alignment vertical="center" wrapText="1"/>
    </xf>
    <xf numFmtId="4" fontId="15" fillId="0" borderId="18" xfId="0" applyNumberFormat="1" applyFont="1" applyFill="1" applyBorder="1" applyAlignment="1">
      <alignment horizontal="right" vertical="center"/>
    </xf>
    <xf numFmtId="10" fontId="59" fillId="0" borderId="20" xfId="85" applyNumberFormat="1" applyFont="1" applyFill="1" applyBorder="1" applyAlignment="1">
      <alignment horizontal="right" vertical="center"/>
    </xf>
    <xf numFmtId="4" fontId="59" fillId="0" borderId="20" xfId="0" applyNumberFormat="1" applyFont="1" applyFill="1" applyBorder="1" applyAlignment="1">
      <alignment horizontal="right" vertical="center" wrapText="1"/>
    </xf>
    <xf numFmtId="4" fontId="15" fillId="0" borderId="17" xfId="0" applyNumberFormat="1" applyFont="1" applyFill="1" applyBorder="1" applyAlignment="1">
      <alignment horizontal="right" vertical="center"/>
    </xf>
    <xf numFmtId="0" fontId="15" fillId="0" borderId="17" xfId="0" applyFont="1" applyFill="1" applyBorder="1" applyAlignment="1">
      <alignment horizontal="right" vertical="center"/>
    </xf>
    <xf numFmtId="0" fontId="15" fillId="0" borderId="18" xfId="0" applyFont="1" applyFill="1" applyBorder="1" applyAlignment="1">
      <alignment horizontal="right" vertical="center"/>
    </xf>
    <xf numFmtId="0" fontId="82" fillId="32" borderId="37" xfId="0" applyFont="1" applyFill="1" applyBorder="1" applyAlignment="1">
      <alignment horizontal="center" vertical="center"/>
    </xf>
    <xf numFmtId="166" fontId="82" fillId="32" borderId="11" xfId="0" applyNumberFormat="1" applyFont="1" applyFill="1" applyBorder="1" applyAlignment="1">
      <alignment horizontal="center" vertical="center"/>
    </xf>
    <xf numFmtId="3" fontId="82" fillId="32" borderId="11" xfId="0" applyNumberFormat="1" applyFont="1" applyFill="1" applyBorder="1" applyAlignment="1">
      <alignment horizontal="center" vertical="center"/>
    </xf>
    <xf numFmtId="167" fontId="83" fillId="32" borderId="11" xfId="0" applyNumberFormat="1" applyFont="1" applyFill="1" applyBorder="1" applyAlignment="1">
      <alignment horizontal="center" vertical="center"/>
    </xf>
    <xf numFmtId="4" fontId="82" fillId="32" borderId="11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horizontal="center" vertical="center"/>
    </xf>
    <xf numFmtId="166" fontId="82" fillId="32" borderId="10" xfId="0" applyNumberFormat="1" applyFont="1" applyFill="1" applyBorder="1" applyAlignment="1">
      <alignment horizontal="center" vertical="center"/>
    </xf>
    <xf numFmtId="3" fontId="82" fillId="32" borderId="10" xfId="0" applyNumberFormat="1" applyFont="1" applyFill="1" applyBorder="1" applyAlignment="1">
      <alignment horizontal="center" vertical="center"/>
    </xf>
    <xf numFmtId="167" fontId="83" fillId="32" borderId="10" xfId="0" applyNumberFormat="1" applyFont="1" applyFill="1" applyBorder="1" applyAlignment="1">
      <alignment horizontal="center" vertical="center"/>
    </xf>
    <xf numFmtId="4" fontId="82" fillId="32" borderId="10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vertical="center"/>
    </xf>
    <xf numFmtId="0" fontId="82" fillId="32" borderId="10" xfId="0" applyFont="1" applyFill="1" applyBorder="1" applyAlignment="1">
      <alignment vertical="center"/>
    </xf>
    <xf numFmtId="0" fontId="82" fillId="32" borderId="10" xfId="0" applyFont="1" applyFill="1" applyBorder="1" applyAlignment="1">
      <alignment horizontal="center" vertical="center"/>
    </xf>
    <xf numFmtId="2" fontId="82" fillId="32" borderId="10" xfId="0" applyNumberFormat="1" applyFont="1" applyFill="1" applyBorder="1" applyAlignment="1">
      <alignment horizontal="center" vertical="center"/>
    </xf>
    <xf numFmtId="167" fontId="82" fillId="32" borderId="10" xfId="0" applyNumberFormat="1" applyFont="1" applyFill="1" applyBorder="1" applyAlignment="1">
      <alignment horizontal="center" vertical="center"/>
    </xf>
    <xf numFmtId="0" fontId="61" fillId="0" borderId="46" xfId="0" applyFont="1" applyBorder="1" applyAlignment="1">
      <alignment vertical="center"/>
    </xf>
    <xf numFmtId="0" fontId="82" fillId="32" borderId="57" xfId="0" applyFont="1" applyFill="1" applyBorder="1" applyAlignment="1">
      <alignment horizontal="center" vertical="center" wrapText="1"/>
    </xf>
    <xf numFmtId="0" fontId="82" fillId="27" borderId="57" xfId="0" applyFont="1" applyFill="1" applyBorder="1" applyAlignment="1">
      <alignment horizontal="center" vertical="center" wrapText="1"/>
    </xf>
    <xf numFmtId="0" fontId="82" fillId="28" borderId="57" xfId="0" applyFont="1" applyFill="1" applyBorder="1" applyAlignment="1">
      <alignment horizontal="center" vertical="center" wrapText="1"/>
    </xf>
    <xf numFmtId="0" fontId="61" fillId="0" borderId="57" xfId="0" applyFont="1" applyBorder="1" applyAlignment="1">
      <alignment vertical="center"/>
    </xf>
    <xf numFmtId="0" fontId="82" fillId="26" borderId="57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32" borderId="86" xfId="0" applyFont="1" applyFill="1" applyBorder="1" applyAlignment="1">
      <alignment vertical="center"/>
    </xf>
    <xf numFmtId="0" fontId="82" fillId="32" borderId="87" xfId="0" applyFont="1" applyFill="1" applyBorder="1" applyAlignment="1">
      <alignment vertical="center"/>
    </xf>
    <xf numFmtId="0" fontId="82" fillId="32" borderId="87" xfId="0" applyFont="1" applyFill="1" applyBorder="1" applyAlignment="1">
      <alignment horizontal="center" vertical="center"/>
    </xf>
    <xf numFmtId="0" fontId="82" fillId="27" borderId="87" xfId="0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3" fillId="27" borderId="87" xfId="0" applyNumberFormat="1" applyFont="1" applyFill="1" applyBorder="1" applyAlignment="1">
      <alignment horizontal="center" vertical="center"/>
    </xf>
    <xf numFmtId="4" fontId="82" fillId="27" borderId="88" xfId="0" applyNumberFormat="1" applyFont="1" applyFill="1" applyBorder="1" applyAlignment="1">
      <alignment horizontal="center" vertical="center"/>
    </xf>
    <xf numFmtId="0" fontId="82" fillId="28" borderId="87" xfId="0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4" fontId="82" fillId="28" borderId="88" xfId="0" applyNumberFormat="1" applyFont="1" applyFill="1" applyBorder="1" applyAlignment="1">
      <alignment horizontal="center" vertical="center"/>
    </xf>
    <xf numFmtId="4" fontId="83" fillId="28" borderId="87" xfId="0" applyNumberFormat="1" applyFont="1" applyFill="1" applyBorder="1" applyAlignment="1">
      <alignment horizontal="center" vertical="center"/>
    </xf>
    <xf numFmtId="0" fontId="82" fillId="26" borderId="86" xfId="0" applyFont="1" applyFill="1" applyBorder="1" applyAlignment="1">
      <alignment vertical="center"/>
    </xf>
    <xf numFmtId="0" fontId="82" fillId="26" borderId="87" xfId="0" applyFont="1" applyFill="1" applyBorder="1" applyAlignment="1">
      <alignment vertical="center"/>
    </xf>
    <xf numFmtId="0" fontId="82" fillId="26" borderId="62" xfId="0" applyFont="1" applyFill="1" applyBorder="1" applyAlignment="1">
      <alignment horizontal="center" vertical="center"/>
    </xf>
    <xf numFmtId="0" fontId="82" fillId="27" borderId="86" xfId="0" applyFont="1" applyFill="1" applyBorder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82" fillId="28" borderId="11" xfId="0" applyFont="1" applyFill="1" applyBorder="1" applyAlignment="1">
      <alignment horizontal="center" vertical="center"/>
    </xf>
    <xf numFmtId="0" fontId="82" fillId="27" borderId="37" xfId="0" applyFont="1" applyFill="1" applyBorder="1" applyAlignment="1">
      <alignment horizontal="center" vertical="center"/>
    </xf>
    <xf numFmtId="0" fontId="14" fillId="0" borderId="58" xfId="0" applyFont="1" applyBorder="1" applyAlignment="1">
      <alignment vertical="center" wrapText="1"/>
    </xf>
    <xf numFmtId="0" fontId="61" fillId="0" borderId="53" xfId="0" applyFont="1" applyBorder="1" applyAlignment="1">
      <alignment vertical="center"/>
    </xf>
    <xf numFmtId="0" fontId="14" fillId="32" borderId="75" xfId="0" applyFont="1" applyFill="1" applyBorder="1" applyAlignment="1">
      <alignment vertical="center"/>
    </xf>
    <xf numFmtId="0" fontId="14" fillId="32" borderId="76" xfId="0" applyFont="1" applyFill="1" applyBorder="1" applyAlignment="1">
      <alignment vertical="center"/>
    </xf>
    <xf numFmtId="0" fontId="14" fillId="32" borderId="76" xfId="0" applyFont="1" applyFill="1" applyBorder="1" applyAlignment="1">
      <alignment horizontal="center" vertical="center"/>
    </xf>
    <xf numFmtId="0" fontId="82" fillId="27" borderId="76" xfId="0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83" fillId="27" borderId="76" xfId="0" applyNumberFormat="1" applyFont="1" applyFill="1" applyBorder="1" applyAlignment="1">
      <alignment horizontal="center" vertical="center"/>
    </xf>
    <xf numFmtId="4" fontId="14" fillId="27" borderId="77" xfId="0" applyNumberFormat="1" applyFont="1" applyFill="1" applyBorder="1" applyAlignment="1">
      <alignment horizontal="center" vertical="center"/>
    </xf>
    <xf numFmtId="0" fontId="82" fillId="28" borderId="76" xfId="0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4" fontId="14" fillId="28" borderId="77" xfId="0" applyNumberFormat="1" applyFont="1" applyFill="1" applyBorder="1" applyAlignment="1">
      <alignment horizontal="center" vertical="center"/>
    </xf>
    <xf numFmtId="4" fontId="83" fillId="28" borderId="76" xfId="0" applyNumberFormat="1" applyFont="1" applyFill="1" applyBorder="1" applyAlignment="1">
      <alignment horizontal="center" vertical="center"/>
    </xf>
    <xf numFmtId="0" fontId="14" fillId="26" borderId="75" xfId="0" applyFont="1" applyFill="1" applyBorder="1" applyAlignment="1">
      <alignment vertical="center"/>
    </xf>
    <xf numFmtId="0" fontId="14" fillId="26" borderId="76" xfId="0" applyFont="1" applyFill="1" applyBorder="1" applyAlignment="1">
      <alignment vertical="center"/>
    </xf>
    <xf numFmtId="0" fontId="14" fillId="26" borderId="81" xfId="0" applyFont="1" applyFill="1" applyBorder="1" applyAlignment="1">
      <alignment horizontal="center" vertical="center"/>
    </xf>
    <xf numFmtId="0" fontId="82" fillId="27" borderId="75" xfId="0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vertical="center" wrapText="1"/>
    </xf>
    <xf numFmtId="0" fontId="14" fillId="32" borderId="24" xfId="0" applyFont="1" applyFill="1" applyBorder="1" applyAlignment="1">
      <alignment horizontal="center" vertical="center"/>
    </xf>
    <xf numFmtId="4" fontId="14" fillId="32" borderId="43" xfId="0" applyNumberFormat="1" applyFont="1" applyFill="1" applyBorder="1" applyAlignment="1">
      <alignment horizontal="center" vertical="center"/>
    </xf>
    <xf numFmtId="0" fontId="14" fillId="32" borderId="43" xfId="0" applyFont="1" applyFill="1" applyBorder="1" applyAlignment="1">
      <alignment horizontal="center" vertical="center"/>
    </xf>
    <xf numFmtId="0" fontId="14" fillId="27" borderId="43" xfId="0" applyFont="1" applyFill="1" applyBorder="1" applyAlignment="1">
      <alignment horizontal="center" vertical="center"/>
    </xf>
    <xf numFmtId="4" fontId="14" fillId="27" borderId="43" xfId="0" applyNumberFormat="1" applyFont="1" applyFill="1" applyBorder="1" applyAlignment="1">
      <alignment horizontal="center" vertical="center"/>
    </xf>
    <xf numFmtId="4" fontId="14" fillId="27" borderId="44" xfId="0" applyNumberFormat="1" applyFont="1" applyFill="1" applyBorder="1" applyAlignment="1">
      <alignment horizontal="center" vertical="center"/>
    </xf>
    <xf numFmtId="0" fontId="14" fillId="28" borderId="43" xfId="0" applyFont="1" applyFill="1" applyBorder="1" applyAlignment="1">
      <alignment horizontal="center" vertical="center"/>
    </xf>
    <xf numFmtId="4" fontId="14" fillId="28" borderId="43" xfId="0" applyNumberFormat="1" applyFont="1" applyFill="1" applyBorder="1" applyAlignment="1">
      <alignment horizontal="center" vertical="center"/>
    </xf>
    <xf numFmtId="4" fontId="14" fillId="28" borderId="44" xfId="0" applyNumberFormat="1" applyFont="1" applyFill="1" applyBorder="1" applyAlignment="1">
      <alignment horizontal="center" vertical="center"/>
    </xf>
    <xf numFmtId="0" fontId="14" fillId="26" borderId="24" xfId="0" applyFont="1" applyFill="1" applyBorder="1" applyAlignment="1">
      <alignment horizontal="center" vertical="center"/>
    </xf>
    <xf numFmtId="4" fontId="14" fillId="26" borderId="43" xfId="0" applyNumberFormat="1" applyFont="1" applyFill="1" applyBorder="1" applyAlignment="1">
      <alignment horizontal="center" vertical="center"/>
    </xf>
    <xf numFmtId="0" fontId="14" fillId="26" borderId="43" xfId="0" applyFont="1" applyFill="1" applyBorder="1" applyAlignment="1">
      <alignment horizontal="center" vertical="center"/>
    </xf>
    <xf numFmtId="0" fontId="14" fillId="26" borderId="79" xfId="0" applyFont="1" applyFill="1" applyBorder="1" applyAlignment="1">
      <alignment horizontal="center" vertical="center"/>
    </xf>
    <xf numFmtId="0" fontId="14" fillId="27" borderId="24" xfId="0" applyFont="1" applyFill="1" applyBorder="1" applyAlignment="1">
      <alignment horizontal="center" vertical="center"/>
    </xf>
    <xf numFmtId="167" fontId="14" fillId="32" borderId="76" xfId="0" applyNumberFormat="1" applyFont="1" applyFill="1" applyBorder="1" applyAlignment="1">
      <alignment horizontal="center" vertical="center"/>
    </xf>
    <xf numFmtId="167" fontId="14" fillId="26" borderId="81" xfId="0" applyNumberFormat="1" applyFont="1" applyFill="1" applyBorder="1" applyAlignment="1">
      <alignment horizontal="center" vertical="center"/>
    </xf>
    <xf numFmtId="0" fontId="82" fillId="32" borderId="37" xfId="0" applyFont="1" applyFill="1" applyBorder="1" applyAlignment="1">
      <alignment vertical="center"/>
    </xf>
    <xf numFmtId="0" fontId="82" fillId="32" borderId="11" xfId="0" applyFont="1" applyFill="1" applyBorder="1" applyAlignment="1">
      <alignment vertical="center"/>
    </xf>
    <xf numFmtId="0" fontId="82" fillId="32" borderId="11" xfId="0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vertical="center"/>
    </xf>
    <xf numFmtId="0" fontId="82" fillId="26" borderId="11" xfId="0" applyFont="1" applyFill="1" applyBorder="1" applyAlignment="1">
      <alignment vertical="center"/>
    </xf>
    <xf numFmtId="0" fontId="82" fillId="26" borderId="35" xfId="0" applyFont="1" applyFill="1" applyBorder="1" applyAlignment="1">
      <alignment horizontal="center" vertical="center"/>
    </xf>
    <xf numFmtId="2" fontId="82" fillId="26" borderId="11" xfId="0" applyNumberFormat="1" applyFont="1" applyFill="1" applyBorder="1" applyAlignment="1">
      <alignment horizontal="center" vertical="center"/>
    </xf>
    <xf numFmtId="167" fontId="82" fillId="26" borderId="35" xfId="0" applyNumberFormat="1" applyFont="1" applyFill="1" applyBorder="1" applyAlignment="1">
      <alignment horizontal="center" vertical="center"/>
    </xf>
    <xf numFmtId="4" fontId="14" fillId="32" borderId="76" xfId="0" applyNumberFormat="1" applyFont="1" applyFill="1" applyBorder="1" applyAlignment="1">
      <alignment horizontal="center" vertical="center"/>
    </xf>
    <xf numFmtId="4" fontId="14" fillId="27" borderId="76" xfId="0" applyNumberFormat="1" applyFont="1" applyFill="1" applyBorder="1" applyAlignment="1">
      <alignment horizontal="center" vertical="center"/>
    </xf>
    <xf numFmtId="4" fontId="14" fillId="28" borderId="76" xfId="0" applyNumberFormat="1" applyFont="1" applyFill="1" applyBorder="1" applyAlignment="1">
      <alignment horizontal="center" vertical="center"/>
    </xf>
    <xf numFmtId="4" fontId="14" fillId="26" borderId="76" xfId="0" applyNumberFormat="1" applyFont="1" applyFill="1" applyBorder="1" applyAlignment="1">
      <alignment horizontal="center" vertical="center"/>
    </xf>
    <xf numFmtId="0" fontId="14" fillId="26" borderId="76" xfId="0" applyFont="1" applyFill="1" applyBorder="1" applyAlignment="1">
      <alignment horizontal="center" vertical="center"/>
    </xf>
    <xf numFmtId="2" fontId="11" fillId="0" borderId="92" xfId="0" applyNumberFormat="1" applyFont="1" applyBorder="1" applyAlignment="1">
      <alignment horizontal="center" vertical="center" wrapText="1"/>
    </xf>
    <xf numFmtId="166" fontId="11" fillId="0" borderId="92" xfId="0" applyNumberFormat="1" applyFont="1" applyBorder="1" applyAlignment="1">
      <alignment horizontal="center" vertical="top" wrapText="1"/>
    </xf>
    <xf numFmtId="166" fontId="11" fillId="0" borderId="92" xfId="0" applyNumberFormat="1" applyFont="1" applyBorder="1" applyAlignment="1">
      <alignment horizontal="center"/>
    </xf>
    <xf numFmtId="4" fontId="10" fillId="0" borderId="92" xfId="0" applyNumberFormat="1" applyFont="1" applyBorder="1" applyAlignment="1">
      <alignment horizontal="center" vertical="center"/>
    </xf>
    <xf numFmtId="166" fontId="11" fillId="0" borderId="92" xfId="0" applyNumberFormat="1" applyFont="1" applyBorder="1"/>
    <xf numFmtId="166" fontId="21" fillId="0" borderId="92" xfId="0" applyNumberFormat="1" applyFont="1" applyBorder="1" applyAlignment="1">
      <alignment horizontal="center"/>
    </xf>
    <xf numFmtId="166" fontId="19" fillId="0" borderId="92" xfId="0" applyNumberFormat="1" applyFont="1" applyBorder="1" applyAlignment="1">
      <alignment horizontal="center"/>
    </xf>
    <xf numFmtId="2" fontId="15" fillId="0" borderId="92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 wrapText="1"/>
    </xf>
    <xf numFmtId="0" fontId="58" fillId="0" borderId="92" xfId="0" applyFont="1" applyBorder="1" applyAlignment="1">
      <alignment horizontal="center" vertical="center"/>
    </xf>
    <xf numFmtId="166" fontId="58" fillId="0" borderId="92" xfId="0" applyNumberFormat="1" applyFont="1" applyBorder="1" applyAlignment="1">
      <alignment horizontal="center" vertical="center"/>
    </xf>
    <xf numFmtId="166" fontId="58" fillId="0" borderId="92" xfId="0" applyNumberFormat="1" applyFont="1" applyFill="1" applyBorder="1" applyAlignment="1">
      <alignment horizontal="center" vertical="center"/>
    </xf>
    <xf numFmtId="2" fontId="15" fillId="0" borderId="92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/>
    </xf>
    <xf numFmtId="2" fontId="58" fillId="0" borderId="19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 wrapText="1"/>
    </xf>
    <xf numFmtId="166" fontId="58" fillId="0" borderId="19" xfId="0" applyNumberFormat="1" applyFont="1" applyBorder="1" applyAlignment="1">
      <alignment horizontal="center" vertical="center"/>
    </xf>
    <xf numFmtId="167" fontId="58" fillId="0" borderId="92" xfId="0" applyNumberFormat="1" applyFont="1" applyBorder="1" applyAlignment="1">
      <alignment horizontal="center" vertical="center"/>
    </xf>
    <xf numFmtId="1" fontId="58" fillId="0" borderId="92" xfId="0" applyNumberFormat="1" applyFont="1" applyBorder="1" applyAlignment="1">
      <alignment horizontal="center" vertical="center"/>
    </xf>
    <xf numFmtId="166" fontId="15" fillId="0" borderId="19" xfId="0" applyNumberFormat="1" applyFont="1" applyBorder="1" applyAlignment="1">
      <alignment horizontal="center" vertical="center"/>
    </xf>
    <xf numFmtId="167" fontId="15" fillId="0" borderId="92" xfId="0" applyNumberFormat="1" applyFont="1" applyBorder="1" applyAlignment="1">
      <alignment horizontal="center" vertical="center"/>
    </xf>
    <xf numFmtId="166" fontId="15" fillId="0" borderId="92" xfId="0" applyNumberFormat="1" applyFont="1" applyBorder="1" applyAlignment="1">
      <alignment horizontal="center" vertical="center"/>
    </xf>
    <xf numFmtId="1" fontId="15" fillId="0" borderId="92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/>
    </xf>
    <xf numFmtId="166" fontId="58" fillId="0" borderId="20" xfId="0" applyNumberFormat="1" applyFont="1" applyBorder="1" applyAlignment="1">
      <alignment horizontal="center" vertical="center"/>
    </xf>
    <xf numFmtId="166" fontId="58" fillId="0" borderId="22" xfId="0" applyNumberFormat="1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166" fontId="58" fillId="0" borderId="23" xfId="0" applyNumberFormat="1" applyFont="1" applyBorder="1" applyAlignment="1">
      <alignment horizontal="center" vertical="center"/>
    </xf>
    <xf numFmtId="2" fontId="58" fillId="0" borderId="12" xfId="0" applyNumberFormat="1" applyFont="1" applyBorder="1" applyAlignment="1">
      <alignment vertical="center"/>
    </xf>
    <xf numFmtId="2" fontId="81" fillId="0" borderId="12" xfId="0" applyNumberFormat="1" applyFont="1" applyBorder="1" applyAlignment="1">
      <alignment vertical="center"/>
    </xf>
    <xf numFmtId="2" fontId="15" fillId="0" borderId="12" xfId="0" applyNumberFormat="1" applyFont="1" applyBorder="1" applyAlignment="1">
      <alignment vertical="center"/>
    </xf>
    <xf numFmtId="2" fontId="58" fillId="0" borderId="12" xfId="0" applyNumberFormat="1" applyFont="1" applyBorder="1" applyAlignment="1">
      <alignment vertical="center" wrapText="1"/>
    </xf>
    <xf numFmtId="2" fontId="15" fillId="0" borderId="12" xfId="0" applyNumberFormat="1" applyFont="1" applyBorder="1" applyAlignment="1">
      <alignment vertical="center" wrapText="1"/>
    </xf>
    <xf numFmtId="2" fontId="58" fillId="0" borderId="15" xfId="0" applyNumberFormat="1" applyFont="1" applyBorder="1" applyAlignment="1">
      <alignment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2" fontId="58" fillId="0" borderId="100" xfId="0" applyNumberFormat="1" applyFont="1" applyBorder="1" applyAlignment="1">
      <alignment horizontal="center" vertical="center" wrapText="1"/>
    </xf>
    <xf numFmtId="2" fontId="58" fillId="0" borderId="102" xfId="0" applyNumberFormat="1" applyFont="1" applyBorder="1" applyAlignment="1">
      <alignment horizontal="center" vertical="center" wrapText="1"/>
    </xf>
    <xf numFmtId="166" fontId="58" fillId="0" borderId="102" xfId="0" applyNumberFormat="1" applyFont="1" applyBorder="1" applyAlignment="1">
      <alignment horizontal="center" vertical="center"/>
    </xf>
    <xf numFmtId="2" fontId="58" fillId="0" borderId="102" xfId="0" applyNumberFormat="1" applyFont="1" applyBorder="1" applyAlignment="1">
      <alignment horizontal="center" vertical="center"/>
    </xf>
    <xf numFmtId="167" fontId="58" fillId="0" borderId="102" xfId="0" applyNumberFormat="1" applyFont="1" applyBorder="1" applyAlignment="1">
      <alignment horizontal="center" vertical="center"/>
    </xf>
    <xf numFmtId="4" fontId="58" fillId="0" borderId="102" xfId="0" applyNumberFormat="1" applyFont="1" applyBorder="1" applyAlignment="1">
      <alignment horizontal="center" vertical="center"/>
    </xf>
    <xf numFmtId="166" fontId="15" fillId="0" borderId="102" xfId="0" applyNumberFormat="1" applyFont="1" applyBorder="1" applyAlignment="1">
      <alignment horizontal="center" vertical="center"/>
    </xf>
    <xf numFmtId="4" fontId="15" fillId="0" borderId="102" xfId="0" applyNumberFormat="1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2" fontId="15" fillId="0" borderId="102" xfId="0" applyNumberFormat="1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166" fontId="58" fillId="0" borderId="96" xfId="0" applyNumberFormat="1" applyFont="1" applyBorder="1" applyAlignment="1">
      <alignment horizontal="center" vertical="center"/>
    </xf>
    <xf numFmtId="2" fontId="58" fillId="0" borderId="92" xfId="0" applyNumberFormat="1" applyFont="1" applyFill="1" applyBorder="1" applyAlignment="1">
      <alignment horizontal="center" vertical="center" wrapText="1"/>
    </xf>
    <xf numFmtId="2" fontId="58" fillId="0" borderId="92" xfId="0" applyNumberFormat="1" applyFont="1" applyFill="1" applyBorder="1" applyAlignment="1">
      <alignment horizontal="center" vertical="center"/>
    </xf>
    <xf numFmtId="4" fontId="58" fillId="0" borderId="92" xfId="0" applyNumberFormat="1" applyFont="1" applyFill="1" applyBorder="1" applyAlignment="1">
      <alignment horizontal="center" vertical="center"/>
    </xf>
    <xf numFmtId="166" fontId="15" fillId="0" borderId="92" xfId="0" applyNumberFormat="1" applyFont="1" applyFill="1" applyBorder="1" applyAlignment="1">
      <alignment horizontal="center" vertical="center"/>
    </xf>
    <xf numFmtId="4" fontId="15" fillId="0" borderId="92" xfId="0" applyNumberFormat="1" applyFont="1" applyFill="1" applyBorder="1" applyAlignment="1">
      <alignment horizontal="center" vertical="center"/>
    </xf>
    <xf numFmtId="0" fontId="58" fillId="0" borderId="92" xfId="0" applyFont="1" applyFill="1" applyBorder="1" applyAlignment="1">
      <alignment horizontal="center" vertical="center"/>
    </xf>
    <xf numFmtId="0" fontId="58" fillId="0" borderId="22" xfId="0" applyFont="1" applyFill="1" applyBorder="1" applyAlignment="1">
      <alignment horizontal="center" vertical="center"/>
    </xf>
    <xf numFmtId="166" fontId="58" fillId="0" borderId="22" xfId="0" applyNumberFormat="1" applyFont="1" applyFill="1" applyBorder="1" applyAlignment="1">
      <alignment horizontal="center" vertical="center"/>
    </xf>
    <xf numFmtId="166" fontId="58" fillId="0" borderId="19" xfId="0" applyNumberFormat="1" applyFont="1" applyFill="1" applyBorder="1" applyAlignment="1">
      <alignment horizontal="center" vertical="center"/>
    </xf>
    <xf numFmtId="10" fontId="58" fillId="0" borderId="92" xfId="0" applyNumberFormat="1" applyFont="1" applyFill="1" applyBorder="1" applyAlignment="1">
      <alignment horizontal="center" vertical="center"/>
    </xf>
    <xf numFmtId="166" fontId="15" fillId="0" borderId="19" xfId="0" applyNumberFormat="1" applyFont="1" applyFill="1" applyBorder="1" applyAlignment="1">
      <alignment horizontal="center" vertical="center"/>
    </xf>
    <xf numFmtId="10" fontId="58" fillId="0" borderId="96" xfId="0" applyNumberFormat="1" applyFont="1" applyFill="1" applyBorder="1" applyAlignment="1">
      <alignment horizontal="center" vertical="center"/>
    </xf>
    <xf numFmtId="4" fontId="58" fillId="0" borderId="102" xfId="0" applyNumberFormat="1" applyFont="1" applyFill="1" applyBorder="1" applyAlignment="1">
      <alignment horizontal="center" vertical="center"/>
    </xf>
    <xf numFmtId="10" fontId="59" fillId="0" borderId="102" xfId="85" applyNumberFormat="1" applyFont="1" applyFill="1" applyBorder="1" applyAlignment="1">
      <alignment horizontal="center" vertical="center"/>
    </xf>
    <xf numFmtId="4" fontId="59" fillId="0" borderId="102" xfId="0" applyNumberFormat="1" applyFont="1" applyFill="1" applyBorder="1" applyAlignment="1">
      <alignment vertical="center"/>
    </xf>
    <xf numFmtId="4" fontId="15" fillId="0" borderId="102" xfId="0" applyNumberFormat="1" applyFont="1" applyFill="1" applyBorder="1"/>
    <xf numFmtId="2" fontId="58" fillId="0" borderId="102" xfId="0" applyNumberFormat="1" applyFont="1" applyFill="1" applyBorder="1"/>
    <xf numFmtId="2" fontId="59" fillId="0" borderId="102" xfId="0" applyNumberFormat="1" applyFont="1" applyFill="1" applyBorder="1"/>
    <xf numFmtId="4" fontId="58" fillId="0" borderId="102" xfId="0" applyNumberFormat="1" applyFont="1" applyFill="1" applyBorder="1"/>
    <xf numFmtId="2" fontId="58" fillId="0" borderId="97" xfId="0" applyNumberFormat="1" applyFont="1" applyFill="1" applyBorder="1"/>
    <xf numFmtId="4" fontId="15" fillId="0" borderId="102" xfId="0" applyNumberFormat="1" applyFont="1" applyFill="1" applyBorder="1" applyAlignment="1">
      <alignment vertical="center"/>
    </xf>
    <xf numFmtId="0" fontId="58" fillId="30" borderId="102" xfId="0" applyFont="1" applyFill="1" applyBorder="1" applyAlignment="1">
      <alignment horizontal="center" vertical="center"/>
    </xf>
    <xf numFmtId="2" fontId="15" fillId="30" borderId="102" xfId="0" applyNumberFormat="1" applyFont="1" applyFill="1" applyBorder="1"/>
    <xf numFmtId="2" fontId="58" fillId="30" borderId="102" xfId="0" applyNumberFormat="1" applyFont="1" applyFill="1" applyBorder="1"/>
    <xf numFmtId="2" fontId="59" fillId="30" borderId="102" xfId="0" applyNumberFormat="1" applyFont="1" applyFill="1" applyBorder="1"/>
    <xf numFmtId="2" fontId="58" fillId="30" borderId="97" xfId="0" applyNumberFormat="1" applyFont="1" applyFill="1" applyBorder="1"/>
    <xf numFmtId="4" fontId="58" fillId="25" borderId="103" xfId="0" applyNumberFormat="1" applyFont="1" applyFill="1" applyBorder="1" applyAlignment="1">
      <alignment horizontal="center" vertical="center"/>
    </xf>
    <xf numFmtId="10" fontId="59" fillId="25" borderId="103" xfId="85" applyNumberFormat="1" applyFont="1" applyFill="1" applyBorder="1" applyAlignment="1">
      <alignment horizontal="center" vertical="center"/>
    </xf>
    <xf numFmtId="4" fontId="59" fillId="25" borderId="103" xfId="0" applyNumberFormat="1" applyFont="1" applyFill="1" applyBorder="1" applyAlignment="1">
      <alignment horizontal="center" vertical="center"/>
    </xf>
    <xf numFmtId="4" fontId="58" fillId="0" borderId="102" xfId="0" applyNumberFormat="1" applyFont="1" applyFill="1" applyBorder="1" applyAlignment="1">
      <alignment vertical="center"/>
    </xf>
    <xf numFmtId="169" fontId="58" fillId="0" borderId="102" xfId="85" applyNumberFormat="1" applyFont="1" applyFill="1" applyBorder="1" applyAlignment="1">
      <alignment vertical="center"/>
    </xf>
    <xf numFmtId="10" fontId="58" fillId="0" borderId="102" xfId="85" applyNumberFormat="1" applyFont="1" applyFill="1" applyBorder="1"/>
    <xf numFmtId="0" fontId="58" fillId="0" borderId="102" xfId="0" applyFont="1" applyFill="1" applyBorder="1"/>
    <xf numFmtId="169" fontId="58" fillId="0" borderId="102" xfId="85" applyNumberFormat="1" applyFont="1" applyBorder="1" applyAlignment="1">
      <alignment vertical="center"/>
    </xf>
    <xf numFmtId="0" fontId="58" fillId="0" borderId="102" xfId="0" applyFont="1" applyBorder="1" applyAlignment="1">
      <alignment vertical="center"/>
    </xf>
    <xf numFmtId="0" fontId="58" fillId="0" borderId="102" xfId="0" applyFont="1" applyBorder="1"/>
    <xf numFmtId="4" fontId="58" fillId="0" borderId="100" xfId="0" applyNumberFormat="1" applyFont="1" applyBorder="1" applyAlignment="1">
      <alignment horizontal="center" vertical="center"/>
    </xf>
    <xf numFmtId="10" fontId="59" fillId="0" borderId="100" xfId="85" applyNumberFormat="1" applyFont="1" applyBorder="1" applyAlignment="1">
      <alignment horizontal="center" vertical="center"/>
    </xf>
    <xf numFmtId="4" fontId="59" fillId="0" borderId="100" xfId="0" applyNumberFormat="1" applyFont="1" applyBorder="1" applyAlignment="1">
      <alignment horizontal="center" vertical="center"/>
    </xf>
    <xf numFmtId="4" fontId="59" fillId="0" borderId="100" xfId="0" applyNumberFormat="1" applyFont="1" applyBorder="1" applyAlignment="1">
      <alignment vertical="center"/>
    </xf>
    <xf numFmtId="167" fontId="59" fillId="0" borderId="102" xfId="0" applyNumberFormat="1" applyFont="1" applyBorder="1" applyAlignment="1">
      <alignment horizontal="center" vertical="center"/>
    </xf>
    <xf numFmtId="0" fontId="59" fillId="0" borderId="102" xfId="0" applyFont="1" applyBorder="1" applyAlignment="1">
      <alignment horizontal="center" vertical="center"/>
    </xf>
    <xf numFmtId="0" fontId="58" fillId="0" borderId="105" xfId="0" applyFont="1" applyBorder="1" applyAlignment="1">
      <alignment vertical="center"/>
    </xf>
    <xf numFmtId="167" fontId="59" fillId="0" borderId="106" xfId="0" applyNumberFormat="1" applyFont="1" applyBorder="1" applyAlignment="1">
      <alignment horizontal="center" vertical="center"/>
    </xf>
    <xf numFmtId="0" fontId="59" fillId="0" borderId="105" xfId="0" applyFont="1" applyBorder="1" applyAlignment="1">
      <alignment vertical="center"/>
    </xf>
    <xf numFmtId="0" fontId="59" fillId="0" borderId="105" xfId="0" applyFont="1" applyBorder="1" applyAlignment="1">
      <alignment vertical="center" wrapText="1"/>
    </xf>
    <xf numFmtId="0" fontId="58" fillId="0" borderId="106" xfId="0" applyFont="1" applyBorder="1" applyAlignment="1">
      <alignment vertical="center"/>
    </xf>
    <xf numFmtId="0" fontId="58" fillId="0" borderId="106" xfId="0" applyFont="1" applyBorder="1"/>
    <xf numFmtId="0" fontId="58" fillId="0" borderId="96" xfId="0" applyFont="1" applyBorder="1"/>
    <xf numFmtId="4" fontId="58" fillId="0" borderId="105" xfId="0" applyNumberFormat="1" applyFont="1" applyFill="1" applyBorder="1" applyAlignment="1">
      <alignment vertical="center"/>
    </xf>
    <xf numFmtId="4" fontId="58" fillId="0" borderId="106" xfId="0" applyNumberFormat="1" applyFont="1" applyFill="1" applyBorder="1" applyAlignment="1">
      <alignment horizontal="center" vertical="center"/>
    </xf>
    <xf numFmtId="10" fontId="59" fillId="0" borderId="105" xfId="85" applyNumberFormat="1" applyFont="1" applyFill="1" applyBorder="1" applyAlignment="1">
      <alignment horizontal="center" vertical="center"/>
    </xf>
    <xf numFmtId="10" fontId="59" fillId="0" borderId="106" xfId="85" applyNumberFormat="1" applyFont="1" applyFill="1" applyBorder="1" applyAlignment="1">
      <alignment horizontal="center" vertical="center"/>
    </xf>
    <xf numFmtId="4" fontId="58" fillId="0" borderId="105" xfId="0" applyNumberFormat="1" applyFont="1" applyFill="1" applyBorder="1" applyAlignment="1">
      <alignment horizontal="center" vertical="center"/>
    </xf>
    <xf numFmtId="4" fontId="59" fillId="0" borderId="105" xfId="0" applyNumberFormat="1" applyFont="1" applyFill="1" applyBorder="1" applyAlignment="1">
      <alignment vertical="center"/>
    </xf>
    <xf numFmtId="4" fontId="59" fillId="0" borderId="106" xfId="0" applyNumberFormat="1" applyFont="1" applyFill="1" applyBorder="1" applyAlignment="1">
      <alignment vertical="center"/>
    </xf>
    <xf numFmtId="10" fontId="58" fillId="0" borderId="105" xfId="85" applyNumberFormat="1" applyFont="1" applyFill="1" applyBorder="1"/>
    <xf numFmtId="10" fontId="58" fillId="0" borderId="21" xfId="85" applyNumberFormat="1" applyFont="1" applyFill="1" applyBorder="1"/>
    <xf numFmtId="0" fontId="58" fillId="0" borderId="96" xfId="0" applyFont="1" applyFill="1" applyBorder="1"/>
    <xf numFmtId="169" fontId="58" fillId="0" borderId="106" xfId="85" applyNumberFormat="1" applyFont="1" applyBorder="1" applyAlignment="1">
      <alignment vertical="center"/>
    </xf>
    <xf numFmtId="10" fontId="58" fillId="0" borderId="105" xfId="0" applyNumberFormat="1" applyFont="1" applyFill="1" applyBorder="1"/>
    <xf numFmtId="10" fontId="58" fillId="0" borderId="21" xfId="0" applyNumberFormat="1" applyFont="1" applyFill="1" applyBorder="1"/>
    <xf numFmtId="10" fontId="58" fillId="0" borderId="96" xfId="85" applyNumberFormat="1" applyFont="1" applyFill="1" applyBorder="1"/>
    <xf numFmtId="0" fontId="58" fillId="0" borderId="11" xfId="0" applyFont="1" applyBorder="1" applyAlignment="1">
      <alignment vertical="center"/>
    </xf>
    <xf numFmtId="0" fontId="58" fillId="0" borderId="38" xfId="0" applyFont="1" applyBorder="1" applyAlignment="1">
      <alignment vertical="center"/>
    </xf>
    <xf numFmtId="4" fontId="59" fillId="0" borderId="96" xfId="0" applyNumberFormat="1" applyFont="1" applyBorder="1" applyAlignment="1">
      <alignment horizontal="center" vertical="center"/>
    </xf>
    <xf numFmtId="169" fontId="58" fillId="0" borderId="96" xfId="85" applyNumberFormat="1" applyFont="1" applyFill="1" applyBorder="1" applyAlignment="1">
      <alignment vertical="center"/>
    </xf>
    <xf numFmtId="169" fontId="58" fillId="0" borderId="96" xfId="85" applyNumberFormat="1" applyFont="1" applyBorder="1" applyAlignment="1">
      <alignment vertical="center"/>
    </xf>
    <xf numFmtId="169" fontId="58" fillId="0" borderId="23" xfId="85" applyNumberFormat="1" applyFont="1" applyBorder="1" applyAlignment="1">
      <alignment vertical="center"/>
    </xf>
    <xf numFmtId="0" fontId="59" fillId="0" borderId="108" xfId="0" applyFont="1" applyBorder="1" applyAlignment="1">
      <alignment vertical="center"/>
    </xf>
    <xf numFmtId="0" fontId="59" fillId="0" borderId="97" xfId="0" applyFont="1" applyBorder="1" applyAlignment="1">
      <alignment horizontal="center" vertical="center"/>
    </xf>
    <xf numFmtId="167" fontId="59" fillId="0" borderId="107" xfId="0" applyNumberFormat="1" applyFont="1" applyBorder="1" applyAlignment="1">
      <alignment horizontal="center" vertical="center"/>
    </xf>
    <xf numFmtId="4" fontId="59" fillId="0" borderId="110" xfId="0" applyNumberFormat="1" applyFont="1" applyBorder="1" applyAlignment="1">
      <alignment horizontal="center" vertical="center"/>
    </xf>
    <xf numFmtId="4" fontId="59" fillId="0" borderId="97" xfId="0" applyNumberFormat="1" applyFont="1" applyBorder="1" applyAlignment="1">
      <alignment horizontal="center" vertical="center"/>
    </xf>
    <xf numFmtId="4" fontId="58" fillId="0" borderId="97" xfId="0" applyNumberFormat="1" applyFont="1" applyBorder="1" applyAlignment="1">
      <alignment horizontal="center" vertical="center"/>
    </xf>
    <xf numFmtId="4" fontId="58" fillId="25" borderId="104" xfId="0" applyNumberFormat="1" applyFont="1" applyFill="1" applyBorder="1" applyAlignment="1">
      <alignment horizontal="center" vertical="center"/>
    </xf>
    <xf numFmtId="4" fontId="58" fillId="0" borderId="97" xfId="0" applyNumberFormat="1" applyFont="1" applyFill="1" applyBorder="1" applyAlignment="1">
      <alignment horizontal="center" vertical="center"/>
    </xf>
    <xf numFmtId="4" fontId="58" fillId="0" borderId="108" xfId="0" applyNumberFormat="1" applyFont="1" applyFill="1" applyBorder="1" applyAlignment="1">
      <alignment horizontal="center" vertical="center"/>
    </xf>
    <xf numFmtId="169" fontId="58" fillId="0" borderId="97" xfId="85" applyNumberFormat="1" applyFont="1" applyBorder="1" applyAlignment="1">
      <alignment vertical="center"/>
    </xf>
    <xf numFmtId="0" fontId="81" fillId="0" borderId="75" xfId="0" applyFont="1" applyBorder="1" applyAlignment="1">
      <alignment vertical="center"/>
    </xf>
    <xf numFmtId="0" fontId="15" fillId="0" borderId="76" xfId="0" applyFont="1" applyBorder="1" applyAlignment="1">
      <alignment horizontal="center" vertical="center"/>
    </xf>
    <xf numFmtId="167" fontId="15" fillId="0" borderId="76" xfId="0" applyNumberFormat="1" applyFont="1" applyBorder="1" applyAlignment="1">
      <alignment horizontal="center" vertical="center"/>
    </xf>
    <xf numFmtId="167" fontId="59" fillId="0" borderId="77" xfId="0" applyNumberFormat="1" applyFont="1" applyBorder="1" applyAlignment="1">
      <alignment horizontal="center" vertical="center"/>
    </xf>
    <xf numFmtId="4" fontId="15" fillId="0" borderId="80" xfId="0" applyNumberFormat="1" applyFont="1" applyBorder="1" applyAlignment="1">
      <alignment horizontal="center" vertical="center"/>
    </xf>
    <xf numFmtId="4" fontId="15" fillId="0" borderId="76" xfId="0" applyNumberFormat="1" applyFont="1" applyBorder="1" applyAlignment="1">
      <alignment horizontal="center" vertical="center"/>
    </xf>
    <xf numFmtId="4" fontId="59" fillId="0" borderId="76" xfId="0" applyNumberFormat="1" applyFont="1" applyBorder="1" applyAlignment="1">
      <alignment horizontal="center" vertical="center"/>
    </xf>
    <xf numFmtId="4" fontId="15" fillId="25" borderId="81" xfId="0" applyNumberFormat="1" applyFont="1" applyFill="1" applyBorder="1" applyAlignment="1">
      <alignment horizontal="center" vertical="center"/>
    </xf>
    <xf numFmtId="4" fontId="15" fillId="0" borderId="75" xfId="0" applyNumberFormat="1" applyFont="1" applyFill="1" applyBorder="1" applyAlignment="1">
      <alignment horizontal="center" vertical="center"/>
    </xf>
    <xf numFmtId="169" fontId="58" fillId="0" borderId="76" xfId="85" applyNumberFormat="1" applyFont="1" applyFill="1" applyBorder="1" applyAlignment="1">
      <alignment vertical="center"/>
    </xf>
    <xf numFmtId="4" fontId="15" fillId="0" borderId="76" xfId="0" applyNumberFormat="1" applyFont="1" applyFill="1" applyBorder="1" applyAlignment="1">
      <alignment horizontal="center" vertical="center"/>
    </xf>
    <xf numFmtId="4" fontId="15" fillId="0" borderId="77" xfId="0" applyNumberFormat="1" applyFont="1" applyFill="1" applyBorder="1" applyAlignment="1">
      <alignment horizontal="center" vertical="center"/>
    </xf>
    <xf numFmtId="169" fontId="58" fillId="0" borderId="76" xfId="85" applyNumberFormat="1" applyFont="1" applyBorder="1" applyAlignment="1">
      <alignment vertical="center"/>
    </xf>
    <xf numFmtId="169" fontId="58" fillId="0" borderId="77" xfId="85" applyNumberFormat="1" applyFont="1" applyBorder="1" applyAlignment="1">
      <alignment vertical="center"/>
    </xf>
    <xf numFmtId="0" fontId="59" fillId="0" borderId="75" xfId="0" applyFont="1" applyFill="1" applyBorder="1" applyAlignment="1">
      <alignment vertical="center"/>
    </xf>
    <xf numFmtId="0" fontId="58" fillId="0" borderId="76" xfId="0" applyFont="1" applyBorder="1" applyAlignment="1">
      <alignment vertical="center"/>
    </xf>
    <xf numFmtId="0" fontId="58" fillId="0" borderId="77" xfId="0" applyFont="1" applyBorder="1" applyAlignment="1">
      <alignment vertical="center"/>
    </xf>
    <xf numFmtId="4" fontId="59" fillId="0" borderId="80" xfId="0" applyNumberFormat="1" applyFont="1" applyBorder="1" applyAlignment="1">
      <alignment vertical="center"/>
    </xf>
    <xf numFmtId="4" fontId="59" fillId="0" borderId="76" xfId="0" applyNumberFormat="1" applyFont="1" applyBorder="1" applyAlignment="1">
      <alignment vertical="center"/>
    </xf>
    <xf numFmtId="4" fontId="59" fillId="25" borderId="81" xfId="0" applyNumberFormat="1" applyFont="1" applyFill="1" applyBorder="1" applyAlignment="1">
      <alignment vertical="center"/>
    </xf>
    <xf numFmtId="4" fontId="59" fillId="0" borderId="75" xfId="0" applyNumberFormat="1" applyFont="1" applyFill="1" applyBorder="1" applyAlignment="1">
      <alignment vertical="center"/>
    </xf>
    <xf numFmtId="4" fontId="59" fillId="0" borderId="76" xfId="0" applyNumberFormat="1" applyFont="1" applyFill="1" applyBorder="1" applyAlignment="1">
      <alignment vertical="center"/>
    </xf>
    <xf numFmtId="4" fontId="59" fillId="0" borderId="77" xfId="0" applyNumberFormat="1" applyFont="1" applyFill="1" applyBorder="1" applyAlignment="1">
      <alignment vertical="center"/>
    </xf>
    <xf numFmtId="10" fontId="58" fillId="0" borderId="37" xfId="85" applyNumberFormat="1" applyFont="1" applyFill="1" applyBorder="1"/>
    <xf numFmtId="10" fontId="58" fillId="0" borderId="37" xfId="0" applyNumberFormat="1" applyFont="1" applyFill="1" applyBorder="1"/>
    <xf numFmtId="10" fontId="58" fillId="0" borderId="11" xfId="85" applyNumberFormat="1" applyFont="1" applyFill="1" applyBorder="1"/>
    <xf numFmtId="0" fontId="58" fillId="0" borderId="18" xfId="0" applyFont="1" applyBorder="1" applyAlignment="1">
      <alignment vertical="center"/>
    </xf>
    <xf numFmtId="4" fontId="59" fillId="0" borderId="30" xfId="0" applyNumberFormat="1" applyFont="1" applyBorder="1" applyAlignment="1">
      <alignment vertical="center"/>
    </xf>
    <xf numFmtId="4" fontId="59" fillId="0" borderId="17" xfId="0" applyNumberFormat="1" applyFont="1" applyBorder="1" applyAlignment="1">
      <alignment vertical="center"/>
    </xf>
    <xf numFmtId="4" fontId="59" fillId="0" borderId="17" xfId="0" applyNumberFormat="1" applyFont="1" applyBorder="1" applyAlignment="1">
      <alignment horizontal="center" vertical="center"/>
    </xf>
    <xf numFmtId="4" fontId="59" fillId="0" borderId="17" xfId="0" applyNumberFormat="1" applyFont="1" applyFill="1" applyBorder="1" applyAlignment="1">
      <alignment horizontal="center" vertical="center"/>
    </xf>
    <xf numFmtId="4" fontId="59" fillId="25" borderId="27" xfId="0" applyNumberFormat="1" applyFont="1" applyFill="1" applyBorder="1" applyAlignment="1">
      <alignment horizontal="center" vertical="center"/>
    </xf>
    <xf numFmtId="4" fontId="59" fillId="0" borderId="16" xfId="0" applyNumberFormat="1" applyFont="1" applyFill="1" applyBorder="1" applyAlignment="1">
      <alignment vertical="center"/>
    </xf>
    <xf numFmtId="4" fontId="59" fillId="0" borderId="17" xfId="0" applyNumberFormat="1" applyFont="1" applyFill="1" applyBorder="1" applyAlignment="1">
      <alignment vertical="center"/>
    </xf>
    <xf numFmtId="4" fontId="59" fillId="0" borderId="18" xfId="0" applyNumberFormat="1" applyFont="1" applyFill="1" applyBorder="1" applyAlignment="1">
      <alignment vertical="center"/>
    </xf>
    <xf numFmtId="0" fontId="58" fillId="0" borderId="17" xfId="0" applyFont="1" applyBorder="1" applyAlignment="1">
      <alignment vertical="center"/>
    </xf>
    <xf numFmtId="4" fontId="59" fillId="0" borderId="102" xfId="0" applyNumberFormat="1" applyFont="1" applyBorder="1" applyAlignment="1">
      <alignment vertical="center"/>
    </xf>
    <xf numFmtId="4" fontId="59" fillId="0" borderId="102" xfId="0" applyNumberFormat="1" applyFont="1" applyBorder="1" applyAlignment="1">
      <alignment horizontal="center" vertical="center"/>
    </xf>
    <xf numFmtId="4" fontId="59" fillId="0" borderId="102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4" fontId="59" fillId="0" borderId="101" xfId="0" applyNumberFormat="1" applyFont="1" applyBorder="1" applyAlignment="1">
      <alignment vertical="center"/>
    </xf>
    <xf numFmtId="4" fontId="59" fillId="0" borderId="96" xfId="0" applyNumberFormat="1" applyFont="1" applyBorder="1" applyAlignment="1">
      <alignment vertical="center"/>
    </xf>
    <xf numFmtId="4" fontId="59" fillId="0" borderId="96" xfId="0" applyNumberFormat="1" applyFont="1" applyFill="1" applyBorder="1" applyAlignment="1">
      <alignment horizontal="center" vertical="center"/>
    </xf>
    <xf numFmtId="4" fontId="59" fillId="25" borderId="109" xfId="0" applyNumberFormat="1" applyFont="1" applyFill="1" applyBorder="1" applyAlignment="1">
      <alignment horizontal="center" vertical="center"/>
    </xf>
    <xf numFmtId="4" fontId="59" fillId="0" borderId="21" xfId="0" applyNumberFormat="1" applyFont="1" applyFill="1" applyBorder="1" applyAlignment="1">
      <alignment vertical="center"/>
    </xf>
    <xf numFmtId="4" fontId="59" fillId="0" borderId="96" xfId="0" applyNumberFormat="1" applyFont="1" applyFill="1" applyBorder="1" applyAlignment="1">
      <alignment vertical="center"/>
    </xf>
    <xf numFmtId="4" fontId="59" fillId="0" borderId="23" xfId="0" applyNumberFormat="1" applyFont="1" applyFill="1" applyBorder="1" applyAlignment="1">
      <alignment vertical="center"/>
    </xf>
    <xf numFmtId="0" fontId="58" fillId="0" borderId="96" xfId="0" applyFont="1" applyBorder="1" applyAlignment="1">
      <alignment vertical="center"/>
    </xf>
    <xf numFmtId="0" fontId="59" fillId="0" borderId="49" xfId="0" applyFont="1" applyBorder="1" applyAlignment="1">
      <alignment vertical="center"/>
    </xf>
    <xf numFmtId="0" fontId="59" fillId="0" borderId="61" xfId="0" applyFont="1" applyBorder="1" applyAlignment="1">
      <alignment horizontal="center" vertical="center"/>
    </xf>
    <xf numFmtId="167" fontId="59" fillId="0" borderId="67" xfId="0" applyNumberFormat="1" applyFont="1" applyBorder="1" applyAlignment="1">
      <alignment horizontal="center" vertical="center"/>
    </xf>
    <xf numFmtId="4" fontId="59" fillId="0" borderId="74" xfId="0" applyNumberFormat="1" applyFont="1" applyBorder="1" applyAlignment="1">
      <alignment horizontal="center" vertical="center"/>
    </xf>
    <xf numFmtId="4" fontId="59" fillId="0" borderId="61" xfId="0" applyNumberFormat="1" applyFont="1" applyBorder="1" applyAlignment="1">
      <alignment horizontal="center" vertical="center"/>
    </xf>
    <xf numFmtId="4" fontId="58" fillId="0" borderId="61" xfId="0" applyNumberFormat="1" applyFont="1" applyBorder="1" applyAlignment="1">
      <alignment horizontal="center" vertical="center"/>
    </xf>
    <xf numFmtId="4" fontId="58" fillId="25" borderId="66" xfId="0" applyNumberFormat="1" applyFont="1" applyFill="1" applyBorder="1" applyAlignment="1">
      <alignment horizontal="center" vertical="center"/>
    </xf>
    <xf numFmtId="0" fontId="58" fillId="0" borderId="103" xfId="0" applyFont="1" applyFill="1" applyBorder="1"/>
    <xf numFmtId="0" fontId="58" fillId="0" borderId="109" xfId="0" applyFont="1" applyFill="1" applyBorder="1"/>
    <xf numFmtId="10" fontId="58" fillId="0" borderId="18" xfId="85" applyNumberFormat="1" applyFont="1" applyFill="1" applyBorder="1"/>
    <xf numFmtId="10" fontId="58" fillId="0" borderId="106" xfId="85" applyNumberFormat="1" applyFont="1" applyFill="1" applyBorder="1"/>
    <xf numFmtId="10" fontId="58" fillId="0" borderId="23" xfId="85" applyNumberFormat="1" applyFont="1" applyFill="1" applyBorder="1"/>
    <xf numFmtId="4" fontId="58" fillId="0" borderId="103" xfId="0" applyNumberFormat="1" applyFont="1" applyFill="1" applyBorder="1" applyAlignment="1">
      <alignment horizontal="center" vertical="center"/>
    </xf>
    <xf numFmtId="10" fontId="59" fillId="0" borderId="103" xfId="85" applyNumberFormat="1" applyFont="1" applyFill="1" applyBorder="1" applyAlignment="1">
      <alignment horizontal="center" vertical="center"/>
    </xf>
    <xf numFmtId="4" fontId="58" fillId="0" borderId="104" xfId="0" applyNumberFormat="1" applyFont="1" applyFill="1" applyBorder="1" applyAlignment="1">
      <alignment horizontal="center" vertical="center"/>
    </xf>
    <xf numFmtId="4" fontId="58" fillId="0" borderId="21" xfId="0" applyNumberFormat="1" applyFont="1" applyFill="1" applyBorder="1" applyAlignment="1">
      <alignment horizontal="center" vertical="center"/>
    </xf>
    <xf numFmtId="4" fontId="58" fillId="0" borderId="96" xfId="0" applyNumberFormat="1" applyFont="1" applyFill="1" applyBorder="1" applyAlignment="1">
      <alignment horizontal="center" vertical="center"/>
    </xf>
    <xf numFmtId="4" fontId="58" fillId="0" borderId="23" xfId="0" applyNumberFormat="1" applyFont="1" applyFill="1" applyBorder="1" applyAlignment="1">
      <alignment horizontal="center" vertical="center"/>
    </xf>
    <xf numFmtId="4" fontId="58" fillId="0" borderId="21" xfId="0" applyNumberFormat="1" applyFont="1" applyFill="1" applyBorder="1" applyAlignment="1">
      <alignment vertical="center"/>
    </xf>
    <xf numFmtId="10" fontId="58" fillId="0" borderId="38" xfId="85" applyNumberFormat="1" applyFont="1" applyFill="1" applyBorder="1"/>
    <xf numFmtId="4" fontId="58" fillId="0" borderId="109" xfId="0" applyNumberFormat="1" applyFont="1" applyFill="1" applyBorder="1" applyAlignment="1">
      <alignment horizontal="center" vertical="center"/>
    </xf>
    <xf numFmtId="4" fontId="15" fillId="0" borderId="81" xfId="0" applyNumberFormat="1" applyFont="1" applyFill="1" applyBorder="1" applyAlignment="1">
      <alignment horizontal="center" vertical="center"/>
    </xf>
    <xf numFmtId="4" fontId="58" fillId="0" borderId="111" xfId="0" applyNumberFormat="1" applyFont="1" applyFill="1" applyBorder="1" applyAlignment="1">
      <alignment horizontal="center" vertical="center"/>
    </xf>
    <xf numFmtId="10" fontId="58" fillId="0" borderId="37" xfId="0" applyNumberFormat="1" applyFont="1" applyBorder="1"/>
    <xf numFmtId="10" fontId="58" fillId="0" borderId="105" xfId="0" applyNumberFormat="1" applyFont="1" applyBorder="1"/>
    <xf numFmtId="10" fontId="58" fillId="0" borderId="21" xfId="0" applyNumberFormat="1" applyFont="1" applyBorder="1"/>
    <xf numFmtId="10" fontId="58" fillId="0" borderId="38" xfId="0" applyNumberFormat="1" applyFont="1" applyBorder="1"/>
    <xf numFmtId="10" fontId="58" fillId="0" borderId="106" xfId="0" applyNumberFormat="1" applyFont="1" applyBorder="1"/>
    <xf numFmtId="10" fontId="58" fillId="0" borderId="23" xfId="0" applyNumberFormat="1" applyFont="1" applyBorder="1"/>
    <xf numFmtId="10" fontId="58" fillId="0" borderId="11" xfId="0" applyNumberFormat="1" applyFont="1" applyBorder="1"/>
    <xf numFmtId="10" fontId="58" fillId="0" borderId="102" xfId="0" applyNumberFormat="1" applyFont="1" applyBorder="1"/>
    <xf numFmtId="10" fontId="58" fillId="0" borderId="96" xfId="0" applyNumberFormat="1" applyFont="1" applyBorder="1"/>
    <xf numFmtId="0" fontId="58" fillId="0" borderId="102" xfId="0" applyFont="1" applyFill="1" applyBorder="1" applyAlignment="1">
      <alignment vertical="center"/>
    </xf>
    <xf numFmtId="167" fontId="58" fillId="0" borderId="102" xfId="0" applyNumberFormat="1" applyFont="1" applyFill="1" applyBorder="1" applyAlignment="1">
      <alignment horizontal="center" vertical="center"/>
    </xf>
    <xf numFmtId="167" fontId="59" fillId="0" borderId="102" xfId="0" applyNumberFormat="1" applyFont="1" applyFill="1" applyBorder="1" applyAlignment="1">
      <alignment horizontal="center" vertical="center"/>
    </xf>
    <xf numFmtId="10" fontId="58" fillId="0" borderId="102" xfId="85" applyNumberFormat="1" applyFont="1" applyFill="1" applyBorder="1" applyAlignment="1">
      <alignment horizontal="center" vertical="center"/>
    </xf>
    <xf numFmtId="0" fontId="59" fillId="0" borderId="102" xfId="0" applyFont="1" applyFill="1" applyBorder="1" applyAlignment="1">
      <alignment horizontal="center" vertical="center"/>
    </xf>
    <xf numFmtId="0" fontId="58" fillId="25" borderId="102" xfId="0" applyFont="1" applyFill="1" applyBorder="1" applyAlignment="1">
      <alignment vertical="center"/>
    </xf>
    <xf numFmtId="10" fontId="58" fillId="0" borderId="102" xfId="85" applyNumberFormat="1" applyFont="1" applyFill="1" applyBorder="1" applyAlignment="1">
      <alignment vertical="center"/>
    </xf>
    <xf numFmtId="0" fontId="0" fillId="0" borderId="102" xfId="0" applyBorder="1"/>
    <xf numFmtId="0" fontId="6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0" fontId="58" fillId="0" borderId="0" xfId="0" applyNumberFormat="1" applyFont="1" applyFill="1" applyBorder="1"/>
    <xf numFmtId="10" fontId="15" fillId="0" borderId="0" xfId="0" applyNumberFormat="1" applyFont="1" applyFill="1" applyBorder="1"/>
    <xf numFmtId="174" fontId="58" fillId="0" borderId="0" xfId="0" applyNumberFormat="1" applyFont="1" applyFill="1" applyBorder="1"/>
    <xf numFmtId="0" fontId="58" fillId="0" borderId="100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/>
    </xf>
    <xf numFmtId="0" fontId="58" fillId="0" borderId="114" xfId="0" applyFont="1" applyFill="1" applyBorder="1" applyAlignment="1">
      <alignment vertical="center"/>
    </xf>
    <xf numFmtId="0" fontId="59" fillId="0" borderId="114" xfId="0" applyFont="1" applyFill="1" applyBorder="1" applyAlignment="1">
      <alignment vertical="center"/>
    </xf>
    <xf numFmtId="10" fontId="58" fillId="0" borderId="103" xfId="85" applyNumberFormat="1" applyFont="1" applyFill="1" applyBorder="1" applyAlignment="1">
      <alignment horizontal="center" vertical="center"/>
    </xf>
    <xf numFmtId="0" fontId="58" fillId="0" borderId="100" xfId="0" applyFont="1" applyFill="1" applyBorder="1" applyAlignment="1">
      <alignment vertical="center"/>
    </xf>
    <xf numFmtId="0" fontId="58" fillId="0" borderId="100" xfId="0" applyFont="1" applyBorder="1" applyAlignment="1">
      <alignment vertical="center"/>
    </xf>
    <xf numFmtId="0" fontId="59" fillId="0" borderId="115" xfId="0" applyFont="1" applyFill="1" applyBorder="1" applyAlignment="1">
      <alignment vertical="center"/>
    </xf>
    <xf numFmtId="0" fontId="59" fillId="0" borderId="110" xfId="0" applyFont="1" applyFill="1" applyBorder="1" applyAlignment="1">
      <alignment horizontal="center" vertical="center"/>
    </xf>
    <xf numFmtId="0" fontId="59" fillId="0" borderId="97" xfId="0" applyFont="1" applyFill="1" applyBorder="1" applyAlignment="1">
      <alignment horizontal="center" vertical="center"/>
    </xf>
    <xf numFmtId="0" fontId="58" fillId="0" borderId="103" xfId="0" applyFont="1" applyFill="1" applyBorder="1" applyAlignment="1">
      <alignment vertical="center"/>
    </xf>
    <xf numFmtId="0" fontId="58" fillId="25" borderId="103" xfId="0" applyFont="1" applyFill="1" applyBorder="1" applyAlignment="1">
      <alignment vertical="center"/>
    </xf>
    <xf numFmtId="0" fontId="58" fillId="0" borderId="99" xfId="0" applyFont="1" applyFill="1" applyBorder="1" applyAlignment="1">
      <alignment vertical="center"/>
    </xf>
    <xf numFmtId="0" fontId="58" fillId="0" borderId="113" xfId="0" applyFont="1" applyFill="1" applyBorder="1" applyAlignment="1">
      <alignment vertical="center"/>
    </xf>
    <xf numFmtId="0" fontId="58" fillId="0" borderId="36" xfId="0" applyFont="1" applyFill="1" applyBorder="1" applyAlignment="1">
      <alignment vertical="center"/>
    </xf>
    <xf numFmtId="0" fontId="58" fillId="0" borderId="68" xfId="0" applyFont="1" applyFill="1" applyBorder="1" applyAlignment="1">
      <alignment vertical="center"/>
    </xf>
    <xf numFmtId="10" fontId="58" fillId="0" borderId="11" xfId="85" applyNumberFormat="1" applyFont="1" applyFill="1" applyBorder="1" applyAlignment="1">
      <alignment vertical="center"/>
    </xf>
    <xf numFmtId="0" fontId="58" fillId="0" borderId="31" xfId="0" applyFont="1" applyBorder="1" applyAlignment="1">
      <alignment vertical="center"/>
    </xf>
    <xf numFmtId="4" fontId="58" fillId="0" borderId="106" xfId="0" applyNumberFormat="1" applyFont="1" applyFill="1" applyBorder="1" applyAlignment="1">
      <alignment vertical="center"/>
    </xf>
    <xf numFmtId="10" fontId="58" fillId="0" borderId="105" xfId="85" applyNumberFormat="1" applyFont="1" applyFill="1" applyBorder="1" applyAlignment="1">
      <alignment horizontal="center" vertical="center"/>
    </xf>
    <xf numFmtId="10" fontId="58" fillId="0" borderId="106" xfId="85" applyNumberFormat="1" applyFont="1" applyFill="1" applyBorder="1" applyAlignment="1">
      <alignment horizontal="center" vertical="center"/>
    </xf>
    <xf numFmtId="4" fontId="58" fillId="0" borderId="96" xfId="0" applyNumberFormat="1" applyFont="1" applyFill="1" applyBorder="1" applyAlignment="1">
      <alignment vertical="center"/>
    </xf>
    <xf numFmtId="4" fontId="58" fillId="0" borderId="23" xfId="0" applyNumberFormat="1" applyFont="1" applyFill="1" applyBorder="1" applyAlignment="1">
      <alignment vertical="center"/>
    </xf>
    <xf numFmtId="4" fontId="58" fillId="0" borderId="97" xfId="0" applyNumberFormat="1" applyFont="1" applyFill="1" applyBorder="1" applyAlignment="1">
      <alignment vertical="center"/>
    </xf>
    <xf numFmtId="4" fontId="58" fillId="0" borderId="107" xfId="0" applyNumberFormat="1" applyFont="1" applyFill="1" applyBorder="1" applyAlignment="1">
      <alignment vertical="center"/>
    </xf>
    <xf numFmtId="0" fontId="58" fillId="0" borderId="105" xfId="0" applyFont="1" applyFill="1" applyBorder="1" applyAlignment="1">
      <alignment vertical="center"/>
    </xf>
    <xf numFmtId="10" fontId="58" fillId="0" borderId="96" xfId="85" applyNumberFormat="1" applyFont="1" applyFill="1" applyBorder="1" applyAlignment="1">
      <alignment vertical="center"/>
    </xf>
    <xf numFmtId="0" fontId="58" fillId="0" borderId="96" xfId="0" applyFont="1" applyFill="1" applyBorder="1" applyAlignment="1">
      <alignment vertical="center"/>
    </xf>
    <xf numFmtId="10" fontId="58" fillId="0" borderId="105" xfId="85" applyNumberFormat="1" applyFont="1" applyFill="1" applyBorder="1" applyAlignment="1">
      <alignment vertical="center"/>
    </xf>
    <xf numFmtId="10" fontId="58" fillId="0" borderId="21" xfId="85" applyNumberFormat="1" applyFont="1" applyFill="1" applyBorder="1" applyAlignment="1">
      <alignment vertical="center"/>
    </xf>
    <xf numFmtId="10" fontId="58" fillId="0" borderId="37" xfId="85" applyNumberFormat="1" applyFont="1" applyFill="1" applyBorder="1" applyAlignment="1">
      <alignment vertical="center"/>
    </xf>
    <xf numFmtId="167" fontId="59" fillId="0" borderId="97" xfId="0" applyNumberFormat="1" applyFont="1" applyFill="1" applyBorder="1" applyAlignment="1">
      <alignment horizontal="center" vertical="center"/>
    </xf>
    <xf numFmtId="4" fontId="59" fillId="0" borderId="97" xfId="0" applyNumberFormat="1" applyFont="1" applyFill="1" applyBorder="1" applyAlignment="1">
      <alignment horizontal="center" vertical="center"/>
    </xf>
    <xf numFmtId="0" fontId="58" fillId="25" borderId="11" xfId="0" applyFont="1" applyFill="1" applyBorder="1" applyAlignment="1">
      <alignment vertical="center"/>
    </xf>
    <xf numFmtId="0" fontId="58" fillId="25" borderId="35" xfId="0" applyFont="1" applyFill="1" applyBorder="1" applyAlignment="1">
      <alignment vertical="center"/>
    </xf>
    <xf numFmtId="0" fontId="58" fillId="0" borderId="37" xfId="0" applyFont="1" applyFill="1" applyBorder="1" applyAlignment="1">
      <alignment vertical="center"/>
    </xf>
    <xf numFmtId="0" fontId="58" fillId="0" borderId="101" xfId="0" applyFont="1" applyFill="1" applyBorder="1" applyAlignment="1">
      <alignment vertical="center"/>
    </xf>
    <xf numFmtId="167" fontId="58" fillId="0" borderId="96" xfId="0" applyNumberFormat="1" applyFont="1" applyFill="1" applyBorder="1" applyAlignment="1">
      <alignment horizontal="center" vertical="center"/>
    </xf>
    <xf numFmtId="0" fontId="58" fillId="0" borderId="109" xfId="0" applyFont="1" applyFill="1" applyBorder="1" applyAlignment="1">
      <alignment vertical="center"/>
    </xf>
    <xf numFmtId="0" fontId="58" fillId="0" borderId="31" xfId="0" applyFont="1" applyFill="1" applyBorder="1" applyAlignment="1">
      <alignment vertical="center"/>
    </xf>
    <xf numFmtId="0" fontId="81" fillId="0" borderId="52" xfId="0" applyFont="1" applyFill="1" applyBorder="1" applyAlignment="1">
      <alignment vertical="center"/>
    </xf>
    <xf numFmtId="0" fontId="15" fillId="0" borderId="53" xfId="0" applyFont="1" applyFill="1" applyBorder="1" applyAlignment="1">
      <alignment horizontal="center" vertical="center"/>
    </xf>
    <xf numFmtId="167" fontId="15" fillId="0" borderId="59" xfId="0" applyNumberFormat="1" applyFont="1" applyFill="1" applyBorder="1" applyAlignment="1">
      <alignment horizontal="center" vertical="center"/>
    </xf>
    <xf numFmtId="167" fontId="59" fillId="0" borderId="80" xfId="0" applyNumberFormat="1" applyFont="1" applyFill="1" applyBorder="1" applyAlignment="1">
      <alignment horizontal="center" vertical="center"/>
    </xf>
    <xf numFmtId="4" fontId="59" fillId="0" borderId="76" xfId="0" applyNumberFormat="1" applyFont="1" applyFill="1" applyBorder="1" applyAlignment="1">
      <alignment horizontal="center" vertical="center"/>
    </xf>
    <xf numFmtId="10" fontId="58" fillId="0" borderId="76" xfId="85" applyNumberFormat="1" applyFont="1" applyBorder="1" applyAlignment="1">
      <alignment vertical="center"/>
    </xf>
    <xf numFmtId="167" fontId="58" fillId="0" borderId="11" xfId="0" applyNumberFormat="1" applyFont="1" applyFill="1" applyBorder="1" applyAlignment="1">
      <alignment horizontal="center" vertical="center"/>
    </xf>
    <xf numFmtId="0" fontId="58" fillId="0" borderId="35" xfId="0" applyFont="1" applyFill="1" applyBorder="1" applyAlignment="1">
      <alignment vertical="center"/>
    </xf>
    <xf numFmtId="4" fontId="58" fillId="0" borderId="37" xfId="0" applyNumberFormat="1" applyFont="1" applyFill="1" applyBorder="1" applyAlignment="1">
      <alignment horizontal="center" vertical="center"/>
    </xf>
    <xf numFmtId="4" fontId="58" fillId="0" borderId="38" xfId="0" applyNumberFormat="1" applyFont="1" applyFill="1" applyBorder="1" applyAlignment="1">
      <alignment horizontal="center" vertical="center"/>
    </xf>
    <xf numFmtId="0" fontId="59" fillId="0" borderId="52" xfId="0" applyFont="1" applyFill="1" applyBorder="1" applyAlignment="1">
      <alignment vertical="center"/>
    </xf>
    <xf numFmtId="0" fontId="58" fillId="0" borderId="53" xfId="0" applyFont="1" applyFill="1" applyBorder="1" applyAlignment="1">
      <alignment vertical="center"/>
    </xf>
    <xf numFmtId="0" fontId="58" fillId="0" borderId="59" xfId="0" applyFont="1" applyFill="1" applyBorder="1" applyAlignment="1">
      <alignment vertical="center"/>
    </xf>
    <xf numFmtId="0" fontId="58" fillId="0" borderId="80" xfId="0" applyFont="1" applyFill="1" applyBorder="1" applyAlignment="1">
      <alignment vertical="center"/>
    </xf>
    <xf numFmtId="0" fontId="58" fillId="0" borderId="76" xfId="0" applyFont="1" applyFill="1" applyBorder="1" applyAlignment="1">
      <alignment vertical="center"/>
    </xf>
    <xf numFmtId="168" fontId="58" fillId="0" borderId="76" xfId="0" applyNumberFormat="1" applyFont="1" applyFill="1" applyBorder="1" applyAlignment="1">
      <alignment horizontal="center" vertical="center"/>
    </xf>
    <xf numFmtId="168" fontId="58" fillId="0" borderId="76" xfId="0" applyNumberFormat="1" applyFont="1" applyFill="1" applyBorder="1" applyAlignment="1">
      <alignment vertical="center"/>
    </xf>
    <xf numFmtId="168" fontId="58" fillId="0" borderId="81" xfId="0" applyNumberFormat="1" applyFont="1" applyFill="1" applyBorder="1" applyAlignment="1">
      <alignment vertical="center"/>
    </xf>
    <xf numFmtId="168" fontId="58" fillId="0" borderId="75" xfId="0" applyNumberFormat="1" applyFont="1" applyFill="1" applyBorder="1" applyAlignment="1">
      <alignment vertical="center"/>
    </xf>
    <xf numFmtId="168" fontId="58" fillId="0" borderId="76" xfId="0" applyNumberFormat="1" applyFont="1" applyBorder="1" applyAlignment="1">
      <alignment vertical="center"/>
    </xf>
    <xf numFmtId="168" fontId="58" fillId="0" borderId="77" xfId="0" applyNumberFormat="1" applyFont="1" applyFill="1" applyBorder="1" applyAlignment="1">
      <alignment vertical="center"/>
    </xf>
    <xf numFmtId="10" fontId="58" fillId="0" borderId="37" xfId="0" applyNumberFormat="1" applyFont="1" applyBorder="1" applyAlignment="1">
      <alignment vertical="center"/>
    </xf>
    <xf numFmtId="10" fontId="58" fillId="0" borderId="105" xfId="0" applyNumberFormat="1" applyFont="1" applyBorder="1" applyAlignment="1">
      <alignment vertical="center"/>
    </xf>
    <xf numFmtId="10" fontId="58" fillId="0" borderId="21" xfId="0" applyNumberFormat="1" applyFont="1" applyBorder="1" applyAlignment="1">
      <alignment vertical="center"/>
    </xf>
    <xf numFmtId="4" fontId="58" fillId="0" borderId="16" xfId="0" applyNumberFormat="1" applyFont="1" applyFill="1" applyBorder="1" applyAlignment="1">
      <alignment horizontal="center" vertical="center"/>
    </xf>
    <xf numFmtId="4" fontId="58" fillId="0" borderId="17" xfId="0" applyNumberFormat="1" applyFont="1" applyFill="1" applyBorder="1" applyAlignment="1">
      <alignment horizontal="center" vertical="center"/>
    </xf>
    <xf numFmtId="4" fontId="58" fillId="0" borderId="18" xfId="0" applyNumberFormat="1" applyFont="1" applyFill="1" applyBorder="1" applyAlignment="1">
      <alignment horizontal="center" vertical="center"/>
    </xf>
    <xf numFmtId="4" fontId="0" fillId="0" borderId="102" xfId="0" applyNumberFormat="1" applyBorder="1"/>
    <xf numFmtId="4" fontId="0" fillId="0" borderId="96" xfId="0" applyNumberFormat="1" applyBorder="1"/>
    <xf numFmtId="0" fontId="0" fillId="0" borderId="13" xfId="0" applyBorder="1" applyAlignment="1">
      <alignment horizontal="center" vertical="center"/>
    </xf>
    <xf numFmtId="0" fontId="0" fillId="0" borderId="114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5" xfId="0" applyNumberFormat="1" applyBorder="1"/>
    <xf numFmtId="4" fontId="0" fillId="0" borderId="21" xfId="0" applyNumberFormat="1" applyBorder="1"/>
    <xf numFmtId="0" fontId="58" fillId="0" borderId="117" xfId="0" applyFont="1" applyFill="1" applyBorder="1" applyAlignment="1">
      <alignment horizontal="center" vertical="center" wrapText="1"/>
    </xf>
    <xf numFmtId="0" fontId="58" fillId="0" borderId="71" xfId="0" applyFont="1" applyFill="1" applyBorder="1" applyAlignment="1">
      <alignment horizontal="center" vertical="center"/>
    </xf>
    <xf numFmtId="168" fontId="15" fillId="0" borderId="98" xfId="0" applyNumberFormat="1" applyFont="1" applyFill="1" applyBorder="1" applyAlignment="1">
      <alignment horizontal="right" vertical="center"/>
    </xf>
    <xf numFmtId="168" fontId="58" fillId="0" borderId="98" xfId="0" applyNumberFormat="1" applyFont="1" applyFill="1" applyBorder="1" applyAlignment="1">
      <alignment horizontal="right" vertical="center"/>
    </xf>
    <xf numFmtId="168" fontId="58" fillId="0" borderId="99" xfId="0" applyNumberFormat="1" applyFont="1" applyFill="1" applyBorder="1" applyAlignment="1">
      <alignment horizontal="right" vertical="center"/>
    </xf>
    <xf numFmtId="0" fontId="80" fillId="0" borderId="47" xfId="0" applyFont="1" applyBorder="1"/>
    <xf numFmtId="0" fontId="58" fillId="0" borderId="96" xfId="0" applyFont="1" applyFill="1" applyBorder="1" applyAlignment="1">
      <alignment horizontal="center" vertical="center" wrapText="1"/>
    </xf>
    <xf numFmtId="0" fontId="58" fillId="0" borderId="109" xfId="0" applyFont="1" applyFill="1" applyBorder="1" applyAlignment="1">
      <alignment horizontal="center" vertical="center" wrapText="1"/>
    </xf>
    <xf numFmtId="169" fontId="15" fillId="0" borderId="102" xfId="0" applyNumberFormat="1" applyFont="1" applyFill="1" applyBorder="1" applyAlignment="1">
      <alignment horizontal="center" vertical="center" wrapText="1"/>
    </xf>
    <xf numFmtId="169" fontId="58" fillId="0" borderId="23" xfId="85" applyNumberFormat="1" applyFont="1" applyFill="1" applyBorder="1" applyAlignment="1">
      <alignment vertical="center"/>
    </xf>
    <xf numFmtId="1" fontId="58" fillId="0" borderId="21" xfId="0" applyNumberFormat="1" applyFont="1" applyFill="1" applyBorder="1" applyAlignment="1">
      <alignment vertical="center"/>
    </xf>
    <xf numFmtId="10" fontId="58" fillId="0" borderId="23" xfId="85" applyNumberFormat="1" applyFont="1" applyFill="1" applyBorder="1" applyAlignment="1">
      <alignment vertical="center"/>
    </xf>
    <xf numFmtId="0" fontId="60" fillId="0" borderId="0" xfId="0" applyFont="1" applyBorder="1" applyAlignment="1">
      <alignment horizontal="center" vertical="center" wrapText="1"/>
    </xf>
    <xf numFmtId="0" fontId="80" fillId="0" borderId="0" xfId="0" applyFont="1" applyBorder="1"/>
    <xf numFmtId="164" fontId="80" fillId="0" borderId="0" xfId="0" applyNumberFormat="1" applyFont="1" applyBorder="1"/>
    <xf numFmtId="1" fontId="58" fillId="0" borderId="37" xfId="0" applyNumberFormat="1" applyFont="1" applyFill="1" applyBorder="1" applyAlignment="1">
      <alignment vertical="center"/>
    </xf>
    <xf numFmtId="169" fontId="58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10" fillId="0" borderId="35" xfId="0" applyNumberFormat="1" applyFont="1" applyBorder="1" applyAlignment="1">
      <alignment horizontal="center" vertical="center" wrapText="1"/>
    </xf>
    <xf numFmtId="4" fontId="15" fillId="0" borderId="105" xfId="0" applyNumberFormat="1" applyFont="1" applyFill="1" applyBorder="1" applyAlignment="1">
      <alignment horizontal="center" vertical="center" wrapText="1"/>
    </xf>
    <xf numFmtId="169" fontId="58" fillId="0" borderId="102" xfId="0" applyNumberFormat="1" applyFont="1" applyFill="1" applyBorder="1" applyAlignment="1">
      <alignment horizontal="center" vertical="center" wrapText="1"/>
    </xf>
    <xf numFmtId="4" fontId="15" fillId="0" borderId="102" xfId="0" applyNumberFormat="1" applyFont="1" applyFill="1" applyBorder="1" applyAlignment="1">
      <alignment horizontal="center" vertical="center" wrapText="1"/>
    </xf>
    <xf numFmtId="4" fontId="15" fillId="0" borderId="106" xfId="0" applyNumberFormat="1" applyFont="1" applyFill="1" applyBorder="1" applyAlignment="1">
      <alignment horizontal="center" vertical="center" wrapText="1"/>
    </xf>
    <xf numFmtId="4" fontId="58" fillId="0" borderId="105" xfId="0" applyNumberFormat="1" applyFont="1" applyFill="1" applyBorder="1" applyAlignment="1">
      <alignment horizontal="center" vertical="center" wrapText="1"/>
    </xf>
    <xf numFmtId="4" fontId="15" fillId="0" borderId="102" xfId="0" applyNumberFormat="1" applyFont="1" applyFill="1" applyBorder="1" applyAlignment="1">
      <alignment horizontal="center" vertical="center"/>
    </xf>
    <xf numFmtId="4" fontId="15" fillId="0" borderId="106" xfId="0" applyNumberFormat="1" applyFont="1" applyFill="1" applyBorder="1" applyAlignment="1">
      <alignment horizontal="center" vertical="center"/>
    </xf>
    <xf numFmtId="4" fontId="15" fillId="0" borderId="105" xfId="0" applyNumberFormat="1" applyFont="1" applyFill="1" applyBorder="1" applyAlignment="1">
      <alignment horizontal="center" vertical="center"/>
    </xf>
    <xf numFmtId="4" fontId="15" fillId="0" borderId="96" xfId="0" applyNumberFormat="1" applyFont="1" applyFill="1" applyBorder="1" applyAlignment="1">
      <alignment horizontal="center" vertical="center"/>
    </xf>
    <xf numFmtId="4" fontId="15" fillId="0" borderId="23" xfId="0" applyNumberFormat="1" applyFont="1" applyFill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12" fillId="0" borderId="100" xfId="0" applyFont="1" applyBorder="1" applyAlignment="1">
      <alignment horizontal="center" vertical="center"/>
    </xf>
    <xf numFmtId="0" fontId="10" fillId="0" borderId="100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/>
    </xf>
    <xf numFmtId="2" fontId="10" fillId="0" borderId="100" xfId="0" applyNumberFormat="1" applyFont="1" applyBorder="1" applyAlignment="1">
      <alignment horizontal="center" vertical="center"/>
    </xf>
    <xf numFmtId="0" fontId="15" fillId="0" borderId="34" xfId="0" applyFont="1" applyBorder="1" applyAlignment="1">
      <alignment horizontal="left" vertical="center"/>
    </xf>
    <xf numFmtId="0" fontId="58" fillId="0" borderId="114" xfId="0" applyFont="1" applyBorder="1" applyAlignment="1">
      <alignment vertical="center"/>
    </xf>
    <xf numFmtId="0" fontId="59" fillId="0" borderId="114" xfId="0" applyFont="1" applyBorder="1" applyAlignment="1">
      <alignment vertical="center"/>
    </xf>
    <xf numFmtId="0" fontId="15" fillId="0" borderId="114" xfId="0" applyFont="1" applyBorder="1" applyAlignment="1">
      <alignment vertical="center"/>
    </xf>
    <xf numFmtId="0" fontId="15" fillId="0" borderId="115" xfId="0" applyFont="1" applyBorder="1" applyAlignment="1">
      <alignment vertical="center" wrapText="1"/>
    </xf>
    <xf numFmtId="0" fontId="15" fillId="0" borderId="114" xfId="0" applyFont="1" applyBorder="1" applyAlignment="1">
      <alignment vertical="center" wrapText="1"/>
    </xf>
    <xf numFmtId="0" fontId="58" fillId="0" borderId="114" xfId="0" applyFont="1" applyBorder="1" applyAlignment="1">
      <alignment vertical="center" wrapText="1"/>
    </xf>
    <xf numFmtId="0" fontId="15" fillId="0" borderId="114" xfId="0" applyFont="1" applyFill="1" applyBorder="1" applyAlignment="1">
      <alignment vertical="center" wrapText="1"/>
    </xf>
    <xf numFmtId="0" fontId="15" fillId="0" borderId="114" xfId="0" applyFont="1" applyFill="1" applyBorder="1" applyAlignment="1">
      <alignment vertical="center"/>
    </xf>
    <xf numFmtId="0" fontId="15" fillId="0" borderId="15" xfId="0" applyFont="1" applyFill="1" applyBorder="1" applyAlignment="1">
      <alignment vertical="center" wrapText="1"/>
    </xf>
    <xf numFmtId="4" fontId="11" fillId="0" borderId="103" xfId="0" applyNumberFormat="1" applyFont="1" applyBorder="1" applyAlignment="1">
      <alignment horizontal="center" vertical="center"/>
    </xf>
    <xf numFmtId="4" fontId="12" fillId="0" borderId="35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4" fontId="10" fillId="0" borderId="103" xfId="0" applyNumberFormat="1" applyFont="1" applyBorder="1" applyAlignment="1">
      <alignment horizontal="center" vertical="center"/>
    </xf>
    <xf numFmtId="10" fontId="12" fillId="0" borderId="103" xfId="85" applyNumberFormat="1" applyFont="1" applyBorder="1" applyAlignment="1">
      <alignment horizontal="center" vertical="center"/>
    </xf>
    <xf numFmtId="4" fontId="10" fillId="0" borderId="104" xfId="0" applyNumberFormat="1" applyFont="1" applyBorder="1" applyAlignment="1">
      <alignment horizontal="center" vertical="center"/>
    </xf>
    <xf numFmtId="4" fontId="10" fillId="0" borderId="109" xfId="0" applyNumberFormat="1" applyFont="1" applyBorder="1" applyAlignment="1">
      <alignment horizontal="center" vertical="center"/>
    </xf>
    <xf numFmtId="4" fontId="15" fillId="0" borderId="114" xfId="0" applyNumberFormat="1" applyFont="1" applyFill="1" applyBorder="1" applyAlignment="1">
      <alignment horizontal="center" vertical="center" wrapText="1"/>
    </xf>
    <xf numFmtId="4" fontId="58" fillId="0" borderId="114" xfId="0" applyNumberFormat="1" applyFont="1" applyFill="1" applyBorder="1" applyAlignment="1">
      <alignment horizontal="center" vertical="center"/>
    </xf>
    <xf numFmtId="10" fontId="59" fillId="0" borderId="114" xfId="85" applyNumberFormat="1" applyFont="1" applyFill="1" applyBorder="1" applyAlignment="1">
      <alignment horizontal="center" vertical="center"/>
    </xf>
    <xf numFmtId="4" fontId="15" fillId="0" borderId="114" xfId="0" applyNumberFormat="1" applyFont="1" applyFill="1" applyBorder="1" applyAlignment="1">
      <alignment horizontal="center" vertical="center"/>
    </xf>
    <xf numFmtId="4" fontId="15" fillId="0" borderId="15" xfId="0" applyNumberFormat="1" applyFont="1" applyFill="1" applyBorder="1" applyAlignment="1">
      <alignment horizontal="center" vertical="center"/>
    </xf>
    <xf numFmtId="169" fontId="59" fillId="0" borderId="98" xfId="85" applyNumberFormat="1" applyFont="1" applyFill="1" applyBorder="1" applyAlignment="1">
      <alignment horizontal="center" vertical="center"/>
    </xf>
    <xf numFmtId="4" fontId="59" fillId="0" borderId="98" xfId="85" applyNumberFormat="1" applyFont="1" applyFill="1" applyBorder="1" applyAlignment="1">
      <alignment horizontal="center" vertical="center"/>
    </xf>
    <xf numFmtId="169" fontId="59" fillId="0" borderId="102" xfId="85" applyNumberFormat="1" applyFont="1" applyFill="1" applyBorder="1" applyAlignment="1">
      <alignment horizontal="center" vertical="center"/>
    </xf>
    <xf numFmtId="4" fontId="59" fillId="0" borderId="106" xfId="0" applyNumberFormat="1" applyFont="1" applyFill="1" applyBorder="1" applyAlignment="1">
      <alignment horizontal="center" vertical="center"/>
    </xf>
    <xf numFmtId="4" fontId="59" fillId="0" borderId="102" xfId="85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69" fontId="81" fillId="0" borderId="98" xfId="85" applyNumberFormat="1" applyFont="1" applyFill="1" applyBorder="1" applyAlignment="1">
      <alignment horizontal="center" vertical="center"/>
    </xf>
    <xf numFmtId="169" fontId="81" fillId="0" borderId="102" xfId="85" applyNumberFormat="1" applyFont="1" applyFill="1" applyBorder="1" applyAlignment="1">
      <alignment horizontal="center" vertical="center"/>
    </xf>
    <xf numFmtId="0" fontId="54" fillId="0" borderId="16" xfId="0" applyFont="1" applyBorder="1" applyAlignment="1">
      <alignment vertical="center" wrapText="1"/>
    </xf>
    <xf numFmtId="0" fontId="92" fillId="0" borderId="17" xfId="0" applyFont="1" applyBorder="1" applyAlignment="1">
      <alignment vertical="center" wrapText="1"/>
    </xf>
    <xf numFmtId="0" fontId="92" fillId="0" borderId="17" xfId="0" applyFont="1" applyBorder="1" applyAlignment="1">
      <alignment vertical="center"/>
    </xf>
    <xf numFmtId="4" fontId="92" fillId="0" borderId="17" xfId="0" applyNumberFormat="1" applyFont="1" applyBorder="1" applyAlignment="1">
      <alignment vertical="center"/>
    </xf>
    <xf numFmtId="4" fontId="92" fillId="0" borderId="18" xfId="0" applyNumberFormat="1" applyFont="1" applyBorder="1" applyAlignment="1">
      <alignment vertical="center"/>
    </xf>
    <xf numFmtId="0" fontId="54" fillId="0" borderId="108" xfId="0" applyFont="1" applyBorder="1" applyAlignment="1">
      <alignment vertical="center" wrapText="1"/>
    </xf>
    <xf numFmtId="0" fontId="92" fillId="0" borderId="119" xfId="0" applyFont="1" applyBorder="1" applyAlignment="1">
      <alignment vertical="center" wrapText="1"/>
    </xf>
    <xf numFmtId="0" fontId="92" fillId="0" borderId="119" xfId="0" applyFont="1" applyBorder="1" applyAlignment="1">
      <alignment vertical="center"/>
    </xf>
    <xf numFmtId="4" fontId="92" fillId="0" borderId="119" xfId="0" applyNumberFormat="1" applyFont="1" applyBorder="1" applyAlignment="1">
      <alignment vertical="center"/>
    </xf>
    <xf numFmtId="4" fontId="92" fillId="0" borderId="120" xfId="0" applyNumberFormat="1" applyFont="1" applyBorder="1" applyAlignment="1">
      <alignment vertical="center"/>
    </xf>
    <xf numFmtId="4" fontId="0" fillId="0" borderId="105" xfId="0" applyNumberFormat="1" applyFill="1" applyBorder="1"/>
    <xf numFmtId="0" fontId="58" fillId="0" borderId="11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9" fontId="81" fillId="0" borderId="99" xfId="85" applyNumberFormat="1" applyFont="1" applyFill="1" applyBorder="1" applyAlignment="1">
      <alignment horizontal="center" vertical="center"/>
    </xf>
    <xf numFmtId="169" fontId="81" fillId="0" borderId="96" xfId="85" applyNumberFormat="1" applyFont="1" applyFill="1" applyBorder="1" applyAlignment="1">
      <alignment horizontal="center" vertical="center"/>
    </xf>
    <xf numFmtId="169" fontId="15" fillId="0" borderId="96" xfId="0" applyNumberFormat="1" applyFont="1" applyFill="1" applyBorder="1" applyAlignment="1">
      <alignment horizontal="center" vertical="center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4" fontId="10" fillId="0" borderId="31" xfId="0" applyNumberFormat="1" applyFont="1" applyFill="1" applyBorder="1" applyAlignment="1">
      <alignment horizontal="center" vertical="center" wrapText="1"/>
    </xf>
    <xf numFmtId="4" fontId="10" fillId="0" borderId="11" xfId="0" applyNumberFormat="1" applyFont="1" applyFill="1" applyBorder="1" applyAlignment="1">
      <alignment horizontal="center" vertical="center" wrapText="1"/>
    </xf>
    <xf numFmtId="4" fontId="10" fillId="0" borderId="35" xfId="0" applyNumberFormat="1" applyFont="1" applyFill="1" applyBorder="1" applyAlignment="1">
      <alignment horizontal="center" vertical="center" wrapText="1"/>
    </xf>
    <xf numFmtId="4" fontId="15" fillId="0" borderId="100" xfId="0" applyNumberFormat="1" applyFont="1" applyFill="1" applyBorder="1" applyAlignment="1">
      <alignment horizontal="center" vertical="center"/>
    </xf>
    <xf numFmtId="4" fontId="58" fillId="0" borderId="100" xfId="0" applyNumberFormat="1" applyFont="1" applyFill="1" applyBorder="1" applyAlignment="1">
      <alignment horizontal="center" vertical="center"/>
    </xf>
    <xf numFmtId="10" fontId="59" fillId="0" borderId="10" xfId="85" applyNumberFormat="1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1" xfId="0" applyNumberFormat="1" applyFont="1" applyFill="1" applyBorder="1" applyAlignment="1">
      <alignment horizontal="center" vertical="center"/>
    </xf>
    <xf numFmtId="4" fontId="15" fillId="0" borderId="22" xfId="0" applyNumberFormat="1" applyFont="1" applyFill="1" applyBorder="1" applyAlignment="1">
      <alignment horizontal="center" vertical="center"/>
    </xf>
    <xf numFmtId="4" fontId="10" fillId="0" borderId="32" xfId="0" applyNumberFormat="1" applyFont="1" applyFill="1" applyBorder="1" applyAlignment="1">
      <alignment horizontal="center" vertical="center" wrapText="1"/>
    </xf>
    <xf numFmtId="4" fontId="10" fillId="0" borderId="43" xfId="0" applyNumberFormat="1" applyFont="1" applyFill="1" applyBorder="1" applyAlignment="1">
      <alignment horizontal="center" vertical="center" wrapText="1"/>
    </xf>
    <xf numFmtId="4" fontId="10" fillId="0" borderId="79" xfId="0" applyNumberFormat="1" applyFont="1" applyFill="1" applyBorder="1" applyAlignment="1">
      <alignment horizontal="center" vertical="center" wrapText="1"/>
    </xf>
    <xf numFmtId="0" fontId="58" fillId="0" borderId="114" xfId="0" applyFont="1" applyFill="1" applyBorder="1" applyAlignment="1">
      <alignment vertical="center" wrapText="1"/>
    </xf>
    <xf numFmtId="0" fontId="10" fillId="0" borderId="100" xfId="0" applyFont="1" applyBorder="1" applyAlignment="1">
      <alignment vertical="center"/>
    </xf>
    <xf numFmtId="4" fontId="10" fillId="0" borderId="10" xfId="0" applyNumberFormat="1" applyFont="1" applyBorder="1" applyAlignment="1">
      <alignment vertical="center"/>
    </xf>
    <xf numFmtId="0" fontId="10" fillId="0" borderId="10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4" fontId="10" fillId="0" borderId="22" xfId="0" applyNumberFormat="1" applyFont="1" applyBorder="1" applyAlignment="1">
      <alignment vertical="center"/>
    </xf>
    <xf numFmtId="0" fontId="0" fillId="0" borderId="0" xfId="0" applyFill="1" applyBorder="1" applyAlignment="1"/>
    <xf numFmtId="0" fontId="0" fillId="0" borderId="74" xfId="0" applyFill="1" applyBorder="1" applyAlignment="1"/>
    <xf numFmtId="0" fontId="10" fillId="0" borderId="35" xfId="0" applyFont="1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1" xfId="0" applyFill="1" applyBorder="1" applyAlignment="1"/>
    <xf numFmtId="0" fontId="10" fillId="0" borderId="103" xfId="0" applyFont="1" applyFill="1" applyBorder="1" applyAlignment="1">
      <alignment horizontal="center" vertical="center" wrapText="1"/>
    </xf>
    <xf numFmtId="0" fontId="15" fillId="0" borderId="100" xfId="0" applyFont="1" applyFill="1" applyBorder="1" applyAlignment="1">
      <alignment horizontal="center" vertical="center"/>
    </xf>
    <xf numFmtId="167" fontId="15" fillId="0" borderId="10" xfId="0" applyNumberFormat="1" applyFont="1" applyFill="1" applyBorder="1" applyAlignment="1">
      <alignment horizontal="center" vertical="center"/>
    </xf>
    <xf numFmtId="167" fontId="81" fillId="0" borderId="10" xfId="0" applyNumberFormat="1" applyFont="1" applyFill="1" applyBorder="1" applyAlignment="1">
      <alignment horizontal="center" vertical="center"/>
    </xf>
    <xf numFmtId="167" fontId="59" fillId="0" borderId="10" xfId="0" applyNumberFormat="1" applyFont="1" applyFill="1" applyBorder="1" applyAlignment="1">
      <alignment horizontal="center" vertical="center"/>
    </xf>
    <xf numFmtId="4" fontId="15" fillId="0" borderId="11" xfId="0" applyNumberFormat="1" applyFont="1" applyFill="1" applyBorder="1" applyAlignment="1">
      <alignment horizontal="center" vertical="center"/>
    </xf>
    <xf numFmtId="4" fontId="15" fillId="0" borderId="35" xfId="0" applyNumberFormat="1" applyFont="1" applyFill="1" applyBorder="1" applyAlignment="1">
      <alignment horizontal="center" vertical="center"/>
    </xf>
    <xf numFmtId="4" fontId="15" fillId="0" borderId="34" xfId="0" applyNumberFormat="1" applyFont="1" applyFill="1" applyBorder="1" applyAlignment="1">
      <alignment horizontal="center" vertical="center"/>
    </xf>
    <xf numFmtId="169" fontId="58" fillId="0" borderId="102" xfId="0" applyNumberFormat="1" applyFont="1" applyFill="1" applyBorder="1" applyAlignment="1">
      <alignment horizontal="center" vertical="center"/>
    </xf>
    <xf numFmtId="4" fontId="15" fillId="0" borderId="31" xfId="0" applyNumberFormat="1" applyFont="1" applyFill="1" applyBorder="1" applyAlignment="1">
      <alignment horizontal="center" vertical="center"/>
    </xf>
    <xf numFmtId="167" fontId="58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>
      <alignment horizontal="center" vertical="center"/>
    </xf>
    <xf numFmtId="4" fontId="59" fillId="0" borderId="11" xfId="0" applyNumberFormat="1" applyFont="1" applyFill="1" applyBorder="1" applyAlignment="1">
      <alignment horizontal="center" vertical="center"/>
    </xf>
    <xf numFmtId="4" fontId="15" fillId="0" borderId="103" xfId="0" applyNumberFormat="1" applyFont="1" applyFill="1" applyBorder="1" applyAlignment="1">
      <alignment horizontal="center" vertical="center"/>
    </xf>
    <xf numFmtId="0" fontId="58" fillId="0" borderId="103" xfId="0" applyFont="1" applyFill="1" applyBorder="1" applyAlignment="1">
      <alignment horizontal="center" vertical="center"/>
    </xf>
    <xf numFmtId="0" fontId="59" fillId="0" borderId="114" xfId="0" applyFont="1" applyFill="1" applyBorder="1" applyAlignment="1">
      <alignment vertical="center" wrapText="1"/>
    </xf>
    <xf numFmtId="4" fontId="58" fillId="0" borderId="35" xfId="0" applyNumberFormat="1" applyFont="1" applyFill="1" applyBorder="1" applyAlignment="1">
      <alignment horizontal="center" vertical="center"/>
    </xf>
    <xf numFmtId="4" fontId="58" fillId="0" borderId="34" xfId="0" applyNumberFormat="1" applyFont="1" applyFill="1" applyBorder="1" applyAlignment="1">
      <alignment horizontal="center" vertical="center"/>
    </xf>
    <xf numFmtId="4" fontId="81" fillId="0" borderId="10" xfId="0" applyNumberFormat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/>
    </xf>
    <xf numFmtId="0" fontId="15" fillId="0" borderId="115" xfId="0" applyFont="1" applyFill="1" applyBorder="1" applyAlignment="1">
      <alignment vertical="center" wrapText="1"/>
    </xf>
    <xf numFmtId="4" fontId="59" fillId="0" borderId="106" xfId="85" applyNumberFormat="1" applyFont="1" applyFill="1" applyBorder="1" applyAlignment="1">
      <alignment horizontal="center" vertical="center"/>
    </xf>
    <xf numFmtId="4" fontId="90" fillId="0" borderId="100" xfId="0" applyNumberFormat="1" applyFont="1" applyFill="1" applyBorder="1" applyAlignment="1">
      <alignment horizontal="center" vertical="center"/>
    </xf>
    <xf numFmtId="4" fontId="90" fillId="0" borderId="10" xfId="0" applyNumberFormat="1" applyFont="1" applyFill="1" applyBorder="1" applyAlignment="1">
      <alignment horizontal="center" vertical="center"/>
    </xf>
    <xf numFmtId="4" fontId="90" fillId="0" borderId="103" xfId="0" applyNumberFormat="1" applyFont="1" applyFill="1" applyBorder="1" applyAlignment="1">
      <alignment horizontal="center" vertical="center"/>
    </xf>
    <xf numFmtId="4" fontId="15" fillId="0" borderId="98" xfId="0" applyNumberFormat="1" applyFont="1" applyFill="1" applyBorder="1" applyAlignment="1">
      <alignment horizontal="center" vertical="center"/>
    </xf>
    <xf numFmtId="169" fontId="15" fillId="0" borderId="102" xfId="0" applyNumberFormat="1" applyFont="1" applyFill="1" applyBorder="1" applyAlignment="1">
      <alignment horizontal="center" vertical="center"/>
    </xf>
    <xf numFmtId="2" fontId="15" fillId="0" borderId="100" xfId="0" applyNumberFormat="1" applyFont="1" applyFill="1" applyBorder="1" applyAlignment="1">
      <alignment horizontal="center" vertical="center"/>
    </xf>
    <xf numFmtId="2" fontId="15" fillId="0" borderId="10" xfId="0" applyNumberFormat="1" applyFont="1" applyFill="1" applyBorder="1" applyAlignment="1">
      <alignment horizontal="center" vertical="center"/>
    </xf>
    <xf numFmtId="4" fontId="58" fillId="0" borderId="10" xfId="0" applyNumberFormat="1" applyFont="1" applyFill="1" applyBorder="1" applyAlignment="1">
      <alignment vertical="center"/>
    </xf>
    <xf numFmtId="0" fontId="15" fillId="0" borderId="100" xfId="0" applyFont="1" applyFill="1" applyBorder="1" applyAlignment="1">
      <alignment vertical="center"/>
    </xf>
    <xf numFmtId="4" fontId="81" fillId="0" borderId="10" xfId="0" applyNumberFormat="1" applyFont="1" applyFill="1" applyBorder="1" applyAlignment="1">
      <alignment horizontal="center" vertical="center" wrapText="1"/>
    </xf>
    <xf numFmtId="0" fontId="58" fillId="0" borderId="22" xfId="0" applyFont="1" applyFill="1" applyBorder="1" applyAlignment="1">
      <alignment vertical="center"/>
    </xf>
    <xf numFmtId="167" fontId="58" fillId="0" borderId="22" xfId="0" applyNumberFormat="1" applyFont="1" applyFill="1" applyBorder="1" applyAlignment="1">
      <alignment horizontal="center" vertical="center"/>
    </xf>
    <xf numFmtId="167" fontId="81" fillId="0" borderId="22" xfId="0" applyNumberFormat="1" applyFont="1" applyFill="1" applyBorder="1" applyAlignment="1">
      <alignment horizontal="center" vertical="center"/>
    </xf>
    <xf numFmtId="0" fontId="58" fillId="0" borderId="109" xfId="0" applyFont="1" applyFill="1" applyBorder="1" applyAlignment="1">
      <alignment horizontal="center" vertical="center"/>
    </xf>
    <xf numFmtId="169" fontId="15" fillId="0" borderId="96" xfId="0" applyNumberFormat="1" applyFont="1" applyFill="1" applyBorder="1" applyAlignment="1">
      <alignment horizontal="center" vertical="center"/>
    </xf>
    <xf numFmtId="4" fontId="15" fillId="0" borderId="109" xfId="0" applyNumberFormat="1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vertical="center"/>
    </xf>
    <xf numFmtId="0" fontId="11" fillId="0" borderId="36" xfId="0" applyFont="1" applyFill="1" applyBorder="1"/>
    <xf numFmtId="0" fontId="11" fillId="0" borderId="0" xfId="0" applyFont="1" applyFill="1" applyBorder="1" applyAlignment="1">
      <alignment horizontal="center"/>
    </xf>
    <xf numFmtId="167" fontId="11" fillId="0" borderId="0" xfId="0" applyNumberFormat="1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167" fontId="5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10" fontId="10" fillId="0" borderId="0" xfId="0" applyNumberFormat="1" applyFont="1" applyFill="1" applyBorder="1" applyAlignment="1">
      <alignment horizontal="center"/>
    </xf>
    <xf numFmtId="4" fontId="15" fillId="0" borderId="0" xfId="0" applyNumberFormat="1" applyFont="1" applyFill="1" applyBorder="1" applyAlignment="1">
      <alignment horizontal="center"/>
    </xf>
    <xf numFmtId="4" fontId="58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1" fillId="0" borderId="26" xfId="0" applyFont="1" applyFill="1" applyBorder="1"/>
    <xf numFmtId="4" fontId="64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2" fontId="0" fillId="0" borderId="0" xfId="0" applyNumberFormat="1" applyFill="1"/>
    <xf numFmtId="0" fontId="0" fillId="0" borderId="10" xfId="0" applyFill="1" applyBorder="1" applyAlignment="1">
      <alignment horizontal="center"/>
    </xf>
    <xf numFmtId="4" fontId="0" fillId="0" borderId="10" xfId="0" applyNumberFormat="1" applyFill="1" applyBorder="1"/>
    <xf numFmtId="2" fontId="0" fillId="0" borderId="10" xfId="0" applyNumberFormat="1" applyFill="1" applyBorder="1"/>
    <xf numFmtId="174" fontId="73" fillId="0" borderId="10" xfId="85" applyNumberFormat="1" applyFont="1" applyFill="1" applyBorder="1"/>
    <xf numFmtId="10" fontId="73" fillId="0" borderId="10" xfId="85" applyNumberFormat="1" applyFont="1" applyFill="1" applyBorder="1"/>
    <xf numFmtId="10" fontId="0" fillId="0" borderId="10" xfId="85" applyNumberFormat="1" applyFont="1" applyFill="1" applyBorder="1"/>
    <xf numFmtId="10" fontId="67" fillId="0" borderId="0" xfId="85" applyNumberFormat="1" applyFont="1" applyFill="1"/>
    <xf numFmtId="167" fontId="0" fillId="0" borderId="10" xfId="0" applyNumberFormat="1" applyFill="1" applyBorder="1"/>
    <xf numFmtId="0" fontId="15" fillId="0" borderId="58" xfId="0" applyFont="1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vertical="center" wrapText="1"/>
    </xf>
    <xf numFmtId="0" fontId="15" fillId="0" borderId="31" xfId="0" applyFont="1" applyFill="1" applyBorder="1" applyAlignment="1">
      <alignment horizontal="center" vertical="center"/>
    </xf>
    <xf numFmtId="167" fontId="15" fillId="0" borderId="11" xfId="0" applyNumberFormat="1" applyFont="1" applyFill="1" applyBorder="1" applyAlignment="1">
      <alignment horizontal="center" vertical="center"/>
    </xf>
    <xf numFmtId="167" fontId="81" fillId="0" borderId="11" xfId="0" applyNumberFormat="1" applyFont="1" applyFill="1" applyBorder="1" applyAlignment="1">
      <alignment horizontal="center" vertical="center"/>
    </xf>
    <xf numFmtId="167" fontId="59" fillId="0" borderId="11" xfId="0" applyNumberFormat="1" applyFont="1" applyFill="1" applyBorder="1" applyAlignment="1">
      <alignment horizontal="center" vertical="center"/>
    </xf>
    <xf numFmtId="0" fontId="20" fillId="0" borderId="101" xfId="0" applyFont="1" applyFill="1" applyBorder="1" applyAlignment="1">
      <alignment horizontal="center" vertical="center" wrapText="1"/>
    </xf>
    <xf numFmtId="0" fontId="10" fillId="0" borderId="96" xfId="0" applyFont="1" applyFill="1" applyBorder="1" applyAlignment="1">
      <alignment horizontal="center" vertical="center" wrapText="1"/>
    </xf>
    <xf numFmtId="0" fontId="10" fillId="0" borderId="109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4" fontId="15" fillId="0" borderId="34" xfId="0" applyNumberFormat="1" applyFont="1" applyFill="1" applyBorder="1" applyAlignment="1">
      <alignment horizontal="center" vertical="center" wrapText="1"/>
    </xf>
    <xf numFmtId="169" fontId="59" fillId="0" borderId="36" xfId="85" applyNumberFormat="1" applyFont="1" applyFill="1" applyBorder="1" applyAlignment="1">
      <alignment horizontal="center" vertical="center"/>
    </xf>
    <xf numFmtId="4" fontId="15" fillId="0" borderId="37" xfId="0" applyNumberFormat="1" applyFont="1" applyFill="1" applyBorder="1" applyAlignment="1">
      <alignment horizontal="center" vertical="center" wrapText="1"/>
    </xf>
    <xf numFmtId="169" fontId="59" fillId="0" borderId="11" xfId="85" applyNumberFormat="1" applyFont="1" applyFill="1" applyBorder="1" applyAlignment="1">
      <alignment horizontal="center" vertical="center"/>
    </xf>
    <xf numFmtId="4" fontId="15" fillId="0" borderId="11" xfId="0" applyNumberFormat="1" applyFont="1" applyFill="1" applyBorder="1" applyAlignment="1">
      <alignment horizontal="center" vertical="center" wrapText="1"/>
    </xf>
    <xf numFmtId="4" fontId="15" fillId="0" borderId="38" xfId="0" applyNumberFormat="1" applyFont="1" applyFill="1" applyBorder="1" applyAlignment="1">
      <alignment horizontal="center" vertical="center" wrapText="1"/>
    </xf>
    <xf numFmtId="169" fontId="58" fillId="0" borderId="11" xfId="0" applyNumberFormat="1" applyFont="1" applyFill="1" applyBorder="1" applyAlignment="1">
      <alignment horizontal="center" vertical="center" wrapText="1"/>
    </xf>
    <xf numFmtId="0" fontId="58" fillId="0" borderId="96" xfId="0" applyFont="1" applyBorder="1" applyAlignment="1">
      <alignment horizontal="center" vertical="center" wrapText="1"/>
    </xf>
    <xf numFmtId="0" fontId="79" fillId="0" borderId="109" xfId="0" applyFont="1" applyBorder="1" applyAlignment="1">
      <alignment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15" fillId="0" borderId="96" xfId="0" applyFont="1" applyFill="1" applyBorder="1" applyAlignment="1">
      <alignment horizontal="center" vertical="center" wrapText="1"/>
    </xf>
    <xf numFmtId="0" fontId="15" fillId="0" borderId="79" xfId="0" applyFont="1" applyFill="1" applyBorder="1" applyAlignment="1">
      <alignment horizontal="center" vertical="center" wrapText="1"/>
    </xf>
    <xf numFmtId="4" fontId="15" fillId="0" borderId="16" xfId="0" applyNumberFormat="1" applyFont="1" applyFill="1" applyBorder="1" applyAlignment="1">
      <alignment horizontal="center" vertical="center"/>
    </xf>
    <xf numFmtId="4" fontId="15" fillId="0" borderId="17" xfId="0" applyNumberFormat="1" applyFont="1" applyFill="1" applyBorder="1" applyAlignment="1">
      <alignment horizontal="center" vertical="center"/>
    </xf>
    <xf numFmtId="4" fontId="15" fillId="0" borderId="18" xfId="0" applyNumberFormat="1" applyFont="1" applyFill="1" applyBorder="1" applyAlignment="1">
      <alignment horizontal="center" vertical="center"/>
    </xf>
    <xf numFmtId="169" fontId="58" fillId="0" borderId="17" xfId="0" applyNumberFormat="1" applyFont="1" applyFill="1" applyBorder="1" applyAlignment="1">
      <alignment horizontal="center" vertical="center"/>
    </xf>
    <xf numFmtId="0" fontId="79" fillId="0" borderId="0" xfId="0" applyFont="1"/>
    <xf numFmtId="4" fontId="58" fillId="0" borderId="16" xfId="0" applyNumberFormat="1" applyFont="1" applyBorder="1"/>
    <xf numFmtId="4" fontId="58" fillId="0" borderId="17" xfId="0" applyNumberFormat="1" applyFont="1" applyBorder="1"/>
    <xf numFmtId="4" fontId="58" fillId="0" borderId="18" xfId="0" applyNumberFormat="1" applyFont="1" applyBorder="1"/>
    <xf numFmtId="4" fontId="58" fillId="0" borderId="105" xfId="0" applyNumberFormat="1" applyFont="1" applyBorder="1"/>
    <xf numFmtId="4" fontId="58" fillId="0" borderId="102" xfId="0" applyNumberFormat="1" applyFont="1" applyBorder="1"/>
    <xf numFmtId="4" fontId="58" fillId="0" borderId="106" xfId="0" applyNumberFormat="1" applyFont="1" applyBorder="1"/>
    <xf numFmtId="169" fontId="58" fillId="0" borderId="17" xfId="0" applyNumberFormat="1" applyFont="1" applyFill="1" applyBorder="1" applyAlignment="1">
      <alignment horizontal="center" vertical="center" wrapText="1"/>
    </xf>
    <xf numFmtId="0" fontId="58" fillId="0" borderId="13" xfId="0" applyFont="1" applyBorder="1"/>
    <xf numFmtId="0" fontId="58" fillId="0" borderId="114" xfId="0" applyFont="1" applyBorder="1"/>
    <xf numFmtId="0" fontId="58" fillId="0" borderId="30" xfId="0" applyFont="1" applyBorder="1"/>
    <xf numFmtId="0" fontId="58" fillId="0" borderId="121" xfId="0" applyFont="1" applyBorder="1"/>
    <xf numFmtId="4" fontId="58" fillId="0" borderId="13" xfId="0" applyNumberFormat="1" applyFont="1" applyBorder="1"/>
    <xf numFmtId="4" fontId="58" fillId="0" borderId="114" xfId="0" applyNumberFormat="1" applyFont="1" applyBorder="1"/>
    <xf numFmtId="0" fontId="0" fillId="0" borderId="13" xfId="0" applyFont="1" applyFill="1" applyBorder="1"/>
    <xf numFmtId="0" fontId="0" fillId="0" borderId="114" xfId="0" applyFont="1" applyFill="1" applyBorder="1"/>
    <xf numFmtId="0" fontId="0" fillId="0" borderId="15" xfId="0" applyFont="1" applyFill="1" applyBorder="1"/>
    <xf numFmtId="0" fontId="15" fillId="0" borderId="0" xfId="0" applyFont="1"/>
    <xf numFmtId="4" fontId="15" fillId="0" borderId="114" xfId="0" applyNumberFormat="1" applyFont="1" applyBorder="1"/>
    <xf numFmtId="0" fontId="15" fillId="0" borderId="121" xfId="0" applyFont="1" applyBorder="1"/>
    <xf numFmtId="4" fontId="15" fillId="0" borderId="102" xfId="0" applyNumberFormat="1" applyFont="1" applyBorder="1"/>
    <xf numFmtId="4" fontId="15" fillId="0" borderId="106" xfId="0" applyNumberFormat="1" applyFont="1" applyBorder="1"/>
    <xf numFmtId="4" fontId="15" fillId="0" borderId="105" xfId="0" applyNumberFormat="1" applyFont="1" applyBorder="1"/>
    <xf numFmtId="2" fontId="15" fillId="0" borderId="114" xfId="0" applyNumberFormat="1" applyFont="1" applyBorder="1"/>
    <xf numFmtId="2" fontId="15" fillId="0" borderId="102" xfId="0" applyNumberFormat="1" applyFont="1" applyBorder="1"/>
    <xf numFmtId="2" fontId="15" fillId="0" borderId="106" xfId="0" applyNumberFormat="1" applyFont="1" applyBorder="1"/>
    <xf numFmtId="2" fontId="15" fillId="0" borderId="105" xfId="0" applyNumberFormat="1" applyFont="1" applyBorder="1"/>
    <xf numFmtId="2" fontId="15" fillId="0" borderId="15" xfId="0" applyNumberFormat="1" applyFont="1" applyBorder="1"/>
    <xf numFmtId="2" fontId="15" fillId="0" borderId="96" xfId="0" applyNumberFormat="1" applyFont="1" applyBorder="1"/>
    <xf numFmtId="2" fontId="15" fillId="0" borderId="23" xfId="0" applyNumberFormat="1" applyFont="1" applyBorder="1"/>
    <xf numFmtId="2" fontId="15" fillId="0" borderId="21" xfId="0" applyNumberFormat="1" applyFont="1" applyBorder="1"/>
    <xf numFmtId="0" fontId="0" fillId="0" borderId="0" xfId="0" applyAlignment="1">
      <alignment wrapText="1"/>
    </xf>
    <xf numFmtId="0" fontId="11" fillId="0" borderId="126" xfId="0" applyFont="1" applyBorder="1" applyAlignment="1">
      <alignment vertical="center"/>
    </xf>
    <xf numFmtId="0" fontId="11" fillId="0" borderId="127" xfId="0" applyFont="1" applyBorder="1" applyAlignment="1">
      <alignment vertical="center"/>
    </xf>
    <xf numFmtId="169" fontId="11" fillId="0" borderId="126" xfId="85" applyNumberFormat="1" applyFont="1" applyBorder="1" applyAlignment="1">
      <alignment vertical="center"/>
    </xf>
    <xf numFmtId="10" fontId="11" fillId="0" borderId="126" xfId="85" applyNumberFormat="1" applyFont="1" applyBorder="1" applyAlignment="1">
      <alignment vertical="center"/>
    </xf>
    <xf numFmtId="10" fontId="11" fillId="0" borderId="127" xfId="85" applyNumberFormat="1" applyFont="1" applyBorder="1" applyAlignment="1">
      <alignment vertical="center"/>
    </xf>
    <xf numFmtId="0" fontId="11" fillId="0" borderId="128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0" fontId="11" fillId="0" borderId="131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169" fontId="11" fillId="0" borderId="127" xfId="85" applyNumberFormat="1" applyFont="1" applyBorder="1" applyAlignment="1">
      <alignment vertical="center"/>
    </xf>
    <xf numFmtId="0" fontId="11" fillId="0" borderId="130" xfId="0" applyFont="1" applyBorder="1" applyAlignment="1">
      <alignment vertical="center"/>
    </xf>
    <xf numFmtId="10" fontId="11" fillId="0" borderId="130" xfId="85" applyNumberFormat="1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4" fontId="11" fillId="0" borderId="130" xfId="0" applyNumberFormat="1" applyFont="1" applyFill="1" applyBorder="1" applyAlignment="1">
      <alignment vertical="center"/>
    </xf>
    <xf numFmtId="4" fontId="11" fillId="0" borderId="126" xfId="0" applyNumberFormat="1" applyFont="1" applyFill="1" applyBorder="1" applyAlignment="1">
      <alignment vertical="center"/>
    </xf>
    <xf numFmtId="4" fontId="11" fillId="0" borderId="127" xfId="0" applyNumberFormat="1" applyFont="1" applyFill="1" applyBorder="1" applyAlignment="1">
      <alignment vertical="center"/>
    </xf>
    <xf numFmtId="10" fontId="11" fillId="0" borderId="130" xfId="0" applyNumberFormat="1" applyFont="1" applyFill="1" applyBorder="1" applyAlignment="1">
      <alignment vertical="center"/>
    </xf>
    <xf numFmtId="4" fontId="11" fillId="0" borderId="21" xfId="0" applyNumberFormat="1" applyFont="1" applyFill="1" applyBorder="1" applyAlignment="1">
      <alignment vertical="center"/>
    </xf>
    <xf numFmtId="4" fontId="11" fillId="0" borderId="128" xfId="0" applyNumberFormat="1" applyFont="1" applyFill="1" applyBorder="1" applyAlignment="1">
      <alignment vertical="center"/>
    </xf>
    <xf numFmtId="4" fontId="11" fillId="0" borderId="23" xfId="0" applyNumberFormat="1" applyFont="1" applyFill="1" applyBorder="1" applyAlignment="1">
      <alignment vertical="center"/>
    </xf>
    <xf numFmtId="0" fontId="11" fillId="0" borderId="135" xfId="0" applyFont="1" applyBorder="1" applyAlignment="1">
      <alignment horizontal="center" vertical="center"/>
    </xf>
    <xf numFmtId="4" fontId="11" fillId="0" borderId="16" xfId="0" applyNumberFormat="1" applyFont="1" applyFill="1" applyBorder="1" applyAlignment="1">
      <alignment vertical="center"/>
    </xf>
    <xf numFmtId="4" fontId="11" fillId="0" borderId="17" xfId="0" applyNumberFormat="1" applyFont="1" applyFill="1" applyBorder="1" applyAlignment="1">
      <alignment vertical="center"/>
    </xf>
    <xf numFmtId="4" fontId="11" fillId="0" borderId="18" xfId="0" applyNumberFormat="1" applyFont="1" applyFill="1" applyBorder="1" applyAlignment="1">
      <alignment vertical="center"/>
    </xf>
    <xf numFmtId="0" fontId="11" fillId="0" borderId="13" xfId="0" applyFont="1" applyBorder="1" applyAlignment="1">
      <alignment vertical="center" wrapText="1"/>
    </xf>
    <xf numFmtId="0" fontId="11" fillId="0" borderId="135" xfId="0" applyFont="1" applyFill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34" borderId="135" xfId="0" applyFont="1" applyFill="1" applyBorder="1" applyAlignment="1">
      <alignment horizontal="center" vertical="center"/>
    </xf>
    <xf numFmtId="0" fontId="11" fillId="34" borderId="13" xfId="0" applyFont="1" applyFill="1" applyBorder="1" applyAlignment="1">
      <alignment vertical="center" wrapText="1"/>
    </xf>
    <xf numFmtId="4" fontId="11" fillId="34" borderId="16" xfId="0" applyNumberFormat="1" applyFont="1" applyFill="1" applyBorder="1" applyAlignment="1">
      <alignment vertical="center"/>
    </xf>
    <xf numFmtId="4" fontId="11" fillId="34" borderId="17" xfId="0" applyNumberFormat="1" applyFont="1" applyFill="1" applyBorder="1" applyAlignment="1">
      <alignment vertical="center"/>
    </xf>
    <xf numFmtId="4" fontId="11" fillId="34" borderId="18" xfId="0" applyNumberFormat="1" applyFont="1" applyFill="1" applyBorder="1" applyAlignment="1">
      <alignment vertical="center"/>
    </xf>
    <xf numFmtId="0" fontId="11" fillId="34" borderId="17" xfId="0" applyFont="1" applyFill="1" applyBorder="1" applyAlignment="1">
      <alignment vertical="center"/>
    </xf>
    <xf numFmtId="0" fontId="11" fillId="34" borderId="18" xfId="0" applyFont="1" applyFill="1" applyBorder="1" applyAlignment="1">
      <alignment vertical="center"/>
    </xf>
    <xf numFmtId="0" fontId="11" fillId="34" borderId="16" xfId="0" applyFont="1" applyFill="1" applyBorder="1" applyAlignment="1">
      <alignment vertical="center"/>
    </xf>
    <xf numFmtId="0" fontId="11" fillId="34" borderId="131" xfId="0" applyFont="1" applyFill="1" applyBorder="1" applyAlignment="1">
      <alignment vertical="center" wrapText="1"/>
    </xf>
    <xf numFmtId="4" fontId="11" fillId="34" borderId="130" xfId="0" applyNumberFormat="1" applyFont="1" applyFill="1" applyBorder="1" applyAlignment="1">
      <alignment vertical="center"/>
    </xf>
    <xf numFmtId="4" fontId="11" fillId="34" borderId="126" xfId="0" applyNumberFormat="1" applyFont="1" applyFill="1" applyBorder="1" applyAlignment="1">
      <alignment vertical="center"/>
    </xf>
    <xf numFmtId="4" fontId="11" fillId="34" borderId="127" xfId="0" applyNumberFormat="1" applyFont="1" applyFill="1" applyBorder="1" applyAlignment="1">
      <alignment vertical="center"/>
    </xf>
    <xf numFmtId="10" fontId="11" fillId="34" borderId="130" xfId="0" applyNumberFormat="1" applyFont="1" applyFill="1" applyBorder="1" applyAlignment="1">
      <alignment vertical="center"/>
    </xf>
    <xf numFmtId="169" fontId="11" fillId="34" borderId="126" xfId="85" applyNumberFormat="1" applyFont="1" applyFill="1" applyBorder="1" applyAlignment="1">
      <alignment vertical="center"/>
    </xf>
    <xf numFmtId="169" fontId="11" fillId="34" borderId="127" xfId="85" applyNumberFormat="1" applyFont="1" applyFill="1" applyBorder="1" applyAlignment="1">
      <alignment vertical="center"/>
    </xf>
    <xf numFmtId="10" fontId="11" fillId="34" borderId="130" xfId="85" applyNumberFormat="1" applyFont="1" applyFill="1" applyBorder="1" applyAlignment="1">
      <alignment vertical="center"/>
    </xf>
    <xf numFmtId="10" fontId="11" fillId="34" borderId="126" xfId="85" applyNumberFormat="1" applyFont="1" applyFill="1" applyBorder="1" applyAlignment="1">
      <alignment vertical="center"/>
    </xf>
    <xf numFmtId="10" fontId="11" fillId="34" borderId="127" xfId="85" applyNumberFormat="1" applyFont="1" applyFill="1" applyBorder="1" applyAlignment="1">
      <alignment vertical="center"/>
    </xf>
    <xf numFmtId="0" fontId="11" fillId="34" borderId="126" xfId="0" applyFont="1" applyFill="1" applyBorder="1" applyAlignment="1">
      <alignment vertical="center"/>
    </xf>
    <xf numFmtId="0" fontId="11" fillId="34" borderId="127" xfId="0" applyFont="1" applyFill="1" applyBorder="1" applyAlignment="1">
      <alignment vertical="center"/>
    </xf>
    <xf numFmtId="0" fontId="11" fillId="34" borderId="130" xfId="0" applyFont="1" applyFill="1" applyBorder="1" applyAlignment="1">
      <alignment vertical="center"/>
    </xf>
    <xf numFmtId="0" fontId="11" fillId="34" borderId="15" xfId="0" applyFont="1" applyFill="1" applyBorder="1" applyAlignment="1">
      <alignment vertical="center" wrapText="1"/>
    </xf>
    <xf numFmtId="4" fontId="11" fillId="34" borderId="21" xfId="0" applyNumberFormat="1" applyFont="1" applyFill="1" applyBorder="1" applyAlignment="1">
      <alignment vertical="center"/>
    </xf>
    <xf numFmtId="4" fontId="11" fillId="34" borderId="128" xfId="0" applyNumberFormat="1" applyFont="1" applyFill="1" applyBorder="1" applyAlignment="1">
      <alignment vertical="center"/>
    </xf>
    <xf numFmtId="4" fontId="11" fillId="34" borderId="23" xfId="0" applyNumberFormat="1" applyFont="1" applyFill="1" applyBorder="1" applyAlignment="1">
      <alignment vertical="center"/>
    </xf>
    <xf numFmtId="0" fontId="11" fillId="34" borderId="128" xfId="0" applyFont="1" applyFill="1" applyBorder="1" applyAlignment="1">
      <alignment vertical="center"/>
    </xf>
    <xf numFmtId="0" fontId="11" fillId="34" borderId="23" xfId="0" applyFont="1" applyFill="1" applyBorder="1" applyAlignment="1">
      <alignment vertical="center"/>
    </xf>
    <xf numFmtId="0" fontId="11" fillId="34" borderId="21" xfId="0" applyFont="1" applyFill="1" applyBorder="1" applyAlignment="1">
      <alignment vertical="center"/>
    </xf>
    <xf numFmtId="0" fontId="11" fillId="0" borderId="17" xfId="0" applyFont="1" applyFill="1" applyBorder="1" applyAlignment="1">
      <alignment vertical="center"/>
    </xf>
    <xf numFmtId="0" fontId="11" fillId="0" borderId="18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169" fontId="11" fillId="0" borderId="126" xfId="85" applyNumberFormat="1" applyFont="1" applyFill="1" applyBorder="1" applyAlignment="1">
      <alignment vertical="center"/>
    </xf>
    <xf numFmtId="169" fontId="11" fillId="0" borderId="127" xfId="85" applyNumberFormat="1" applyFont="1" applyFill="1" applyBorder="1" applyAlignment="1">
      <alignment vertical="center"/>
    </xf>
    <xf numFmtId="10" fontId="11" fillId="0" borderId="130" xfId="85" applyNumberFormat="1" applyFont="1" applyFill="1" applyBorder="1" applyAlignment="1">
      <alignment vertical="center"/>
    </xf>
    <xf numFmtId="10" fontId="11" fillId="0" borderId="126" xfId="85" applyNumberFormat="1" applyFont="1" applyFill="1" applyBorder="1" applyAlignment="1">
      <alignment vertical="center"/>
    </xf>
    <xf numFmtId="10" fontId="11" fillId="0" borderId="127" xfId="85" applyNumberFormat="1" applyFont="1" applyFill="1" applyBorder="1" applyAlignment="1">
      <alignment vertical="center"/>
    </xf>
    <xf numFmtId="0" fontId="11" fillId="0" borderId="126" xfId="0" applyFont="1" applyFill="1" applyBorder="1" applyAlignment="1">
      <alignment vertical="center"/>
    </xf>
    <xf numFmtId="0" fontId="11" fillId="0" borderId="127" xfId="0" applyFont="1" applyFill="1" applyBorder="1" applyAlignment="1">
      <alignment vertical="center"/>
    </xf>
    <xf numFmtId="0" fontId="11" fillId="0" borderId="130" xfId="0" applyFont="1" applyFill="1" applyBorder="1" applyAlignment="1">
      <alignment vertical="center"/>
    </xf>
    <xf numFmtId="0" fontId="11" fillId="0" borderId="128" xfId="0" applyFont="1" applyFill="1" applyBorder="1" applyAlignment="1">
      <alignment vertical="center"/>
    </xf>
    <xf numFmtId="0" fontId="11" fillId="0" borderId="23" xfId="0" applyFont="1" applyFill="1" applyBorder="1" applyAlignment="1">
      <alignment vertical="center"/>
    </xf>
    <xf numFmtId="0" fontId="11" fillId="0" borderId="21" xfId="0" applyFont="1" applyFill="1" applyBorder="1" applyAlignment="1">
      <alignment vertical="center"/>
    </xf>
    <xf numFmtId="0" fontId="58" fillId="0" borderId="21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92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52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5" fillId="0" borderId="54" xfId="0" applyFont="1" applyBorder="1" applyAlignment="1">
      <alignment horizontal="center"/>
    </xf>
    <xf numFmtId="0" fontId="19" fillId="0" borderId="0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9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1" fillId="0" borderId="21" xfId="0" applyFont="1" applyBorder="1" applyAlignment="1">
      <alignment horizontal="left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11" fillId="0" borderId="141" xfId="0" applyFont="1" applyBorder="1" applyAlignment="1">
      <alignment horizontal="center" vertical="center" wrapText="1"/>
    </xf>
    <xf numFmtId="167" fontId="12" fillId="0" borderId="142" xfId="0" applyNumberFormat="1" applyFont="1" applyBorder="1" applyAlignment="1">
      <alignment horizontal="center"/>
    </xf>
    <xf numFmtId="167" fontId="12" fillId="0" borderId="128" xfId="0" applyNumberFormat="1" applyFont="1" applyBorder="1" applyAlignment="1">
      <alignment horizontal="center"/>
    </xf>
    <xf numFmtId="0" fontId="58" fillId="0" borderId="109" xfId="0" applyFont="1" applyBorder="1" applyAlignment="1">
      <alignment horizontal="center" vertical="center" wrapText="1"/>
    </xf>
    <xf numFmtId="0" fontId="0" fillId="0" borderId="142" xfId="0" applyBorder="1"/>
    <xf numFmtId="0" fontId="0" fillId="0" borderId="145" xfId="0" applyBorder="1" applyAlignment="1">
      <alignment horizontal="center"/>
    </xf>
    <xf numFmtId="0" fontId="58" fillId="0" borderId="142" xfId="0" applyFont="1" applyBorder="1" applyAlignment="1">
      <alignment horizontal="center" vertical="center" wrapText="1"/>
    </xf>
    <xf numFmtId="0" fontId="11" fillId="0" borderId="14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145" xfId="0" applyFont="1" applyBorder="1" applyAlignment="1">
      <alignment horizontal="center"/>
    </xf>
    <xf numFmtId="0" fontId="11" fillId="0" borderId="145" xfId="0" applyFont="1" applyBorder="1" applyAlignment="1">
      <alignment horizontal="center" vertical="center"/>
    </xf>
    <xf numFmtId="167" fontId="11" fillId="0" borderId="145" xfId="0" applyNumberFormat="1" applyFont="1" applyBorder="1" applyAlignment="1">
      <alignment horizontal="center" vertical="center" wrapText="1"/>
    </xf>
    <xf numFmtId="0" fontId="11" fillId="0" borderId="101" xfId="0" applyFont="1" applyBorder="1" applyAlignment="1">
      <alignment horizontal="center"/>
    </xf>
    <xf numFmtId="0" fontId="0" fillId="0" borderId="147" xfId="0" applyBorder="1" applyAlignment="1">
      <alignment horizontal="center"/>
    </xf>
    <xf numFmtId="176" fontId="15" fillId="0" borderId="16" xfId="0" applyNumberFormat="1" applyFont="1" applyFill="1" applyBorder="1" applyAlignment="1">
      <alignment horizontal="right" vertical="center"/>
    </xf>
    <xf numFmtId="176" fontId="15" fillId="0" borderId="17" xfId="0" applyNumberFormat="1" applyFont="1" applyFill="1" applyBorder="1" applyAlignment="1">
      <alignment horizontal="right" vertical="center"/>
    </xf>
    <xf numFmtId="176" fontId="58" fillId="0" borderId="109" xfId="0" applyNumberFormat="1" applyFont="1" applyBorder="1" applyAlignment="1">
      <alignment horizontal="right" vertical="center"/>
    </xf>
    <xf numFmtId="0" fontId="92" fillId="0" borderId="72" xfId="0" applyFont="1" applyBorder="1" applyAlignment="1">
      <alignment vertical="center" wrapText="1"/>
    </xf>
    <xf numFmtId="0" fontId="92" fillId="0" borderId="148" xfId="0" applyFont="1" applyBorder="1" applyAlignment="1">
      <alignment vertical="center" wrapText="1"/>
    </xf>
    <xf numFmtId="0" fontId="92" fillId="0" borderId="148" xfId="0" applyFont="1" applyBorder="1" applyAlignment="1">
      <alignment vertical="center"/>
    </xf>
    <xf numFmtId="4" fontId="92" fillId="0" borderId="148" xfId="0" applyNumberFormat="1" applyFont="1" applyBorder="1" applyAlignment="1">
      <alignment vertical="center"/>
    </xf>
    <xf numFmtId="4" fontId="92" fillId="0" borderId="70" xfId="0" applyNumberFormat="1" applyFont="1" applyBorder="1" applyAlignment="1">
      <alignment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19" xfId="0" applyFont="1" applyBorder="1" applyAlignment="1">
      <alignment vertical="center"/>
    </xf>
    <xf numFmtId="176" fontId="0" fillId="0" borderId="92" xfId="0" applyNumberFormat="1" applyFont="1" applyBorder="1" applyAlignment="1">
      <alignment vertical="center" wrapText="1"/>
    </xf>
    <xf numFmtId="0" fontId="0" fillId="0" borderId="92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19" xfId="0" applyNumberFormat="1" applyFont="1" applyBorder="1" applyAlignment="1">
      <alignment vertical="center"/>
    </xf>
    <xf numFmtId="4" fontId="0" fillId="0" borderId="20" xfId="0" applyNumberFormat="1" applyFont="1" applyBorder="1" applyAlignment="1">
      <alignment vertical="center"/>
    </xf>
    <xf numFmtId="176" fontId="6" fillId="0" borderId="22" xfId="0" applyNumberFormat="1" applyFont="1" applyBorder="1" applyAlignment="1">
      <alignment vertical="center" wrapText="1"/>
    </xf>
    <xf numFmtId="0" fontId="6" fillId="0" borderId="22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1" fillId="0" borderId="149" xfId="0" applyFont="1" applyBorder="1" applyAlignment="1">
      <alignment vertical="center" wrapText="1"/>
    </xf>
    <xf numFmtId="0" fontId="11" fillId="0" borderId="150" xfId="0" applyFont="1" applyBorder="1" applyAlignment="1">
      <alignment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/>
    </xf>
    <xf numFmtId="0" fontId="11" fillId="0" borderId="147" xfId="0" applyFont="1" applyBorder="1" applyAlignment="1">
      <alignment horizontal="center"/>
    </xf>
    <xf numFmtId="0" fontId="11" fillId="0" borderId="147" xfId="0" applyFont="1" applyBorder="1" applyAlignment="1">
      <alignment horizontal="center" vertical="center"/>
    </xf>
    <xf numFmtId="167" fontId="11" fillId="0" borderId="147" xfId="0" applyNumberFormat="1" applyFont="1" applyBorder="1" applyAlignment="1">
      <alignment horizontal="center" vertical="center" wrapText="1"/>
    </xf>
    <xf numFmtId="0" fontId="11" fillId="0" borderId="99" xfId="0" applyFont="1" applyBorder="1" applyAlignment="1">
      <alignment horizontal="center"/>
    </xf>
    <xf numFmtId="0" fontId="59" fillId="0" borderId="147" xfId="0" applyFont="1" applyBorder="1" applyAlignment="1">
      <alignment vertical="center"/>
    </xf>
    <xf numFmtId="0" fontId="59" fillId="0" borderId="127" xfId="0" applyFont="1" applyBorder="1" applyAlignment="1">
      <alignment vertical="center"/>
    </xf>
    <xf numFmtId="0" fontId="0" fillId="0" borderId="142" xfId="0" applyBorder="1" applyAlignment="1">
      <alignment wrapText="1"/>
    </xf>
    <xf numFmtId="4" fontId="0" fillId="0" borderId="142" xfId="0" applyNumberFormat="1" applyBorder="1"/>
    <xf numFmtId="167" fontId="11" fillId="0" borderId="142" xfId="0" applyNumberFormat="1" applyFont="1" applyBorder="1" applyAlignment="1">
      <alignment horizontal="center"/>
    </xf>
    <xf numFmtId="167" fontId="11" fillId="0" borderId="142" xfId="0" applyNumberFormat="1" applyFont="1" applyBorder="1" applyAlignment="1">
      <alignment horizontal="center" vertical="center"/>
    </xf>
    <xf numFmtId="0" fontId="11" fillId="0" borderId="142" xfId="0" applyFont="1" applyBorder="1" applyAlignment="1">
      <alignment horizontal="center"/>
    </xf>
    <xf numFmtId="167" fontId="11" fillId="0" borderId="128" xfId="0" applyNumberFormat="1" applyFont="1" applyBorder="1" applyAlignment="1">
      <alignment horizontal="center"/>
    </xf>
    <xf numFmtId="0" fontId="0" fillId="0" borderId="147" xfId="0" applyBorder="1" applyAlignment="1"/>
    <xf numFmtId="0" fontId="11" fillId="0" borderId="151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/>
    </xf>
    <xf numFmtId="167" fontId="12" fillId="0" borderId="147" xfId="0" applyNumberFormat="1" applyFont="1" applyBorder="1" applyAlignment="1">
      <alignment horizontal="center"/>
    </xf>
    <xf numFmtId="167" fontId="11" fillId="0" borderId="147" xfId="0" applyNumberFormat="1" applyFont="1" applyBorder="1" applyAlignment="1">
      <alignment horizontal="center"/>
    </xf>
    <xf numFmtId="167" fontId="11" fillId="0" borderId="99" xfId="0" applyNumberFormat="1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143" xfId="0" applyFont="1" applyBorder="1" applyAlignment="1">
      <alignment horizontal="center"/>
    </xf>
    <xf numFmtId="0" fontId="11" fillId="0" borderId="143" xfId="0" applyFont="1" applyBorder="1" applyAlignment="1">
      <alignment horizontal="center" vertical="center"/>
    </xf>
    <xf numFmtId="167" fontId="11" fillId="0" borderId="143" xfId="0" applyNumberFormat="1" applyFont="1" applyBorder="1" applyAlignment="1">
      <alignment horizontal="center" vertical="center" wrapText="1"/>
    </xf>
    <xf numFmtId="0" fontId="11" fillId="0" borderId="109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58" fillId="0" borderId="128" xfId="0" applyFont="1" applyBorder="1" applyAlignment="1">
      <alignment horizontal="center" vertical="center" wrapText="1"/>
    </xf>
    <xf numFmtId="0" fontId="58" fillId="0" borderId="128" xfId="0" applyFont="1" applyBorder="1" applyAlignment="1">
      <alignment horizontal="center" vertical="center" wrapText="1"/>
    </xf>
    <xf numFmtId="176" fontId="80" fillId="0" borderId="31" xfId="0" applyNumberFormat="1" applyFont="1" applyBorder="1" applyAlignment="1">
      <alignment vertical="center"/>
    </xf>
    <xf numFmtId="176" fontId="80" fillId="0" borderId="36" xfId="0" applyNumberFormat="1" applyFont="1" applyBorder="1" applyAlignment="1">
      <alignment vertical="center"/>
    </xf>
    <xf numFmtId="176" fontId="80" fillId="0" borderId="17" xfId="0" applyNumberFormat="1" applyFont="1" applyBorder="1" applyAlignment="1">
      <alignment vertical="center"/>
    </xf>
    <xf numFmtId="176" fontId="80" fillId="0" borderId="18" xfId="0" applyNumberFormat="1" applyFont="1" applyBorder="1" applyAlignment="1">
      <alignment vertical="center"/>
    </xf>
    <xf numFmtId="176" fontId="80" fillId="0" borderId="16" xfId="0" applyNumberFormat="1" applyFont="1" applyBorder="1" applyAlignment="1">
      <alignment vertical="center"/>
    </xf>
    <xf numFmtId="176" fontId="80" fillId="0" borderId="71" xfId="0" applyNumberFormat="1" applyFont="1" applyBorder="1" applyAlignment="1">
      <alignment vertical="center"/>
    </xf>
    <xf numFmtId="176" fontId="15" fillId="0" borderId="16" xfId="0" applyNumberFormat="1" applyFont="1" applyBorder="1" applyAlignment="1">
      <alignment horizontal="right" vertical="center"/>
    </xf>
    <xf numFmtId="176" fontId="81" fillId="0" borderId="17" xfId="0" applyNumberFormat="1" applyFont="1" applyBorder="1" applyAlignment="1">
      <alignment horizontal="right" vertical="center"/>
    </xf>
    <xf numFmtId="176" fontId="15" fillId="0" borderId="17" xfId="0" applyNumberFormat="1" applyFont="1" applyBorder="1" applyAlignment="1">
      <alignment horizontal="right" vertical="center"/>
    </xf>
    <xf numFmtId="176" fontId="15" fillId="0" borderId="27" xfId="0" applyNumberFormat="1" applyFont="1" applyBorder="1" applyAlignment="1">
      <alignment horizontal="right" vertical="center"/>
    </xf>
    <xf numFmtId="176" fontId="15" fillId="0" borderId="18" xfId="0" applyNumberFormat="1" applyFont="1" applyFill="1" applyBorder="1" applyAlignment="1">
      <alignment horizontal="right" vertical="center"/>
    </xf>
    <xf numFmtId="176" fontId="15" fillId="0" borderId="18" xfId="0" applyNumberFormat="1" applyFont="1" applyBorder="1" applyAlignment="1">
      <alignment horizontal="right" vertical="center"/>
    </xf>
    <xf numFmtId="176" fontId="80" fillId="0" borderId="91" xfId="0" applyNumberFormat="1" applyFont="1" applyBorder="1" applyAlignment="1">
      <alignment vertical="center"/>
    </xf>
    <xf numFmtId="176" fontId="80" fillId="0" borderId="147" xfId="0" applyNumberFormat="1" applyFont="1" applyBorder="1" applyAlignment="1">
      <alignment vertical="center"/>
    </xf>
    <xf numFmtId="176" fontId="80" fillId="0" borderId="142" xfId="0" applyNumberFormat="1" applyFont="1" applyBorder="1" applyAlignment="1">
      <alignment vertical="center"/>
    </xf>
    <xf numFmtId="176" fontId="80" fillId="0" borderId="127" xfId="0" applyNumberFormat="1" applyFont="1" applyBorder="1" applyAlignment="1">
      <alignment vertical="center"/>
    </xf>
    <xf numFmtId="176" fontId="80" fillId="0" borderId="130" xfId="0" applyNumberFormat="1" applyFont="1" applyBorder="1" applyAlignment="1">
      <alignment vertical="center"/>
    </xf>
    <xf numFmtId="176" fontId="58" fillId="0" borderId="20" xfId="0" applyNumberFormat="1" applyFont="1" applyFill="1" applyBorder="1" applyAlignment="1">
      <alignment horizontal="right" vertical="center"/>
    </xf>
    <xf numFmtId="176" fontId="15" fillId="0" borderId="20" xfId="0" applyNumberFormat="1" applyFont="1" applyFill="1" applyBorder="1" applyAlignment="1">
      <alignment horizontal="right" vertical="center"/>
    </xf>
    <xf numFmtId="176" fontId="58" fillId="0" borderId="91" xfId="0" applyNumberFormat="1" applyFont="1" applyBorder="1" applyAlignment="1">
      <alignment vertical="center"/>
    </xf>
    <xf numFmtId="176" fontId="58" fillId="0" borderId="147" xfId="0" applyNumberFormat="1" applyFont="1" applyBorder="1" applyAlignment="1">
      <alignment vertical="center"/>
    </xf>
    <xf numFmtId="176" fontId="58" fillId="0" borderId="142" xfId="0" applyNumberFormat="1" applyFont="1" applyBorder="1" applyAlignment="1">
      <alignment vertical="center"/>
    </xf>
    <xf numFmtId="176" fontId="58" fillId="0" borderId="127" xfId="0" applyNumberFormat="1" applyFont="1" applyBorder="1" applyAlignment="1">
      <alignment vertical="center"/>
    </xf>
    <xf numFmtId="176" fontId="58" fillId="0" borderId="130" xfId="0" applyNumberFormat="1" applyFont="1" applyBorder="1" applyAlignment="1">
      <alignment vertical="center"/>
    </xf>
    <xf numFmtId="176" fontId="15" fillId="0" borderId="91" xfId="0" applyNumberFormat="1" applyFont="1" applyBorder="1" applyAlignment="1">
      <alignment vertical="center"/>
    </xf>
    <xf numFmtId="176" fontId="15" fillId="0" borderId="147" xfId="0" applyNumberFormat="1" applyFont="1" applyBorder="1" applyAlignment="1">
      <alignment vertical="center"/>
    </xf>
    <xf numFmtId="176" fontId="15" fillId="0" borderId="142" xfId="0" applyNumberFormat="1" applyFont="1" applyBorder="1" applyAlignment="1">
      <alignment vertical="center"/>
    </xf>
    <xf numFmtId="176" fontId="15" fillId="0" borderId="127" xfId="0" applyNumberFormat="1" applyFont="1" applyBorder="1" applyAlignment="1">
      <alignment vertical="center"/>
    </xf>
    <xf numFmtId="176" fontId="15" fillId="0" borderId="130" xfId="0" applyNumberFormat="1" applyFont="1" applyBorder="1" applyAlignment="1">
      <alignment vertical="center"/>
    </xf>
    <xf numFmtId="176" fontId="58" fillId="0" borderId="95" xfId="0" applyNumberFormat="1" applyFont="1" applyBorder="1" applyAlignment="1">
      <alignment vertical="center"/>
    </xf>
    <xf numFmtId="176" fontId="58" fillId="0" borderId="151" xfId="0" applyNumberFormat="1" applyFont="1" applyBorder="1" applyAlignment="1">
      <alignment vertical="center"/>
    </xf>
    <xf numFmtId="176" fontId="58" fillId="0" borderId="141" xfId="0" applyNumberFormat="1" applyFont="1" applyBorder="1" applyAlignment="1">
      <alignment vertical="center"/>
    </xf>
    <xf numFmtId="176" fontId="58" fillId="0" borderId="88" xfId="0" applyNumberFormat="1" applyFont="1" applyFill="1" applyBorder="1" applyAlignment="1">
      <alignment horizontal="right" vertical="center"/>
    </xf>
    <xf numFmtId="176" fontId="58" fillId="0" borderId="99" xfId="0" applyNumberFormat="1" applyFont="1" applyBorder="1" applyAlignment="1">
      <alignment vertical="center"/>
    </xf>
    <xf numFmtId="176" fontId="58" fillId="0" borderId="128" xfId="0" applyNumberFormat="1" applyFont="1" applyBorder="1" applyAlignment="1">
      <alignment vertical="center"/>
    </xf>
    <xf numFmtId="176" fontId="58" fillId="0" borderId="23" xfId="0" applyNumberFormat="1" applyFont="1" applyBorder="1" applyAlignment="1">
      <alignment vertical="center"/>
    </xf>
    <xf numFmtId="176" fontId="58" fillId="0" borderId="21" xfId="0" applyNumberFormat="1" applyFont="1" applyBorder="1" applyAlignment="1">
      <alignment vertical="center"/>
    </xf>
    <xf numFmtId="176" fontId="58" fillId="0" borderId="21" xfId="0" applyNumberFormat="1" applyFont="1" applyBorder="1" applyAlignment="1">
      <alignment horizontal="right" vertical="center"/>
    </xf>
    <xf numFmtId="176" fontId="58" fillId="0" borderId="128" xfId="0" applyNumberFormat="1" applyFont="1" applyBorder="1" applyAlignment="1">
      <alignment horizontal="right" vertical="center"/>
    </xf>
    <xf numFmtId="176" fontId="58" fillId="0" borderId="23" xfId="0" applyNumberFormat="1" applyFont="1" applyFill="1" applyBorder="1" applyAlignment="1">
      <alignment horizontal="right" vertical="center"/>
    </xf>
    <xf numFmtId="176" fontId="58" fillId="0" borderId="23" xfId="0" applyNumberFormat="1" applyFont="1" applyBorder="1" applyAlignment="1">
      <alignment horizontal="right" vertical="center"/>
    </xf>
    <xf numFmtId="176" fontId="58" fillId="0" borderId="130" xfId="0" applyNumberFormat="1" applyFont="1" applyFill="1" applyBorder="1" applyAlignment="1">
      <alignment horizontal="right" vertical="center"/>
    </xf>
    <xf numFmtId="176" fontId="15" fillId="0" borderId="152" xfId="0" applyNumberFormat="1" applyFont="1" applyFill="1" applyBorder="1" applyAlignment="1">
      <alignment horizontal="right" vertical="center"/>
    </xf>
    <xf numFmtId="176" fontId="15" fillId="0" borderId="153" xfId="0" applyNumberFormat="1" applyFont="1" applyFill="1" applyBorder="1" applyAlignment="1">
      <alignment horizontal="right" vertical="center"/>
    </xf>
    <xf numFmtId="176" fontId="58" fillId="0" borderId="127" xfId="0" applyNumberFormat="1" applyFont="1" applyBorder="1" applyAlignment="1">
      <alignment horizontal="right" vertical="center"/>
    </xf>
    <xf numFmtId="176" fontId="58" fillId="0" borderId="152" xfId="0" applyNumberFormat="1" applyFont="1" applyFill="1" applyBorder="1" applyAlignment="1">
      <alignment horizontal="right" vertical="center"/>
    </xf>
    <xf numFmtId="176" fontId="58" fillId="0" borderId="153" xfId="0" applyNumberFormat="1" applyFont="1" applyFill="1" applyBorder="1" applyAlignment="1">
      <alignment horizontal="right" vertical="center"/>
    </xf>
    <xf numFmtId="10" fontId="59" fillId="0" borderId="127" xfId="85" applyNumberFormat="1" applyFont="1" applyFill="1" applyBorder="1" applyAlignment="1">
      <alignment horizontal="right" vertical="center"/>
    </xf>
    <xf numFmtId="4" fontId="58" fillId="0" borderId="127" xfId="0" applyNumberFormat="1" applyFont="1" applyBorder="1" applyAlignment="1">
      <alignment horizontal="right" vertical="center"/>
    </xf>
    <xf numFmtId="176" fontId="15" fillId="0" borderId="130" xfId="0" applyNumberFormat="1" applyFont="1" applyFill="1" applyBorder="1" applyAlignment="1">
      <alignment horizontal="right" vertical="center"/>
    </xf>
    <xf numFmtId="176" fontId="15" fillId="0" borderId="127" xfId="0" applyNumberFormat="1" applyFont="1" applyBorder="1" applyAlignment="1">
      <alignment horizontal="right" vertical="center"/>
    </xf>
    <xf numFmtId="176" fontId="58" fillId="0" borderId="154" xfId="0" applyNumberFormat="1" applyFont="1" applyFill="1" applyBorder="1" applyAlignment="1">
      <alignment horizontal="right" vertical="center"/>
    </xf>
    <xf numFmtId="176" fontId="99" fillId="0" borderId="155" xfId="0" applyNumberFormat="1" applyFont="1" applyFill="1" applyBorder="1" applyAlignment="1">
      <alignment horizontal="right" vertical="center"/>
    </xf>
    <xf numFmtId="176" fontId="58" fillId="0" borderId="156" xfId="0" applyNumberFormat="1" applyFont="1" applyFill="1" applyBorder="1" applyAlignment="1">
      <alignment horizontal="right" vertical="center"/>
    </xf>
    <xf numFmtId="176" fontId="58" fillId="0" borderId="157" xfId="0" applyNumberFormat="1" applyFont="1" applyBorder="1" applyAlignment="1">
      <alignment horizontal="right" vertical="center"/>
    </xf>
    <xf numFmtId="176" fontId="58" fillId="0" borderId="130" xfId="0" applyNumberFormat="1" applyFont="1" applyBorder="1" applyAlignment="1">
      <alignment horizontal="right" vertical="center"/>
    </xf>
    <xf numFmtId="176" fontId="58" fillId="0" borderId="152" xfId="0" applyNumberFormat="1" applyFont="1" applyBorder="1" applyAlignment="1">
      <alignment horizontal="right" vertical="center"/>
    </xf>
    <xf numFmtId="176" fontId="58" fillId="0" borderId="156" xfId="0" applyNumberFormat="1" applyFont="1" applyBorder="1" applyAlignment="1">
      <alignment horizontal="right" vertical="center"/>
    </xf>
    <xf numFmtId="10" fontId="59" fillId="0" borderId="111" xfId="85" applyNumberFormat="1" applyFont="1" applyFill="1" applyBorder="1" applyAlignment="1">
      <alignment horizontal="right" vertical="center"/>
    </xf>
    <xf numFmtId="10" fontId="59" fillId="0" borderId="153" xfId="85" applyNumberFormat="1" applyFont="1" applyFill="1" applyBorder="1" applyAlignment="1">
      <alignment horizontal="right" vertical="center"/>
    </xf>
    <xf numFmtId="176" fontId="59" fillId="0" borderId="152" xfId="85" applyNumberFormat="1" applyFont="1" applyFill="1" applyBorder="1" applyAlignment="1">
      <alignment horizontal="right" vertical="center"/>
    </xf>
    <xf numFmtId="0" fontId="59" fillId="0" borderId="158" xfId="0" applyFont="1" applyBorder="1" applyAlignment="1">
      <alignment vertical="center" wrapText="1"/>
    </xf>
    <xf numFmtId="176" fontId="58" fillId="0" borderId="159" xfId="0" applyNumberFormat="1" applyFont="1" applyBorder="1" applyAlignment="1">
      <alignment vertical="center"/>
    </xf>
    <xf numFmtId="176" fontId="58" fillId="0" borderId="160" xfId="0" applyNumberFormat="1" applyFont="1" applyBorder="1" applyAlignment="1">
      <alignment vertical="center"/>
    </xf>
    <xf numFmtId="176" fontId="58" fillId="0" borderId="155" xfId="0" applyNumberFormat="1" applyFont="1" applyBorder="1" applyAlignment="1">
      <alignment vertical="center"/>
    </xf>
    <xf numFmtId="176" fontId="58" fillId="0" borderId="157" xfId="0" applyNumberFormat="1" applyFont="1" applyBorder="1" applyAlignment="1">
      <alignment vertical="center"/>
    </xf>
    <xf numFmtId="176" fontId="58" fillId="0" borderId="154" xfId="0" applyNumberFormat="1" applyFont="1" applyBorder="1" applyAlignment="1">
      <alignment vertical="center"/>
    </xf>
    <xf numFmtId="176" fontId="58" fillId="0" borderId="154" xfId="0" applyNumberFormat="1" applyFont="1" applyBorder="1" applyAlignment="1">
      <alignment horizontal="right" vertical="center"/>
    </xf>
    <xf numFmtId="176" fontId="58" fillId="0" borderId="155" xfId="0" applyNumberFormat="1" applyFont="1" applyBorder="1" applyAlignment="1">
      <alignment horizontal="right" vertical="center"/>
    </xf>
    <xf numFmtId="176" fontId="58" fillId="0" borderId="157" xfId="0" applyNumberFormat="1" applyFont="1" applyFill="1" applyBorder="1" applyAlignment="1">
      <alignment horizontal="right" vertical="center"/>
    </xf>
    <xf numFmtId="176" fontId="58" fillId="0" borderId="152" xfId="0" applyNumberFormat="1" applyFont="1" applyBorder="1" applyAlignment="1">
      <alignment vertical="center"/>
    </xf>
    <xf numFmtId="176" fontId="58" fillId="0" borderId="17" xfId="0" applyNumberFormat="1" applyFont="1" applyBorder="1" applyAlignment="1">
      <alignment vertical="center"/>
    </xf>
    <xf numFmtId="176" fontId="58" fillId="0" borderId="17" xfId="0" applyNumberFormat="1" applyFont="1" applyBorder="1" applyAlignment="1">
      <alignment horizontal="right" vertical="center"/>
    </xf>
    <xf numFmtId="176" fontId="58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27" xfId="0" applyBorder="1" applyAlignment="1">
      <alignment horizontal="left" vertical="center" wrapText="1"/>
    </xf>
    <xf numFmtId="176" fontId="58" fillId="0" borderId="128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59" fillId="0" borderId="73" xfId="0" applyFont="1" applyBorder="1" applyAlignment="1">
      <alignment vertical="center" wrapText="1"/>
    </xf>
    <xf numFmtId="0" fontId="59" fillId="0" borderId="111" xfId="0" applyFont="1" applyBorder="1" applyAlignment="1">
      <alignment vertical="center" wrapText="1"/>
    </xf>
    <xf numFmtId="0" fontId="59" fillId="0" borderId="42" xfId="0" applyFont="1" applyBorder="1" applyAlignment="1">
      <alignment vertical="center" wrapText="1"/>
    </xf>
    <xf numFmtId="176" fontId="58" fillId="0" borderId="30" xfId="0" applyNumberFormat="1" applyFont="1" applyBorder="1" applyAlignment="1">
      <alignment vertical="center"/>
    </xf>
    <xf numFmtId="176" fontId="58" fillId="0" borderId="163" xfId="0" applyNumberFormat="1" applyFont="1" applyBorder="1" applyAlignment="1">
      <alignment vertical="center"/>
    </xf>
    <xf numFmtId="176" fontId="58" fillId="0" borderId="101" xfId="0" applyNumberFormat="1" applyFont="1" applyBorder="1" applyAlignment="1">
      <alignment vertical="center"/>
    </xf>
    <xf numFmtId="176" fontId="58" fillId="0" borderId="16" xfId="0" applyNumberFormat="1" applyFont="1" applyBorder="1" applyAlignment="1">
      <alignment vertical="center"/>
    </xf>
    <xf numFmtId="176" fontId="58" fillId="0" borderId="18" xfId="0" applyNumberFormat="1" applyFont="1" applyBorder="1" applyAlignment="1">
      <alignment vertical="center"/>
    </xf>
    <xf numFmtId="176" fontId="58" fillId="0" borderId="27" xfId="0" applyNumberFormat="1" applyFont="1" applyBorder="1" applyAlignment="1">
      <alignment vertical="center"/>
    </xf>
    <xf numFmtId="176" fontId="58" fillId="0" borderId="153" xfId="0" applyNumberFormat="1" applyFont="1" applyBorder="1" applyAlignment="1">
      <alignment vertical="center"/>
    </xf>
    <xf numFmtId="176" fontId="58" fillId="0" borderId="109" xfId="0" applyNumberFormat="1" applyFont="1" applyBorder="1" applyAlignment="1">
      <alignment vertical="center"/>
    </xf>
    <xf numFmtId="176" fontId="58" fillId="0" borderId="30" xfId="0" applyNumberFormat="1" applyFont="1" applyBorder="1" applyAlignment="1">
      <alignment horizontal="right" vertical="center"/>
    </xf>
    <xf numFmtId="176" fontId="58" fillId="0" borderId="163" xfId="0" applyNumberFormat="1" applyFont="1" applyBorder="1" applyAlignment="1">
      <alignment horizontal="right" vertical="center"/>
    </xf>
    <xf numFmtId="176" fontId="58" fillId="0" borderId="101" xfId="0" applyNumberFormat="1" applyFont="1" applyBorder="1" applyAlignment="1">
      <alignment horizontal="right" vertical="center"/>
    </xf>
    <xf numFmtId="176" fontId="58" fillId="0" borderId="27" xfId="0" applyNumberFormat="1" applyFont="1" applyFill="1" applyBorder="1" applyAlignment="1">
      <alignment horizontal="right" vertical="center"/>
    </xf>
    <xf numFmtId="176" fontId="58" fillId="0" borderId="109" xfId="0" applyNumberFormat="1" applyFont="1" applyFill="1" applyBorder="1" applyAlignment="1">
      <alignment horizontal="right" vertical="center"/>
    </xf>
    <xf numFmtId="176" fontId="58" fillId="0" borderId="16" xfId="0" applyNumberFormat="1" applyFont="1" applyBorder="1" applyAlignment="1">
      <alignment horizontal="right" vertical="center"/>
    </xf>
    <xf numFmtId="176" fontId="58" fillId="0" borderId="18" xfId="0" applyNumberFormat="1" applyFont="1" applyBorder="1" applyAlignment="1">
      <alignment horizontal="right" vertical="center"/>
    </xf>
    <xf numFmtId="176" fontId="58" fillId="0" borderId="27" xfId="0" applyNumberFormat="1" applyFont="1" applyBorder="1" applyAlignment="1">
      <alignment horizontal="right" vertical="center"/>
    </xf>
    <xf numFmtId="176" fontId="58" fillId="0" borderId="153" xfId="0" applyNumberFormat="1" applyFont="1" applyBorder="1" applyAlignment="1">
      <alignment horizontal="right" vertical="center"/>
    </xf>
    <xf numFmtId="0" fontId="11" fillId="0" borderId="16" xfId="0" applyFont="1" applyBorder="1" applyAlignment="1">
      <alignment horizontal="left" vertical="center" wrapText="1"/>
    </xf>
    <xf numFmtId="0" fontId="11" fillId="0" borderId="130" xfId="0" applyFont="1" applyBorder="1" applyAlignment="1">
      <alignment horizontal="left" vertical="center" wrapText="1"/>
    </xf>
    <xf numFmtId="0" fontId="11" fillId="0" borderId="155" xfId="0" applyFont="1" applyBorder="1" applyAlignment="1">
      <alignment horizontal="center" vertical="center" wrapText="1"/>
    </xf>
    <xf numFmtId="167" fontId="12" fillId="0" borderId="152" xfId="0" applyNumberFormat="1" applyFont="1" applyBorder="1" applyAlignment="1">
      <alignment horizontal="center"/>
    </xf>
    <xf numFmtId="176" fontId="15" fillId="0" borderId="30" xfId="0" applyNumberFormat="1" applyFont="1" applyFill="1" applyBorder="1" applyAlignment="1">
      <alignment horizontal="right" vertical="center"/>
    </xf>
    <xf numFmtId="176" fontId="58" fillId="0" borderId="163" xfId="0" applyNumberFormat="1" applyFont="1" applyFill="1" applyBorder="1" applyAlignment="1">
      <alignment horizontal="right" vertical="center"/>
    </xf>
    <xf numFmtId="10" fontId="59" fillId="0" borderId="164" xfId="85" applyNumberFormat="1" applyFont="1" applyFill="1" applyBorder="1" applyAlignment="1">
      <alignment horizontal="right" vertical="center"/>
    </xf>
    <xf numFmtId="176" fontId="15" fillId="0" borderId="163" xfId="0" applyNumberFormat="1" applyFont="1" applyFill="1" applyBorder="1" applyAlignment="1">
      <alignment horizontal="right" vertical="center"/>
    </xf>
    <xf numFmtId="10" fontId="59" fillId="0" borderId="152" xfId="85" applyNumberFormat="1" applyFont="1" applyBorder="1" applyAlignment="1">
      <alignment horizontal="right" vertical="center"/>
    </xf>
    <xf numFmtId="176" fontId="58" fillId="0" borderId="159" xfId="0" applyNumberFormat="1" applyFont="1" applyFill="1" applyBorder="1" applyAlignment="1">
      <alignment horizontal="right" vertical="center"/>
    </xf>
    <xf numFmtId="176" fontId="58" fillId="0" borderId="160" xfId="0" applyNumberFormat="1" applyFont="1" applyBorder="1" applyAlignment="1">
      <alignment horizontal="right" vertical="center"/>
    </xf>
    <xf numFmtId="0" fontId="0" fillId="0" borderId="152" xfId="0" applyBorder="1"/>
    <xf numFmtId="0" fontId="0" fillId="0" borderId="163" xfId="0" applyBorder="1" applyAlignment="1">
      <alignment horizontal="center"/>
    </xf>
    <xf numFmtId="10" fontId="59" fillId="0" borderId="130" xfId="85" applyNumberFormat="1" applyFont="1" applyBorder="1" applyAlignment="1">
      <alignment horizontal="right" vertical="center"/>
    </xf>
    <xf numFmtId="176" fontId="58" fillId="0" borderId="99" xfId="0" applyNumberFormat="1" applyFont="1" applyBorder="1" applyAlignment="1">
      <alignment horizontal="right" vertical="center"/>
    </xf>
    <xf numFmtId="176" fontId="58" fillId="0" borderId="111" xfId="0" applyNumberFormat="1" applyFont="1" applyBorder="1" applyAlignment="1">
      <alignment horizontal="right" vertical="center"/>
    </xf>
    <xf numFmtId="10" fontId="59" fillId="0" borderId="153" xfId="85" applyNumberFormat="1" applyFont="1" applyBorder="1" applyAlignment="1">
      <alignment horizontal="right" vertical="center"/>
    </xf>
    <xf numFmtId="10" fontId="59" fillId="0" borderId="163" xfId="85" applyNumberFormat="1" applyFont="1" applyFill="1" applyBorder="1" applyAlignment="1">
      <alignment horizontal="right" vertical="center"/>
    </xf>
    <xf numFmtId="4" fontId="59" fillId="0" borderId="163" xfId="0" applyNumberFormat="1" applyFont="1" applyFill="1" applyBorder="1" applyAlignment="1">
      <alignment horizontal="right" vertical="center" wrapText="1"/>
    </xf>
    <xf numFmtId="10" fontId="59" fillId="0" borderId="127" xfId="85" applyNumberFormat="1" applyFont="1" applyBorder="1" applyAlignment="1">
      <alignment horizontal="right" vertical="center"/>
    </xf>
    <xf numFmtId="176" fontId="15" fillId="0" borderId="130" xfId="0" applyNumberFormat="1" applyFont="1" applyBorder="1" applyAlignment="1">
      <alignment horizontal="right" vertical="center"/>
    </xf>
    <xf numFmtId="176" fontId="81" fillId="0" borderId="27" xfId="0" applyNumberFormat="1" applyFont="1" applyBorder="1" applyAlignment="1">
      <alignment horizontal="right" vertical="center"/>
    </xf>
    <xf numFmtId="176" fontId="59" fillId="0" borderId="153" xfId="0" applyNumberFormat="1" applyFont="1" applyBorder="1" applyAlignment="1">
      <alignment horizontal="right" vertical="center"/>
    </xf>
    <xf numFmtId="4" fontId="59" fillId="0" borderId="153" xfId="0" applyNumberFormat="1" applyFont="1" applyBorder="1" applyAlignment="1">
      <alignment horizontal="right" vertical="center"/>
    </xf>
    <xf numFmtId="176" fontId="81" fillId="0" borderId="153" xfId="0" applyNumberFormat="1" applyFont="1" applyBorder="1" applyAlignment="1">
      <alignment horizontal="right" vertical="center"/>
    </xf>
    <xf numFmtId="176" fontId="15" fillId="0" borderId="71" xfId="0" applyNumberFormat="1" applyFont="1" applyBorder="1" applyAlignment="1">
      <alignment horizontal="right" vertical="center"/>
    </xf>
    <xf numFmtId="176" fontId="58" fillId="0" borderId="164" xfId="0" applyNumberFormat="1" applyFont="1" applyBorder="1" applyAlignment="1">
      <alignment horizontal="right" vertical="center"/>
    </xf>
    <xf numFmtId="10" fontId="59" fillId="0" borderId="164" xfId="85" applyNumberFormat="1" applyFont="1" applyBorder="1" applyAlignment="1">
      <alignment horizontal="right" vertical="center"/>
    </xf>
    <xf numFmtId="176" fontId="15" fillId="0" borderId="164" xfId="0" applyNumberFormat="1" applyFont="1" applyBorder="1" applyAlignment="1">
      <alignment horizontal="right" vertical="center"/>
    </xf>
    <xf numFmtId="176" fontId="15" fillId="0" borderId="153" xfId="0" applyNumberFormat="1" applyFont="1" applyBorder="1" applyAlignment="1">
      <alignment horizontal="right" vertical="center"/>
    </xf>
    <xf numFmtId="176" fontId="58" fillId="0" borderId="127" xfId="0" applyNumberFormat="1" applyFont="1" applyFill="1" applyBorder="1" applyAlignment="1">
      <alignment horizontal="right" vertical="center"/>
    </xf>
    <xf numFmtId="176" fontId="15" fillId="0" borderId="152" xfId="0" applyNumberFormat="1" applyFont="1" applyBorder="1" applyAlignment="1">
      <alignment horizontal="right" vertical="center"/>
    </xf>
    <xf numFmtId="176" fontId="15" fillId="0" borderId="127" xfId="0" applyNumberFormat="1" applyFont="1" applyFill="1" applyBorder="1" applyAlignment="1">
      <alignment horizontal="right" vertical="center"/>
    </xf>
    <xf numFmtId="176" fontId="80" fillId="0" borderId="27" xfId="0" applyNumberFormat="1" applyFont="1" applyBorder="1" applyAlignment="1">
      <alignment vertical="center"/>
    </xf>
    <xf numFmtId="176" fontId="80" fillId="0" borderId="153" xfId="0" applyNumberFormat="1" applyFont="1" applyBorder="1" applyAlignment="1">
      <alignment vertical="center"/>
    </xf>
    <xf numFmtId="0" fontId="59" fillId="0" borderId="153" xfId="0" applyFont="1" applyBorder="1" applyAlignment="1">
      <alignment vertical="center"/>
    </xf>
    <xf numFmtId="176" fontId="15" fillId="0" borderId="153" xfId="0" applyNumberFormat="1" applyFont="1" applyBorder="1" applyAlignment="1">
      <alignment vertical="center"/>
    </xf>
    <xf numFmtId="176" fontId="58" fillId="0" borderId="156" xfId="0" applyNumberFormat="1" applyFont="1" applyBorder="1" applyAlignment="1">
      <alignment vertical="center"/>
    </xf>
    <xf numFmtId="176" fontId="15" fillId="0" borderId="30" xfId="0" applyNumberFormat="1" applyFont="1" applyBorder="1" applyAlignment="1">
      <alignment horizontal="right" vertical="center"/>
    </xf>
    <xf numFmtId="10" fontId="59" fillId="0" borderId="163" xfId="85" applyNumberFormat="1" applyFont="1" applyBorder="1" applyAlignment="1">
      <alignment horizontal="right" vertical="center"/>
    </xf>
    <xf numFmtId="176" fontId="15" fillId="0" borderId="163" xfId="0" applyNumberFormat="1" applyFont="1" applyBorder="1" applyAlignment="1">
      <alignment horizontal="right" vertical="center"/>
    </xf>
    <xf numFmtId="176" fontId="58" fillId="0" borderId="159" xfId="0" applyNumberFormat="1" applyFont="1" applyBorder="1" applyAlignment="1">
      <alignment horizontal="right" vertical="center"/>
    </xf>
    <xf numFmtId="176" fontId="80" fillId="0" borderId="164" xfId="0" applyNumberFormat="1" applyFont="1" applyBorder="1" applyAlignment="1">
      <alignment vertical="center"/>
    </xf>
    <xf numFmtId="176" fontId="80" fillId="0" borderId="152" xfId="0" applyNumberFormat="1" applyFont="1" applyBorder="1" applyAlignment="1">
      <alignment vertical="center"/>
    </xf>
    <xf numFmtId="176" fontId="58" fillId="0" borderId="164" xfId="0" applyNumberFormat="1" applyFont="1" applyBorder="1" applyAlignment="1">
      <alignment vertical="center"/>
    </xf>
    <xf numFmtId="176" fontId="15" fillId="0" borderId="164" xfId="0" applyNumberFormat="1" applyFont="1" applyBorder="1" applyAlignment="1">
      <alignment vertical="center"/>
    </xf>
    <xf numFmtId="176" fontId="15" fillId="0" borderId="152" xfId="0" applyNumberFormat="1" applyFont="1" applyBorder="1" applyAlignment="1">
      <alignment vertical="center"/>
    </xf>
    <xf numFmtId="0" fontId="59" fillId="0" borderId="164" xfId="0" applyFont="1" applyBorder="1" applyAlignment="1">
      <alignment vertical="center"/>
    </xf>
    <xf numFmtId="10" fontId="15" fillId="0" borderId="127" xfId="85" applyNumberFormat="1" applyFont="1" applyBorder="1" applyAlignment="1">
      <alignment horizontal="right" vertical="center"/>
    </xf>
    <xf numFmtId="176" fontId="58" fillId="0" borderId="73" xfId="0" applyNumberFormat="1" applyFont="1" applyBorder="1" applyAlignment="1">
      <alignment horizontal="right" vertical="center"/>
    </xf>
    <xf numFmtId="176" fontId="58" fillId="0" borderId="42" xfId="0" applyNumberFormat="1" applyFont="1" applyBorder="1" applyAlignment="1">
      <alignment horizontal="right" vertical="center"/>
    </xf>
    <xf numFmtId="176" fontId="81" fillId="0" borderId="152" xfId="0" applyNumberFormat="1" applyFont="1" applyBorder="1" applyAlignment="1">
      <alignment horizontal="right" vertical="center"/>
    </xf>
    <xf numFmtId="176" fontId="59" fillId="0" borderId="152" xfId="0" applyNumberFormat="1" applyFont="1" applyBorder="1" applyAlignment="1">
      <alignment horizontal="right" vertical="center"/>
    </xf>
    <xf numFmtId="176" fontId="59" fillId="0" borderId="128" xfId="0" applyNumberFormat="1" applyFont="1" applyBorder="1" applyAlignment="1">
      <alignment horizontal="right" vertical="center"/>
    </xf>
    <xf numFmtId="0" fontId="15" fillId="0" borderId="131" xfId="0" applyFont="1" applyBorder="1" applyAlignment="1">
      <alignment vertical="center" wrapText="1"/>
    </xf>
    <xf numFmtId="0" fontId="58" fillId="0" borderId="131" xfId="0" applyFont="1" applyBorder="1" applyAlignment="1">
      <alignment vertical="center" wrapText="1"/>
    </xf>
    <xf numFmtId="176" fontId="58" fillId="0" borderId="101" xfId="0" applyNumberFormat="1" applyFont="1" applyFill="1" applyBorder="1" applyAlignment="1">
      <alignment horizontal="right" vertical="center"/>
    </xf>
    <xf numFmtId="176" fontId="15" fillId="0" borderId="27" xfId="0" applyNumberFormat="1" applyFont="1" applyFill="1" applyBorder="1" applyAlignment="1">
      <alignment horizontal="right" vertical="center"/>
    </xf>
    <xf numFmtId="4" fontId="15" fillId="0" borderId="36" xfId="0" applyNumberFormat="1" applyFont="1" applyFill="1" applyBorder="1" applyAlignment="1">
      <alignment horizontal="center" vertical="center"/>
    </xf>
    <xf numFmtId="4" fontId="58" fillId="0" borderId="98" xfId="0" applyNumberFormat="1" applyFont="1" applyFill="1" applyBorder="1" applyAlignment="1">
      <alignment horizontal="center" vertical="center"/>
    </xf>
    <xf numFmtId="4" fontId="59" fillId="0" borderId="105" xfId="85" applyNumberFormat="1" applyFont="1" applyFill="1" applyBorder="1" applyAlignment="1">
      <alignment horizontal="center" vertical="center"/>
    </xf>
    <xf numFmtId="4" fontId="58" fillId="0" borderId="36" xfId="0" applyNumberFormat="1" applyFont="1" applyFill="1" applyBorder="1" applyAlignment="1">
      <alignment horizontal="center" vertical="center"/>
    </xf>
    <xf numFmtId="4" fontId="58" fillId="0" borderId="31" xfId="0" applyNumberFormat="1" applyFont="1" applyFill="1" applyBorder="1" applyAlignment="1">
      <alignment horizontal="center" vertical="center"/>
    </xf>
    <xf numFmtId="4" fontId="15" fillId="0" borderId="98" xfId="85" applyNumberFormat="1" applyFont="1" applyFill="1" applyBorder="1" applyAlignment="1">
      <alignment horizontal="center" vertical="center"/>
    </xf>
    <xf numFmtId="4" fontId="15" fillId="0" borderId="99" xfId="0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0" fillId="0" borderId="165" xfId="0" applyBorder="1"/>
    <xf numFmtId="4" fontId="0" fillId="0" borderId="166" xfId="0" applyNumberFormat="1" applyBorder="1"/>
    <xf numFmtId="4" fontId="0" fillId="0" borderId="165" xfId="0" applyNumberFormat="1" applyBorder="1"/>
    <xf numFmtId="0" fontId="0" fillId="0" borderId="166" xfId="0" applyBorder="1"/>
    <xf numFmtId="43" fontId="0" fillId="0" borderId="0" xfId="89" applyFont="1"/>
    <xf numFmtId="0" fontId="11" fillId="0" borderId="167" xfId="0" applyFont="1" applyBorder="1" applyAlignment="1">
      <alignment horizontal="center" vertical="center" wrapText="1"/>
    </xf>
    <xf numFmtId="167" fontId="12" fillId="0" borderId="168" xfId="0" applyNumberFormat="1" applyFont="1" applyBorder="1" applyAlignment="1">
      <alignment horizontal="center"/>
    </xf>
    <xf numFmtId="2" fontId="58" fillId="0" borderId="0" xfId="0" applyNumberFormat="1" applyFont="1"/>
    <xf numFmtId="0" fontId="0" fillId="0" borderId="169" xfId="0" applyBorder="1"/>
    <xf numFmtId="4" fontId="0" fillId="0" borderId="169" xfId="0" applyNumberFormat="1" applyBorder="1"/>
    <xf numFmtId="0" fontId="0" fillId="0" borderId="169" xfId="0" applyBorder="1" applyAlignment="1">
      <alignment horizontal="center"/>
    </xf>
    <xf numFmtId="0" fontId="0" fillId="0" borderId="169" xfId="0" applyBorder="1" applyAlignment="1">
      <alignment wrapText="1"/>
    </xf>
    <xf numFmtId="4" fontId="0" fillId="0" borderId="170" xfId="0" applyNumberFormat="1" applyBorder="1"/>
    <xf numFmtId="0" fontId="0" fillId="0" borderId="170" xfId="0" applyBorder="1"/>
    <xf numFmtId="2" fontId="58" fillId="0" borderId="131" xfId="0" applyNumberFormat="1" applyFont="1" applyBorder="1" applyAlignment="1">
      <alignment vertical="center"/>
    </xf>
    <xf numFmtId="0" fontId="80" fillId="0" borderId="171" xfId="0" applyFont="1" applyBorder="1" applyAlignment="1">
      <alignment vertical="center"/>
    </xf>
    <xf numFmtId="0" fontId="80" fillId="0" borderId="169" xfId="0" applyFont="1" applyBorder="1" applyAlignment="1">
      <alignment vertical="center"/>
    </xf>
    <xf numFmtId="0" fontId="80" fillId="0" borderId="170" xfId="0" applyFont="1" applyBorder="1" applyAlignment="1">
      <alignment vertical="center"/>
    </xf>
    <xf numFmtId="166" fontId="58" fillId="0" borderId="130" xfId="0" applyNumberFormat="1" applyFont="1" applyBorder="1" applyAlignment="1">
      <alignment horizontal="center" vertical="center"/>
    </xf>
    <xf numFmtId="167" fontId="58" fillId="0" borderId="169" xfId="0" applyNumberFormat="1" applyFont="1" applyBorder="1" applyAlignment="1">
      <alignment horizontal="center" vertical="center"/>
    </xf>
    <xf numFmtId="0" fontId="58" fillId="0" borderId="169" xfId="0" applyFont="1" applyBorder="1" applyAlignment="1">
      <alignment horizontal="center" vertical="center"/>
    </xf>
    <xf numFmtId="166" fontId="58" fillId="0" borderId="169" xfId="0" applyNumberFormat="1" applyFont="1" applyBorder="1" applyAlignment="1">
      <alignment horizontal="center" vertical="center"/>
    </xf>
    <xf numFmtId="4" fontId="58" fillId="0" borderId="169" xfId="0" applyNumberFormat="1" applyFont="1" applyBorder="1" applyAlignment="1">
      <alignment horizontal="center" vertical="center"/>
    </xf>
    <xf numFmtId="1" fontId="58" fillId="0" borderId="169" xfId="0" applyNumberFormat="1" applyFont="1" applyBorder="1" applyAlignment="1">
      <alignment horizontal="center" vertical="center"/>
    </xf>
    <xf numFmtId="2" fontId="58" fillId="0" borderId="169" xfId="0" applyNumberFormat="1" applyFont="1" applyBorder="1" applyAlignment="1">
      <alignment horizontal="center" vertical="center"/>
    </xf>
    <xf numFmtId="2" fontId="58" fillId="0" borderId="169" xfId="0" applyNumberFormat="1" applyFont="1" applyFill="1" applyBorder="1" applyAlignment="1">
      <alignment horizontal="center" vertical="center"/>
    </xf>
    <xf numFmtId="4" fontId="58" fillId="0" borderId="169" xfId="0" applyNumberFormat="1" applyFont="1" applyFill="1" applyBorder="1" applyAlignment="1">
      <alignment horizontal="center" vertical="center"/>
    </xf>
    <xf numFmtId="4" fontId="58" fillId="0" borderId="127" xfId="0" applyNumberFormat="1" applyFont="1" applyFill="1" applyBorder="1" applyAlignment="1">
      <alignment horizontal="center" vertical="center"/>
    </xf>
    <xf numFmtId="166" fontId="58" fillId="0" borderId="130" xfId="0" applyNumberFormat="1" applyFont="1" applyFill="1" applyBorder="1" applyAlignment="1">
      <alignment horizontal="center" vertical="center"/>
    </xf>
    <xf numFmtId="10" fontId="58" fillId="0" borderId="169" xfId="0" applyNumberFormat="1" applyFont="1" applyFill="1" applyBorder="1" applyAlignment="1">
      <alignment horizontal="center" vertical="center"/>
    </xf>
    <xf numFmtId="2" fontId="58" fillId="0" borderId="127" xfId="0" applyNumberFormat="1" applyFont="1" applyBorder="1" applyAlignment="1">
      <alignment horizontal="center" vertical="center"/>
    </xf>
    <xf numFmtId="166" fontId="99" fillId="0" borderId="102" xfId="0" applyNumberFormat="1" applyFont="1" applyBorder="1" applyAlignment="1">
      <alignment horizontal="center" vertical="center"/>
    </xf>
    <xf numFmtId="166" fontId="99" fillId="0" borderId="96" xfId="0" applyNumberFormat="1" applyFont="1" applyBorder="1" applyAlignment="1">
      <alignment horizontal="center" vertical="center"/>
    </xf>
    <xf numFmtId="0" fontId="82" fillId="0" borderId="131" xfId="0" applyFont="1" applyBorder="1" applyAlignment="1">
      <alignment vertical="center" wrapText="1"/>
    </xf>
    <xf numFmtId="0" fontId="82" fillId="32" borderId="130" xfId="0" applyFont="1" applyFill="1" applyBorder="1" applyAlignment="1">
      <alignment horizontal="center" vertical="center"/>
    </xf>
    <xf numFmtId="166" fontId="82" fillId="32" borderId="169" xfId="0" applyNumberFormat="1" applyFont="1" applyFill="1" applyBorder="1" applyAlignment="1">
      <alignment horizontal="center" vertical="center"/>
    </xf>
    <xf numFmtId="3" fontId="82" fillId="32" borderId="169" xfId="0" applyNumberFormat="1" applyFont="1" applyFill="1" applyBorder="1" applyAlignment="1">
      <alignment horizontal="center" vertical="center"/>
    </xf>
    <xf numFmtId="167" fontId="83" fillId="32" borderId="169" xfId="0" applyNumberFormat="1" applyFont="1" applyFill="1" applyBorder="1" applyAlignment="1">
      <alignment horizontal="center" vertical="center"/>
    </xf>
    <xf numFmtId="4" fontId="82" fillId="32" borderId="169" xfId="0" applyNumberFormat="1" applyFont="1" applyFill="1" applyBorder="1" applyAlignment="1">
      <alignment horizontal="center" vertical="center"/>
    </xf>
    <xf numFmtId="2" fontId="82" fillId="27" borderId="169" xfId="0" applyNumberFormat="1" applyFont="1" applyFill="1" applyBorder="1" applyAlignment="1">
      <alignment horizontal="center" vertical="center"/>
    </xf>
    <xf numFmtId="172" fontId="82" fillId="27" borderId="169" xfId="0" applyNumberFormat="1" applyFont="1" applyFill="1" applyBorder="1" applyAlignment="1">
      <alignment horizontal="center" vertical="center"/>
    </xf>
    <xf numFmtId="4" fontId="82" fillId="27" borderId="169" xfId="0" applyNumberFormat="1" applyFont="1" applyFill="1" applyBorder="1" applyAlignment="1">
      <alignment horizontal="center" vertical="center"/>
    </xf>
    <xf numFmtId="4" fontId="83" fillId="27" borderId="169" xfId="0" applyNumberFormat="1" applyFont="1" applyFill="1" applyBorder="1" applyAlignment="1">
      <alignment horizontal="center" vertical="center"/>
    </xf>
    <xf numFmtId="4" fontId="82" fillId="27" borderId="127" xfId="0" applyNumberFormat="1" applyFont="1" applyFill="1" applyBorder="1" applyAlignment="1">
      <alignment horizontal="center" vertical="center"/>
    </xf>
    <xf numFmtId="2" fontId="82" fillId="28" borderId="169" xfId="0" applyNumberFormat="1" applyFont="1" applyFill="1" applyBorder="1" applyAlignment="1">
      <alignment horizontal="center" vertical="center"/>
    </xf>
    <xf numFmtId="172" fontId="83" fillId="28" borderId="169" xfId="0" applyNumberFormat="1" applyFont="1" applyFill="1" applyBorder="1" applyAlignment="1">
      <alignment horizontal="center" vertical="center"/>
    </xf>
    <xf numFmtId="4" fontId="82" fillId="28" borderId="169" xfId="0" applyNumberFormat="1" applyFont="1" applyFill="1" applyBorder="1" applyAlignment="1">
      <alignment horizontal="center" vertical="center"/>
    </xf>
    <xf numFmtId="4" fontId="82" fillId="28" borderId="127" xfId="0" applyNumberFormat="1" applyFont="1" applyFill="1" applyBorder="1" applyAlignment="1">
      <alignment horizontal="center" vertical="center"/>
    </xf>
    <xf numFmtId="4" fontId="83" fillId="28" borderId="169" xfId="0" applyNumberFormat="1" applyFont="1" applyFill="1" applyBorder="1" applyAlignment="1">
      <alignment horizontal="center" vertical="center"/>
    </xf>
    <xf numFmtId="0" fontId="82" fillId="26" borderId="130" xfId="0" applyFont="1" applyFill="1" applyBorder="1" applyAlignment="1">
      <alignment horizontal="center" vertical="center"/>
    </xf>
    <xf numFmtId="166" fontId="82" fillId="26" borderId="169" xfId="0" applyNumberFormat="1" applyFont="1" applyFill="1" applyBorder="1" applyAlignment="1">
      <alignment horizontal="center" vertical="center"/>
    </xf>
    <xf numFmtId="3" fontId="82" fillId="26" borderId="169" xfId="0" applyNumberFormat="1" applyFont="1" applyFill="1" applyBorder="1" applyAlignment="1">
      <alignment horizontal="center" vertical="center"/>
    </xf>
    <xf numFmtId="169" fontId="83" fillId="26" borderId="169" xfId="85" applyNumberFormat="1" applyFont="1" applyFill="1" applyBorder="1" applyAlignment="1">
      <alignment horizontal="center" vertical="center"/>
    </xf>
    <xf numFmtId="4" fontId="82" fillId="26" borderId="170" xfId="0" applyNumberFormat="1" applyFont="1" applyFill="1" applyBorder="1" applyAlignment="1">
      <alignment horizontal="center" vertical="center"/>
    </xf>
    <xf numFmtId="2" fontId="82" fillId="27" borderId="130" xfId="0" applyNumberFormat="1" applyFont="1" applyFill="1" applyBorder="1" applyAlignment="1">
      <alignment horizontal="center" vertical="center"/>
    </xf>
    <xf numFmtId="10" fontId="83" fillId="27" borderId="169" xfId="85" applyNumberFormat="1" applyFont="1" applyFill="1" applyBorder="1" applyAlignment="1">
      <alignment horizontal="center" vertical="center"/>
    </xf>
    <xf numFmtId="0" fontId="15" fillId="0" borderId="131" xfId="0" applyFont="1" applyBorder="1" applyAlignment="1">
      <alignment vertical="center"/>
    </xf>
    <xf numFmtId="0" fontId="10" fillId="0" borderId="171" xfId="0" applyFont="1" applyBorder="1" applyAlignment="1">
      <alignment horizontal="center" vertical="center"/>
    </xf>
    <xf numFmtId="167" fontId="10" fillId="0" borderId="169" xfId="0" applyNumberFormat="1" applyFont="1" applyBorder="1" applyAlignment="1">
      <alignment horizontal="center" vertical="center"/>
    </xf>
    <xf numFmtId="167" fontId="13" fillId="0" borderId="169" xfId="0" applyNumberFormat="1" applyFont="1" applyBorder="1" applyAlignment="1">
      <alignment horizontal="center" vertical="center"/>
    </xf>
    <xf numFmtId="4" fontId="10" fillId="0" borderId="169" xfId="0" applyNumberFormat="1" applyFont="1" applyBorder="1" applyAlignment="1">
      <alignment horizontal="center" vertical="center"/>
    </xf>
    <xf numFmtId="4" fontId="13" fillId="0" borderId="169" xfId="0" applyNumberFormat="1" applyFont="1" applyBorder="1" applyAlignment="1">
      <alignment horizontal="center" vertical="center"/>
    </xf>
    <xf numFmtId="4" fontId="16" fillId="0" borderId="169" xfId="0" applyNumberFormat="1" applyFont="1" applyBorder="1" applyAlignment="1">
      <alignment horizontal="center" vertical="center"/>
    </xf>
    <xf numFmtId="4" fontId="10" fillId="0" borderId="170" xfId="0" applyNumberFormat="1" applyFont="1" applyBorder="1" applyAlignment="1">
      <alignment horizontal="center" vertical="center"/>
    </xf>
    <xf numFmtId="4" fontId="15" fillId="0" borderId="131" xfId="0" applyNumberFormat="1" applyFont="1" applyFill="1" applyBorder="1" applyAlignment="1">
      <alignment horizontal="center" vertical="center"/>
    </xf>
    <xf numFmtId="169" fontId="81" fillId="0" borderId="172" xfId="85" applyNumberFormat="1" applyFont="1" applyFill="1" applyBorder="1" applyAlignment="1">
      <alignment horizontal="center" vertical="center"/>
    </xf>
    <xf numFmtId="4" fontId="15" fillId="0" borderId="130" xfId="0" applyNumberFormat="1" applyFont="1" applyFill="1" applyBorder="1" applyAlignment="1">
      <alignment horizontal="center" vertical="center"/>
    </xf>
    <xf numFmtId="169" fontId="81" fillId="0" borderId="169" xfId="85" applyNumberFormat="1" applyFont="1" applyFill="1" applyBorder="1" applyAlignment="1">
      <alignment horizontal="center" vertical="center"/>
    </xf>
    <xf numFmtId="4" fontId="15" fillId="0" borderId="169" xfId="0" applyNumberFormat="1" applyFont="1" applyFill="1" applyBorder="1" applyAlignment="1">
      <alignment horizontal="center" vertical="center"/>
    </xf>
    <xf numFmtId="4" fontId="15" fillId="0" borderId="127" xfId="0" applyNumberFormat="1" applyFont="1" applyFill="1" applyBorder="1" applyAlignment="1">
      <alignment horizontal="center" vertical="center"/>
    </xf>
    <xf numFmtId="4" fontId="15" fillId="0" borderId="130" xfId="0" applyNumberFormat="1" applyFont="1" applyFill="1" applyBorder="1" applyAlignment="1">
      <alignment horizontal="center" vertical="center" wrapText="1"/>
    </xf>
    <xf numFmtId="169" fontId="15" fillId="0" borderId="169" xfId="0" applyNumberFormat="1" applyFont="1" applyFill="1" applyBorder="1" applyAlignment="1">
      <alignment horizontal="center" vertical="center" wrapText="1"/>
    </xf>
    <xf numFmtId="0" fontId="15" fillId="0" borderId="131" xfId="0" applyFont="1" applyFill="1" applyBorder="1" applyAlignment="1">
      <alignment vertical="center" wrapText="1"/>
    </xf>
    <xf numFmtId="0" fontId="15" fillId="0" borderId="171" xfId="0" applyFont="1" applyFill="1" applyBorder="1" applyAlignment="1">
      <alignment horizontal="center" vertical="center"/>
    </xf>
    <xf numFmtId="167" fontId="15" fillId="0" borderId="169" xfId="0" applyNumberFormat="1" applyFont="1" applyFill="1" applyBorder="1" applyAlignment="1">
      <alignment horizontal="center" vertical="center"/>
    </xf>
    <xf numFmtId="167" fontId="59" fillId="0" borderId="169" xfId="0" applyNumberFormat="1" applyFont="1" applyFill="1" applyBorder="1" applyAlignment="1">
      <alignment horizontal="center" vertical="center"/>
    </xf>
    <xf numFmtId="4" fontId="15" fillId="0" borderId="170" xfId="0" applyNumberFormat="1" applyFont="1" applyFill="1" applyBorder="1" applyAlignment="1">
      <alignment horizontal="center" vertical="center"/>
    </xf>
    <xf numFmtId="4" fontId="15" fillId="0" borderId="172" xfId="0" applyNumberFormat="1" applyFont="1" applyFill="1" applyBorder="1" applyAlignment="1">
      <alignment horizontal="center" vertical="center"/>
    </xf>
    <xf numFmtId="4" fontId="15" fillId="0" borderId="171" xfId="0" applyNumberFormat="1" applyFont="1" applyFill="1" applyBorder="1" applyAlignment="1">
      <alignment horizontal="center" vertical="center"/>
    </xf>
    <xf numFmtId="0" fontId="46" fillId="0" borderId="0" xfId="96" applyFont="1"/>
    <xf numFmtId="0" fontId="82" fillId="27" borderId="175" xfId="96" applyFont="1" applyFill="1" applyBorder="1" applyAlignment="1">
      <alignment horizontal="center" vertical="center" wrapText="1"/>
    </xf>
    <xf numFmtId="0" fontId="100" fillId="35" borderId="169" xfId="96" applyFont="1" applyFill="1" applyBorder="1" applyAlignment="1">
      <alignment horizontal="center" vertical="center"/>
    </xf>
    <xf numFmtId="0" fontId="101" fillId="35" borderId="169" xfId="96" applyFont="1" applyFill="1" applyBorder="1" applyAlignment="1">
      <alignment vertical="center" wrapText="1"/>
    </xf>
    <xf numFmtId="4" fontId="101" fillId="35" borderId="169" xfId="96" applyNumberFormat="1" applyFont="1" applyFill="1" applyBorder="1" applyAlignment="1">
      <alignment horizontal="center" vertical="center" wrapText="1"/>
    </xf>
    <xf numFmtId="0" fontId="82" fillId="35" borderId="169" xfId="96" applyFont="1" applyFill="1" applyBorder="1" applyAlignment="1">
      <alignment horizontal="center" vertical="center" wrapText="1"/>
    </xf>
    <xf numFmtId="0" fontId="46" fillId="35" borderId="0" xfId="96" applyFont="1" applyFill="1"/>
    <xf numFmtId="176" fontId="101" fillId="35" borderId="169" xfId="96" applyNumberFormat="1" applyFont="1" applyFill="1" applyBorder="1" applyAlignment="1">
      <alignment horizontal="center" vertical="center" wrapText="1"/>
    </xf>
    <xf numFmtId="3" fontId="101" fillId="35" borderId="169" xfId="96" applyNumberFormat="1" applyFont="1" applyFill="1" applyBorder="1" applyAlignment="1">
      <alignment horizontal="center" vertical="center" wrapText="1"/>
    </xf>
    <xf numFmtId="0" fontId="14" fillId="36" borderId="169" xfId="96" applyFont="1" applyFill="1" applyBorder="1" applyAlignment="1">
      <alignment horizontal="center" vertical="center"/>
    </xf>
    <xf numFmtId="0" fontId="14" fillId="36" borderId="169" xfId="96" applyFont="1" applyFill="1" applyBorder="1" applyAlignment="1">
      <alignment horizontal="left" vertical="center" wrapText="1"/>
    </xf>
    <xf numFmtId="4" fontId="82" fillId="36" borderId="169" xfId="96" applyNumberFormat="1" applyFont="1" applyFill="1" applyBorder="1" applyAlignment="1">
      <alignment horizontal="center" vertical="center" wrapText="1"/>
    </xf>
    <xf numFmtId="0" fontId="82" fillId="36" borderId="169" xfId="96" applyFont="1" applyFill="1" applyBorder="1" applyAlignment="1">
      <alignment horizontal="center" vertical="center" wrapText="1"/>
    </xf>
    <xf numFmtId="0" fontId="46" fillId="36" borderId="0" xfId="96" applyFont="1" applyFill="1"/>
    <xf numFmtId="0" fontId="82" fillId="29" borderId="169" xfId="96" applyFont="1" applyFill="1" applyBorder="1" applyAlignment="1">
      <alignment horizontal="center" vertical="center"/>
    </xf>
    <xf numFmtId="0" fontId="82" fillId="29" borderId="169" xfId="96" applyFont="1" applyFill="1" applyBorder="1" applyAlignment="1">
      <alignment horizontal="left" vertical="center" wrapText="1"/>
    </xf>
    <xf numFmtId="4" fontId="82" fillId="29" borderId="169" xfId="96" applyNumberFormat="1" applyFont="1" applyFill="1" applyBorder="1" applyAlignment="1">
      <alignment horizontal="center" vertical="center" wrapText="1"/>
    </xf>
    <xf numFmtId="0" fontId="82" fillId="29" borderId="169" xfId="96" applyFont="1" applyFill="1" applyBorder="1" applyAlignment="1">
      <alignment horizontal="center" vertical="center" wrapText="1"/>
    </xf>
    <xf numFmtId="0" fontId="46" fillId="29" borderId="0" xfId="96" applyFont="1" applyFill="1"/>
    <xf numFmtId="0" fontId="82" fillId="37" borderId="169" xfId="96" applyFont="1" applyFill="1" applyBorder="1" applyAlignment="1">
      <alignment horizontal="center" vertical="center"/>
    </xf>
    <xf numFmtId="0" fontId="82" fillId="37" borderId="169" xfId="96" applyFont="1" applyFill="1" applyBorder="1" applyAlignment="1">
      <alignment horizontal="left" vertical="center" wrapText="1" indent="2"/>
    </xf>
    <xf numFmtId="4" fontId="82" fillId="37" borderId="169" xfId="96" applyNumberFormat="1" applyFont="1" applyFill="1" applyBorder="1" applyAlignment="1">
      <alignment horizontal="center" vertical="center" wrapText="1"/>
    </xf>
    <xf numFmtId="0" fontId="82" fillId="37" borderId="169" xfId="96" applyFont="1" applyFill="1" applyBorder="1" applyAlignment="1">
      <alignment horizontal="center" vertical="center" wrapText="1"/>
    </xf>
    <xf numFmtId="0" fontId="46" fillId="37" borderId="0" xfId="96" applyFont="1" applyFill="1"/>
    <xf numFmtId="0" fontId="12" fillId="38" borderId="169" xfId="96" applyFont="1" applyFill="1" applyBorder="1" applyAlignment="1">
      <alignment horizontal="center" vertical="center"/>
    </xf>
    <xf numFmtId="0" fontId="12" fillId="38" borderId="169" xfId="96" applyFont="1" applyFill="1" applyBorder="1" applyAlignment="1">
      <alignment horizontal="left" vertical="center" wrapText="1" indent="3"/>
    </xf>
    <xf numFmtId="4" fontId="12" fillId="38" borderId="169" xfId="96" applyNumberFormat="1" applyFont="1" applyFill="1" applyBorder="1" applyAlignment="1">
      <alignment horizontal="center" vertical="center" wrapText="1"/>
    </xf>
    <xf numFmtId="0" fontId="12" fillId="38" borderId="169" xfId="96" applyFont="1" applyFill="1" applyBorder="1" applyAlignment="1">
      <alignment horizontal="center" vertical="center" wrapText="1"/>
    </xf>
    <xf numFmtId="0" fontId="12" fillId="38" borderId="0" xfId="96" applyFont="1" applyFill="1"/>
    <xf numFmtId="0" fontId="101" fillId="35" borderId="169" xfId="96" applyFont="1" applyFill="1" applyBorder="1" applyAlignment="1">
      <alignment horizontal="center" vertical="center"/>
    </xf>
    <xf numFmtId="0" fontId="102" fillId="35" borderId="169" xfId="96" applyFont="1" applyFill="1" applyBorder="1" applyAlignment="1">
      <alignment horizontal="left" vertical="center" wrapText="1"/>
    </xf>
    <xf numFmtId="0" fontId="103" fillId="35" borderId="169" xfId="96" applyFont="1" applyFill="1" applyBorder="1" applyAlignment="1">
      <alignment horizontal="center"/>
    </xf>
    <xf numFmtId="0" fontId="103" fillId="35" borderId="169" xfId="96" applyFont="1" applyFill="1" applyBorder="1"/>
    <xf numFmtId="0" fontId="103" fillId="35" borderId="0" xfId="96" applyFont="1" applyFill="1"/>
    <xf numFmtId="0" fontId="14" fillId="36" borderId="169" xfId="96" applyFont="1" applyFill="1" applyBorder="1" applyAlignment="1">
      <alignment horizontal="left" vertical="center" wrapText="1" indent="2"/>
    </xf>
    <xf numFmtId="0" fontId="14" fillId="35" borderId="169" xfId="96" applyFont="1" applyFill="1" applyBorder="1" applyAlignment="1">
      <alignment horizontal="center" vertical="center"/>
    </xf>
    <xf numFmtId="0" fontId="14" fillId="35" borderId="169" xfId="96" applyFont="1" applyFill="1" applyBorder="1" applyAlignment="1">
      <alignment horizontal="left" vertical="center" wrapText="1"/>
    </xf>
    <xf numFmtId="4" fontId="82" fillId="35" borderId="169" xfId="96" applyNumberFormat="1" applyFont="1" applyFill="1" applyBorder="1" applyAlignment="1">
      <alignment horizontal="center" vertical="center" wrapText="1"/>
    </xf>
    <xf numFmtId="0" fontId="14" fillId="35" borderId="169" xfId="96" applyFont="1" applyFill="1" applyBorder="1" applyAlignment="1">
      <alignment horizontal="left" vertical="center" wrapText="1" indent="3"/>
    </xf>
    <xf numFmtId="0" fontId="46" fillId="0" borderId="0" xfId="96" applyFont="1" applyAlignment="1">
      <alignment wrapText="1"/>
    </xf>
    <xf numFmtId="0" fontId="49" fillId="39" borderId="169" xfId="96" applyFont="1" applyFill="1" applyBorder="1" applyAlignment="1">
      <alignment horizontal="center"/>
    </xf>
    <xf numFmtId="0" fontId="14" fillId="39" borderId="169" xfId="96" applyFont="1" applyFill="1" applyBorder="1" applyAlignment="1">
      <alignment horizontal="left" vertical="center" wrapText="1"/>
    </xf>
    <xf numFmtId="0" fontId="46" fillId="39" borderId="169" xfId="96" applyFont="1" applyFill="1" applyBorder="1"/>
    <xf numFmtId="0" fontId="14" fillId="39" borderId="169" xfId="96" applyFont="1" applyFill="1" applyBorder="1" applyAlignment="1">
      <alignment horizontal="left" vertical="center" wrapText="1" indent="3"/>
    </xf>
    <xf numFmtId="0" fontId="14" fillId="39" borderId="169" xfId="96" applyFont="1" applyFill="1" applyBorder="1" applyAlignment="1">
      <alignment horizontal="center" vertical="center" wrapText="1"/>
    </xf>
    <xf numFmtId="0" fontId="46" fillId="39" borderId="169" xfId="96" applyFont="1" applyFill="1" applyBorder="1" applyAlignment="1">
      <alignment horizontal="center"/>
    </xf>
    <xf numFmtId="0" fontId="46" fillId="0" borderId="0" xfId="96" applyFont="1" applyAlignment="1">
      <alignment horizontal="center"/>
    </xf>
    <xf numFmtId="0" fontId="0" fillId="0" borderId="169" xfId="0" applyBorder="1" applyAlignment="1">
      <alignment horizontal="center" vertical="center" wrapText="1"/>
    </xf>
    <xf numFmtId="0" fontId="0" fillId="0" borderId="169" xfId="0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1" fillId="0" borderId="114" xfId="0" applyFont="1" applyBorder="1" applyAlignment="1">
      <alignment vertical="center" wrapText="1"/>
    </xf>
    <xf numFmtId="0" fontId="0" fillId="0" borderId="114" xfId="0" applyFont="1" applyBorder="1" applyAlignment="1">
      <alignment vertical="center" wrapText="1"/>
    </xf>
    <xf numFmtId="0" fontId="12" fillId="0" borderId="114" xfId="0" applyFont="1" applyBorder="1" applyAlignment="1">
      <alignment vertical="center" wrapText="1"/>
    </xf>
    <xf numFmtId="0" fontId="10" fillId="0" borderId="114" xfId="0" applyFont="1" applyBorder="1" applyAlignment="1">
      <alignment vertical="center" wrapText="1"/>
    </xf>
    <xf numFmtId="2" fontId="11" fillId="0" borderId="114" xfId="0" applyNumberFormat="1" applyFont="1" applyBorder="1" applyAlignment="1">
      <alignment vertical="center" wrapText="1"/>
    </xf>
    <xf numFmtId="2" fontId="10" fillId="0" borderId="114" xfId="0" applyNumberFormat="1" applyFont="1" applyBorder="1" applyAlignment="1">
      <alignment vertical="center" wrapText="1"/>
    </xf>
    <xf numFmtId="0" fontId="11" fillId="0" borderId="114" xfId="0" applyFont="1" applyBorder="1" applyAlignment="1">
      <alignment vertical="center"/>
    </xf>
    <xf numFmtId="9" fontId="11" fillId="0" borderId="114" xfId="0" applyNumberFormat="1" applyFont="1" applyBorder="1" applyAlignment="1">
      <alignment horizontal="center" vertical="center" wrapText="1"/>
    </xf>
    <xf numFmtId="169" fontId="0" fillId="0" borderId="0" xfId="85" applyNumberFormat="1" applyFont="1"/>
    <xf numFmtId="0" fontId="58" fillId="0" borderId="177" xfId="0" applyFont="1" applyBorder="1" applyAlignment="1">
      <alignment vertical="center"/>
    </xf>
    <xf numFmtId="4" fontId="58" fillId="0" borderId="177" xfId="0" applyNumberFormat="1" applyFont="1" applyBorder="1"/>
    <xf numFmtId="0" fontId="58" fillId="0" borderId="178" xfId="0" applyFont="1" applyBorder="1"/>
    <xf numFmtId="4" fontId="58" fillId="0" borderId="179" xfId="0" applyNumberFormat="1" applyFont="1" applyBorder="1"/>
    <xf numFmtId="4" fontId="58" fillId="0" borderId="180" xfId="0" applyNumberFormat="1" applyFont="1" applyBorder="1"/>
    <xf numFmtId="4" fontId="58" fillId="0" borderId="181" xfId="0" applyNumberFormat="1" applyFont="1" applyBorder="1"/>
    <xf numFmtId="169" fontId="58" fillId="0" borderId="179" xfId="0" applyNumberFormat="1" applyFont="1" applyFill="1" applyBorder="1" applyAlignment="1">
      <alignment horizontal="center" vertical="center" wrapText="1"/>
    </xf>
    <xf numFmtId="0" fontId="58" fillId="0" borderId="177" xfId="0" applyFont="1" applyBorder="1"/>
    <xf numFmtId="4" fontId="90" fillId="0" borderId="169" xfId="0" applyNumberFormat="1" applyFont="1" applyFill="1" applyBorder="1" applyAlignment="1">
      <alignment horizontal="center" vertical="center"/>
    </xf>
    <xf numFmtId="0" fontId="58" fillId="0" borderId="182" xfId="0" applyFont="1" applyBorder="1" applyAlignment="1">
      <alignment vertical="center"/>
    </xf>
    <xf numFmtId="4" fontId="58" fillId="0" borderId="182" xfId="0" applyNumberFormat="1" applyFont="1" applyBorder="1"/>
    <xf numFmtId="4" fontId="58" fillId="0" borderId="183" xfId="0" applyNumberFormat="1" applyFont="1" applyBorder="1"/>
    <xf numFmtId="4" fontId="58" fillId="0" borderId="184" xfId="0" applyNumberFormat="1" applyFont="1" applyBorder="1"/>
    <xf numFmtId="4" fontId="58" fillId="0" borderId="185" xfId="0" applyNumberFormat="1" applyFont="1" applyBorder="1"/>
    <xf numFmtId="169" fontId="58" fillId="0" borderId="184" xfId="0" applyNumberFormat="1" applyFont="1" applyFill="1" applyBorder="1" applyAlignment="1">
      <alignment horizontal="center" vertical="center"/>
    </xf>
    <xf numFmtId="0" fontId="0" fillId="0" borderId="182" xfId="0" applyFont="1" applyFill="1" applyBorder="1"/>
    <xf numFmtId="169" fontId="109" fillId="0" borderId="0" xfId="85" applyNumberFormat="1" applyFont="1"/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86" xfId="0" applyFont="1" applyBorder="1" applyAlignment="1">
      <alignment horizontal="center" vertical="center" wrapText="1"/>
    </xf>
    <xf numFmtId="167" fontId="12" fillId="0" borderId="187" xfId="0" applyNumberFormat="1" applyFont="1" applyBorder="1" applyAlignment="1">
      <alignment horizontal="center"/>
    </xf>
    <xf numFmtId="167" fontId="12" fillId="0" borderId="188" xfId="0" applyNumberFormat="1" applyFont="1" applyBorder="1" applyAlignment="1">
      <alignment horizontal="center"/>
    </xf>
    <xf numFmtId="4" fontId="15" fillId="0" borderId="27" xfId="0" applyNumberFormat="1" applyFont="1" applyFill="1" applyBorder="1" applyAlignment="1">
      <alignment horizontal="right" vertical="center"/>
    </xf>
    <xf numFmtId="0" fontId="15" fillId="0" borderId="27" xfId="0" applyFont="1" applyFill="1" applyBorder="1" applyAlignment="1">
      <alignment horizontal="right" vertical="center"/>
    </xf>
    <xf numFmtId="0" fontId="58" fillId="0" borderId="192" xfId="0" applyFont="1" applyFill="1" applyBorder="1" applyAlignment="1">
      <alignment horizontal="center" vertical="center"/>
    </xf>
    <xf numFmtId="167" fontId="58" fillId="0" borderId="193" xfId="0" applyNumberFormat="1" applyFont="1" applyFill="1" applyBorder="1" applyAlignment="1">
      <alignment horizontal="center" vertical="center"/>
    </xf>
    <xf numFmtId="167" fontId="59" fillId="0" borderId="193" xfId="0" applyNumberFormat="1" applyFont="1" applyFill="1" applyBorder="1" applyAlignment="1">
      <alignment horizontal="center" vertical="center"/>
    </xf>
    <xf numFmtId="4" fontId="58" fillId="0" borderId="193" xfId="0" applyNumberFormat="1" applyFont="1" applyFill="1" applyBorder="1" applyAlignment="1">
      <alignment horizontal="center" vertical="center"/>
    </xf>
    <xf numFmtId="4" fontId="59" fillId="0" borderId="193" xfId="0" applyNumberFormat="1" applyFont="1" applyFill="1" applyBorder="1" applyAlignment="1">
      <alignment horizontal="center" vertical="center"/>
    </xf>
    <xf numFmtId="4" fontId="58" fillId="0" borderId="194" xfId="0" applyNumberFormat="1" applyFont="1" applyFill="1" applyBorder="1" applyAlignment="1">
      <alignment horizontal="center" vertical="center"/>
    </xf>
    <xf numFmtId="4" fontId="58" fillId="0" borderId="195" xfId="0" applyNumberFormat="1" applyFont="1" applyFill="1" applyBorder="1" applyAlignment="1">
      <alignment horizontal="center" vertical="center"/>
    </xf>
    <xf numFmtId="169" fontId="58" fillId="0" borderId="193" xfId="85" applyNumberFormat="1" applyFont="1" applyBorder="1" applyAlignment="1">
      <alignment vertical="center"/>
    </xf>
    <xf numFmtId="4" fontId="58" fillId="0" borderId="193" xfId="0" applyNumberFormat="1" applyFont="1" applyFill="1" applyBorder="1" applyAlignment="1">
      <alignment vertical="center"/>
    </xf>
    <xf numFmtId="4" fontId="58" fillId="0" borderId="194" xfId="0" applyNumberFormat="1" applyFont="1" applyFill="1" applyBorder="1" applyAlignment="1">
      <alignment vertical="center"/>
    </xf>
    <xf numFmtId="4" fontId="58" fillId="0" borderId="195" xfId="0" applyNumberFormat="1" applyFont="1" applyFill="1" applyBorder="1" applyAlignment="1">
      <alignment vertical="center"/>
    </xf>
    <xf numFmtId="169" fontId="58" fillId="0" borderId="196" xfId="85" applyNumberFormat="1" applyFont="1" applyBorder="1" applyAlignment="1">
      <alignment vertical="center"/>
    </xf>
    <xf numFmtId="0" fontId="58" fillId="0" borderId="191" xfId="0" applyFont="1" applyFill="1" applyBorder="1" applyAlignment="1">
      <alignment vertical="center" wrapText="1"/>
    </xf>
    <xf numFmtId="0" fontId="59" fillId="0" borderId="191" xfId="0" applyFont="1" applyFill="1" applyBorder="1" applyAlignment="1">
      <alignment vertical="center"/>
    </xf>
    <xf numFmtId="0" fontId="59" fillId="0" borderId="192" xfId="0" applyFont="1" applyFill="1" applyBorder="1" applyAlignment="1">
      <alignment horizontal="center" vertical="center"/>
    </xf>
    <xf numFmtId="4" fontId="59" fillId="0" borderId="194" xfId="0" applyNumberFormat="1" applyFont="1" applyFill="1" applyBorder="1" applyAlignment="1">
      <alignment horizontal="center" vertical="center"/>
    </xf>
    <xf numFmtId="4" fontId="59" fillId="0" borderId="195" xfId="0" applyNumberFormat="1" applyFont="1" applyFill="1" applyBorder="1" applyAlignment="1">
      <alignment horizontal="center" vertical="center"/>
    </xf>
    <xf numFmtId="169" fontId="59" fillId="0" borderId="193" xfId="85" applyNumberFormat="1" applyFont="1" applyBorder="1" applyAlignment="1">
      <alignment vertical="center"/>
    </xf>
    <xf numFmtId="4" fontId="59" fillId="0" borderId="193" xfId="0" applyNumberFormat="1" applyFont="1" applyFill="1" applyBorder="1" applyAlignment="1">
      <alignment vertical="center"/>
    </xf>
    <xf numFmtId="4" fontId="59" fillId="0" borderId="196" xfId="0" applyNumberFormat="1" applyFont="1" applyFill="1" applyBorder="1" applyAlignment="1">
      <alignment vertical="center"/>
    </xf>
    <xf numFmtId="4" fontId="59" fillId="0" borderId="195" xfId="0" applyNumberFormat="1" applyFont="1" applyFill="1" applyBorder="1" applyAlignment="1">
      <alignment vertical="center"/>
    </xf>
    <xf numFmtId="169" fontId="59" fillId="0" borderId="196" xfId="85" applyNumberFormat="1" applyFont="1" applyBorder="1" applyAlignment="1">
      <alignment vertical="center"/>
    </xf>
    <xf numFmtId="167" fontId="58" fillId="0" borderId="193" xfId="0" applyNumberFormat="1" applyFont="1" applyBorder="1" applyAlignment="1">
      <alignment horizontal="center" vertical="center"/>
    </xf>
    <xf numFmtId="4" fontId="58" fillId="0" borderId="193" xfId="0" applyNumberFormat="1" applyFont="1" applyBorder="1" applyAlignment="1">
      <alignment horizontal="center" vertical="center"/>
    </xf>
    <xf numFmtId="0" fontId="58" fillId="0" borderId="193" xfId="0" applyFont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4" fillId="0" borderId="0" xfId="147"/>
    <xf numFmtId="0" fontId="112" fillId="0" borderId="193" xfId="147" applyFont="1" applyBorder="1" applyAlignment="1">
      <alignment horizontal="center" wrapText="1"/>
    </xf>
    <xf numFmtId="0" fontId="112" fillId="0" borderId="193" xfId="147" applyFont="1" applyBorder="1" applyAlignment="1">
      <alignment horizontal="center"/>
    </xf>
    <xf numFmtId="0" fontId="112" fillId="0" borderId="193" xfId="147" applyFont="1" applyBorder="1" applyAlignment="1">
      <alignment wrapText="1"/>
    </xf>
    <xf numFmtId="4" fontId="112" fillId="0" borderId="193" xfId="147" applyNumberFormat="1" applyFont="1" applyBorder="1"/>
    <xf numFmtId="4" fontId="112" fillId="0" borderId="193" xfId="148" applyNumberFormat="1" applyFont="1" applyBorder="1"/>
    <xf numFmtId="0" fontId="11" fillId="0" borderId="68" xfId="0" applyFont="1" applyFill="1" applyBorder="1" applyAlignment="1">
      <alignment vertical="center"/>
    </xf>
    <xf numFmtId="0" fontId="11" fillId="0" borderId="112" xfId="0" applyFont="1" applyFill="1" applyBorder="1" applyAlignment="1">
      <alignment vertical="center" wrapText="1"/>
    </xf>
    <xf numFmtId="0" fontId="11" fillId="0" borderId="112" xfId="0" applyFont="1" applyFill="1" applyBorder="1" applyAlignment="1">
      <alignment vertical="center"/>
    </xf>
    <xf numFmtId="0" fontId="12" fillId="0" borderId="68" xfId="0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2" xfId="0" applyFont="1" applyFill="1" applyBorder="1" applyAlignment="1">
      <alignment vertical="center" wrapText="1"/>
    </xf>
    <xf numFmtId="2" fontId="11" fillId="0" borderId="112" xfId="0" applyNumberFormat="1" applyFont="1" applyFill="1" applyBorder="1" applyAlignment="1">
      <alignment vertical="center" wrapText="1"/>
    </xf>
    <xf numFmtId="0" fontId="11" fillId="0" borderId="173" xfId="0" applyFont="1" applyFill="1" applyBorder="1" applyAlignment="1">
      <alignment vertical="center" wrapText="1"/>
    </xf>
    <xf numFmtId="169" fontId="59" fillId="0" borderId="105" xfId="85" applyNumberFormat="1" applyFont="1" applyFill="1" applyBorder="1" applyAlignment="1">
      <alignment horizontal="center" vertical="center"/>
    </xf>
    <xf numFmtId="169" fontId="59" fillId="0" borderId="114" xfId="85" applyNumberFormat="1" applyFont="1" applyFill="1" applyBorder="1" applyAlignment="1">
      <alignment horizontal="center" vertical="center"/>
    </xf>
    <xf numFmtId="169" fontId="59" fillId="0" borderId="106" xfId="85" applyNumberFormat="1" applyFont="1" applyFill="1" applyBorder="1" applyAlignment="1">
      <alignment horizontal="center" vertical="center"/>
    </xf>
    <xf numFmtId="169" fontId="58" fillId="0" borderId="102" xfId="85" applyNumberFormat="1" applyFont="1" applyFill="1" applyBorder="1" applyAlignment="1">
      <alignment horizontal="center" vertical="center"/>
    </xf>
    <xf numFmtId="169" fontId="15" fillId="0" borderId="100" xfId="85" applyNumberFormat="1" applyFont="1" applyFill="1" applyBorder="1" applyAlignment="1">
      <alignment horizontal="center" vertical="center"/>
    </xf>
    <xf numFmtId="169" fontId="15" fillId="0" borderId="10" xfId="85" applyNumberFormat="1" applyFont="1" applyFill="1" applyBorder="1" applyAlignment="1">
      <alignment horizontal="center" vertical="center"/>
    </xf>
    <xf numFmtId="169" fontId="15" fillId="0" borderId="103" xfId="85" applyNumberFormat="1" applyFont="1" applyFill="1" applyBorder="1" applyAlignment="1">
      <alignment horizontal="center" vertical="center"/>
    </xf>
    <xf numFmtId="10" fontId="59" fillId="0" borderId="98" xfId="85" applyNumberFormat="1" applyFont="1" applyFill="1" applyBorder="1" applyAlignment="1">
      <alignment horizontal="center" vertical="center"/>
    </xf>
    <xf numFmtId="10" fontId="15" fillId="0" borderId="100" xfId="85" applyNumberFormat="1" applyFont="1" applyFill="1" applyBorder="1" applyAlignment="1">
      <alignment horizontal="center" vertical="center"/>
    </xf>
    <xf numFmtId="10" fontId="15" fillId="0" borderId="10" xfId="85" applyNumberFormat="1" applyFont="1" applyFill="1" applyBorder="1" applyAlignment="1">
      <alignment horizontal="center" vertical="center"/>
    </xf>
    <xf numFmtId="10" fontId="15" fillId="0" borderId="103" xfId="85" applyNumberFormat="1" applyFont="1" applyFill="1" applyBorder="1" applyAlignment="1">
      <alignment horizontal="center" vertical="center"/>
    </xf>
    <xf numFmtId="0" fontId="53" fillId="0" borderId="80" xfId="147" applyFont="1" applyBorder="1" applyAlignment="1">
      <alignment horizontal="center" vertical="center" wrapText="1"/>
    </xf>
    <xf numFmtId="0" fontId="53" fillId="0" borderId="77" xfId="147" applyFont="1" applyBorder="1" applyAlignment="1">
      <alignment horizontal="center" vertical="center" wrapText="1"/>
    </xf>
    <xf numFmtId="0" fontId="53" fillId="0" borderId="75" xfId="147" applyFont="1" applyBorder="1" applyAlignment="1">
      <alignment horizontal="center" vertical="center" wrapText="1"/>
    </xf>
    <xf numFmtId="1" fontId="53" fillId="0" borderId="40" xfId="147" applyNumberFormat="1" applyFont="1" applyBorder="1" applyAlignment="1">
      <alignment horizontal="center" vertical="center" wrapText="1"/>
    </xf>
    <xf numFmtId="4" fontId="53" fillId="0" borderId="35" xfId="147" applyNumberFormat="1" applyFont="1" applyFill="1" applyBorder="1" applyAlignment="1">
      <alignment horizontal="center" vertical="center" wrapText="1"/>
    </xf>
    <xf numFmtId="1" fontId="53" fillId="0" borderId="40" xfId="147" applyNumberFormat="1" applyFont="1" applyFill="1" applyBorder="1" applyAlignment="1">
      <alignment horizontal="center" vertical="center" wrapText="1"/>
    </xf>
    <xf numFmtId="4" fontId="53" fillId="0" borderId="38" xfId="147" applyNumberFormat="1" applyFont="1" applyFill="1" applyBorder="1" applyAlignment="1">
      <alignment horizontal="center" vertical="center" wrapText="1"/>
    </xf>
    <xf numFmtId="4" fontId="53" fillId="0" borderId="40" xfId="147" applyNumberFormat="1" applyFont="1" applyFill="1" applyBorder="1" applyAlignment="1">
      <alignment horizontal="center" vertical="center" wrapText="1"/>
    </xf>
    <xf numFmtId="4" fontId="53" fillId="0" borderId="197" xfId="147" applyNumberFormat="1" applyFont="1" applyBorder="1" applyAlignment="1">
      <alignment horizontal="center" vertical="center" wrapText="1"/>
    </xf>
    <xf numFmtId="4" fontId="53" fillId="0" borderId="194" xfId="147" applyNumberFormat="1" applyFont="1" applyFill="1" applyBorder="1" applyAlignment="1">
      <alignment horizontal="center" vertical="center" wrapText="1"/>
    </xf>
    <xf numFmtId="176" fontId="53" fillId="0" borderId="197" xfId="147" applyNumberFormat="1" applyFont="1" applyFill="1" applyBorder="1" applyAlignment="1">
      <alignment horizontal="center" vertical="center" wrapText="1"/>
    </xf>
    <xf numFmtId="4" fontId="53" fillId="0" borderId="196" xfId="147" applyNumberFormat="1" applyFont="1" applyFill="1" applyBorder="1" applyAlignment="1">
      <alignment horizontal="center" vertical="center" wrapText="1"/>
    </xf>
    <xf numFmtId="4" fontId="53" fillId="0" borderId="197" xfId="147" applyNumberFormat="1" applyFont="1" applyFill="1" applyBorder="1" applyAlignment="1">
      <alignment horizontal="center" vertical="center" wrapText="1"/>
    </xf>
    <xf numFmtId="1" fontId="53" fillId="0" borderId="197" xfId="147" applyNumberFormat="1" applyFont="1" applyBorder="1" applyAlignment="1">
      <alignment horizontal="center" vertical="center" wrapText="1"/>
    </xf>
    <xf numFmtId="4" fontId="53" fillId="0" borderId="194" xfId="147" applyNumberFormat="1" applyFont="1" applyBorder="1" applyAlignment="1">
      <alignment horizontal="center" vertical="center" wrapText="1"/>
    </xf>
    <xf numFmtId="4" fontId="53" fillId="0" borderId="196" xfId="147" applyNumberFormat="1" applyFont="1" applyBorder="1" applyAlignment="1">
      <alignment horizontal="center" vertical="center" wrapText="1"/>
    </xf>
    <xf numFmtId="169" fontId="53" fillId="0" borderId="154" xfId="147" applyNumberFormat="1" applyFont="1" applyFill="1" applyBorder="1" applyAlignment="1">
      <alignment horizontal="center" vertical="center" wrapText="1"/>
    </xf>
    <xf numFmtId="4" fontId="53" fillId="0" borderId="157" xfId="147" applyNumberFormat="1" applyFont="1" applyBorder="1" applyAlignment="1">
      <alignment horizontal="center" vertical="center" wrapText="1"/>
    </xf>
    <xf numFmtId="9" fontId="53" fillId="0" borderId="197" xfId="147" applyNumberFormat="1" applyFont="1" applyBorder="1" applyAlignment="1">
      <alignment horizontal="center" vertical="center" wrapText="1"/>
    </xf>
    <xf numFmtId="9" fontId="53" fillId="0" borderId="161" xfId="147" applyNumberFormat="1" applyFont="1" applyBorder="1" applyAlignment="1">
      <alignment horizontal="center" vertical="center" wrapText="1"/>
    </xf>
    <xf numFmtId="3" fontId="52" fillId="42" borderId="52" xfId="147" applyNumberFormat="1" applyFont="1" applyFill="1" applyBorder="1" applyAlignment="1">
      <alignment horizontal="center" vertical="center" wrapText="1"/>
    </xf>
    <xf numFmtId="4" fontId="52" fillId="42" borderId="77" xfId="147" applyNumberFormat="1" applyFont="1" applyFill="1" applyBorder="1" applyAlignment="1">
      <alignment horizontal="center" vertical="center" wrapText="1"/>
    </xf>
    <xf numFmtId="0" fontId="11" fillId="0" borderId="0" xfId="147" applyFont="1"/>
    <xf numFmtId="0" fontId="11" fillId="0" borderId="193" xfId="147" applyFont="1" applyBorder="1" applyAlignment="1">
      <alignment horizontal="center"/>
    </xf>
    <xf numFmtId="166" fontId="11" fillId="0" borderId="193" xfId="147" applyNumberFormat="1" applyFont="1" applyBorder="1" applyAlignment="1">
      <alignment horizontal="center"/>
    </xf>
    <xf numFmtId="43" fontId="0" fillId="0" borderId="0" xfId="0" applyNumberFormat="1"/>
    <xf numFmtId="10" fontId="15" fillId="0" borderId="200" xfId="85" applyNumberFormat="1" applyFont="1" applyFill="1" applyBorder="1" applyAlignment="1">
      <alignment vertical="center"/>
    </xf>
    <xf numFmtId="10" fontId="15" fillId="0" borderId="0" xfId="85" applyNumberFormat="1" applyFont="1" applyFill="1" applyBorder="1" applyAlignment="1">
      <alignment vertical="center"/>
    </xf>
    <xf numFmtId="0" fontId="113" fillId="0" borderId="0" xfId="147" applyFont="1"/>
    <xf numFmtId="0" fontId="114" fillId="0" borderId="0" xfId="147" applyFont="1"/>
    <xf numFmtId="0" fontId="115" fillId="0" borderId="0" xfId="147" applyFont="1"/>
    <xf numFmtId="0" fontId="115" fillId="0" borderId="201" xfId="147" applyFont="1" applyBorder="1"/>
    <xf numFmtId="0" fontId="115" fillId="0" borderId="11" xfId="147" applyFont="1" applyBorder="1"/>
    <xf numFmtId="0" fontId="115" fillId="0" borderId="193" xfId="147" applyFont="1" applyBorder="1"/>
    <xf numFmtId="0" fontId="115" fillId="0" borderId="193" xfId="147" applyFont="1" applyBorder="1" applyAlignment="1">
      <alignment horizontal="center"/>
    </xf>
    <xf numFmtId="0" fontId="114" fillId="0" borderId="193" xfId="147" applyFont="1" applyBorder="1"/>
    <xf numFmtId="0" fontId="114" fillId="0" borderId="193" xfId="147" applyFont="1" applyBorder="1" applyAlignment="1">
      <alignment horizontal="center"/>
    </xf>
    <xf numFmtId="0" fontId="114" fillId="0" borderId="61" xfId="147" applyFont="1" applyFill="1" applyBorder="1"/>
    <xf numFmtId="0" fontId="115" fillId="0" borderId="0" xfId="147" applyFont="1" applyAlignment="1">
      <alignment horizontal="center"/>
    </xf>
    <xf numFmtId="0" fontId="115" fillId="0" borderId="193" xfId="147" applyFont="1" applyBorder="1" applyAlignment="1">
      <alignment horizontal="right"/>
    </xf>
    <xf numFmtId="0" fontId="114" fillId="0" borderId="193" xfId="147" applyFont="1" applyFill="1" applyBorder="1"/>
    <xf numFmtId="0" fontId="4" fillId="0" borderId="193" xfId="147" applyBorder="1"/>
    <xf numFmtId="0" fontId="114" fillId="0" borderId="193" xfId="147" applyFont="1" applyFill="1" applyBorder="1" applyAlignment="1">
      <alignment horizontal="center"/>
    </xf>
    <xf numFmtId="0" fontId="113" fillId="0" borderId="193" xfId="147" applyFont="1" applyBorder="1"/>
    <xf numFmtId="0" fontId="113" fillId="0" borderId="193" xfId="147" applyFont="1" applyFill="1" applyBorder="1"/>
    <xf numFmtId="0" fontId="116" fillId="0" borderId="193" xfId="147" applyFont="1" applyBorder="1"/>
    <xf numFmtId="0" fontId="115" fillId="0" borderId="193" xfId="147" applyFont="1" applyFill="1" applyBorder="1"/>
    <xf numFmtId="0" fontId="115" fillId="0" borderId="193" xfId="147" applyFont="1" applyFill="1" applyBorder="1" applyAlignment="1">
      <alignment horizontal="center"/>
    </xf>
    <xf numFmtId="0" fontId="117" fillId="0" borderId="193" xfId="147" applyFont="1" applyFill="1" applyBorder="1"/>
    <xf numFmtId="0" fontId="117" fillId="0" borderId="193" xfId="147" applyFont="1" applyBorder="1"/>
    <xf numFmtId="167" fontId="117" fillId="0" borderId="193" xfId="147" applyNumberFormat="1" applyFont="1" applyBorder="1"/>
    <xf numFmtId="0" fontId="116" fillId="0" borderId="193" xfId="147" applyFont="1" applyFill="1" applyBorder="1"/>
    <xf numFmtId="0" fontId="110" fillId="0" borderId="193" xfId="147" applyFont="1" applyBorder="1"/>
    <xf numFmtId="0" fontId="115" fillId="0" borderId="193" xfId="147" applyFont="1" applyBorder="1" applyAlignment="1">
      <alignment horizontal="left"/>
    </xf>
    <xf numFmtId="0" fontId="114" fillId="0" borderId="193" xfId="147" applyFont="1" applyBorder="1" applyAlignment="1">
      <alignment horizontal="left"/>
    </xf>
    <xf numFmtId="0" fontId="4" fillId="0" borderId="193" xfId="147" applyBorder="1" applyAlignment="1">
      <alignment horizontal="left"/>
    </xf>
    <xf numFmtId="0" fontId="116" fillId="0" borderId="193" xfId="147" applyFont="1" applyBorder="1" applyAlignment="1">
      <alignment horizontal="left"/>
    </xf>
    <xf numFmtId="0" fontId="117" fillId="0" borderId="193" xfId="147" applyFont="1" applyBorder="1" applyAlignment="1">
      <alignment horizontal="left"/>
    </xf>
    <xf numFmtId="0" fontId="118" fillId="0" borderId="193" xfId="147" applyFont="1" applyFill="1" applyBorder="1"/>
    <xf numFmtId="0" fontId="118" fillId="0" borderId="193" xfId="147" applyFont="1" applyBorder="1"/>
    <xf numFmtId="0" fontId="116" fillId="0" borderId="193" xfId="147" applyFont="1" applyFill="1" applyBorder="1" applyAlignment="1">
      <alignment horizontal="left"/>
    </xf>
    <xf numFmtId="0" fontId="115" fillId="0" borderId="201" xfId="147" applyFont="1" applyBorder="1" applyAlignment="1">
      <alignment horizontal="center"/>
    </xf>
    <xf numFmtId="0" fontId="115" fillId="0" borderId="11" xfId="147" applyFont="1" applyBorder="1" applyAlignment="1">
      <alignment horizontal="center"/>
    </xf>
    <xf numFmtId="0" fontId="4" fillId="0" borderId="193" xfId="147" applyBorder="1" applyAlignment="1">
      <alignment horizontal="center"/>
    </xf>
    <xf numFmtId="0" fontId="116" fillId="0" borderId="193" xfId="147" applyFont="1" applyBorder="1" applyAlignment="1">
      <alignment horizontal="center"/>
    </xf>
    <xf numFmtId="0" fontId="110" fillId="0" borderId="193" xfId="147" applyFont="1" applyBorder="1" applyAlignment="1">
      <alignment horizontal="center"/>
    </xf>
    <xf numFmtId="0" fontId="117" fillId="0" borderId="193" xfId="147" applyFont="1" applyBorder="1" applyAlignment="1">
      <alignment horizontal="center"/>
    </xf>
    <xf numFmtId="0" fontId="116" fillId="0" borderId="193" xfId="147" applyFont="1" applyBorder="1" applyAlignment="1">
      <alignment horizontal="center" wrapText="1"/>
    </xf>
    <xf numFmtId="0" fontId="119" fillId="0" borderId="193" xfId="147" applyFont="1" applyFill="1" applyBorder="1"/>
    <xf numFmtId="0" fontId="116" fillId="0" borderId="193" xfId="147" applyFont="1" applyBorder="1" applyAlignment="1">
      <alignment horizontal="left" wrapText="1"/>
    </xf>
    <xf numFmtId="0" fontId="116" fillId="0" borderId="193" xfId="147" applyFont="1" applyBorder="1" applyAlignment="1">
      <alignment wrapText="1"/>
    </xf>
    <xf numFmtId="2" fontId="116" fillId="0" borderId="193" xfId="147" applyNumberFormat="1" applyFont="1" applyBorder="1"/>
    <xf numFmtId="2" fontId="117" fillId="0" borderId="193" xfId="147" applyNumberFormat="1" applyFont="1" applyBorder="1"/>
    <xf numFmtId="2" fontId="110" fillId="0" borderId="193" xfId="147" applyNumberFormat="1" applyFont="1" applyBorder="1"/>
    <xf numFmtId="165" fontId="58" fillId="0" borderId="92" xfId="0" applyNumberFormat="1" applyFont="1" applyFill="1" applyBorder="1" applyAlignment="1">
      <alignment horizontal="center" vertical="center"/>
    </xf>
    <xf numFmtId="165" fontId="58" fillId="0" borderId="22" xfId="0" applyNumberFormat="1" applyFont="1" applyFill="1" applyBorder="1" applyAlignment="1">
      <alignment horizontal="center" vertical="center"/>
    </xf>
    <xf numFmtId="0" fontId="112" fillId="0" borderId="202" xfId="147" applyFont="1" applyBorder="1" applyAlignment="1">
      <alignment wrapText="1"/>
    </xf>
    <xf numFmtId="0" fontId="112" fillId="0" borderId="202" xfId="147" applyFont="1" applyBorder="1" applyAlignment="1">
      <alignment horizontal="center" wrapText="1"/>
    </xf>
    <xf numFmtId="4" fontId="112" fillId="0" borderId="202" xfId="147" applyNumberFormat="1" applyFont="1" applyBorder="1"/>
    <xf numFmtId="0" fontId="112" fillId="0" borderId="202" xfId="147" applyFont="1" applyBorder="1" applyAlignment="1">
      <alignment horizontal="center"/>
    </xf>
    <xf numFmtId="0" fontId="46" fillId="0" borderId="202" xfId="79" applyFont="1" applyFill="1" applyBorder="1" applyAlignment="1">
      <alignment horizontal="center" vertical="center"/>
    </xf>
    <xf numFmtId="168" fontId="46" fillId="0" borderId="202" xfId="79" applyNumberFormat="1" applyFont="1" applyFill="1" applyBorder="1" applyAlignment="1">
      <alignment horizontal="center" vertical="center"/>
    </xf>
    <xf numFmtId="168" fontId="49" fillId="0" borderId="189" xfId="79" applyNumberFormat="1" applyFont="1" applyFill="1" applyBorder="1" applyAlignment="1">
      <alignment horizontal="center" vertical="center"/>
    </xf>
    <xf numFmtId="0" fontId="46" fillId="0" borderId="195" xfId="79" applyFont="1" applyFill="1" applyBorder="1" applyAlignment="1">
      <alignment horizontal="center" vertical="center"/>
    </xf>
    <xf numFmtId="0" fontId="46" fillId="0" borderId="196" xfId="79" applyFont="1" applyFill="1" applyBorder="1" applyAlignment="1">
      <alignment horizontal="center" vertical="center"/>
    </xf>
    <xf numFmtId="10" fontId="46" fillId="0" borderId="195" xfId="79" applyNumberFormat="1" applyFont="1" applyFill="1" applyBorder="1" applyAlignment="1">
      <alignment horizontal="center" vertical="center"/>
    </xf>
    <xf numFmtId="10" fontId="46" fillId="0" borderId="202" xfId="85" applyNumberFormat="1" applyFont="1" applyFill="1" applyBorder="1" applyAlignment="1">
      <alignment horizontal="center" vertical="center"/>
    </xf>
    <xf numFmtId="168" fontId="46" fillId="0" borderId="196" xfId="79" applyNumberFormat="1" applyFont="1" applyFill="1" applyBorder="1" applyAlignment="1">
      <alignment horizontal="center" vertical="center"/>
    </xf>
    <xf numFmtId="10" fontId="49" fillId="0" borderId="188" xfId="79" applyNumberFormat="1" applyFont="1" applyFill="1" applyBorder="1" applyAlignment="1">
      <alignment horizontal="center" vertical="center"/>
    </xf>
    <xf numFmtId="0" fontId="58" fillId="0" borderId="202" xfId="0" applyFont="1" applyBorder="1" applyAlignment="1">
      <alignment horizontal="center" vertical="center"/>
    </xf>
    <xf numFmtId="167" fontId="58" fillId="0" borderId="202" xfId="0" applyNumberFormat="1" applyFont="1" applyBorder="1" applyAlignment="1">
      <alignment horizontal="center" vertical="center"/>
    </xf>
    <xf numFmtId="167" fontId="59" fillId="0" borderId="196" xfId="0" applyNumberFormat="1" applyFont="1" applyBorder="1" applyAlignment="1">
      <alignment horizontal="center" vertical="center"/>
    </xf>
    <xf numFmtId="4" fontId="58" fillId="0" borderId="206" xfId="0" applyNumberFormat="1" applyFont="1" applyBorder="1" applyAlignment="1">
      <alignment horizontal="center" vertical="center"/>
    </xf>
    <xf numFmtId="4" fontId="59" fillId="0" borderId="202" xfId="0" applyNumberFormat="1" applyFont="1" applyBorder="1" applyAlignment="1">
      <alignment horizontal="center" vertical="center"/>
    </xf>
    <xf numFmtId="4" fontId="58" fillId="0" borderId="202" xfId="0" applyNumberFormat="1" applyFont="1" applyBorder="1" applyAlignment="1">
      <alignment horizontal="center" vertical="center"/>
    </xf>
    <xf numFmtId="4" fontId="58" fillId="0" borderId="0" xfId="0" applyNumberFormat="1" applyFont="1" applyBorder="1" applyAlignment="1">
      <alignment horizontal="center" vertical="center"/>
    </xf>
    <xf numFmtId="4" fontId="58" fillId="25" borderId="207" xfId="0" applyNumberFormat="1" applyFont="1" applyFill="1" applyBorder="1" applyAlignment="1">
      <alignment horizontal="center" vertical="center"/>
    </xf>
    <xf numFmtId="169" fontId="58" fillId="0" borderId="202" xfId="85" applyNumberFormat="1" applyFont="1" applyFill="1" applyBorder="1" applyAlignment="1">
      <alignment vertical="center"/>
    </xf>
    <xf numFmtId="4" fontId="58" fillId="0" borderId="202" xfId="0" applyNumberFormat="1" applyFont="1" applyFill="1" applyBorder="1" applyAlignment="1">
      <alignment horizontal="center" vertical="center"/>
    </xf>
    <xf numFmtId="4" fontId="58" fillId="0" borderId="207" xfId="0" applyNumberFormat="1" applyFont="1" applyFill="1" applyBorder="1" applyAlignment="1">
      <alignment horizontal="center" vertical="center"/>
    </xf>
    <xf numFmtId="169" fontId="58" fillId="0" borderId="202" xfId="85" applyNumberFormat="1" applyFont="1" applyBorder="1" applyAlignment="1">
      <alignment vertical="center"/>
    </xf>
    <xf numFmtId="0" fontId="58" fillId="0" borderId="34" xfId="0" applyFont="1" applyBorder="1" applyAlignment="1">
      <alignment vertical="center"/>
    </xf>
    <xf numFmtId="4" fontId="58" fillId="0" borderId="37" xfId="0" applyNumberFormat="1" applyFont="1" applyBorder="1" applyAlignment="1">
      <alignment horizontal="center" vertical="center"/>
    </xf>
    <xf numFmtId="167" fontId="59" fillId="0" borderId="11" xfId="0" applyNumberFormat="1" applyFont="1" applyBorder="1" applyAlignment="1">
      <alignment horizontal="center" vertical="center"/>
    </xf>
    <xf numFmtId="4" fontId="58" fillId="0" borderId="11" xfId="0" applyNumberFormat="1" applyFont="1" applyBorder="1" applyAlignment="1">
      <alignment horizontal="center" vertical="center"/>
    </xf>
    <xf numFmtId="4" fontId="58" fillId="0" borderId="38" xfId="0" applyNumberFormat="1" applyFont="1" applyBorder="1" applyAlignment="1">
      <alignment horizontal="center" vertical="center"/>
    </xf>
    <xf numFmtId="169" fontId="58" fillId="0" borderId="11" xfId="85" applyNumberFormat="1" applyFont="1" applyBorder="1" applyAlignment="1">
      <alignment horizontal="center" vertical="center"/>
    </xf>
    <xf numFmtId="0" fontId="58" fillId="0" borderId="47" xfId="0" applyFont="1" applyBorder="1" applyAlignment="1">
      <alignment vertical="center"/>
    </xf>
    <xf numFmtId="0" fontId="58" fillId="0" borderId="0" xfId="0" applyFont="1" applyBorder="1" applyAlignment="1">
      <alignment vertical="center"/>
    </xf>
    <xf numFmtId="0" fontId="58" fillId="0" borderId="55" xfId="0" applyFont="1" applyBorder="1" applyAlignment="1">
      <alignment vertical="center"/>
    </xf>
    <xf numFmtId="0" fontId="3" fillId="0" borderId="202" xfId="149" applyBorder="1" applyAlignment="1">
      <alignment wrapText="1"/>
    </xf>
    <xf numFmtId="0" fontId="3" fillId="0" borderId="0" xfId="149"/>
    <xf numFmtId="0" fontId="110" fillId="0" borderId="202" xfId="149" applyFont="1" applyBorder="1" applyAlignment="1">
      <alignment horizontal="center"/>
    </xf>
    <xf numFmtId="4" fontId="3" fillId="0" borderId="202" xfId="149" applyNumberFormat="1" applyBorder="1"/>
    <xf numFmtId="0" fontId="3" fillId="0" borderId="202" xfId="149" applyBorder="1"/>
    <xf numFmtId="4" fontId="110" fillId="0" borderId="202" xfId="149" applyNumberFormat="1" applyFont="1" applyBorder="1"/>
    <xf numFmtId="0" fontId="110" fillId="0" borderId="207" xfId="149" applyFont="1" applyBorder="1" applyAlignment="1">
      <alignment horizontal="center"/>
    </xf>
    <xf numFmtId="4" fontId="3" fillId="0" borderId="207" xfId="149" applyNumberFormat="1" applyBorder="1"/>
    <xf numFmtId="4" fontId="110" fillId="0" borderId="207" xfId="149" applyNumberFormat="1" applyFont="1" applyBorder="1"/>
    <xf numFmtId="0" fontId="3" fillId="0" borderId="207" xfId="149" applyBorder="1"/>
    <xf numFmtId="0" fontId="122" fillId="0" borderId="202" xfId="149" applyFont="1" applyBorder="1" applyAlignment="1">
      <alignment wrapText="1"/>
    </xf>
    <xf numFmtId="4" fontId="122" fillId="0" borderId="202" xfId="149" applyNumberFormat="1" applyFont="1" applyBorder="1"/>
    <xf numFmtId="4" fontId="122" fillId="0" borderId="207" xfId="149" applyNumberFormat="1" applyFont="1" applyBorder="1"/>
    <xf numFmtId="0" fontId="122" fillId="0" borderId="202" xfId="149" applyFont="1" applyBorder="1"/>
    <xf numFmtId="0" fontId="122" fillId="0" borderId="0" xfId="149" applyFont="1"/>
    <xf numFmtId="3" fontId="0" fillId="0" borderId="0" xfId="0" applyNumberFormat="1"/>
    <xf numFmtId="4" fontId="99" fillId="0" borderId="103" xfId="0" applyNumberFormat="1" applyFont="1" applyFill="1" applyBorder="1" applyAlignment="1">
      <alignment horizontal="center" vertical="center"/>
    </xf>
    <xf numFmtId="4" fontId="99" fillId="0" borderId="102" xfId="0" applyNumberFormat="1" applyFont="1" applyFill="1" applyBorder="1" applyAlignment="1">
      <alignment vertical="center"/>
    </xf>
    <xf numFmtId="0" fontId="6" fillId="0" borderId="202" xfId="0" applyFont="1" applyBorder="1" applyAlignment="1">
      <alignment horizontal="center" vertical="center" wrapText="1"/>
    </xf>
    <xf numFmtId="4" fontId="11" fillId="0" borderId="202" xfId="79" applyNumberFormat="1" applyFont="1" applyFill="1" applyBorder="1" applyAlignment="1">
      <alignment horizontal="center" vertical="center"/>
    </xf>
    <xf numFmtId="169" fontId="11" fillId="0" borderId="202" xfId="85" applyNumberFormat="1" applyFont="1" applyFill="1" applyBorder="1" applyAlignment="1">
      <alignment horizontal="center" vertical="center"/>
    </xf>
    <xf numFmtId="167" fontId="46" fillId="0" borderId="195" xfId="79" applyNumberFormat="1" applyFont="1" applyFill="1" applyBorder="1" applyAlignment="1">
      <alignment horizontal="center" vertical="center"/>
    </xf>
    <xf numFmtId="168" fontId="46" fillId="0" borderId="195" xfId="79" applyNumberFormat="1" applyFont="1" applyFill="1" applyBorder="1" applyAlignment="1">
      <alignment horizontal="center" vertical="center"/>
    </xf>
    <xf numFmtId="169" fontId="47" fillId="0" borderId="195" xfId="85" applyNumberFormat="1" applyFont="1" applyFill="1" applyBorder="1" applyAlignment="1">
      <alignment horizontal="center" vertical="center"/>
    </xf>
    <xf numFmtId="169" fontId="47" fillId="0" borderId="11" xfId="85" applyNumberFormat="1" applyFont="1" applyFill="1" applyBorder="1" applyAlignment="1">
      <alignment horizontal="center" vertical="center"/>
    </xf>
    <xf numFmtId="0" fontId="46" fillId="0" borderId="43" xfId="79" applyFont="1" applyFill="1" applyBorder="1" applyAlignment="1">
      <alignment vertical="center" wrapText="1"/>
    </xf>
    <xf numFmtId="0" fontId="0" fillId="0" borderId="202" xfId="0" applyBorder="1"/>
    <xf numFmtId="0" fontId="6" fillId="0" borderId="202" xfId="0" applyFont="1" applyFill="1" applyBorder="1"/>
    <xf numFmtId="0" fontId="0" fillId="0" borderId="202" xfId="0" applyFill="1" applyBorder="1"/>
    <xf numFmtId="0" fontId="0" fillId="0" borderId="202" xfId="0" applyFont="1" applyBorder="1"/>
    <xf numFmtId="4" fontId="0" fillId="0" borderId="202" xfId="0" applyNumberFormat="1" applyFont="1" applyBorder="1"/>
    <xf numFmtId="0" fontId="6" fillId="0" borderId="202" xfId="0" applyFont="1" applyBorder="1"/>
    <xf numFmtId="4" fontId="6" fillId="0" borderId="202" xfId="0" applyNumberFormat="1" applyFont="1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4" fontId="0" fillId="0" borderId="202" xfId="0" applyNumberFormat="1" applyBorder="1" applyAlignment="1">
      <alignment horizontal="center" vertical="center"/>
    </xf>
    <xf numFmtId="2" fontId="103" fillId="35" borderId="169" xfId="96" applyNumberFormat="1" applyFont="1" applyFill="1" applyBorder="1"/>
    <xf numFmtId="169" fontId="90" fillId="0" borderId="0" xfId="85" applyNumberFormat="1" applyFont="1" applyFill="1" applyBorder="1" applyAlignment="1">
      <alignment horizontal="center"/>
    </xf>
    <xf numFmtId="0" fontId="48" fillId="0" borderId="0" xfId="0" applyFont="1" applyAlignment="1">
      <alignment vertical="center"/>
    </xf>
    <xf numFmtId="169" fontId="59" fillId="0" borderId="11" xfId="0" applyNumberFormat="1" applyFont="1" applyFill="1" applyBorder="1" applyAlignment="1">
      <alignment horizontal="center" vertical="center" wrapText="1"/>
    </xf>
    <xf numFmtId="169" fontId="59" fillId="0" borderId="102" xfId="0" applyNumberFormat="1" applyFont="1" applyFill="1" applyBorder="1" applyAlignment="1">
      <alignment horizontal="center" vertical="center" wrapText="1"/>
    </xf>
    <xf numFmtId="169" fontId="81" fillId="0" borderId="102" xfId="0" applyNumberFormat="1" applyFont="1" applyFill="1" applyBorder="1" applyAlignment="1">
      <alignment horizontal="center" vertical="center" wrapText="1"/>
    </xf>
    <xf numFmtId="169" fontId="81" fillId="0" borderId="169" xfId="0" applyNumberFormat="1" applyFont="1" applyFill="1" applyBorder="1" applyAlignment="1">
      <alignment horizontal="center" vertical="center" wrapText="1"/>
    </xf>
    <xf numFmtId="169" fontId="81" fillId="0" borderId="96" xfId="0" applyNumberFormat="1" applyFont="1" applyFill="1" applyBorder="1" applyAlignment="1">
      <alignment horizontal="center" vertical="center" wrapText="1"/>
    </xf>
    <xf numFmtId="4" fontId="48" fillId="0" borderId="0" xfId="0" applyNumberFormat="1" applyFont="1"/>
    <xf numFmtId="169" fontId="59" fillId="0" borderId="17" xfId="0" applyNumberFormat="1" applyFont="1" applyFill="1" applyBorder="1" applyAlignment="1">
      <alignment horizontal="center" vertical="center" wrapText="1"/>
    </xf>
    <xf numFmtId="169" fontId="59" fillId="0" borderId="179" xfId="0" applyNumberFormat="1" applyFont="1" applyFill="1" applyBorder="1" applyAlignment="1">
      <alignment horizontal="center" vertical="center" wrapText="1"/>
    </xf>
    <xf numFmtId="0" fontId="59" fillId="0" borderId="0" xfId="0" applyFont="1"/>
    <xf numFmtId="169" fontId="59" fillId="0" borderId="17" xfId="85" applyNumberFormat="1" applyFont="1" applyBorder="1"/>
    <xf numFmtId="169" fontId="59" fillId="0" borderId="11" xfId="85" applyNumberFormat="1" applyFont="1" applyBorder="1"/>
    <xf numFmtId="169" fontId="59" fillId="0" borderId="202" xfId="85" applyNumberFormat="1" applyFont="1" applyBorder="1"/>
    <xf numFmtId="0" fontId="58" fillId="0" borderId="212" xfId="0" applyFont="1" applyFill="1" applyBorder="1" applyAlignment="1">
      <alignment horizontal="center" vertical="center" wrapText="1"/>
    </xf>
    <xf numFmtId="0" fontId="58" fillId="0" borderId="217" xfId="0" applyFont="1" applyFill="1" applyBorder="1" applyAlignment="1">
      <alignment horizontal="center" vertical="center" wrapText="1"/>
    </xf>
    <xf numFmtId="4" fontId="58" fillId="0" borderId="195" xfId="0" applyNumberFormat="1" applyFont="1" applyBorder="1"/>
    <xf numFmtId="4" fontId="58" fillId="0" borderId="202" xfId="0" applyNumberFormat="1" applyFont="1" applyBorder="1"/>
    <xf numFmtId="4" fontId="58" fillId="0" borderId="196" xfId="0" applyNumberFormat="1" applyFont="1" applyBorder="1"/>
    <xf numFmtId="4" fontId="15" fillId="0" borderId="195" xfId="0" applyNumberFormat="1" applyFont="1" applyBorder="1"/>
    <xf numFmtId="4" fontId="15" fillId="0" borderId="202" xfId="0" applyNumberFormat="1" applyFont="1" applyBorder="1"/>
    <xf numFmtId="4" fontId="15" fillId="0" borderId="196" xfId="0" applyNumberFormat="1" applyFont="1" applyBorder="1"/>
    <xf numFmtId="2" fontId="15" fillId="0" borderId="195" xfId="0" applyNumberFormat="1" applyFont="1" applyBorder="1"/>
    <xf numFmtId="2" fontId="15" fillId="0" borderId="202" xfId="0" applyNumberFormat="1" applyFont="1" applyBorder="1"/>
    <xf numFmtId="2" fontId="15" fillId="0" borderId="196" xfId="0" applyNumberFormat="1" applyFont="1" applyBorder="1"/>
    <xf numFmtId="0" fontId="12" fillId="0" borderId="0" xfId="0" applyFont="1" applyAlignment="1">
      <alignment vertical="center"/>
    </xf>
    <xf numFmtId="169" fontId="59" fillId="0" borderId="17" xfId="85" applyNumberFormat="1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/>
    </xf>
    <xf numFmtId="169" fontId="59" fillId="0" borderId="17" xfId="0" applyNumberFormat="1" applyFont="1" applyFill="1" applyBorder="1" applyAlignment="1">
      <alignment horizontal="center" vertical="center"/>
    </xf>
    <xf numFmtId="169" fontId="59" fillId="0" borderId="102" xfId="0" applyNumberFormat="1" applyFont="1" applyFill="1" applyBorder="1" applyAlignment="1">
      <alignment horizontal="center" vertical="center"/>
    </xf>
    <xf numFmtId="169" fontId="59" fillId="0" borderId="184" xfId="0" applyNumberFormat="1" applyFont="1" applyFill="1" applyBorder="1" applyAlignment="1">
      <alignment horizontal="center" vertical="center"/>
    </xf>
    <xf numFmtId="169" fontId="81" fillId="0" borderId="102" xfId="0" applyNumberFormat="1" applyFont="1" applyFill="1" applyBorder="1" applyAlignment="1">
      <alignment horizontal="center" vertical="center"/>
    </xf>
    <xf numFmtId="169" fontId="81" fillId="0" borderId="96" xfId="0" applyNumberFormat="1" applyFont="1" applyFill="1" applyBorder="1" applyAlignment="1">
      <alignment horizontal="center" vertical="center"/>
    </xf>
    <xf numFmtId="0" fontId="48" fillId="0" borderId="0" xfId="0" applyFont="1" applyFill="1"/>
    <xf numFmtId="4" fontId="81" fillId="0" borderId="102" xfId="0" applyNumberFormat="1" applyFont="1" applyFill="1" applyBorder="1" applyAlignment="1">
      <alignment horizontal="center" vertical="center"/>
    </xf>
    <xf numFmtId="4" fontId="81" fillId="0" borderId="169" xfId="0" applyNumberFormat="1" applyFont="1" applyFill="1" applyBorder="1" applyAlignment="1">
      <alignment horizontal="center" vertical="center"/>
    </xf>
    <xf numFmtId="4" fontId="81" fillId="0" borderId="96" xfId="0" applyNumberFormat="1" applyFont="1" applyFill="1" applyBorder="1" applyAlignment="1">
      <alignment horizontal="center" vertical="center"/>
    </xf>
    <xf numFmtId="2" fontId="46" fillId="39" borderId="169" xfId="96" applyNumberFormat="1" applyFont="1" applyFill="1" applyBorder="1"/>
    <xf numFmtId="2" fontId="46" fillId="39" borderId="169" xfId="96" applyNumberFormat="1" applyFont="1" applyFill="1" applyBorder="1" applyAlignment="1">
      <alignment horizontal="center"/>
    </xf>
    <xf numFmtId="4" fontId="125" fillId="0" borderId="105" xfId="0" applyNumberFormat="1" applyFont="1" applyFill="1" applyBorder="1" applyAlignment="1">
      <alignment horizontal="center" vertical="center"/>
    </xf>
    <xf numFmtId="169" fontId="126" fillId="0" borderId="102" xfId="0" applyNumberFormat="1" applyFont="1" applyFill="1" applyBorder="1" applyAlignment="1">
      <alignment horizontal="center" vertical="center" wrapText="1"/>
    </xf>
    <xf numFmtId="4" fontId="125" fillId="0" borderId="102" xfId="0" applyNumberFormat="1" applyFont="1" applyFill="1" applyBorder="1" applyAlignment="1">
      <alignment horizontal="center" vertical="center"/>
    </xf>
    <xf numFmtId="4" fontId="125" fillId="0" borderId="106" xfId="0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101" xfId="0" applyFont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0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58" fillId="0" borderId="27" xfId="0" applyFont="1" applyFill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2" fontId="15" fillId="0" borderId="92" xfId="0" applyNumberFormat="1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/>
    </xf>
    <xf numFmtId="2" fontId="58" fillId="0" borderId="92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/>
    </xf>
    <xf numFmtId="2" fontId="58" fillId="0" borderId="92" xfId="0" applyNumberFormat="1" applyFont="1" applyFill="1" applyBorder="1" applyAlignment="1">
      <alignment horizontal="center" vertical="center" wrapText="1"/>
    </xf>
    <xf numFmtId="2" fontId="58" fillId="0" borderId="102" xfId="0" applyNumberFormat="1" applyFont="1" applyBorder="1" applyAlignment="1">
      <alignment horizontal="center" vertical="center" wrapText="1"/>
    </xf>
    <xf numFmtId="2" fontId="15" fillId="0" borderId="102" xfId="0" applyNumberFormat="1" applyFont="1" applyBorder="1" applyAlignment="1">
      <alignment horizontal="center" vertical="center"/>
    </xf>
    <xf numFmtId="0" fontId="58" fillId="0" borderId="188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2" fillId="0" borderId="0" xfId="147" applyFont="1"/>
    <xf numFmtId="0" fontId="2" fillId="0" borderId="0" xfId="149" applyFont="1"/>
    <xf numFmtId="0" fontId="87" fillId="0" borderId="0" xfId="0" applyFont="1"/>
    <xf numFmtId="0" fontId="62" fillId="0" borderId="0" xfId="0" applyFont="1"/>
    <xf numFmtId="43" fontId="62" fillId="0" borderId="0" xfId="89" applyFont="1"/>
    <xf numFmtId="0" fontId="129" fillId="0" borderId="55" xfId="0" applyFont="1" applyBorder="1" applyAlignment="1">
      <alignment horizontal="right" vertical="top" wrapText="1"/>
    </xf>
    <xf numFmtId="43" fontId="129" fillId="0" borderId="55" xfId="89" applyFont="1" applyBorder="1" applyAlignment="1">
      <alignment horizontal="right" vertical="top" wrapText="1"/>
    </xf>
    <xf numFmtId="0" fontId="128" fillId="0" borderId="55" xfId="0" applyFont="1" applyBorder="1" applyAlignment="1">
      <alignment horizontal="right" vertical="top" wrapText="1"/>
    </xf>
    <xf numFmtId="43" fontId="128" fillId="0" borderId="55" xfId="89" applyFont="1" applyBorder="1" applyAlignment="1">
      <alignment horizontal="right" vertical="top" wrapText="1"/>
    </xf>
    <xf numFmtId="43" fontId="87" fillId="0" borderId="0" xfId="89" applyFont="1"/>
    <xf numFmtId="169" fontId="0" fillId="0" borderId="10" xfId="85" applyNumberFormat="1" applyFont="1" applyBorder="1" applyAlignment="1">
      <alignment wrapText="1"/>
    </xf>
    <xf numFmtId="0" fontId="58" fillId="27" borderId="101" xfId="0" applyFont="1" applyFill="1" applyBorder="1" applyAlignment="1">
      <alignment horizontal="center" vertical="center" wrapText="1"/>
    </xf>
    <xf numFmtId="0" fontId="58" fillId="27" borderId="188" xfId="0" applyFont="1" applyFill="1" applyBorder="1" applyAlignment="1">
      <alignment horizontal="center" vertical="center" wrapText="1"/>
    </xf>
    <xf numFmtId="0" fontId="58" fillId="27" borderId="189" xfId="0" applyFont="1" applyFill="1" applyBorder="1" applyAlignment="1">
      <alignment horizontal="center" vertical="center" wrapText="1"/>
    </xf>
    <xf numFmtId="0" fontId="58" fillId="0" borderId="189" xfId="0" applyFont="1" applyBorder="1" applyAlignment="1">
      <alignment horizontal="center" vertical="center" wrapText="1"/>
    </xf>
    <xf numFmtId="0" fontId="58" fillId="0" borderId="212" xfId="0" applyFont="1" applyBorder="1" applyAlignment="1">
      <alignment horizontal="center" vertical="center" wrapText="1"/>
    </xf>
    <xf numFmtId="0" fontId="58" fillId="24" borderId="216" xfId="0" applyFont="1" applyFill="1" applyBorder="1" applyAlignment="1">
      <alignment horizontal="center" vertical="center" wrapText="1"/>
    </xf>
    <xf numFmtId="0" fontId="58" fillId="24" borderId="212" xfId="0" applyFont="1" applyFill="1" applyBorder="1" applyAlignment="1">
      <alignment horizontal="center" vertical="center" wrapText="1"/>
    </xf>
    <xf numFmtId="0" fontId="58" fillId="24" borderId="217" xfId="0" applyFont="1" applyFill="1" applyBorder="1" applyAlignment="1">
      <alignment horizontal="center" vertical="center" wrapText="1"/>
    </xf>
    <xf numFmtId="0" fontId="58" fillId="24" borderId="205" xfId="0" applyFont="1" applyFill="1" applyBorder="1" applyAlignment="1">
      <alignment horizontal="center" vertical="center" wrapText="1"/>
    </xf>
    <xf numFmtId="0" fontId="58" fillId="0" borderId="216" xfId="0" applyFont="1" applyFill="1" applyBorder="1" applyAlignment="1">
      <alignment horizontal="center" vertical="center" wrapText="1"/>
    </xf>
    <xf numFmtId="0" fontId="58" fillId="0" borderId="203" xfId="0" applyFont="1" applyFill="1" applyBorder="1" applyAlignment="1">
      <alignment horizontal="center" vertical="center" wrapText="1"/>
    </xf>
    <xf numFmtId="0" fontId="58" fillId="0" borderId="200" xfId="0" applyFont="1" applyFill="1" applyBorder="1" applyAlignment="1">
      <alignment horizontal="center" vertical="center" wrapText="1"/>
    </xf>
    <xf numFmtId="0" fontId="58" fillId="0" borderId="202" xfId="0" applyFont="1" applyFill="1" applyBorder="1"/>
    <xf numFmtId="0" fontId="15" fillId="0" borderId="195" xfId="0" applyFont="1" applyBorder="1" applyAlignment="1">
      <alignment horizontal="left" vertical="center"/>
    </xf>
    <xf numFmtId="0" fontId="15" fillId="0" borderId="196" xfId="0" applyFont="1" applyBorder="1" applyAlignment="1">
      <alignment wrapText="1"/>
    </xf>
    <xf numFmtId="1" fontId="15" fillId="0" borderId="215" xfId="0" applyNumberFormat="1" applyFont="1" applyBorder="1" applyAlignment="1">
      <alignment horizontal="right" vertical="center" indent="1"/>
    </xf>
    <xf numFmtId="3" fontId="15" fillId="0" borderId="202" xfId="0" applyNumberFormat="1" applyFont="1" applyBorder="1" applyAlignment="1">
      <alignment horizontal="right" vertical="center" indent="1"/>
    </xf>
    <xf numFmtId="168" fontId="15" fillId="0" borderId="196" xfId="0" applyNumberFormat="1" applyFont="1" applyBorder="1" applyAlignment="1">
      <alignment horizontal="right" vertical="center"/>
    </xf>
    <xf numFmtId="3" fontId="15" fillId="27" borderId="195" xfId="0" applyNumberFormat="1" applyFont="1" applyFill="1" applyBorder="1" applyAlignment="1">
      <alignment horizontal="right" vertical="center" indent="1"/>
    </xf>
    <xf numFmtId="3" fontId="15" fillId="27" borderId="202" xfId="0" applyNumberFormat="1" applyFont="1" applyFill="1" applyBorder="1" applyAlignment="1">
      <alignment horizontal="right" vertical="center" indent="1"/>
    </xf>
    <xf numFmtId="168" fontId="15" fillId="27" borderId="213" xfId="0" applyNumberFormat="1" applyFont="1" applyFill="1" applyBorder="1" applyAlignment="1">
      <alignment horizontal="right" vertical="center"/>
    </xf>
    <xf numFmtId="1" fontId="15" fillId="0" borderId="195" xfId="0" applyNumberFormat="1" applyFont="1" applyBorder="1" applyAlignment="1">
      <alignment horizontal="right" vertical="center" indent="1"/>
    </xf>
    <xf numFmtId="169" fontId="15" fillId="0" borderId="202" xfId="0" applyNumberFormat="1" applyFont="1" applyBorder="1" applyAlignment="1">
      <alignment horizontal="center" vertical="center" wrapText="1"/>
    </xf>
    <xf numFmtId="168" fontId="15" fillId="0" borderId="213" xfId="0" applyNumberFormat="1" applyFont="1" applyBorder="1" applyAlignment="1">
      <alignment horizontal="right" vertical="center"/>
    </xf>
    <xf numFmtId="168" fontId="15" fillId="0" borderId="214" xfId="0" applyNumberFormat="1" applyFont="1" applyBorder="1" applyAlignment="1">
      <alignment horizontal="center" vertical="center"/>
    </xf>
    <xf numFmtId="3" fontId="15" fillId="0" borderId="202" xfId="0" applyNumberFormat="1" applyFont="1" applyBorder="1" applyAlignment="1">
      <alignment horizontal="center" vertical="center"/>
    </xf>
    <xf numFmtId="0" fontId="15" fillId="0" borderId="195" xfId="0" applyFont="1" applyBorder="1" applyAlignment="1">
      <alignment horizontal="center" vertical="center"/>
    </xf>
    <xf numFmtId="1" fontId="15" fillId="0" borderId="202" xfId="0" applyNumberFormat="1" applyFont="1" applyBorder="1" applyAlignment="1">
      <alignment horizontal="center" vertical="center"/>
    </xf>
    <xf numFmtId="167" fontId="15" fillId="0" borderId="196" xfId="0" applyNumberFormat="1" applyFont="1" applyBorder="1" applyAlignment="1">
      <alignment horizontal="center" vertical="center"/>
    </xf>
    <xf numFmtId="0" fontId="15" fillId="0" borderId="215" xfId="0" applyFont="1" applyBorder="1" applyAlignment="1">
      <alignment horizontal="center" vertical="center"/>
    </xf>
    <xf numFmtId="167" fontId="15" fillId="0" borderId="213" xfId="0" applyNumberFormat="1" applyFont="1" applyBorder="1" applyAlignment="1">
      <alignment horizontal="center" vertical="center"/>
    </xf>
    <xf numFmtId="1" fontId="15" fillId="0" borderId="195" xfId="0" applyNumberFormat="1" applyFont="1" applyFill="1" applyBorder="1" applyAlignment="1">
      <alignment horizontal="center" vertical="center"/>
    </xf>
    <xf numFmtId="3" fontId="15" fillId="0" borderId="202" xfId="0" applyNumberFormat="1" applyFont="1" applyFill="1" applyBorder="1" applyAlignment="1">
      <alignment horizontal="right" vertical="center" indent="1"/>
    </xf>
    <xf numFmtId="168" fontId="15" fillId="0" borderId="196" xfId="0" applyNumberFormat="1" applyFont="1" applyFill="1" applyBorder="1" applyAlignment="1">
      <alignment horizontal="right" vertical="center"/>
    </xf>
    <xf numFmtId="3" fontId="15" fillId="0" borderId="213" xfId="0" applyNumberFormat="1" applyFont="1" applyFill="1" applyBorder="1" applyAlignment="1">
      <alignment horizontal="right" vertical="center" indent="1"/>
    </xf>
    <xf numFmtId="1" fontId="15" fillId="0" borderId="195" xfId="0" applyNumberFormat="1" applyFont="1" applyFill="1" applyBorder="1" applyAlignment="1">
      <alignment horizontal="right" vertical="center" indent="1"/>
    </xf>
    <xf numFmtId="168" fontId="15" fillId="0" borderId="202" xfId="0" applyNumberFormat="1" applyFont="1" applyFill="1" applyBorder="1" applyAlignment="1">
      <alignment horizontal="right" vertical="center" indent="1"/>
    </xf>
    <xf numFmtId="168" fontId="15" fillId="0" borderId="202" xfId="0" applyNumberFormat="1" applyFont="1" applyFill="1" applyBorder="1" applyAlignment="1">
      <alignment horizontal="right" vertical="center"/>
    </xf>
    <xf numFmtId="168" fontId="15" fillId="0" borderId="196" xfId="0" applyNumberFormat="1" applyFont="1" applyFill="1" applyBorder="1" applyAlignment="1">
      <alignment horizontal="right" vertical="center" indent="1"/>
    </xf>
    <xf numFmtId="168" fontId="15" fillId="0" borderId="213" xfId="0" applyNumberFormat="1" applyFont="1" applyFill="1" applyBorder="1" applyAlignment="1">
      <alignment horizontal="right" vertical="center" indent="1"/>
    </xf>
    <xf numFmtId="168" fontId="15" fillId="0" borderId="214" xfId="0" applyNumberFormat="1" applyFont="1" applyFill="1" applyBorder="1" applyAlignment="1">
      <alignment horizontal="right" vertical="center"/>
    </xf>
    <xf numFmtId="168" fontId="15" fillId="0" borderId="213" xfId="0" applyNumberFormat="1" applyFont="1" applyFill="1" applyBorder="1" applyAlignment="1">
      <alignment horizontal="right" vertical="center"/>
    </xf>
    <xf numFmtId="164" fontId="80" fillId="0" borderId="191" xfId="0" applyNumberFormat="1" applyFont="1" applyBorder="1"/>
    <xf numFmtId="0" fontId="58" fillId="0" borderId="195" xfId="0" applyFont="1" applyBorder="1" applyAlignment="1">
      <alignment horizontal="left" vertical="center"/>
    </xf>
    <xf numFmtId="0" fontId="58" fillId="0" borderId="196" xfId="0" applyFont="1" applyBorder="1"/>
    <xf numFmtId="1" fontId="58" fillId="0" borderId="215" xfId="0" applyNumberFormat="1" applyFont="1" applyBorder="1" applyAlignment="1">
      <alignment horizontal="right" vertical="center" indent="1"/>
    </xf>
    <xf numFmtId="3" fontId="58" fillId="0" borderId="202" xfId="0" applyNumberFormat="1" applyFont="1" applyBorder="1" applyAlignment="1">
      <alignment horizontal="right" vertical="center" indent="1"/>
    </xf>
    <xf numFmtId="168" fontId="58" fillId="0" borderId="196" xfId="0" applyNumberFormat="1" applyFont="1" applyBorder="1" applyAlignment="1">
      <alignment horizontal="right" vertical="center"/>
    </xf>
    <xf numFmtId="3" fontId="58" fillId="27" borderId="195" xfId="0" applyNumberFormat="1" applyFont="1" applyFill="1" applyBorder="1" applyAlignment="1">
      <alignment horizontal="right" vertical="center" indent="1"/>
    </xf>
    <xf numFmtId="3" fontId="58" fillId="27" borderId="202" xfId="0" applyNumberFormat="1" applyFont="1" applyFill="1" applyBorder="1" applyAlignment="1">
      <alignment horizontal="right" vertical="center" indent="1"/>
    </xf>
    <xf numFmtId="168" fontId="58" fillId="27" borderId="213" xfId="0" applyNumberFormat="1" applyFont="1" applyFill="1" applyBorder="1" applyAlignment="1">
      <alignment horizontal="right" vertical="center"/>
    </xf>
    <xf numFmtId="1" fontId="58" fillId="0" borderId="195" xfId="0" applyNumberFormat="1" applyFont="1" applyBorder="1" applyAlignment="1">
      <alignment horizontal="right" vertical="center" indent="1"/>
    </xf>
    <xf numFmtId="168" fontId="58" fillId="0" borderId="213" xfId="0" applyNumberFormat="1" applyFont="1" applyBorder="1" applyAlignment="1">
      <alignment horizontal="right" vertical="center"/>
    </xf>
    <xf numFmtId="1" fontId="58" fillId="0" borderId="214" xfId="0" applyNumberFormat="1" applyFont="1" applyBorder="1" applyAlignment="1">
      <alignment horizontal="center" vertical="center"/>
    </xf>
    <xf numFmtId="168" fontId="58" fillId="0" borderId="214" xfId="0" applyNumberFormat="1" applyFont="1" applyBorder="1" applyAlignment="1">
      <alignment horizontal="right" vertical="center"/>
    </xf>
    <xf numFmtId="0" fontId="58" fillId="0" borderId="195" xfId="0" applyFont="1" applyBorder="1" applyAlignment="1">
      <alignment horizontal="center" vertical="center"/>
    </xf>
    <xf numFmtId="1" fontId="58" fillId="0" borderId="202" xfId="0" applyNumberFormat="1" applyFont="1" applyBorder="1" applyAlignment="1">
      <alignment horizontal="center" vertical="center"/>
    </xf>
    <xf numFmtId="167" fontId="58" fillId="0" borderId="196" xfId="0" applyNumberFormat="1" applyFont="1" applyBorder="1" applyAlignment="1">
      <alignment horizontal="center" vertical="center"/>
    </xf>
    <xf numFmtId="0" fontId="58" fillId="0" borderId="215" xfId="0" applyFont="1" applyBorder="1" applyAlignment="1">
      <alignment horizontal="center" vertical="center"/>
    </xf>
    <xf numFmtId="1" fontId="58" fillId="0" borderId="202" xfId="0" applyNumberFormat="1" applyFont="1" applyFill="1" applyBorder="1" applyAlignment="1">
      <alignment horizontal="center" vertical="center"/>
    </xf>
    <xf numFmtId="167" fontId="58" fillId="0" borderId="213" xfId="0" applyNumberFormat="1" applyFont="1" applyBorder="1" applyAlignment="1">
      <alignment horizontal="center" vertical="center"/>
    </xf>
    <xf numFmtId="0" fontId="58" fillId="0" borderId="195" xfId="0" applyFont="1" applyFill="1" applyBorder="1" applyAlignment="1">
      <alignment horizontal="center" vertical="center"/>
    </xf>
    <xf numFmtId="168" fontId="58" fillId="0" borderId="196" xfId="0" applyNumberFormat="1" applyFont="1" applyFill="1" applyBorder="1" applyAlignment="1">
      <alignment horizontal="right" vertical="center"/>
    </xf>
    <xf numFmtId="3" fontId="58" fillId="0" borderId="213" xfId="0" applyNumberFormat="1" applyFont="1" applyFill="1" applyBorder="1" applyAlignment="1">
      <alignment horizontal="right" vertical="center" indent="1"/>
    </xf>
    <xf numFmtId="168" fontId="58" fillId="0" borderId="202" xfId="0" applyNumberFormat="1" applyFont="1" applyFill="1" applyBorder="1" applyAlignment="1">
      <alignment horizontal="right" vertical="center" indent="1"/>
    </xf>
    <xf numFmtId="168" fontId="58" fillId="0" borderId="202" xfId="0" applyNumberFormat="1" applyFont="1" applyFill="1" applyBorder="1" applyAlignment="1">
      <alignment horizontal="right" vertical="center"/>
    </xf>
    <xf numFmtId="168" fontId="58" fillId="0" borderId="196" xfId="0" applyNumberFormat="1" applyFont="1" applyFill="1" applyBorder="1" applyAlignment="1">
      <alignment horizontal="right" vertical="center" indent="1"/>
    </xf>
    <xf numFmtId="3" fontId="58" fillId="0" borderId="202" xfId="0" applyNumberFormat="1" applyFont="1" applyFill="1" applyBorder="1" applyAlignment="1">
      <alignment horizontal="center" vertical="center"/>
    </xf>
    <xf numFmtId="168" fontId="58" fillId="0" borderId="213" xfId="0" applyNumberFormat="1" applyFont="1" applyFill="1" applyBorder="1" applyAlignment="1">
      <alignment horizontal="right" vertical="center" indent="1"/>
    </xf>
    <xf numFmtId="168" fontId="58" fillId="0" borderId="214" xfId="0" applyNumberFormat="1" applyFont="1" applyFill="1" applyBorder="1" applyAlignment="1">
      <alignment horizontal="right" vertical="center"/>
    </xf>
    <xf numFmtId="168" fontId="58" fillId="0" borderId="213" xfId="0" applyNumberFormat="1" applyFont="1" applyFill="1" applyBorder="1" applyAlignment="1">
      <alignment horizontal="right" vertical="center"/>
    </xf>
    <xf numFmtId="167" fontId="58" fillId="0" borderId="195" xfId="0" applyNumberFormat="1" applyFont="1" applyBorder="1" applyAlignment="1">
      <alignment horizontal="right" vertical="center" indent="1"/>
    </xf>
    <xf numFmtId="3" fontId="58" fillId="0" borderId="214" xfId="0" applyNumberFormat="1" applyFont="1" applyBorder="1" applyAlignment="1">
      <alignment horizontal="center" vertical="center"/>
    </xf>
    <xf numFmtId="3" fontId="58" fillId="0" borderId="202" xfId="0" applyNumberFormat="1" applyFont="1" applyBorder="1" applyAlignment="1">
      <alignment horizontal="center" vertical="center"/>
    </xf>
    <xf numFmtId="168" fontId="58" fillId="0" borderId="202" xfId="0" applyNumberFormat="1" applyFont="1" applyBorder="1" applyAlignment="1">
      <alignment horizontal="right" vertical="center"/>
    </xf>
    <xf numFmtId="1" fontId="84" fillId="0" borderId="195" xfId="0" applyNumberFormat="1" applyFont="1" applyFill="1" applyBorder="1" applyAlignment="1">
      <alignment horizontal="center" vertical="center"/>
    </xf>
    <xf numFmtId="3" fontId="84" fillId="0" borderId="202" xfId="0" applyNumberFormat="1" applyFont="1" applyFill="1" applyBorder="1" applyAlignment="1">
      <alignment horizontal="right" vertical="center" indent="1"/>
    </xf>
    <xf numFmtId="168" fontId="84" fillId="0" borderId="196" xfId="0" applyNumberFormat="1" applyFont="1" applyFill="1" applyBorder="1" applyAlignment="1">
      <alignment horizontal="right" vertical="center"/>
    </xf>
    <xf numFmtId="0" fontId="58" fillId="0" borderId="196" xfId="0" applyFont="1" applyBorder="1" applyAlignment="1">
      <alignment wrapText="1"/>
    </xf>
    <xf numFmtId="1" fontId="58" fillId="0" borderId="101" xfId="0" applyNumberFormat="1" applyFont="1" applyBorder="1" applyAlignment="1">
      <alignment horizontal="right" vertical="center" indent="1"/>
    </xf>
    <xf numFmtId="3" fontId="58" fillId="0" borderId="188" xfId="0" applyNumberFormat="1" applyFont="1" applyBorder="1" applyAlignment="1">
      <alignment horizontal="right" vertical="center" indent="1"/>
    </xf>
    <xf numFmtId="3" fontId="58" fillId="27" borderId="188" xfId="0" applyNumberFormat="1" applyFont="1" applyFill="1" applyBorder="1" applyAlignment="1">
      <alignment horizontal="right" vertical="center" indent="1"/>
    </xf>
    <xf numFmtId="168" fontId="58" fillId="27" borderId="189" xfId="0" applyNumberFormat="1" applyFont="1" applyFill="1" applyBorder="1" applyAlignment="1">
      <alignment horizontal="right" vertical="center"/>
    </xf>
    <xf numFmtId="169" fontId="15" fillId="0" borderId="188" xfId="0" applyNumberFormat="1" applyFont="1" applyBorder="1" applyAlignment="1">
      <alignment horizontal="center" vertical="center" wrapText="1"/>
    </xf>
    <xf numFmtId="168" fontId="58" fillId="0" borderId="189" xfId="0" applyNumberFormat="1" applyFont="1" applyBorder="1" applyAlignment="1">
      <alignment horizontal="right" vertical="center"/>
    </xf>
    <xf numFmtId="3" fontId="58" fillId="0" borderId="99" xfId="0" applyNumberFormat="1" applyFont="1" applyBorder="1" applyAlignment="1">
      <alignment horizontal="center" vertical="center"/>
    </xf>
    <xf numFmtId="3" fontId="58" fillId="0" borderId="188" xfId="0" applyNumberFormat="1" applyFont="1" applyBorder="1" applyAlignment="1">
      <alignment horizontal="center" vertical="center"/>
    </xf>
    <xf numFmtId="168" fontId="58" fillId="0" borderId="99" xfId="0" applyNumberFormat="1" applyFont="1" applyBorder="1" applyAlignment="1">
      <alignment horizontal="right" vertical="center"/>
    </xf>
    <xf numFmtId="0" fontId="58" fillId="0" borderId="188" xfId="0" applyFont="1" applyBorder="1" applyAlignment="1">
      <alignment horizontal="center" vertical="center"/>
    </xf>
    <xf numFmtId="0" fontId="58" fillId="0" borderId="101" xfId="0" applyFont="1" applyBorder="1" applyAlignment="1">
      <alignment horizontal="center" vertical="center"/>
    </xf>
    <xf numFmtId="1" fontId="58" fillId="0" borderId="188" xfId="0" applyNumberFormat="1" applyFont="1" applyFill="1" applyBorder="1" applyAlignment="1">
      <alignment horizontal="center" vertical="center"/>
    </xf>
    <xf numFmtId="167" fontId="58" fillId="0" borderId="189" xfId="0" applyNumberFormat="1" applyFont="1" applyBorder="1" applyAlignment="1">
      <alignment horizontal="center" vertical="center"/>
    </xf>
    <xf numFmtId="3" fontId="58" fillId="0" borderId="189" xfId="0" applyNumberFormat="1" applyFont="1" applyFill="1" applyBorder="1" applyAlignment="1">
      <alignment horizontal="right" vertical="center" indent="1"/>
    </xf>
    <xf numFmtId="3" fontId="58" fillId="0" borderId="188" xfId="0" applyNumberFormat="1" applyFont="1" applyFill="1" applyBorder="1" applyAlignment="1">
      <alignment horizontal="center" vertical="center"/>
    </xf>
    <xf numFmtId="168" fontId="15" fillId="0" borderId="189" xfId="0" applyNumberFormat="1" applyFont="1" applyFill="1" applyBorder="1" applyAlignment="1">
      <alignment horizontal="right" vertical="center" indent="1"/>
    </xf>
    <xf numFmtId="168" fontId="58" fillId="0" borderId="189" xfId="0" applyNumberFormat="1" applyFont="1" applyFill="1" applyBorder="1" applyAlignment="1">
      <alignment horizontal="right" vertical="center" indent="1"/>
    </xf>
    <xf numFmtId="168" fontId="58" fillId="0" borderId="189" xfId="0" applyNumberFormat="1" applyFont="1" applyFill="1" applyBorder="1" applyAlignment="1">
      <alignment horizontal="right" vertical="center"/>
    </xf>
    <xf numFmtId="0" fontId="58" fillId="0" borderId="188" xfId="0" applyFont="1" applyFill="1" applyBorder="1" applyAlignment="1">
      <alignment horizontal="center" vertical="center" wrapText="1"/>
    </xf>
    <xf numFmtId="0" fontId="58" fillId="0" borderId="189" xfId="0" applyFont="1" applyFill="1" applyBorder="1" applyAlignment="1">
      <alignment horizontal="center" vertical="center" wrapText="1"/>
    </xf>
    <xf numFmtId="0" fontId="58" fillId="0" borderId="195" xfId="0" applyFont="1" applyFill="1" applyBorder="1" applyAlignment="1">
      <alignment horizontal="center" vertical="center" wrapText="1"/>
    </xf>
    <xf numFmtId="0" fontId="58" fillId="0" borderId="202" xfId="0" applyFont="1" applyFill="1" applyBorder="1" applyAlignment="1">
      <alignment horizontal="center" vertical="center" wrapText="1"/>
    </xf>
    <xf numFmtId="0" fontId="58" fillId="0" borderId="196" xfId="0" applyFont="1" applyFill="1" applyBorder="1" applyAlignment="1">
      <alignment horizontal="center" vertical="center" wrapText="1"/>
    </xf>
    <xf numFmtId="0" fontId="58" fillId="0" borderId="213" xfId="0" applyFont="1" applyFill="1" applyBorder="1" applyAlignment="1">
      <alignment horizontal="center" vertical="center" wrapText="1"/>
    </xf>
    <xf numFmtId="0" fontId="58" fillId="0" borderId="196" xfId="0" applyFont="1" applyFill="1" applyBorder="1" applyAlignment="1">
      <alignment vertical="center"/>
    </xf>
    <xf numFmtId="0" fontId="15" fillId="0" borderId="202" xfId="0" applyFont="1" applyFill="1" applyBorder="1" applyAlignment="1">
      <alignment horizontal="center" vertical="center" wrapText="1"/>
    </xf>
    <xf numFmtId="0" fontId="15" fillId="0" borderId="195" xfId="0" applyFont="1" applyFill="1" applyBorder="1" applyAlignment="1">
      <alignment horizontal="left" vertical="center"/>
    </xf>
    <xf numFmtId="0" fontId="15" fillId="0" borderId="196" xfId="0" applyFont="1" applyFill="1" applyBorder="1" applyAlignment="1">
      <alignment vertical="center" wrapText="1"/>
    </xf>
    <xf numFmtId="1" fontId="15" fillId="0" borderId="215" xfId="0" applyNumberFormat="1" applyFont="1" applyFill="1" applyBorder="1" applyAlignment="1">
      <alignment horizontal="right" vertical="center"/>
    </xf>
    <xf numFmtId="3" fontId="15" fillId="0" borderId="202" xfId="0" applyNumberFormat="1" applyFont="1" applyFill="1" applyBorder="1" applyAlignment="1">
      <alignment horizontal="right" vertical="center"/>
    </xf>
    <xf numFmtId="3" fontId="15" fillId="0" borderId="195" xfId="0" applyNumberFormat="1" applyFont="1" applyFill="1" applyBorder="1" applyAlignment="1">
      <alignment horizontal="right" vertical="center"/>
    </xf>
    <xf numFmtId="1" fontId="15" fillId="0" borderId="195" xfId="0" applyNumberFormat="1" applyFont="1" applyFill="1" applyBorder="1" applyAlignment="1">
      <alignment horizontal="right" vertical="center"/>
    </xf>
    <xf numFmtId="169" fontId="15" fillId="0" borderId="202" xfId="0" applyNumberFormat="1" applyFont="1" applyFill="1" applyBorder="1" applyAlignment="1">
      <alignment horizontal="center" vertical="center" wrapText="1"/>
    </xf>
    <xf numFmtId="10" fontId="58" fillId="0" borderId="202" xfId="85" applyNumberFormat="1" applyFont="1" applyFill="1" applyBorder="1" applyAlignment="1">
      <alignment vertical="center"/>
    </xf>
    <xf numFmtId="168" fontId="15" fillId="0" borderId="195" xfId="0" applyNumberFormat="1" applyFont="1" applyFill="1" applyBorder="1" applyAlignment="1">
      <alignment horizontal="center" vertical="center"/>
    </xf>
    <xf numFmtId="3" fontId="15" fillId="0" borderId="202" xfId="0" applyNumberFormat="1" applyFont="1" applyFill="1" applyBorder="1" applyAlignment="1">
      <alignment horizontal="center" vertical="center"/>
    </xf>
    <xf numFmtId="168" fontId="15" fillId="0" borderId="202" xfId="0" applyNumberFormat="1" applyFont="1" applyFill="1" applyBorder="1" applyAlignment="1">
      <alignment horizontal="center" vertical="center"/>
    </xf>
    <xf numFmtId="0" fontId="58" fillId="0" borderId="213" xfId="0" applyFont="1" applyFill="1" applyBorder="1" applyAlignment="1">
      <alignment vertical="center"/>
    </xf>
    <xf numFmtId="10" fontId="58" fillId="0" borderId="196" xfId="85" applyNumberFormat="1" applyFont="1" applyFill="1" applyBorder="1" applyAlignment="1">
      <alignment vertical="center"/>
    </xf>
    <xf numFmtId="0" fontId="58" fillId="0" borderId="195" xfId="0" applyFont="1" applyFill="1" applyBorder="1" applyAlignment="1">
      <alignment horizontal="left" vertical="center"/>
    </xf>
    <xf numFmtId="0" fontId="58" fillId="0" borderId="196" xfId="0" applyFont="1" applyFill="1" applyBorder="1" applyAlignment="1">
      <alignment vertical="center" wrapText="1"/>
    </xf>
    <xf numFmtId="1" fontId="58" fillId="0" borderId="215" xfId="0" applyNumberFormat="1" applyFont="1" applyFill="1" applyBorder="1" applyAlignment="1">
      <alignment horizontal="right" vertical="center"/>
    </xf>
    <xf numFmtId="3" fontId="58" fillId="0" borderId="202" xfId="0" applyNumberFormat="1" applyFont="1" applyFill="1" applyBorder="1" applyAlignment="1">
      <alignment horizontal="right" vertical="center"/>
    </xf>
    <xf numFmtId="3" fontId="58" fillId="0" borderId="195" xfId="0" applyNumberFormat="1" applyFont="1" applyFill="1" applyBorder="1" applyAlignment="1">
      <alignment horizontal="right" vertical="center"/>
    </xf>
    <xf numFmtId="1" fontId="58" fillId="0" borderId="195" xfId="0" applyNumberFormat="1" applyFont="1" applyFill="1" applyBorder="1" applyAlignment="1">
      <alignment horizontal="right" vertical="center"/>
    </xf>
    <xf numFmtId="167" fontId="58" fillId="0" borderId="195" xfId="0" applyNumberFormat="1" applyFont="1" applyFill="1" applyBorder="1" applyAlignment="1">
      <alignment horizontal="center" vertical="center"/>
    </xf>
    <xf numFmtId="167" fontId="58" fillId="0" borderId="195" xfId="0" applyNumberFormat="1" applyFont="1" applyFill="1" applyBorder="1" applyAlignment="1">
      <alignment horizontal="right" vertical="center"/>
    </xf>
    <xf numFmtId="2" fontId="58" fillId="0" borderId="195" xfId="0" applyNumberFormat="1" applyFont="1" applyFill="1" applyBorder="1" applyAlignment="1">
      <alignment horizontal="center" vertical="center"/>
    </xf>
    <xf numFmtId="169" fontId="58" fillId="0" borderId="196" xfId="85" applyNumberFormat="1" applyFont="1" applyFill="1" applyBorder="1" applyAlignment="1">
      <alignment vertical="center"/>
    </xf>
    <xf numFmtId="1" fontId="58" fillId="0" borderId="195" xfId="0" applyNumberFormat="1" applyFont="1" applyFill="1" applyBorder="1" applyAlignment="1">
      <alignment horizontal="center" vertical="center"/>
    </xf>
    <xf numFmtId="3" fontId="58" fillId="0" borderId="195" xfId="0" applyNumberFormat="1" applyFont="1" applyFill="1" applyBorder="1" applyAlignment="1">
      <alignment horizontal="center" vertical="center"/>
    </xf>
    <xf numFmtId="0" fontId="58" fillId="0" borderId="216" xfId="0" applyFont="1" applyFill="1" applyBorder="1" applyAlignment="1">
      <alignment horizontal="left" vertical="center"/>
    </xf>
    <xf numFmtId="0" fontId="58" fillId="0" borderId="217" xfId="0" applyFont="1" applyFill="1" applyBorder="1" applyAlignment="1">
      <alignment vertical="center" wrapText="1"/>
    </xf>
    <xf numFmtId="1" fontId="58" fillId="0" borderId="205" xfId="0" applyNumberFormat="1" applyFont="1" applyFill="1" applyBorder="1" applyAlignment="1">
      <alignment horizontal="right" vertical="center"/>
    </xf>
    <xf numFmtId="3" fontId="58" fillId="0" borderId="212" xfId="0" applyNumberFormat="1" applyFont="1" applyFill="1" applyBorder="1" applyAlignment="1">
      <alignment horizontal="right" vertical="center"/>
    </xf>
    <xf numFmtId="168" fontId="58" fillId="0" borderId="217" xfId="0" applyNumberFormat="1" applyFont="1" applyFill="1" applyBorder="1" applyAlignment="1">
      <alignment horizontal="right" vertical="center"/>
    </xf>
    <xf numFmtId="3" fontId="58" fillId="0" borderId="216" xfId="0" applyNumberFormat="1" applyFont="1" applyFill="1" applyBorder="1" applyAlignment="1">
      <alignment horizontal="right" vertical="center"/>
    </xf>
    <xf numFmtId="168" fontId="58" fillId="0" borderId="203" xfId="0" applyNumberFormat="1" applyFont="1" applyFill="1" applyBorder="1" applyAlignment="1">
      <alignment horizontal="right" vertical="center"/>
    </xf>
    <xf numFmtId="1" fontId="58" fillId="0" borderId="216" xfId="0" applyNumberFormat="1" applyFont="1" applyFill="1" applyBorder="1" applyAlignment="1">
      <alignment horizontal="right" vertical="center"/>
    </xf>
    <xf numFmtId="169" fontId="15" fillId="0" borderId="212" xfId="0" applyNumberFormat="1" applyFont="1" applyFill="1" applyBorder="1" applyAlignment="1">
      <alignment horizontal="center" vertical="center" wrapText="1"/>
    </xf>
    <xf numFmtId="168" fontId="58" fillId="0" borderId="212" xfId="0" applyNumberFormat="1" applyFont="1" applyFill="1" applyBorder="1" applyAlignment="1">
      <alignment horizontal="right" vertical="center"/>
    </xf>
    <xf numFmtId="10" fontId="58" fillId="0" borderId="212" xfId="85" applyNumberFormat="1" applyFont="1" applyFill="1" applyBorder="1" applyAlignment="1">
      <alignment vertical="center"/>
    </xf>
    <xf numFmtId="0" fontId="58" fillId="0" borderId="217" xfId="0" applyFont="1" applyFill="1" applyBorder="1" applyAlignment="1">
      <alignment vertical="center"/>
    </xf>
    <xf numFmtId="3" fontId="58" fillId="0" borderId="216" xfId="0" applyNumberFormat="1" applyFont="1" applyFill="1" applyBorder="1" applyAlignment="1">
      <alignment horizontal="center" vertical="center"/>
    </xf>
    <xf numFmtId="0" fontId="58" fillId="0" borderId="203" xfId="0" applyFont="1" applyFill="1" applyBorder="1" applyAlignment="1">
      <alignment vertical="center"/>
    </xf>
    <xf numFmtId="169" fontId="58" fillId="0" borderId="217" xfId="85" applyNumberFormat="1" applyFont="1" applyFill="1" applyBorder="1" applyAlignment="1">
      <alignment vertical="center"/>
    </xf>
    <xf numFmtId="2" fontId="58" fillId="0" borderId="216" xfId="0" applyNumberFormat="1" applyFont="1" applyFill="1" applyBorder="1" applyAlignment="1">
      <alignment horizontal="center" vertical="center"/>
    </xf>
    <xf numFmtId="10" fontId="58" fillId="0" borderId="31" xfId="85" applyNumberFormat="1" applyFont="1" applyFill="1" applyBorder="1" applyAlignment="1">
      <alignment vertical="center"/>
    </xf>
    <xf numFmtId="0" fontId="58" fillId="0" borderId="215" xfId="0" applyFont="1" applyFill="1" applyBorder="1" applyAlignment="1">
      <alignment vertical="center"/>
    </xf>
    <xf numFmtId="0" fontId="58" fillId="0" borderId="202" xfId="0" applyFont="1" applyFill="1" applyBorder="1" applyAlignment="1">
      <alignment vertical="center"/>
    </xf>
    <xf numFmtId="0" fontId="58" fillId="0" borderId="195" xfId="0" applyFont="1" applyFill="1" applyBorder="1" applyAlignment="1">
      <alignment vertical="center"/>
    </xf>
    <xf numFmtId="3" fontId="58" fillId="0" borderId="202" xfId="0" applyNumberFormat="1" applyFont="1" applyFill="1" applyBorder="1" applyAlignment="1">
      <alignment vertical="center"/>
    </xf>
    <xf numFmtId="1" fontId="58" fillId="0" borderId="195" xfId="0" applyNumberFormat="1" applyFont="1" applyFill="1" applyBorder="1" applyAlignment="1">
      <alignment vertical="center"/>
    </xf>
    <xf numFmtId="0" fontId="58" fillId="0" borderId="214" xfId="0" applyFont="1" applyFill="1" applyBorder="1" applyAlignment="1">
      <alignment vertical="center"/>
    </xf>
    <xf numFmtId="0" fontId="58" fillId="0" borderId="210" xfId="0" applyFont="1" applyFill="1" applyBorder="1" applyAlignment="1">
      <alignment vertical="center"/>
    </xf>
    <xf numFmtId="10" fontId="58" fillId="0" borderId="215" xfId="85" applyNumberFormat="1" applyFont="1" applyFill="1" applyBorder="1" applyAlignment="1">
      <alignment vertical="center"/>
    </xf>
    <xf numFmtId="0" fontId="58" fillId="0" borderId="188" xfId="0" applyFont="1" applyFill="1" applyBorder="1" applyAlignment="1">
      <alignment vertical="center"/>
    </xf>
    <xf numFmtId="0" fontId="58" fillId="0" borderId="189" xfId="0" applyFont="1" applyFill="1" applyBorder="1" applyAlignment="1">
      <alignment vertical="center"/>
    </xf>
    <xf numFmtId="3" fontId="58" fillId="0" borderId="188" xfId="0" applyNumberFormat="1" applyFont="1" applyFill="1" applyBorder="1" applyAlignment="1">
      <alignment vertical="center"/>
    </xf>
    <xf numFmtId="169" fontId="58" fillId="0" borderId="188" xfId="85" applyNumberFormat="1" applyFont="1" applyFill="1" applyBorder="1" applyAlignment="1">
      <alignment vertical="center"/>
    </xf>
    <xf numFmtId="3" fontId="58" fillId="0" borderId="188" xfId="0" applyNumberFormat="1" applyFont="1" applyFill="1" applyBorder="1" applyAlignment="1">
      <alignment horizontal="right" vertical="center"/>
    </xf>
    <xf numFmtId="10" fontId="58" fillId="0" borderId="188" xfId="85" applyNumberFormat="1" applyFont="1" applyFill="1" applyBorder="1" applyAlignment="1">
      <alignment vertical="center"/>
    </xf>
    <xf numFmtId="10" fontId="58" fillId="0" borderId="101" xfId="85" applyNumberFormat="1" applyFont="1" applyFill="1" applyBorder="1" applyAlignment="1">
      <alignment vertical="center"/>
    </xf>
    <xf numFmtId="10" fontId="130" fillId="0" borderId="0" xfId="85" applyNumberFormat="1" applyFont="1" applyFill="1" applyBorder="1"/>
    <xf numFmtId="4" fontId="99" fillId="0" borderId="196" xfId="0" applyNumberFormat="1" applyFont="1" applyFill="1" applyBorder="1" applyAlignment="1">
      <alignment vertical="center"/>
    </xf>
    <xf numFmtId="0" fontId="11" fillId="0" borderId="202" xfId="0" applyFont="1" applyBorder="1" applyAlignment="1">
      <alignment horizontal="center" vertical="center" wrapText="1"/>
    </xf>
    <xf numFmtId="167" fontId="12" fillId="0" borderId="202" xfId="0" applyNumberFormat="1" applyFont="1" applyBorder="1" applyAlignment="1">
      <alignment horizontal="center"/>
    </xf>
    <xf numFmtId="4" fontId="58" fillId="0" borderId="31" xfId="0" applyNumberFormat="1" applyFont="1" applyBorder="1" applyAlignment="1">
      <alignment horizontal="center" vertical="center"/>
    </xf>
    <xf numFmtId="4" fontId="58" fillId="0" borderId="215" xfId="0" applyNumberFormat="1" applyFont="1" applyBorder="1" applyAlignment="1">
      <alignment horizontal="center" vertical="center"/>
    </xf>
    <xf numFmtId="10" fontId="109" fillId="0" borderId="0" xfId="85" applyNumberFormat="1" applyFont="1"/>
    <xf numFmtId="0" fontId="11" fillId="0" borderId="212" xfId="0" applyFont="1" applyBorder="1" applyAlignment="1">
      <alignment horizontal="center" vertical="center" wrapText="1"/>
    </xf>
    <xf numFmtId="0" fontId="16" fillId="0" borderId="69" xfId="0" applyFont="1" applyBorder="1" applyAlignment="1">
      <alignment vertical="center"/>
    </xf>
    <xf numFmtId="0" fontId="91" fillId="0" borderId="0" xfId="0" applyFont="1"/>
    <xf numFmtId="2" fontId="58" fillId="0" borderId="0" xfId="0" applyNumberFormat="1" applyFont="1" applyBorder="1" applyAlignment="1">
      <alignment vertical="center" wrapText="1"/>
    </xf>
    <xf numFmtId="0" fontId="80" fillId="0" borderId="0" xfId="0" applyFont="1" applyBorder="1" applyAlignment="1">
      <alignment vertical="center"/>
    </xf>
    <xf numFmtId="0" fontId="58" fillId="0" borderId="0" xfId="0" applyFont="1" applyBorder="1" applyAlignment="1">
      <alignment horizontal="center" vertical="center"/>
    </xf>
    <xf numFmtId="166" fontId="58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165" fontId="58" fillId="0" borderId="0" xfId="0" applyNumberFormat="1" applyFont="1" applyFill="1" applyBorder="1" applyAlignment="1">
      <alignment horizontal="center" vertical="center"/>
    </xf>
    <xf numFmtId="166" fontId="58" fillId="0" borderId="0" xfId="0" applyNumberFormat="1" applyFont="1" applyFill="1" applyBorder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 vertical="center"/>
    </xf>
    <xf numFmtId="166" fontId="99" fillId="0" borderId="0" xfId="0" applyNumberFormat="1" applyFont="1" applyBorder="1" applyAlignment="1">
      <alignment horizontal="center" vertical="center"/>
    </xf>
    <xf numFmtId="0" fontId="131" fillId="0" borderId="0" xfId="0" applyFont="1"/>
    <xf numFmtId="0" fontId="95" fillId="0" borderId="0" xfId="0" applyFont="1"/>
    <xf numFmtId="0" fontId="131" fillId="0" borderId="0" xfId="0" applyFont="1" applyFill="1" applyBorder="1"/>
    <xf numFmtId="166" fontId="131" fillId="0" borderId="0" xfId="0" applyNumberFormat="1" applyFont="1"/>
    <xf numFmtId="0" fontId="95" fillId="0" borderId="0" xfId="0" applyFont="1" applyBorder="1"/>
    <xf numFmtId="0" fontId="91" fillId="0" borderId="0" xfId="0" applyFont="1" applyBorder="1"/>
    <xf numFmtId="167" fontId="95" fillId="0" borderId="0" xfId="0" applyNumberFormat="1" applyFont="1" applyBorder="1"/>
    <xf numFmtId="0" fontId="131" fillId="0" borderId="0" xfId="0" applyFont="1" applyFill="1" applyBorder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Border="1"/>
    <xf numFmtId="167" fontId="132" fillId="0" borderId="0" xfId="0" applyNumberFormat="1" applyFont="1" applyBorder="1"/>
    <xf numFmtId="0" fontId="131" fillId="0" borderId="0" xfId="0" applyFont="1" applyAlignment="1">
      <alignment horizontal="left"/>
    </xf>
    <xf numFmtId="175" fontId="131" fillId="0" borderId="0" xfId="0" applyNumberFormat="1" applyFont="1"/>
    <xf numFmtId="167" fontId="131" fillId="0" borderId="0" xfId="0" applyNumberFormat="1" applyFont="1"/>
    <xf numFmtId="168" fontId="131" fillId="0" borderId="0" xfId="0" applyNumberFormat="1" applyFont="1"/>
    <xf numFmtId="176" fontId="131" fillId="0" borderId="0" xfId="0" applyNumberFormat="1" applyFont="1"/>
    <xf numFmtId="4" fontId="131" fillId="0" borderId="0" xfId="0" applyNumberFormat="1" applyFont="1"/>
    <xf numFmtId="166" fontId="133" fillId="0" borderId="0" xfId="0" applyNumberFormat="1" applyFont="1" applyBorder="1" applyAlignment="1">
      <alignment horizontal="center" vertical="center"/>
    </xf>
    <xf numFmtId="166" fontId="95" fillId="0" borderId="0" xfId="0" applyNumberFormat="1" applyFont="1" applyBorder="1"/>
    <xf numFmtId="0" fontId="11" fillId="0" borderId="225" xfId="0" applyFont="1" applyBorder="1"/>
    <xf numFmtId="0" fontId="11" fillId="0" borderId="226" xfId="0" applyFont="1" applyBorder="1"/>
    <xf numFmtId="0" fontId="11" fillId="0" borderId="221" xfId="0" applyFont="1" applyBorder="1"/>
    <xf numFmtId="4" fontId="11" fillId="0" borderId="222" xfId="0" applyNumberFormat="1" applyFont="1" applyBorder="1"/>
    <xf numFmtId="0" fontId="11" fillId="0" borderId="222" xfId="0" applyFont="1" applyBorder="1"/>
    <xf numFmtId="0" fontId="10" fillId="0" borderId="227" xfId="0" applyFont="1" applyBorder="1"/>
    <xf numFmtId="0" fontId="10" fillId="0" borderId="228" xfId="0" applyFont="1" applyBorder="1"/>
    <xf numFmtId="0" fontId="10" fillId="0" borderId="223" xfId="0" applyFont="1" applyBorder="1"/>
    <xf numFmtId="0" fontId="10" fillId="0" borderId="224" xfId="0" applyFont="1" applyBorder="1"/>
    <xf numFmtId="0" fontId="11" fillId="0" borderId="40" xfId="0" applyFont="1" applyBorder="1"/>
    <xf numFmtId="0" fontId="11" fillId="0" borderId="31" xfId="0" applyFont="1" applyBorder="1"/>
    <xf numFmtId="0" fontId="11" fillId="0" borderId="11" xfId="0" applyFont="1" applyBorder="1"/>
    <xf numFmtId="0" fontId="11" fillId="0" borderId="38" xfId="0" applyFont="1" applyBorder="1"/>
    <xf numFmtId="0" fontId="11" fillId="0" borderId="73" xfId="0" applyFont="1" applyBorder="1"/>
    <xf numFmtId="0" fontId="11" fillId="0" borderId="30" xfId="0" applyFont="1" applyBorder="1"/>
    <xf numFmtId="4" fontId="11" fillId="0" borderId="18" xfId="0" applyNumberFormat="1" applyFont="1" applyBorder="1"/>
    <xf numFmtId="4" fontId="10" fillId="0" borderId="224" xfId="0" applyNumberFormat="1" applyFont="1" applyBorder="1"/>
    <xf numFmtId="0" fontId="11" fillId="0" borderId="229" xfId="0" applyFont="1" applyBorder="1"/>
    <xf numFmtId="0" fontId="11" fillId="0" borderId="230" xfId="0" applyFont="1" applyBorder="1"/>
    <xf numFmtId="0" fontId="11" fillId="0" borderId="231" xfId="0" applyFont="1" applyBorder="1"/>
    <xf numFmtId="0" fontId="11" fillId="0" borderId="232" xfId="0" applyFont="1" applyBorder="1"/>
    <xf numFmtId="0" fontId="11" fillId="0" borderId="18" xfId="0" applyFont="1" applyBorder="1"/>
    <xf numFmtId="0" fontId="58" fillId="0" borderId="102" xfId="0" applyFont="1" applyFill="1" applyBorder="1" applyAlignment="1">
      <alignment horizontal="center" vertical="center"/>
    </xf>
    <xf numFmtId="2" fontId="58" fillId="30" borderId="11" xfId="0" applyNumberFormat="1" applyFont="1" applyFill="1" applyBorder="1"/>
    <xf numFmtId="2" fontId="58" fillId="0" borderId="11" xfId="0" applyNumberFormat="1" applyFont="1" applyBorder="1"/>
    <xf numFmtId="2" fontId="58" fillId="30" borderId="38" xfId="0" applyNumberFormat="1" applyFont="1" applyFill="1" applyBorder="1"/>
    <xf numFmtId="0" fontId="58" fillId="0" borderId="102" xfId="0" applyFont="1" applyFill="1" applyBorder="1" applyAlignment="1">
      <alignment horizontal="center" vertical="center"/>
    </xf>
    <xf numFmtId="2" fontId="11" fillId="0" borderId="17" xfId="0" applyNumberFormat="1" applyFont="1" applyBorder="1"/>
    <xf numFmtId="2" fontId="11" fillId="0" borderId="221" xfId="0" applyNumberFormat="1" applyFont="1" applyBorder="1"/>
    <xf numFmtId="2" fontId="10" fillId="0" borderId="223" xfId="0" applyNumberFormat="1" applyFont="1" applyBorder="1"/>
    <xf numFmtId="2" fontId="11" fillId="0" borderId="11" xfId="0" applyNumberFormat="1" applyFont="1" applyBorder="1"/>
    <xf numFmtId="2" fontId="11" fillId="0" borderId="231" xfId="0" applyNumberFormat="1" applyFont="1" applyBorder="1"/>
    <xf numFmtId="166" fontId="58" fillId="0" borderId="102" xfId="0" applyNumberFormat="1" applyFont="1" applyFill="1" applyBorder="1" applyAlignment="1">
      <alignment horizontal="center" vertical="center"/>
    </xf>
    <xf numFmtId="166" fontId="58" fillId="0" borderId="169" xfId="0" applyNumberFormat="1" applyFont="1" applyFill="1" applyBorder="1" applyAlignment="1">
      <alignment horizontal="center" vertical="center"/>
    </xf>
    <xf numFmtId="167" fontId="58" fillId="0" borderId="169" xfId="0" applyNumberFormat="1" applyFont="1" applyFill="1" applyBorder="1" applyAlignment="1">
      <alignment horizontal="center" vertical="center"/>
    </xf>
    <xf numFmtId="166" fontId="15" fillId="0" borderId="102" xfId="0" applyNumberFormat="1" applyFont="1" applyFill="1" applyBorder="1" applyAlignment="1">
      <alignment horizontal="center" vertical="center"/>
    </xf>
    <xf numFmtId="2" fontId="17" fillId="0" borderId="54" xfId="0" applyNumberFormat="1" applyFont="1" applyFill="1" applyBorder="1"/>
    <xf numFmtId="2" fontId="17" fillId="0" borderId="0" xfId="0" applyNumberFormat="1" applyFont="1" applyFill="1" applyBorder="1"/>
    <xf numFmtId="166" fontId="17" fillId="0" borderId="54" xfId="0" applyNumberFormat="1" applyFont="1" applyFill="1" applyBorder="1"/>
    <xf numFmtId="166" fontId="17" fillId="0" borderId="0" xfId="0" applyNumberFormat="1" applyFont="1" applyFill="1" applyBorder="1"/>
    <xf numFmtId="2" fontId="58" fillId="0" borderId="102" xfId="0" applyNumberFormat="1" applyFont="1" applyFill="1" applyBorder="1" applyAlignment="1">
      <alignment horizontal="center" vertical="center"/>
    </xf>
    <xf numFmtId="2" fontId="58" fillId="0" borderId="193" xfId="0" applyNumberFormat="1" applyFont="1" applyBorder="1" applyAlignment="1">
      <alignment horizontal="center" vertical="center"/>
    </xf>
    <xf numFmtId="2" fontId="0" fillId="0" borderId="54" xfId="0" applyNumberFormat="1" applyBorder="1"/>
    <xf numFmtId="2" fontId="0" fillId="0" borderId="0" xfId="0" applyNumberFormat="1" applyBorder="1"/>
    <xf numFmtId="9" fontId="58" fillId="0" borderId="102" xfId="0" applyNumberFormat="1" applyFont="1" applyBorder="1" applyAlignment="1">
      <alignment horizontal="center" vertical="center"/>
    </xf>
    <xf numFmtId="184" fontId="17" fillId="29" borderId="0" xfId="0" applyNumberFormat="1" applyFont="1" applyFill="1" applyBorder="1"/>
    <xf numFmtId="2" fontId="58" fillId="29" borderId="11" xfId="0" applyNumberFormat="1" applyFont="1" applyFill="1" applyBorder="1"/>
    <xf numFmtId="2" fontId="58" fillId="30" borderId="237" xfId="0" applyNumberFormat="1" applyFont="1" applyFill="1" applyBorder="1"/>
    <xf numFmtId="2" fontId="58" fillId="0" borderId="237" xfId="0" applyNumberFormat="1" applyFont="1" applyFill="1" applyBorder="1"/>
    <xf numFmtId="2" fontId="58" fillId="30" borderId="235" xfId="0" applyNumberFormat="1" applyFont="1" applyFill="1" applyBorder="1"/>
    <xf numFmtId="2" fontId="58" fillId="29" borderId="38" xfId="0" applyNumberFormat="1" applyFont="1" applyFill="1" applyBorder="1"/>
    <xf numFmtId="43" fontId="0" fillId="29" borderId="0" xfId="0" applyNumberFormat="1" applyFill="1"/>
    <xf numFmtId="9" fontId="0" fillId="29" borderId="0" xfId="0" applyNumberFormat="1" applyFill="1"/>
    <xf numFmtId="2" fontId="0" fillId="29" borderId="0" xfId="0" applyNumberFormat="1" applyFill="1"/>
    <xf numFmtId="0" fontId="58" fillId="30" borderId="237" xfId="0" applyFont="1" applyFill="1" applyBorder="1" applyAlignment="1">
      <alignment horizontal="center" wrapText="1"/>
    </xf>
    <xf numFmtId="0" fontId="15" fillId="0" borderId="237" xfId="0" applyFont="1" applyFill="1" applyBorder="1" applyAlignment="1">
      <alignment horizontal="left" vertical="center"/>
    </xf>
    <xf numFmtId="4" fontId="15" fillId="30" borderId="237" xfId="0" applyNumberFormat="1" applyFont="1" applyFill="1" applyBorder="1"/>
    <xf numFmtId="4" fontId="15" fillId="30" borderId="219" xfId="0" applyNumberFormat="1" applyFont="1" applyFill="1" applyBorder="1"/>
    <xf numFmtId="4" fontId="15" fillId="0" borderId="237" xfId="0" applyNumberFormat="1" applyFont="1" applyFill="1" applyBorder="1"/>
    <xf numFmtId="2" fontId="15" fillId="30" borderId="237" xfId="0" applyNumberFormat="1" applyFont="1" applyFill="1" applyBorder="1"/>
    <xf numFmtId="0" fontId="58" fillId="0" borderId="237" xfId="0" applyFont="1" applyFill="1" applyBorder="1" applyAlignment="1">
      <alignment vertical="center"/>
    </xf>
    <xf numFmtId="4" fontId="58" fillId="30" borderId="237" xfId="0" applyNumberFormat="1" applyFont="1" applyFill="1" applyBorder="1"/>
    <xf numFmtId="4" fontId="58" fillId="30" borderId="219" xfId="0" applyNumberFormat="1" applyFont="1" applyFill="1" applyBorder="1"/>
    <xf numFmtId="4" fontId="58" fillId="0" borderId="237" xfId="0" applyNumberFormat="1" applyFont="1" applyFill="1" applyBorder="1"/>
    <xf numFmtId="2" fontId="58" fillId="0" borderId="237" xfId="0" applyNumberFormat="1" applyFont="1" applyBorder="1"/>
    <xf numFmtId="0" fontId="59" fillId="0" borderId="237" xfId="0" applyFont="1" applyFill="1" applyBorder="1" applyAlignment="1">
      <alignment vertical="center"/>
    </xf>
    <xf numFmtId="0" fontId="15" fillId="0" borderId="237" xfId="0" applyFont="1" applyFill="1" applyBorder="1" applyAlignment="1">
      <alignment vertical="center"/>
    </xf>
    <xf numFmtId="4" fontId="59" fillId="30" borderId="237" xfId="0" applyNumberFormat="1" applyFont="1" applyFill="1" applyBorder="1"/>
    <xf numFmtId="2" fontId="59" fillId="0" borderId="237" xfId="0" applyNumberFormat="1" applyFont="1" applyFill="1" applyBorder="1"/>
    <xf numFmtId="2" fontId="59" fillId="30" borderId="237" xfId="0" applyNumberFormat="1" applyFont="1" applyFill="1" applyBorder="1"/>
    <xf numFmtId="2" fontId="59" fillId="0" borderId="237" xfId="0" applyNumberFormat="1" applyFont="1" applyBorder="1"/>
    <xf numFmtId="0" fontId="15" fillId="0" borderId="237" xfId="0" applyFont="1" applyFill="1" applyBorder="1" applyAlignment="1">
      <alignment vertical="center" wrapText="1"/>
    </xf>
    <xf numFmtId="0" fontId="59" fillId="0" borderId="235" xfId="0" applyFont="1" applyFill="1" applyBorder="1" applyAlignment="1">
      <alignment vertical="center"/>
    </xf>
    <xf numFmtId="4" fontId="58" fillId="30" borderId="235" xfId="0" applyNumberFormat="1" applyFont="1" applyFill="1" applyBorder="1"/>
    <xf numFmtId="4" fontId="58" fillId="30" borderId="203" xfId="0" applyNumberFormat="1" applyFont="1" applyFill="1" applyBorder="1"/>
    <xf numFmtId="2" fontId="58" fillId="0" borderId="235" xfId="0" applyNumberFormat="1" applyFont="1" applyFill="1" applyBorder="1"/>
    <xf numFmtId="2" fontId="58" fillId="0" borderId="235" xfId="0" applyNumberFormat="1" applyFont="1" applyBorder="1"/>
    <xf numFmtId="0" fontId="81" fillId="0" borderId="237" xfId="0" applyFont="1" applyFill="1" applyBorder="1" applyAlignment="1">
      <alignment vertical="center"/>
    </xf>
    <xf numFmtId="0" fontId="15" fillId="0" borderId="237" xfId="0" applyFont="1" applyFill="1" applyBorder="1"/>
    <xf numFmtId="0" fontId="0" fillId="30" borderId="237" xfId="0" applyFont="1" applyFill="1" applyBorder="1"/>
    <xf numFmtId="4" fontId="15" fillId="30" borderId="237" xfId="0" applyNumberFormat="1" applyFont="1" applyFill="1" applyBorder="1" applyAlignment="1">
      <alignment vertical="center"/>
    </xf>
    <xf numFmtId="4" fontId="15" fillId="0" borderId="237" xfId="0" applyNumberFormat="1" applyFont="1" applyFill="1" applyBorder="1" applyAlignment="1">
      <alignment vertical="center"/>
    </xf>
    <xf numFmtId="0" fontId="0" fillId="29" borderId="0" xfId="0" applyFont="1" applyFill="1"/>
    <xf numFmtId="0" fontId="15" fillId="0" borderId="237" xfId="0" applyFont="1" applyFill="1" applyBorder="1" applyAlignment="1">
      <alignment horizontal="center"/>
    </xf>
    <xf numFmtId="0" fontId="58" fillId="0" borderId="237" xfId="0" applyFont="1" applyFill="1" applyBorder="1"/>
    <xf numFmtId="10" fontId="58" fillId="0" borderId="237" xfId="0" applyNumberFormat="1" applyFont="1" applyFill="1" applyBorder="1"/>
    <xf numFmtId="10" fontId="15" fillId="0" borderId="237" xfId="0" applyNumberFormat="1" applyFont="1" applyFill="1" applyBorder="1"/>
    <xf numFmtId="174" fontId="58" fillId="0" borderId="237" xfId="0" applyNumberFormat="1" applyFont="1" applyFill="1" applyBorder="1"/>
    <xf numFmtId="0" fontId="11" fillId="29" borderId="0" xfId="0" applyFont="1" applyFill="1"/>
    <xf numFmtId="2" fontId="0" fillId="0" borderId="0" xfId="0" applyNumberFormat="1" applyFont="1" applyFill="1"/>
    <xf numFmtId="4" fontId="15" fillId="34" borderId="105" xfId="0" applyNumberFormat="1" applyFont="1" applyFill="1" applyBorder="1" applyAlignment="1">
      <alignment horizontal="center" vertical="center" wrapText="1"/>
    </xf>
    <xf numFmtId="4" fontId="15" fillId="34" borderId="105" xfId="0" applyNumberFormat="1" applyFont="1" applyFill="1" applyBorder="1" applyAlignment="1">
      <alignment horizontal="center" vertical="center"/>
    </xf>
    <xf numFmtId="0" fontId="58" fillId="0" borderId="237" xfId="0" applyFont="1" applyBorder="1" applyAlignment="1">
      <alignment horizontal="center" vertical="center"/>
    </xf>
    <xf numFmtId="10" fontId="99" fillId="0" borderId="11" xfId="0" applyNumberFormat="1" applyFont="1" applyBorder="1" applyAlignment="1">
      <alignment vertical="center"/>
    </xf>
    <xf numFmtId="10" fontId="99" fillId="0" borderId="102" xfId="0" applyNumberFormat="1" applyFont="1" applyBorder="1" applyAlignment="1">
      <alignment vertical="center"/>
    </xf>
    <xf numFmtId="10" fontId="99" fillId="0" borderId="96" xfId="0" applyNumberFormat="1" applyFont="1" applyBorder="1" applyAlignment="1">
      <alignment vertical="center"/>
    </xf>
    <xf numFmtId="172" fontId="11" fillId="0" borderId="0" xfId="0" applyNumberFormat="1" applyFont="1"/>
    <xf numFmtId="0" fontId="11" fillId="31" borderId="135" xfId="0" applyFont="1" applyFill="1" applyBorder="1" applyAlignment="1">
      <alignment horizontal="center" vertical="center"/>
    </xf>
    <xf numFmtId="0" fontId="11" fillId="31" borderId="13" xfId="0" applyFont="1" applyFill="1" applyBorder="1" applyAlignment="1">
      <alignment vertical="center" wrapText="1"/>
    </xf>
    <xf numFmtId="4" fontId="11" fillId="31" borderId="16" xfId="0" applyNumberFormat="1" applyFont="1" applyFill="1" applyBorder="1" applyAlignment="1">
      <alignment vertical="center"/>
    </xf>
    <xf numFmtId="4" fontId="11" fillId="31" borderId="17" xfId="0" applyNumberFormat="1" applyFont="1" applyFill="1" applyBorder="1" applyAlignment="1">
      <alignment vertical="center"/>
    </xf>
    <xf numFmtId="4" fontId="11" fillId="31" borderId="18" xfId="0" applyNumberFormat="1" applyFont="1" applyFill="1" applyBorder="1" applyAlignment="1">
      <alignment vertical="center"/>
    </xf>
    <xf numFmtId="0" fontId="11" fillId="31" borderId="17" xfId="0" applyFont="1" applyFill="1" applyBorder="1" applyAlignment="1">
      <alignment vertical="center"/>
    </xf>
    <xf numFmtId="0" fontId="11" fillId="31" borderId="18" xfId="0" applyFont="1" applyFill="1" applyBorder="1" applyAlignment="1">
      <alignment vertical="center"/>
    </xf>
    <xf numFmtId="0" fontId="11" fillId="31" borderId="16" xfId="0" applyFont="1" applyFill="1" applyBorder="1" applyAlignment="1">
      <alignment vertical="center"/>
    </xf>
    <xf numFmtId="0" fontId="11" fillId="31" borderId="131" xfId="0" applyFont="1" applyFill="1" applyBorder="1" applyAlignment="1">
      <alignment vertical="center" wrapText="1"/>
    </xf>
    <xf numFmtId="4" fontId="11" fillId="31" borderId="130" xfId="0" applyNumberFormat="1" applyFont="1" applyFill="1" applyBorder="1" applyAlignment="1">
      <alignment vertical="center"/>
    </xf>
    <xf numFmtId="4" fontId="11" fillId="31" borderId="126" xfId="0" applyNumberFormat="1" applyFont="1" applyFill="1" applyBorder="1" applyAlignment="1">
      <alignment vertical="center"/>
    </xf>
    <xf numFmtId="4" fontId="11" fillId="31" borderId="127" xfId="0" applyNumberFormat="1" applyFont="1" applyFill="1" applyBorder="1" applyAlignment="1">
      <alignment vertical="center"/>
    </xf>
    <xf numFmtId="10" fontId="11" fillId="31" borderId="130" xfId="0" applyNumberFormat="1" applyFont="1" applyFill="1" applyBorder="1" applyAlignment="1">
      <alignment vertical="center"/>
    </xf>
    <xf numFmtId="169" fontId="11" fillId="31" borderId="126" xfId="85" applyNumberFormat="1" applyFont="1" applyFill="1" applyBorder="1" applyAlignment="1">
      <alignment vertical="center"/>
    </xf>
    <xf numFmtId="169" fontId="11" fillId="31" borderId="127" xfId="85" applyNumberFormat="1" applyFont="1" applyFill="1" applyBorder="1" applyAlignment="1">
      <alignment vertical="center"/>
    </xf>
    <xf numFmtId="10" fontId="11" fillId="31" borderId="130" xfId="85" applyNumberFormat="1" applyFont="1" applyFill="1" applyBorder="1" applyAlignment="1">
      <alignment vertical="center"/>
    </xf>
    <xf numFmtId="10" fontId="11" fillId="31" borderId="126" xfId="85" applyNumberFormat="1" applyFont="1" applyFill="1" applyBorder="1" applyAlignment="1">
      <alignment vertical="center"/>
    </xf>
    <xf numFmtId="10" fontId="11" fillId="31" borderId="127" xfId="85" applyNumberFormat="1" applyFont="1" applyFill="1" applyBorder="1" applyAlignment="1">
      <alignment vertical="center"/>
    </xf>
    <xf numFmtId="0" fontId="11" fillId="31" borderId="126" xfId="0" applyFont="1" applyFill="1" applyBorder="1" applyAlignment="1">
      <alignment vertical="center"/>
    </xf>
    <xf numFmtId="0" fontId="11" fillId="31" borderId="127" xfId="0" applyFont="1" applyFill="1" applyBorder="1" applyAlignment="1">
      <alignment vertical="center"/>
    </xf>
    <xf numFmtId="0" fontId="11" fillId="31" borderId="130" xfId="0" applyFont="1" applyFill="1" applyBorder="1" applyAlignment="1">
      <alignment vertical="center"/>
    </xf>
    <xf numFmtId="0" fontId="11" fillId="31" borderId="15" xfId="0" applyFont="1" applyFill="1" applyBorder="1" applyAlignment="1">
      <alignment vertical="center" wrapText="1"/>
    </xf>
    <xf numFmtId="4" fontId="11" fillId="31" borderId="21" xfId="0" applyNumberFormat="1" applyFont="1" applyFill="1" applyBorder="1" applyAlignment="1">
      <alignment vertical="center"/>
    </xf>
    <xf numFmtId="4" fontId="11" fillId="31" borderId="128" xfId="0" applyNumberFormat="1" applyFont="1" applyFill="1" applyBorder="1" applyAlignment="1">
      <alignment vertical="center"/>
    </xf>
    <xf numFmtId="4" fontId="11" fillId="31" borderId="23" xfId="0" applyNumberFormat="1" applyFont="1" applyFill="1" applyBorder="1" applyAlignment="1">
      <alignment vertical="center"/>
    </xf>
    <xf numFmtId="0" fontId="11" fillId="31" borderId="128" xfId="0" applyFont="1" applyFill="1" applyBorder="1" applyAlignment="1">
      <alignment vertical="center"/>
    </xf>
    <xf numFmtId="0" fontId="11" fillId="31" borderId="23" xfId="0" applyFont="1" applyFill="1" applyBorder="1" applyAlignment="1">
      <alignment vertical="center"/>
    </xf>
    <xf numFmtId="0" fontId="11" fillId="31" borderId="21" xfId="0" applyFont="1" applyFill="1" applyBorder="1" applyAlignment="1">
      <alignment vertical="center"/>
    </xf>
    <xf numFmtId="0" fontId="58" fillId="0" borderId="240" xfId="0" applyFont="1" applyFill="1" applyBorder="1" applyAlignment="1">
      <alignment vertical="center"/>
    </xf>
    <xf numFmtId="4" fontId="58" fillId="30" borderId="239" xfId="0" applyNumberFormat="1" applyFont="1" applyFill="1" applyBorder="1"/>
    <xf numFmtId="2" fontId="58" fillId="0" borderId="240" xfId="0" applyNumberFormat="1" applyFont="1" applyFill="1" applyBorder="1"/>
    <xf numFmtId="0" fontId="82" fillId="27" borderId="247" xfId="96" applyFont="1" applyFill="1" applyBorder="1" applyAlignment="1">
      <alignment horizontal="center" vertical="center" wrapText="1"/>
    </xf>
    <xf numFmtId="0" fontId="100" fillId="35" borderId="242" xfId="96" applyFont="1" applyFill="1" applyBorder="1" applyAlignment="1">
      <alignment horizontal="center" vertical="center"/>
    </xf>
    <xf numFmtId="0" fontId="101" fillId="35" borderId="242" xfId="96" applyFont="1" applyFill="1" applyBorder="1" applyAlignment="1">
      <alignment vertical="center" wrapText="1"/>
    </xf>
    <xf numFmtId="4" fontId="101" fillId="35" borderId="242" xfId="96" applyNumberFormat="1" applyFont="1" applyFill="1" applyBorder="1" applyAlignment="1">
      <alignment horizontal="center" vertical="center" wrapText="1"/>
    </xf>
    <xf numFmtId="0" fontId="82" fillId="35" borderId="242" xfId="96" applyFont="1" applyFill="1" applyBorder="1" applyAlignment="1">
      <alignment horizontal="center" vertical="center" wrapText="1"/>
    </xf>
    <xf numFmtId="176" fontId="101" fillId="35" borderId="242" xfId="96" applyNumberFormat="1" applyFont="1" applyFill="1" applyBorder="1" applyAlignment="1">
      <alignment horizontal="center" vertical="center" wrapText="1"/>
    </xf>
    <xf numFmtId="3" fontId="101" fillId="35" borderId="242" xfId="96" applyNumberFormat="1" applyFont="1" applyFill="1" applyBorder="1" applyAlignment="1">
      <alignment horizontal="center" vertical="center" wrapText="1"/>
    </xf>
    <xf numFmtId="0" fontId="14" fillId="36" borderId="242" xfId="96" applyFont="1" applyFill="1" applyBorder="1" applyAlignment="1">
      <alignment horizontal="center" vertical="center"/>
    </xf>
    <xf numFmtId="0" fontId="14" fillId="36" borderId="242" xfId="96" applyFont="1" applyFill="1" applyBorder="1" applyAlignment="1">
      <alignment horizontal="left" vertical="center" wrapText="1"/>
    </xf>
    <xf numFmtId="4" fontId="82" fillId="36" borderId="242" xfId="96" applyNumberFormat="1" applyFont="1" applyFill="1" applyBorder="1" applyAlignment="1">
      <alignment horizontal="center" vertical="center" wrapText="1"/>
    </xf>
    <xf numFmtId="0" fontId="82" fillId="36" borderId="242" xfId="96" applyFont="1" applyFill="1" applyBorder="1" applyAlignment="1">
      <alignment horizontal="center" vertical="center" wrapText="1"/>
    </xf>
    <xf numFmtId="0" fontId="82" fillId="29" borderId="242" xfId="96" applyFont="1" applyFill="1" applyBorder="1" applyAlignment="1">
      <alignment horizontal="center" vertical="center"/>
    </xf>
    <xf numFmtId="0" fontId="82" fillId="29" borderId="242" xfId="96" applyFont="1" applyFill="1" applyBorder="1" applyAlignment="1">
      <alignment horizontal="left" vertical="center" wrapText="1"/>
    </xf>
    <xf numFmtId="4" fontId="82" fillId="29" borderId="242" xfId="96" applyNumberFormat="1" applyFont="1" applyFill="1" applyBorder="1" applyAlignment="1">
      <alignment horizontal="center" vertical="center" wrapText="1"/>
    </xf>
    <xf numFmtId="0" fontId="82" fillId="29" borderId="242" xfId="96" applyFont="1" applyFill="1" applyBorder="1" applyAlignment="1">
      <alignment horizontal="center" vertical="center" wrapText="1"/>
    </xf>
    <xf numFmtId="0" fontId="82" fillId="37" borderId="242" xfId="96" applyFont="1" applyFill="1" applyBorder="1" applyAlignment="1">
      <alignment horizontal="center" vertical="center"/>
    </xf>
    <xf numFmtId="0" fontId="82" fillId="37" borderId="242" xfId="96" applyFont="1" applyFill="1" applyBorder="1" applyAlignment="1">
      <alignment horizontal="left" vertical="center" wrapText="1" indent="2"/>
    </xf>
    <xf numFmtId="4" fontId="82" fillId="37" borderId="242" xfId="96" applyNumberFormat="1" applyFont="1" applyFill="1" applyBorder="1" applyAlignment="1">
      <alignment horizontal="center" vertical="center" wrapText="1"/>
    </xf>
    <xf numFmtId="0" fontId="12" fillId="38" borderId="242" xfId="96" applyFont="1" applyFill="1" applyBorder="1" applyAlignment="1">
      <alignment horizontal="center" vertical="center"/>
    </xf>
    <xf numFmtId="0" fontId="12" fillId="38" borderId="242" xfId="96" applyFont="1" applyFill="1" applyBorder="1" applyAlignment="1">
      <alignment horizontal="left" vertical="center" wrapText="1" indent="3"/>
    </xf>
    <xf numFmtId="4" fontId="12" fillId="38" borderId="242" xfId="96" applyNumberFormat="1" applyFont="1" applyFill="1" applyBorder="1" applyAlignment="1">
      <alignment horizontal="center" vertical="center" wrapText="1"/>
    </xf>
    <xf numFmtId="0" fontId="101" fillId="35" borderId="242" xfId="96" applyFont="1" applyFill="1" applyBorder="1" applyAlignment="1">
      <alignment horizontal="center" vertical="center"/>
    </xf>
    <xf numFmtId="0" fontId="102" fillId="35" borderId="242" xfId="96" applyFont="1" applyFill="1" applyBorder="1" applyAlignment="1">
      <alignment horizontal="left" vertical="center" wrapText="1"/>
    </xf>
    <xf numFmtId="0" fontId="103" fillId="35" borderId="242" xfId="96" applyFont="1" applyFill="1" applyBorder="1" applyAlignment="1">
      <alignment horizontal="center"/>
    </xf>
    <xf numFmtId="2" fontId="103" fillId="35" borderId="242" xfId="96" applyNumberFormat="1" applyFont="1" applyFill="1" applyBorder="1"/>
    <xf numFmtId="0" fontId="103" fillId="35" borderId="242" xfId="96" applyFont="1" applyFill="1" applyBorder="1"/>
    <xf numFmtId="0" fontId="14" fillId="36" borderId="242" xfId="96" applyFont="1" applyFill="1" applyBorder="1" applyAlignment="1">
      <alignment horizontal="left" vertical="center" wrapText="1" indent="2"/>
    </xf>
    <xf numFmtId="0" fontId="14" fillId="35" borderId="242" xfId="96" applyFont="1" applyFill="1" applyBorder="1" applyAlignment="1">
      <alignment horizontal="center" vertical="center"/>
    </xf>
    <xf numFmtId="0" fontId="14" fillId="35" borderId="242" xfId="96" applyFont="1" applyFill="1" applyBorder="1" applyAlignment="1">
      <alignment horizontal="left" vertical="center" wrapText="1"/>
    </xf>
    <xf numFmtId="4" fontId="82" fillId="35" borderId="242" xfId="96" applyNumberFormat="1" applyFont="1" applyFill="1" applyBorder="1" applyAlignment="1">
      <alignment horizontal="center" vertical="center" wrapText="1"/>
    </xf>
    <xf numFmtId="0" fontId="14" fillId="35" borderId="242" xfId="96" applyFont="1" applyFill="1" applyBorder="1" applyAlignment="1">
      <alignment horizontal="left" vertical="center" wrapText="1" indent="3"/>
    </xf>
    <xf numFmtId="0" fontId="46" fillId="0" borderId="66" xfId="96" applyFont="1" applyBorder="1"/>
    <xf numFmtId="0" fontId="46" fillId="0" borderId="0" xfId="96" applyFont="1" applyBorder="1" applyAlignment="1">
      <alignment wrapText="1"/>
    </xf>
    <xf numFmtId="0" fontId="46" fillId="0" borderId="0" xfId="96" applyFont="1" applyBorder="1"/>
    <xf numFmtId="0" fontId="46" fillId="0" borderId="74" xfId="96" applyFont="1" applyBorder="1"/>
    <xf numFmtId="0" fontId="49" fillId="39" borderId="242" xfId="96" applyFont="1" applyFill="1" applyBorder="1" applyAlignment="1">
      <alignment horizontal="center"/>
    </xf>
    <xf numFmtId="0" fontId="14" fillId="39" borderId="242" xfId="96" applyFont="1" applyFill="1" applyBorder="1" applyAlignment="1">
      <alignment horizontal="left" vertical="center" wrapText="1"/>
    </xf>
    <xf numFmtId="0" fontId="46" fillId="39" borderId="242" xfId="96" applyFont="1" applyFill="1" applyBorder="1"/>
    <xf numFmtId="0" fontId="14" fillId="39" borderId="242" xfId="96" applyFont="1" applyFill="1" applyBorder="1" applyAlignment="1">
      <alignment horizontal="left" vertical="center" wrapText="1" indent="3"/>
    </xf>
    <xf numFmtId="0" fontId="14" fillId="39" borderId="242" xfId="96" applyFont="1" applyFill="1" applyBorder="1" applyAlignment="1">
      <alignment horizontal="center" vertical="center" wrapText="1"/>
    </xf>
    <xf numFmtId="2" fontId="46" fillId="39" borderId="242" xfId="96" applyNumberFormat="1" applyFont="1" applyFill="1" applyBorder="1"/>
    <xf numFmtId="0" fontId="46" fillId="39" borderId="242" xfId="96" applyFont="1" applyFill="1" applyBorder="1" applyAlignment="1">
      <alignment horizontal="center"/>
    </xf>
    <xf numFmtId="0" fontId="82" fillId="37" borderId="242" xfId="96" applyFont="1" applyFill="1" applyBorder="1" applyAlignment="1">
      <alignment horizontal="left" vertical="center" wrapText="1"/>
    </xf>
    <xf numFmtId="0" fontId="12" fillId="38" borderId="242" xfId="96" applyFont="1" applyFill="1" applyBorder="1" applyAlignment="1">
      <alignment horizontal="left" vertical="center" wrapText="1"/>
    </xf>
    <xf numFmtId="0" fontId="103" fillId="35" borderId="242" xfId="96" applyFont="1" applyFill="1" applyBorder="1" applyAlignment="1">
      <alignment horizontal="center" vertical="center"/>
    </xf>
    <xf numFmtId="184" fontId="103" fillId="35" borderId="242" xfId="96" applyNumberFormat="1" applyFont="1" applyFill="1" applyBorder="1" applyAlignment="1">
      <alignment vertical="center"/>
    </xf>
    <xf numFmtId="0" fontId="103" fillId="35" borderId="242" xfId="96" applyFont="1" applyFill="1" applyBorder="1" applyAlignment="1">
      <alignment vertical="center"/>
    </xf>
    <xf numFmtId="0" fontId="46" fillId="0" borderId="66" xfId="96" applyFont="1" applyBorder="1" applyAlignment="1">
      <alignment vertical="center"/>
    </xf>
    <xf numFmtId="0" fontId="46" fillId="0" borderId="0" xfId="96" applyFont="1" applyBorder="1" applyAlignment="1">
      <alignment vertical="center" wrapText="1"/>
    </xf>
    <xf numFmtId="0" fontId="46" fillId="0" borderId="0" xfId="96" applyFont="1" applyBorder="1" applyAlignment="1">
      <alignment vertical="center"/>
    </xf>
    <xf numFmtId="0" fontId="46" fillId="0" borderId="74" xfId="96" applyFont="1" applyBorder="1" applyAlignment="1">
      <alignment vertical="center"/>
    </xf>
    <xf numFmtId="0" fontId="49" fillId="39" borderId="242" xfId="96" applyFont="1" applyFill="1" applyBorder="1" applyAlignment="1">
      <alignment horizontal="center" vertical="center"/>
    </xf>
    <xf numFmtId="0" fontId="46" fillId="39" borderId="242" xfId="96" applyFont="1" applyFill="1" applyBorder="1" applyAlignment="1">
      <alignment vertical="center"/>
    </xf>
    <xf numFmtId="2" fontId="46" fillId="39" borderId="242" xfId="96" applyNumberFormat="1" applyFont="1" applyFill="1" applyBorder="1" applyAlignment="1">
      <alignment vertical="center"/>
    </xf>
    <xf numFmtId="2" fontId="46" fillId="39" borderId="242" xfId="96" applyNumberFormat="1" applyFont="1" applyFill="1" applyBorder="1" applyAlignment="1">
      <alignment horizontal="center" vertical="center"/>
    </xf>
    <xf numFmtId="0" fontId="82" fillId="0" borderId="0" xfId="96" applyFont="1" applyBorder="1" applyAlignment="1">
      <alignment vertical="center"/>
    </xf>
    <xf numFmtId="0" fontId="82" fillId="39" borderId="242" xfId="96" applyFont="1" applyFill="1" applyBorder="1" applyAlignment="1">
      <alignment vertical="center"/>
    </xf>
    <xf numFmtId="0" fontId="46" fillId="43" borderId="0" xfId="96" applyFont="1" applyFill="1"/>
    <xf numFmtId="0" fontId="46" fillId="43" borderId="0" xfId="96" applyFont="1" applyFill="1" applyAlignment="1">
      <alignment wrapText="1"/>
    </xf>
    <xf numFmtId="0" fontId="14" fillId="35" borderId="249" xfId="96" applyFont="1" applyFill="1" applyBorder="1" applyAlignment="1">
      <alignment horizontal="center" vertical="center"/>
    </xf>
    <xf numFmtId="0" fontId="14" fillId="35" borderId="249" xfId="96" applyFont="1" applyFill="1" applyBorder="1" applyAlignment="1">
      <alignment horizontal="left" vertical="center" wrapText="1"/>
    </xf>
    <xf numFmtId="4" fontId="82" fillId="35" borderId="249" xfId="96" applyNumberFormat="1" applyFont="1" applyFill="1" applyBorder="1" applyAlignment="1">
      <alignment horizontal="center" vertical="center" wrapText="1"/>
    </xf>
    <xf numFmtId="0" fontId="82" fillId="35" borderId="249" xfId="96" applyFont="1" applyFill="1" applyBorder="1" applyAlignment="1">
      <alignment horizontal="center" vertical="center" wrapText="1"/>
    </xf>
    <xf numFmtId="0" fontId="14" fillId="36" borderId="249" xfId="96" applyFont="1" applyFill="1" applyBorder="1" applyAlignment="1">
      <alignment horizontal="center" vertical="center"/>
    </xf>
    <xf numFmtId="0" fontId="14" fillId="36" borderId="249" xfId="96" applyFont="1" applyFill="1" applyBorder="1" applyAlignment="1">
      <alignment horizontal="left" vertical="center" wrapText="1"/>
    </xf>
    <xf numFmtId="4" fontId="82" fillId="36" borderId="249" xfId="96" applyNumberFormat="1" applyFont="1" applyFill="1" applyBorder="1" applyAlignment="1">
      <alignment horizontal="center" vertical="center" wrapText="1"/>
    </xf>
    <xf numFmtId="0" fontId="82" fillId="36" borderId="249" xfId="96" applyFont="1" applyFill="1" applyBorder="1" applyAlignment="1">
      <alignment horizontal="center" vertical="center" wrapText="1"/>
    </xf>
    <xf numFmtId="2" fontId="103" fillId="35" borderId="242" xfId="96" applyNumberFormat="1" applyFont="1" applyFill="1" applyBorder="1" applyAlignment="1">
      <alignment vertical="center"/>
    </xf>
    <xf numFmtId="0" fontId="89" fillId="36" borderId="242" xfId="96" applyFont="1" applyFill="1" applyBorder="1" applyAlignment="1">
      <alignment horizontal="left" vertical="center" wrapText="1" indent="2"/>
    </xf>
    <xf numFmtId="0" fontId="82" fillId="37" borderId="249" xfId="96" applyFont="1" applyFill="1" applyBorder="1" applyAlignment="1">
      <alignment horizontal="center" vertical="center"/>
    </xf>
    <xf numFmtId="0" fontId="12" fillId="38" borderId="249" xfId="96" applyFont="1" applyFill="1" applyBorder="1" applyAlignment="1">
      <alignment horizontal="center" vertical="center"/>
    </xf>
    <xf numFmtId="0" fontId="46" fillId="39" borderId="249" xfId="96" applyFont="1" applyFill="1" applyBorder="1"/>
    <xf numFmtId="0" fontId="14" fillId="39" borderId="249" xfId="96" applyFont="1" applyFill="1" applyBorder="1" applyAlignment="1">
      <alignment horizontal="center" vertical="center" wrapText="1"/>
    </xf>
    <xf numFmtId="0" fontId="89" fillId="36" borderId="249" xfId="96" applyFont="1" applyFill="1" applyBorder="1" applyAlignment="1">
      <alignment horizontal="center" vertical="center"/>
    </xf>
    <xf numFmtId="0" fontId="89" fillId="36" borderId="242" xfId="96" applyFont="1" applyFill="1" applyBorder="1" applyAlignment="1">
      <alignment horizontal="left" vertical="center" wrapText="1"/>
    </xf>
    <xf numFmtId="0" fontId="89" fillId="36" borderId="242" xfId="96" applyFont="1" applyFill="1" applyBorder="1" applyAlignment="1">
      <alignment horizontal="center" vertical="center"/>
    </xf>
    <xf numFmtId="4" fontId="83" fillId="36" borderId="249" xfId="96" applyNumberFormat="1" applyFont="1" applyFill="1" applyBorder="1" applyAlignment="1">
      <alignment horizontal="center" vertical="center" wrapText="1"/>
    </xf>
    <xf numFmtId="0" fontId="83" fillId="36" borderId="249" xfId="96" applyFont="1" applyFill="1" applyBorder="1" applyAlignment="1">
      <alignment horizontal="center" vertical="center" wrapText="1"/>
    </xf>
    <xf numFmtId="0" fontId="46" fillId="39" borderId="242" xfId="96" applyFont="1" applyFill="1" applyBorder="1" applyAlignment="1">
      <alignment horizontal="center" vertical="center"/>
    </xf>
    <xf numFmtId="0" fontId="58" fillId="0" borderId="9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6" fillId="0" borderId="245" xfId="79" applyFont="1" applyFill="1" applyBorder="1" applyAlignment="1">
      <alignment horizontal="center" vertical="center"/>
    </xf>
    <xf numFmtId="10" fontId="46" fillId="0" borderId="245" xfId="79" applyNumberFormat="1" applyFont="1" applyFill="1" applyBorder="1" applyAlignment="1">
      <alignment horizontal="center" vertical="center"/>
    </xf>
    <xf numFmtId="10" fontId="49" fillId="0" borderId="99" xfId="79" applyNumberFormat="1" applyFont="1" applyFill="1" applyBorder="1" applyAlignment="1">
      <alignment horizontal="center" vertical="center"/>
    </xf>
    <xf numFmtId="4" fontId="11" fillId="0" borderId="250" xfId="79" applyNumberFormat="1" applyFont="1" applyFill="1" applyBorder="1" applyAlignment="1">
      <alignment horizontal="center" vertical="center"/>
    </xf>
    <xf numFmtId="4" fontId="11" fillId="0" borderId="238" xfId="79" applyNumberFormat="1" applyFont="1" applyFill="1" applyBorder="1" applyAlignment="1">
      <alignment horizontal="center" vertical="center"/>
    </xf>
    <xf numFmtId="169" fontId="47" fillId="0" borderId="250" xfId="85" applyNumberFormat="1" applyFont="1" applyFill="1" applyBorder="1" applyAlignment="1">
      <alignment horizontal="center" vertical="center"/>
    </xf>
    <xf numFmtId="168" fontId="46" fillId="0" borderId="250" xfId="79" applyNumberFormat="1" applyFont="1" applyFill="1" applyBorder="1" applyAlignment="1">
      <alignment horizontal="center" vertical="center"/>
    </xf>
    <xf numFmtId="0" fontId="10" fillId="0" borderId="234" xfId="79" applyNumberFormat="1" applyFont="1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4" fontId="82" fillId="37" borderId="249" xfId="96" applyNumberFormat="1" applyFont="1" applyFill="1" applyBorder="1" applyAlignment="1">
      <alignment horizontal="center" vertical="center"/>
    </xf>
    <xf numFmtId="4" fontId="12" fillId="38" borderId="249" xfId="96" applyNumberFormat="1" applyFont="1" applyFill="1" applyBorder="1" applyAlignment="1">
      <alignment horizontal="center" vertical="center"/>
    </xf>
    <xf numFmtId="4" fontId="82" fillId="29" borderId="249" xfId="96" applyNumberFormat="1" applyFont="1" applyFill="1" applyBorder="1" applyAlignment="1">
      <alignment horizontal="center" vertical="center"/>
    </xf>
    <xf numFmtId="4" fontId="14" fillId="36" borderId="249" xfId="96" applyNumberFormat="1" applyFont="1" applyFill="1" applyBorder="1" applyAlignment="1">
      <alignment horizontal="center" vertical="center"/>
    </xf>
    <xf numFmtId="4" fontId="12" fillId="38" borderId="242" xfId="96" applyNumberFormat="1" applyFont="1" applyFill="1" applyBorder="1" applyAlignment="1">
      <alignment horizontal="center" vertical="center"/>
    </xf>
    <xf numFmtId="4" fontId="82" fillId="35" borderId="249" xfId="96" applyNumberFormat="1" applyFont="1" applyFill="1" applyBorder="1" applyAlignment="1">
      <alignment horizontal="center" vertical="center"/>
    </xf>
    <xf numFmtId="43" fontId="82" fillId="35" borderId="249" xfId="96" applyNumberFormat="1" applyFont="1" applyFill="1" applyBorder="1" applyAlignment="1">
      <alignment horizontal="center" vertical="center"/>
    </xf>
    <xf numFmtId="0" fontId="82" fillId="35" borderId="249" xfId="96" applyFont="1" applyFill="1" applyBorder="1" applyAlignment="1">
      <alignment horizontal="center" vertical="center"/>
    </xf>
    <xf numFmtId="0" fontId="82" fillId="39" borderId="249" xfId="96" applyFont="1" applyFill="1" applyBorder="1" applyAlignment="1">
      <alignment horizontal="center" vertical="center" wrapText="1"/>
    </xf>
    <xf numFmtId="4" fontId="82" fillId="36" borderId="249" xfId="96" applyNumberFormat="1" applyFont="1" applyFill="1" applyBorder="1" applyAlignment="1">
      <alignment horizontal="center" vertical="center"/>
    </xf>
    <xf numFmtId="4" fontId="15" fillId="0" borderId="35" xfId="0" applyNumberFormat="1" applyFont="1" applyFill="1" applyBorder="1" applyAlignment="1">
      <alignment horizontal="center" vertical="center" wrapText="1"/>
    </xf>
    <xf numFmtId="4" fontId="58" fillId="0" borderId="251" xfId="0" applyNumberFormat="1" applyFont="1" applyFill="1" applyBorder="1" applyAlignment="1">
      <alignment horizontal="center" vertical="center"/>
    </xf>
    <xf numFmtId="10" fontId="59" fillId="0" borderId="251" xfId="85" applyNumberFormat="1" applyFont="1" applyFill="1" applyBorder="1" applyAlignment="1">
      <alignment horizontal="center" vertical="center"/>
    </xf>
    <xf numFmtId="4" fontId="15" fillId="0" borderId="251" xfId="0" applyNumberFormat="1" applyFont="1" applyFill="1" applyBorder="1" applyAlignment="1">
      <alignment horizontal="center" vertical="center"/>
    </xf>
    <xf numFmtId="4" fontId="15" fillId="0" borderId="251" xfId="0" applyNumberFormat="1" applyFont="1" applyFill="1" applyBorder="1" applyAlignment="1">
      <alignment horizontal="center" vertical="center" wrapText="1"/>
    </xf>
    <xf numFmtId="4" fontId="15" fillId="0" borderId="189" xfId="0" applyNumberFormat="1" applyFont="1" applyFill="1" applyBorder="1" applyAlignment="1">
      <alignment horizontal="center" vertical="center"/>
    </xf>
    <xf numFmtId="4" fontId="58" fillId="0" borderId="27" xfId="0" applyNumberFormat="1" applyFont="1" applyBorder="1"/>
    <xf numFmtId="4" fontId="58" fillId="0" borderId="251" xfId="0" applyNumberFormat="1" applyFont="1" applyBorder="1"/>
    <xf numFmtId="4" fontId="15" fillId="0" borderId="251" xfId="0" applyNumberFormat="1" applyFont="1" applyBorder="1"/>
    <xf numFmtId="2" fontId="15" fillId="0" borderId="251" xfId="0" applyNumberFormat="1" applyFont="1" applyBorder="1"/>
    <xf numFmtId="49" fontId="82" fillId="35" borderId="242" xfId="96" applyNumberFormat="1" applyFont="1" applyFill="1" applyBorder="1" applyAlignment="1">
      <alignment horizontal="center" vertical="center" wrapText="1"/>
    </xf>
    <xf numFmtId="49" fontId="82" fillId="36" borderId="242" xfId="96" applyNumberFormat="1" applyFont="1" applyFill="1" applyBorder="1" applyAlignment="1">
      <alignment horizontal="center" vertical="center" wrapText="1"/>
    </xf>
    <xf numFmtId="49" fontId="83" fillId="36" borderId="249" xfId="96" applyNumberFormat="1" applyFont="1" applyFill="1" applyBorder="1" applyAlignment="1">
      <alignment horizontal="center" vertical="center" wrapText="1"/>
    </xf>
    <xf numFmtId="49" fontId="82" fillId="29" borderId="242" xfId="96" applyNumberFormat="1" applyFont="1" applyFill="1" applyBorder="1" applyAlignment="1">
      <alignment horizontal="center" vertical="center" wrapText="1"/>
    </xf>
    <xf numFmtId="49" fontId="82" fillId="37" borderId="242" xfId="96" applyNumberFormat="1" applyFont="1" applyFill="1" applyBorder="1" applyAlignment="1">
      <alignment horizontal="center" vertical="center" wrapText="1"/>
    </xf>
    <xf numFmtId="49" fontId="12" fillId="38" borderId="242" xfId="96" applyNumberFormat="1" applyFont="1" applyFill="1" applyBorder="1" applyAlignment="1">
      <alignment horizontal="center" vertical="center" wrapText="1"/>
    </xf>
    <xf numFmtId="49" fontId="82" fillId="36" borderId="249" xfId="96" applyNumberFormat="1" applyFont="1" applyFill="1" applyBorder="1" applyAlignment="1">
      <alignment horizontal="center" vertical="center" wrapText="1"/>
    </xf>
    <xf numFmtId="49" fontId="82" fillId="35" borderId="249" xfId="96" applyNumberFormat="1" applyFont="1" applyFill="1" applyBorder="1" applyAlignment="1">
      <alignment horizontal="center" vertical="center" wrapText="1"/>
    </xf>
    <xf numFmtId="49" fontId="46" fillId="0" borderId="74" xfId="96" applyNumberFormat="1" applyFont="1" applyBorder="1"/>
    <xf numFmtId="49" fontId="46" fillId="39" borderId="242" xfId="96" applyNumberFormat="1" applyFont="1" applyFill="1" applyBorder="1"/>
    <xf numFmtId="49" fontId="82" fillId="37" borderId="242" xfId="96" applyNumberFormat="1" applyFont="1" applyFill="1" applyBorder="1" applyAlignment="1">
      <alignment horizontal="left" vertical="center" wrapText="1"/>
    </xf>
    <xf numFmtId="49" fontId="12" fillId="38" borderId="242" xfId="96" applyNumberFormat="1" applyFont="1" applyFill="1" applyBorder="1" applyAlignment="1">
      <alignment horizontal="left" vertical="center" wrapText="1"/>
    </xf>
    <xf numFmtId="49" fontId="82" fillId="37" borderId="242" xfId="96" applyNumberFormat="1" applyFont="1" applyFill="1" applyBorder="1" applyAlignment="1">
      <alignment vertical="center" wrapText="1"/>
    </xf>
    <xf numFmtId="49" fontId="12" fillId="38" borderId="242" xfId="96" applyNumberFormat="1" applyFont="1" applyFill="1" applyBorder="1" applyAlignment="1">
      <alignment vertical="center" wrapText="1"/>
    </xf>
    <xf numFmtId="49" fontId="82" fillId="29" borderId="242" xfId="96" applyNumberFormat="1" applyFont="1" applyFill="1" applyBorder="1" applyAlignment="1">
      <alignment vertical="center" wrapText="1"/>
    </xf>
    <xf numFmtId="49" fontId="103" fillId="35" borderId="242" xfId="96" applyNumberFormat="1" applyFont="1" applyFill="1" applyBorder="1" applyAlignment="1"/>
    <xf numFmtId="49" fontId="82" fillId="29" borderId="242" xfId="96" applyNumberFormat="1" applyFont="1" applyFill="1" applyBorder="1" applyAlignment="1">
      <alignment horizontal="left" vertical="center" wrapText="1"/>
    </xf>
    <xf numFmtId="49" fontId="103" fillId="35" borderId="242" xfId="96" applyNumberFormat="1" applyFont="1" applyFill="1" applyBorder="1" applyAlignment="1">
      <alignment horizontal="left"/>
    </xf>
    <xf numFmtId="4" fontId="99" fillId="0" borderId="105" xfId="0" applyNumberFormat="1" applyFont="1" applyFill="1" applyBorder="1" applyAlignment="1">
      <alignment horizontal="center" vertical="center"/>
    </xf>
    <xf numFmtId="4" fontId="99" fillId="0" borderId="102" xfId="0" applyNumberFormat="1" applyFont="1" applyFill="1" applyBorder="1" applyAlignment="1">
      <alignment horizontal="center" vertical="center"/>
    </xf>
    <xf numFmtId="4" fontId="99" fillId="0" borderId="251" xfId="0" applyNumberFormat="1" applyFont="1" applyFill="1" applyBorder="1" applyAlignment="1">
      <alignment horizontal="center" vertical="center"/>
    </xf>
    <xf numFmtId="0" fontId="11" fillId="0" borderId="258" xfId="0" applyFont="1" applyBorder="1" applyAlignment="1">
      <alignment horizontal="center" vertical="center" wrapText="1"/>
    </xf>
    <xf numFmtId="167" fontId="12" fillId="0" borderId="259" xfId="0" applyNumberFormat="1" applyFont="1" applyBorder="1" applyAlignment="1">
      <alignment horizontal="center"/>
    </xf>
    <xf numFmtId="167" fontId="12" fillId="0" borderId="257" xfId="0" applyNumberFormat="1" applyFont="1" applyBorder="1" applyAlignment="1">
      <alignment horizontal="center"/>
    </xf>
    <xf numFmtId="0" fontId="58" fillId="0" borderId="96" xfId="0" applyFont="1" applyFill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188" xfId="0" applyFont="1" applyBorder="1" applyAlignment="1">
      <alignment horizontal="center" vertical="center" wrapText="1"/>
    </xf>
    <xf numFmtId="0" fontId="0" fillId="0" borderId="261" xfId="0" applyBorder="1" applyAlignment="1">
      <alignment horizontal="center" wrapText="1"/>
    </xf>
    <xf numFmtId="0" fontId="0" fillId="0" borderId="257" xfId="0" applyBorder="1" applyAlignment="1">
      <alignment horizontal="center" wrapText="1"/>
    </xf>
    <xf numFmtId="166" fontId="0" fillId="0" borderId="261" xfId="0" applyNumberFormat="1" applyBorder="1"/>
    <xf numFmtId="0" fontId="0" fillId="0" borderId="261" xfId="0" applyBorder="1"/>
    <xf numFmtId="0" fontId="0" fillId="0" borderId="257" xfId="0" applyBorder="1"/>
    <xf numFmtId="0" fontId="11" fillId="0" borderId="261" xfId="0" applyFont="1" applyBorder="1" applyAlignment="1">
      <alignment horizontal="center" vertical="center" wrapText="1"/>
    </xf>
    <xf numFmtId="167" fontId="12" fillId="0" borderId="261" xfId="0" applyNumberFormat="1" applyFont="1" applyBorder="1" applyAlignment="1">
      <alignment horizontal="center"/>
    </xf>
    <xf numFmtId="4" fontId="58" fillId="0" borderId="260" xfId="0" applyNumberFormat="1" applyFont="1" applyBorder="1" applyAlignment="1">
      <alignment horizontal="center" vertical="center"/>
    </xf>
    <xf numFmtId="4" fontId="58" fillId="0" borderId="263" xfId="0" applyNumberFormat="1" applyFont="1" applyFill="1" applyBorder="1" applyAlignment="1">
      <alignment horizontal="center" vertical="center"/>
    </xf>
    <xf numFmtId="4" fontId="58" fillId="0" borderId="262" xfId="0" applyNumberFormat="1" applyFont="1" applyFill="1" applyBorder="1" applyAlignment="1">
      <alignment horizontal="center" vertical="center"/>
    </xf>
    <xf numFmtId="4" fontId="58" fillId="29" borderId="106" xfId="0" applyNumberFormat="1" applyFont="1" applyFill="1" applyBorder="1" applyAlignment="1">
      <alignment horizontal="center" vertical="center"/>
    </xf>
    <xf numFmtId="10" fontId="59" fillId="29" borderId="106" xfId="85" applyNumberFormat="1" applyFont="1" applyFill="1" applyBorder="1" applyAlignment="1">
      <alignment horizontal="center" vertical="center"/>
    </xf>
    <xf numFmtId="4" fontId="82" fillId="29" borderId="242" xfId="96" applyNumberFormat="1" applyFont="1" applyFill="1" applyBorder="1" applyAlignment="1">
      <alignment horizontal="center" vertical="center"/>
    </xf>
    <xf numFmtId="4" fontId="82" fillId="37" borderId="242" xfId="96" applyNumberFormat="1" applyFont="1" applyFill="1" applyBorder="1" applyAlignment="1">
      <alignment horizontal="center" vertical="center"/>
    </xf>
    <xf numFmtId="4" fontId="82" fillId="36" borderId="242" xfId="96" applyNumberFormat="1" applyFont="1" applyFill="1" applyBorder="1" applyAlignment="1">
      <alignment horizontal="center" vertical="center"/>
    </xf>
    <xf numFmtId="0" fontId="82" fillId="36" borderId="249" xfId="96" applyFont="1" applyFill="1" applyBorder="1" applyAlignment="1">
      <alignment horizontal="center" vertical="center"/>
    </xf>
    <xf numFmtId="0" fontId="82" fillId="36" borderId="242" xfId="96" applyFont="1" applyFill="1" applyBorder="1" applyAlignment="1">
      <alignment horizontal="center" vertical="center"/>
    </xf>
    <xf numFmtId="4" fontId="83" fillId="36" borderId="249" xfId="96" applyNumberFormat="1" applyFont="1" applyFill="1" applyBorder="1" applyAlignment="1">
      <alignment horizontal="center" vertical="center"/>
    </xf>
    <xf numFmtId="0" fontId="82" fillId="27" borderId="247" xfId="96" applyFont="1" applyFill="1" applyBorder="1" applyAlignment="1">
      <alignment horizontal="center" vertical="center" wrapText="1"/>
    </xf>
    <xf numFmtId="4" fontId="99" fillId="0" borderId="106" xfId="0" applyNumberFormat="1" applyFont="1" applyFill="1" applyBorder="1" applyAlignment="1">
      <alignment horizontal="center" vertical="center"/>
    </xf>
    <xf numFmtId="4" fontId="15" fillId="29" borderId="37" xfId="0" applyNumberFormat="1" applyFont="1" applyFill="1" applyBorder="1" applyAlignment="1">
      <alignment horizontal="center" vertical="center" wrapText="1"/>
    </xf>
    <xf numFmtId="4" fontId="15" fillId="29" borderId="11" xfId="0" applyNumberFormat="1" applyFont="1" applyFill="1" applyBorder="1" applyAlignment="1">
      <alignment horizontal="center" vertical="center" wrapText="1"/>
    </xf>
    <xf numFmtId="4" fontId="15" fillId="29" borderId="38" xfId="0" applyNumberFormat="1" applyFont="1" applyFill="1" applyBorder="1" applyAlignment="1">
      <alignment horizontal="center" vertical="center" wrapText="1"/>
    </xf>
    <xf numFmtId="4" fontId="15" fillId="29" borderId="21" xfId="0" applyNumberFormat="1" applyFont="1" applyFill="1" applyBorder="1" applyAlignment="1">
      <alignment horizontal="center" vertical="center"/>
    </xf>
    <xf numFmtId="4" fontId="58" fillId="29" borderId="16" xfId="0" applyNumberFormat="1" applyFont="1" applyFill="1" applyBorder="1"/>
    <xf numFmtId="4" fontId="58" fillId="29" borderId="17" xfId="0" applyNumberFormat="1" applyFont="1" applyFill="1" applyBorder="1"/>
    <xf numFmtId="4" fontId="58" fillId="29" borderId="18" xfId="0" applyNumberFormat="1" applyFont="1" applyFill="1" applyBorder="1"/>
    <xf numFmtId="2" fontId="15" fillId="29" borderId="21" xfId="0" applyNumberFormat="1" applyFont="1" applyFill="1" applyBorder="1"/>
    <xf numFmtId="0" fontId="11" fillId="0" borderId="40" xfId="0" applyFont="1" applyBorder="1" applyAlignment="1">
      <alignment horizontal="center" vertical="center"/>
    </xf>
    <xf numFmtId="0" fontId="58" fillId="0" borderId="96" xfId="0" applyFont="1" applyFill="1" applyBorder="1" applyAlignment="1">
      <alignment horizontal="center" vertical="center" wrapText="1"/>
    </xf>
    <xf numFmtId="0" fontId="80" fillId="0" borderId="271" xfId="0" applyFont="1" applyBorder="1"/>
    <xf numFmtId="0" fontId="80" fillId="0" borderId="272" xfId="0" applyFont="1" applyBorder="1"/>
    <xf numFmtId="0" fontId="80" fillId="0" borderId="273" xfId="0" applyFont="1" applyBorder="1"/>
    <xf numFmtId="0" fontId="58" fillId="0" borderId="272" xfId="0" applyFont="1" applyBorder="1" applyAlignment="1">
      <alignment horizontal="center" vertical="center" wrapText="1"/>
    </xf>
    <xf numFmtId="0" fontId="58" fillId="0" borderId="273" xfId="0" applyFont="1" applyBorder="1" applyAlignment="1">
      <alignment horizontal="center" vertical="center" wrapText="1"/>
    </xf>
    <xf numFmtId="0" fontId="58" fillId="0" borderId="35" xfId="0" applyFont="1" applyBorder="1" applyAlignment="1">
      <alignment vertical="center"/>
    </xf>
    <xf numFmtId="4" fontId="15" fillId="0" borderId="37" xfId="0" applyNumberFormat="1" applyFont="1" applyBorder="1" applyAlignment="1">
      <alignment horizontal="right" vertical="center"/>
    </xf>
    <xf numFmtId="4" fontId="15" fillId="0" borderId="11" xfId="0" applyNumberFormat="1" applyFont="1" applyBorder="1" applyAlignment="1">
      <alignment horizontal="right" vertical="center"/>
    </xf>
    <xf numFmtId="0" fontId="15" fillId="0" borderId="38" xfId="0" applyFont="1" applyFill="1" applyBorder="1" applyAlignment="1">
      <alignment horizontal="right" vertical="center"/>
    </xf>
    <xf numFmtId="0" fontId="15" fillId="0" borderId="11" xfId="0" applyFont="1" applyFill="1" applyBorder="1" applyAlignment="1">
      <alignment horizontal="right" vertical="center"/>
    </xf>
    <xf numFmtId="0" fontId="15" fillId="0" borderId="35" xfId="0" applyFont="1" applyFill="1" applyBorder="1" applyAlignment="1">
      <alignment horizontal="right" vertical="center"/>
    </xf>
    <xf numFmtId="0" fontId="15" fillId="0" borderId="43" xfId="0" applyFont="1" applyFill="1" applyBorder="1" applyAlignment="1">
      <alignment horizontal="right" vertical="center"/>
    </xf>
    <xf numFmtId="0" fontId="15" fillId="0" borderId="44" xfId="0" applyFont="1" applyFill="1" applyBorder="1" applyAlignment="1">
      <alignment horizontal="right" vertical="center"/>
    </xf>
    <xf numFmtId="4" fontId="58" fillId="0" borderId="38" xfId="0" applyNumberFormat="1" applyFont="1" applyBorder="1" applyAlignment="1">
      <alignment horizontal="right" vertical="center"/>
    </xf>
    <xf numFmtId="4" fontId="58" fillId="0" borderId="36" xfId="0" applyNumberFormat="1" applyFont="1" applyBorder="1" applyAlignment="1">
      <alignment horizontal="right" vertical="center"/>
    </xf>
    <xf numFmtId="4" fontId="15" fillId="0" borderId="276" xfId="0" applyNumberFormat="1" applyFont="1" applyFill="1" applyBorder="1" applyAlignment="1">
      <alignment horizontal="right" vertical="center"/>
    </xf>
    <xf numFmtId="176" fontId="15" fillId="0" borderId="282" xfId="0" applyNumberFormat="1" applyFont="1" applyFill="1" applyBorder="1" applyAlignment="1">
      <alignment horizontal="right" vertical="center"/>
    </xf>
    <xf numFmtId="176" fontId="15" fillId="0" borderId="276" xfId="0" applyNumberFormat="1" applyFont="1" applyFill="1" applyBorder="1" applyAlignment="1">
      <alignment horizontal="right" vertical="center"/>
    </xf>
    <xf numFmtId="4" fontId="58" fillId="0" borderId="278" xfId="0" applyNumberFormat="1" applyFont="1" applyBorder="1" applyAlignment="1">
      <alignment horizontal="right" vertical="center"/>
    </xf>
    <xf numFmtId="0" fontId="58" fillId="0" borderId="276" xfId="0" applyFont="1" applyFill="1" applyBorder="1" applyAlignment="1">
      <alignment horizontal="right" vertical="center"/>
    </xf>
    <xf numFmtId="176" fontId="58" fillId="0" borderId="282" xfId="0" applyNumberFormat="1" applyFont="1" applyFill="1" applyBorder="1" applyAlignment="1">
      <alignment horizontal="right" vertical="center"/>
    </xf>
    <xf numFmtId="176" fontId="58" fillId="0" borderId="276" xfId="0" applyNumberFormat="1" applyFont="1" applyFill="1" applyBorder="1" applyAlignment="1">
      <alignment horizontal="right" vertical="center"/>
    </xf>
    <xf numFmtId="10" fontId="59" fillId="0" borderId="282" xfId="85" applyNumberFormat="1" applyFont="1" applyFill="1" applyBorder="1" applyAlignment="1">
      <alignment horizontal="right" vertical="center"/>
    </xf>
    <xf numFmtId="176" fontId="59" fillId="0" borderId="282" xfId="85" applyNumberFormat="1" applyFont="1" applyFill="1" applyBorder="1" applyAlignment="1">
      <alignment horizontal="right" vertical="center"/>
    </xf>
    <xf numFmtId="4" fontId="15" fillId="0" borderId="282" xfId="0" applyNumberFormat="1" applyFont="1" applyFill="1" applyBorder="1" applyAlignment="1">
      <alignment horizontal="right" vertical="center"/>
    </xf>
    <xf numFmtId="4" fontId="15" fillId="0" borderId="278" xfId="0" applyNumberFormat="1" applyFont="1" applyBorder="1" applyAlignment="1">
      <alignment horizontal="right" vertical="center"/>
    </xf>
    <xf numFmtId="4" fontId="58" fillId="0" borderId="276" xfId="0" applyNumberFormat="1" applyFont="1" applyFill="1" applyBorder="1" applyAlignment="1">
      <alignment horizontal="right" vertical="center"/>
    </xf>
    <xf numFmtId="4" fontId="59" fillId="0" borderId="282" xfId="0" applyNumberFormat="1" applyFont="1" applyFill="1" applyBorder="1" applyAlignment="1">
      <alignment horizontal="right" vertical="center" wrapText="1"/>
    </xf>
    <xf numFmtId="176" fontId="59" fillId="0" borderId="282" xfId="0" applyNumberFormat="1" applyFont="1" applyFill="1" applyBorder="1" applyAlignment="1">
      <alignment horizontal="right" vertical="center" wrapText="1"/>
    </xf>
    <xf numFmtId="176" fontId="59" fillId="0" borderId="276" xfId="0" applyNumberFormat="1" applyFont="1" applyFill="1" applyBorder="1" applyAlignment="1">
      <alignment horizontal="right" vertical="center" wrapText="1"/>
    </xf>
    <xf numFmtId="167" fontId="15" fillId="0" borderId="282" xfId="0" applyNumberFormat="1" applyFont="1" applyFill="1" applyBorder="1" applyAlignment="1">
      <alignment horizontal="right" vertical="center"/>
    </xf>
    <xf numFmtId="166" fontId="15" fillId="0" borderId="278" xfId="0" applyNumberFormat="1" applyFont="1" applyBorder="1" applyAlignment="1">
      <alignment horizontal="right" vertical="center"/>
    </xf>
    <xf numFmtId="0" fontId="58" fillId="0" borderId="273" xfId="0" applyFont="1" applyFill="1" applyBorder="1" applyAlignment="1">
      <alignment horizontal="right" vertical="center"/>
    </xf>
    <xf numFmtId="176" fontId="99" fillId="0" borderId="272" xfId="0" applyNumberFormat="1" applyFont="1" applyFill="1" applyBorder="1" applyAlignment="1">
      <alignment horizontal="right" vertical="center"/>
    </xf>
    <xf numFmtId="176" fontId="58" fillId="0" borderId="273" xfId="0" applyNumberFormat="1" applyFont="1" applyFill="1" applyBorder="1" applyAlignment="1">
      <alignment horizontal="right" vertical="center"/>
    </xf>
    <xf numFmtId="4" fontId="58" fillId="0" borderId="275" xfId="0" applyNumberFormat="1" applyFont="1" applyBorder="1" applyAlignment="1">
      <alignment horizontal="right" vertical="center"/>
    </xf>
    <xf numFmtId="176" fontId="58" fillId="0" borderId="282" xfId="0" applyNumberFormat="1" applyFont="1" applyBorder="1" applyAlignment="1">
      <alignment horizontal="right" vertical="center"/>
    </xf>
    <xf numFmtId="176" fontId="58" fillId="0" borderId="273" xfId="0" applyNumberFormat="1" applyFont="1" applyBorder="1" applyAlignment="1">
      <alignment horizontal="right" vertical="center"/>
    </xf>
    <xf numFmtId="0" fontId="58" fillId="0" borderId="277" xfId="0" applyFont="1" applyFill="1" applyBorder="1" applyAlignment="1">
      <alignment horizontal="right" vertical="center"/>
    </xf>
    <xf numFmtId="4" fontId="58" fillId="0" borderId="280" xfId="0" applyNumberFormat="1" applyFont="1" applyBorder="1" applyAlignment="1">
      <alignment horizontal="right" vertical="center"/>
    </xf>
    <xf numFmtId="4" fontId="58" fillId="0" borderId="282" xfId="0" applyNumberFormat="1" applyFont="1" applyBorder="1" applyAlignment="1">
      <alignment horizontal="right" vertical="center"/>
    </xf>
    <xf numFmtId="4" fontId="58" fillId="0" borderId="276" xfId="0" applyNumberFormat="1" applyFont="1" applyBorder="1" applyAlignment="1">
      <alignment horizontal="right" vertical="center"/>
    </xf>
    <xf numFmtId="4" fontId="58" fillId="0" borderId="269" xfId="0" applyNumberFormat="1" applyFont="1" applyBorder="1" applyAlignment="1">
      <alignment horizontal="right" vertical="center"/>
    </xf>
    <xf numFmtId="4" fontId="58" fillId="0" borderId="277" xfId="0" applyNumberFormat="1" applyFont="1" applyBorder="1" applyAlignment="1">
      <alignment horizontal="right" vertical="center"/>
    </xf>
    <xf numFmtId="176" fontId="59" fillId="0" borderId="273" xfId="0" applyNumberFormat="1" applyFont="1" applyBorder="1" applyAlignment="1">
      <alignment horizontal="right" vertical="center"/>
    </xf>
    <xf numFmtId="4" fontId="59" fillId="0" borderId="275" xfId="0" applyNumberFormat="1" applyFont="1" applyBorder="1" applyAlignment="1">
      <alignment horizontal="right" vertical="center"/>
    </xf>
    <xf numFmtId="176" fontId="59" fillId="0" borderId="277" xfId="0" applyNumberFormat="1" applyFont="1" applyBorder="1" applyAlignment="1">
      <alignment horizontal="right" vertical="center"/>
    </xf>
    <xf numFmtId="4" fontId="59" fillId="0" borderId="280" xfId="0" applyNumberFormat="1" applyFont="1" applyBorder="1" applyAlignment="1">
      <alignment horizontal="right" vertical="center"/>
    </xf>
    <xf numFmtId="0" fontId="58" fillId="0" borderId="283" xfId="0" applyFont="1" applyFill="1" applyBorder="1" applyAlignment="1">
      <alignment horizontal="center" wrapText="1"/>
    </xf>
    <xf numFmtId="0" fontId="58" fillId="0" borderId="282" xfId="0" applyFont="1" applyFill="1" applyBorder="1" applyAlignment="1">
      <alignment horizontal="center" wrapText="1"/>
    </xf>
    <xf numFmtId="0" fontId="58" fillId="0" borderId="276" xfId="0" applyFont="1" applyFill="1" applyBorder="1" applyAlignment="1">
      <alignment horizontal="center" wrapText="1"/>
    </xf>
    <xf numFmtId="0" fontId="58" fillId="0" borderId="285" xfId="0" applyFont="1" applyBorder="1" applyAlignment="1">
      <alignment vertical="center" wrapText="1"/>
    </xf>
    <xf numFmtId="0" fontId="80" fillId="0" borderId="283" xfId="0" applyFont="1" applyBorder="1" applyAlignment="1">
      <alignment vertical="center"/>
    </xf>
    <xf numFmtId="0" fontId="80" fillId="0" borderId="282" xfId="0" applyFont="1" applyBorder="1" applyAlignment="1">
      <alignment vertical="center"/>
    </xf>
    <xf numFmtId="0" fontId="80" fillId="0" borderId="276" xfId="0" applyFont="1" applyBorder="1" applyAlignment="1">
      <alignment vertical="center"/>
    </xf>
    <xf numFmtId="4" fontId="58" fillId="0" borderId="281" xfId="0" applyNumberFormat="1" applyFont="1" applyBorder="1" applyAlignment="1">
      <alignment horizontal="right" vertical="center"/>
    </xf>
    <xf numFmtId="4" fontId="58" fillId="0" borderId="278" xfId="0" applyNumberFormat="1" applyFont="1" applyFill="1" applyBorder="1" applyAlignment="1">
      <alignment horizontal="right" vertical="center"/>
    </xf>
    <xf numFmtId="176" fontId="58" fillId="0" borderId="281" xfId="0" applyNumberFormat="1" applyFont="1" applyFill="1" applyBorder="1" applyAlignment="1">
      <alignment horizontal="right" vertical="center"/>
    </xf>
    <xf numFmtId="0" fontId="15" fillId="0" borderId="285" xfId="0" applyFont="1" applyBorder="1" applyAlignment="1">
      <alignment vertical="center" wrapText="1"/>
    </xf>
    <xf numFmtId="0" fontId="15" fillId="0" borderId="283" xfId="0" applyFont="1" applyBorder="1" applyAlignment="1">
      <alignment vertical="center"/>
    </xf>
    <xf numFmtId="0" fontId="15" fillId="0" borderId="282" xfId="0" applyFont="1" applyBorder="1" applyAlignment="1">
      <alignment vertical="center"/>
    </xf>
    <xf numFmtId="0" fontId="15" fillId="0" borderId="276" xfId="0" applyFont="1" applyBorder="1" applyAlignment="1">
      <alignment vertical="center"/>
    </xf>
    <xf numFmtId="4" fontId="15" fillId="0" borderId="281" xfId="0" applyNumberFormat="1" applyFont="1" applyBorder="1" applyAlignment="1">
      <alignment horizontal="right" vertical="center"/>
    </xf>
    <xf numFmtId="4" fontId="15" fillId="0" borderId="282" xfId="0" applyNumberFormat="1" applyFont="1" applyBorder="1" applyAlignment="1">
      <alignment horizontal="right" vertical="center"/>
    </xf>
    <xf numFmtId="0" fontId="15" fillId="0" borderId="278" xfId="0" applyFont="1" applyFill="1" applyBorder="1" applyAlignment="1">
      <alignment horizontal="right" vertical="center"/>
    </xf>
    <xf numFmtId="0" fontId="15" fillId="0" borderId="282" xfId="0" applyFont="1" applyFill="1" applyBorder="1" applyAlignment="1">
      <alignment horizontal="right" vertical="center"/>
    </xf>
    <xf numFmtId="0" fontId="15" fillId="0" borderId="276" xfId="0" applyFont="1" applyFill="1" applyBorder="1" applyAlignment="1">
      <alignment horizontal="right" vertical="center"/>
    </xf>
    <xf numFmtId="176" fontId="15" fillId="0" borderId="281" xfId="0" applyNumberFormat="1" applyFont="1" applyFill="1" applyBorder="1" applyAlignment="1">
      <alignment horizontal="right" vertical="center"/>
    </xf>
    <xf numFmtId="0" fontId="59" fillId="0" borderId="285" xfId="0" applyFont="1" applyBorder="1" applyAlignment="1">
      <alignment vertical="center" wrapText="1"/>
    </xf>
    <xf numFmtId="0" fontId="59" fillId="0" borderId="283" xfId="0" applyFont="1" applyBorder="1" applyAlignment="1">
      <alignment vertical="center"/>
    </xf>
    <xf numFmtId="0" fontId="59" fillId="0" borderId="282" xfId="0" applyFont="1" applyBorder="1" applyAlignment="1">
      <alignment vertical="center"/>
    </xf>
    <xf numFmtId="0" fontId="59" fillId="0" borderId="276" xfId="0" applyFont="1" applyBorder="1" applyAlignment="1">
      <alignment vertical="center"/>
    </xf>
    <xf numFmtId="10" fontId="59" fillId="0" borderId="281" xfId="85" applyNumberFormat="1" applyFont="1" applyBorder="1" applyAlignment="1">
      <alignment horizontal="right" vertical="center"/>
    </xf>
    <xf numFmtId="10" fontId="59" fillId="0" borderId="282" xfId="85" applyNumberFormat="1" applyFont="1" applyBorder="1" applyAlignment="1">
      <alignment horizontal="right" vertical="center"/>
    </xf>
    <xf numFmtId="10" fontId="59" fillId="0" borderId="278" xfId="85" applyNumberFormat="1" applyFont="1" applyFill="1" applyBorder="1" applyAlignment="1">
      <alignment horizontal="right" vertical="center"/>
    </xf>
    <xf numFmtId="10" fontId="59" fillId="0" borderId="276" xfId="85" applyNumberFormat="1" applyFont="1" applyFill="1" applyBorder="1" applyAlignment="1">
      <alignment horizontal="right" vertical="center"/>
    </xf>
    <xf numFmtId="4" fontId="15" fillId="0" borderId="278" xfId="0" applyNumberFormat="1" applyFont="1" applyFill="1" applyBorder="1" applyAlignment="1">
      <alignment horizontal="right" vertical="center"/>
    </xf>
    <xf numFmtId="4" fontId="58" fillId="0" borderId="282" xfId="0" applyNumberFormat="1" applyFont="1" applyFill="1" applyBorder="1" applyAlignment="1">
      <alignment horizontal="right" vertical="center"/>
    </xf>
    <xf numFmtId="4" fontId="59" fillId="0" borderId="281" xfId="0" applyNumberFormat="1" applyFont="1" applyBorder="1" applyAlignment="1">
      <alignment horizontal="right" vertical="center" wrapText="1"/>
    </xf>
    <xf numFmtId="4" fontId="59" fillId="0" borderId="282" xfId="0" applyNumberFormat="1" applyFont="1" applyBorder="1" applyAlignment="1">
      <alignment horizontal="right" vertical="center"/>
    </xf>
    <xf numFmtId="4" fontId="59" fillId="0" borderId="278" xfId="0" applyNumberFormat="1" applyFont="1" applyFill="1" applyBorder="1" applyAlignment="1">
      <alignment horizontal="right" vertical="center" wrapText="1"/>
    </xf>
    <xf numFmtId="4" fontId="59" fillId="0" borderId="281" xfId="0" applyNumberFormat="1" applyFont="1" applyBorder="1" applyAlignment="1">
      <alignment horizontal="right" vertical="center"/>
    </xf>
    <xf numFmtId="10" fontId="59" fillId="0" borderId="276" xfId="85" applyNumberFormat="1" applyFont="1" applyFill="1" applyBorder="1" applyAlignment="1">
      <alignment horizontal="right" vertical="center" wrapText="1"/>
    </xf>
    <xf numFmtId="4" fontId="59" fillId="0" borderId="276" xfId="0" applyNumberFormat="1" applyFont="1" applyFill="1" applyBorder="1" applyAlignment="1">
      <alignment horizontal="right" vertical="center" wrapText="1"/>
    </xf>
    <xf numFmtId="176" fontId="59" fillId="0" borderId="281" xfId="0" applyNumberFormat="1" applyFont="1" applyFill="1" applyBorder="1" applyAlignment="1">
      <alignment horizontal="right" vertical="center" wrapText="1"/>
    </xf>
    <xf numFmtId="167" fontId="15" fillId="0" borderId="278" xfId="0" applyNumberFormat="1" applyFont="1" applyFill="1" applyBorder="1" applyAlignment="1">
      <alignment horizontal="right" vertical="center"/>
    </xf>
    <xf numFmtId="167" fontId="15" fillId="0" borderId="276" xfId="0" applyNumberFormat="1" applyFont="1" applyFill="1" applyBorder="1" applyAlignment="1">
      <alignment horizontal="right" vertical="center"/>
    </xf>
    <xf numFmtId="2" fontId="15" fillId="0" borderId="282" xfId="0" applyNumberFormat="1" applyFont="1" applyFill="1" applyBorder="1" applyAlignment="1">
      <alignment horizontal="right" vertical="center"/>
    </xf>
    <xf numFmtId="2" fontId="15" fillId="0" borderId="276" xfId="0" applyNumberFormat="1" applyFont="1" applyFill="1" applyBorder="1" applyAlignment="1">
      <alignment horizontal="right" vertical="center"/>
    </xf>
    <xf numFmtId="0" fontId="58" fillId="0" borderId="283" xfId="0" applyFont="1" applyBorder="1" applyAlignment="1">
      <alignment vertical="center"/>
    </xf>
    <xf numFmtId="0" fontId="58" fillId="0" borderId="282" xfId="0" applyFont="1" applyBorder="1" applyAlignment="1">
      <alignment vertical="center"/>
    </xf>
    <xf numFmtId="0" fontId="58" fillId="0" borderId="276" xfId="0" applyFont="1" applyBorder="1" applyAlignment="1">
      <alignment vertical="center"/>
    </xf>
    <xf numFmtId="0" fontId="58" fillId="0" borderId="278" xfId="0" applyFont="1" applyFill="1" applyBorder="1" applyAlignment="1">
      <alignment horizontal="right" vertical="center"/>
    </xf>
    <xf numFmtId="0" fontId="58" fillId="0" borderId="282" xfId="0" applyFont="1" applyFill="1" applyBorder="1" applyAlignment="1">
      <alignment horizontal="right" vertical="center"/>
    </xf>
    <xf numFmtId="0" fontId="58" fillId="0" borderId="270" xfId="0" applyFont="1" applyBorder="1" applyAlignment="1">
      <alignment vertical="center" wrapText="1"/>
    </xf>
    <xf numFmtId="0" fontId="58" fillId="0" borderId="271" xfId="0" applyFont="1" applyBorder="1" applyAlignment="1">
      <alignment vertical="center"/>
    </xf>
    <xf numFmtId="0" fontId="58" fillId="0" borderId="272" xfId="0" applyFont="1" applyBorder="1" applyAlignment="1">
      <alignment vertical="center"/>
    </xf>
    <xf numFmtId="0" fontId="58" fillId="0" borderId="273" xfId="0" applyFont="1" applyBorder="1" applyAlignment="1">
      <alignment vertical="center"/>
    </xf>
    <xf numFmtId="4" fontId="58" fillId="0" borderId="274" xfId="0" applyNumberFormat="1" applyFont="1" applyBorder="1" applyAlignment="1">
      <alignment horizontal="right" vertical="center"/>
    </xf>
    <xf numFmtId="4" fontId="58" fillId="0" borderId="272" xfId="0" applyNumberFormat="1" applyFont="1" applyBorder="1" applyAlignment="1">
      <alignment horizontal="right" vertical="center"/>
    </xf>
    <xf numFmtId="0" fontId="58" fillId="0" borderId="275" xfId="0" applyFont="1" applyFill="1" applyBorder="1" applyAlignment="1">
      <alignment horizontal="right" vertical="center"/>
    </xf>
    <xf numFmtId="0" fontId="58" fillId="0" borderId="272" xfId="0" applyFont="1" applyFill="1" applyBorder="1" applyAlignment="1">
      <alignment horizontal="right" vertical="center"/>
    </xf>
    <xf numFmtId="176" fontId="58" fillId="0" borderId="274" xfId="0" applyNumberFormat="1" applyFont="1" applyFill="1" applyBorder="1" applyAlignment="1">
      <alignment horizontal="right" vertical="center"/>
    </xf>
    <xf numFmtId="176" fontId="58" fillId="0" borderId="283" xfId="0" applyNumberFormat="1" applyFont="1" applyBorder="1" applyAlignment="1">
      <alignment horizontal="right" vertical="center"/>
    </xf>
    <xf numFmtId="0" fontId="59" fillId="0" borderId="282" xfId="0" applyFont="1" applyFill="1" applyBorder="1" applyAlignment="1">
      <alignment horizontal="right" vertical="center"/>
    </xf>
    <xf numFmtId="0" fontId="59" fillId="0" borderId="276" xfId="0" applyFont="1" applyFill="1" applyBorder="1" applyAlignment="1">
      <alignment horizontal="right" vertical="center"/>
    </xf>
    <xf numFmtId="0" fontId="59" fillId="0" borderId="278" xfId="0" applyFont="1" applyFill="1" applyBorder="1" applyAlignment="1">
      <alignment horizontal="right" vertical="center"/>
    </xf>
    <xf numFmtId="176" fontId="59" fillId="0" borderId="283" xfId="0" applyNumberFormat="1" applyFont="1" applyBorder="1" applyAlignment="1">
      <alignment horizontal="right" vertical="center"/>
    </xf>
    <xf numFmtId="176" fontId="59" fillId="0" borderId="282" xfId="0" applyNumberFormat="1" applyFont="1" applyBorder="1" applyAlignment="1">
      <alignment horizontal="right" vertical="center"/>
    </xf>
    <xf numFmtId="0" fontId="58" fillId="0" borderId="284" xfId="0" applyFont="1" applyBorder="1" applyAlignment="1">
      <alignment vertical="center"/>
    </xf>
    <xf numFmtId="0" fontId="58" fillId="0" borderId="269" xfId="0" applyFont="1" applyBorder="1" applyAlignment="1">
      <alignment vertical="center"/>
    </xf>
    <xf numFmtId="0" fontId="58" fillId="0" borderId="277" xfId="0" applyFont="1" applyBorder="1" applyAlignment="1">
      <alignment vertical="center"/>
    </xf>
    <xf numFmtId="4" fontId="58" fillId="0" borderId="279" xfId="0" applyNumberFormat="1" applyFont="1" applyBorder="1" applyAlignment="1">
      <alignment horizontal="right" vertical="center"/>
    </xf>
    <xf numFmtId="0" fontId="58" fillId="0" borderId="280" xfId="0" applyFont="1" applyFill="1" applyBorder="1" applyAlignment="1">
      <alignment horizontal="right" vertical="center"/>
    </xf>
    <xf numFmtId="4" fontId="59" fillId="0" borderId="279" xfId="0" applyNumberFormat="1" applyFont="1" applyBorder="1" applyAlignment="1">
      <alignment horizontal="right" vertical="center"/>
    </xf>
    <xf numFmtId="4" fontId="59" fillId="0" borderId="269" xfId="0" applyNumberFormat="1" applyFont="1" applyBorder="1" applyAlignment="1">
      <alignment horizontal="right" vertical="center"/>
    </xf>
    <xf numFmtId="0" fontId="59" fillId="0" borderId="269" xfId="0" applyFont="1" applyFill="1" applyBorder="1" applyAlignment="1">
      <alignment horizontal="right" vertical="center"/>
    </xf>
    <xf numFmtId="0" fontId="59" fillId="0" borderId="277" xfId="0" applyFont="1" applyFill="1" applyBorder="1" applyAlignment="1">
      <alignment horizontal="right" vertical="center"/>
    </xf>
    <xf numFmtId="0" fontId="59" fillId="0" borderId="280" xfId="0" applyFont="1" applyFill="1" applyBorder="1" applyAlignment="1">
      <alignment horizontal="right" vertical="center"/>
    </xf>
    <xf numFmtId="176" fontId="59" fillId="0" borderId="284" xfId="0" applyNumberFormat="1" applyFont="1" applyBorder="1" applyAlignment="1">
      <alignment horizontal="right" vertical="center"/>
    </xf>
    <xf numFmtId="176" fontId="59" fillId="0" borderId="269" xfId="0" applyNumberFormat="1" applyFont="1" applyBorder="1" applyAlignment="1">
      <alignment horizontal="right" vertical="center"/>
    </xf>
    <xf numFmtId="0" fontId="58" fillId="0" borderId="282" xfId="0" applyFont="1" applyBorder="1" applyAlignment="1">
      <alignment horizontal="right" vertical="center"/>
    </xf>
    <xf numFmtId="0" fontId="58" fillId="0" borderId="269" xfId="0" applyFont="1" applyBorder="1" applyAlignment="1">
      <alignment horizontal="right" vertical="center"/>
    </xf>
    <xf numFmtId="0" fontId="58" fillId="0" borderId="269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 wrapText="1"/>
    </xf>
    <xf numFmtId="0" fontId="46" fillId="0" borderId="25" xfId="79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 wrapText="1"/>
    </xf>
    <xf numFmtId="0" fontId="46" fillId="0" borderId="31" xfId="79" applyFont="1" applyFill="1" applyBorder="1" applyAlignment="1">
      <alignment horizontal="center" vertical="center"/>
    </xf>
    <xf numFmtId="0" fontId="46" fillId="0" borderId="35" xfId="79" applyFont="1" applyFill="1" applyBorder="1" applyAlignment="1">
      <alignment horizontal="center" vertical="center"/>
    </xf>
    <xf numFmtId="0" fontId="16" fillId="0" borderId="0" xfId="79" applyFont="1" applyFill="1" applyBorder="1" applyAlignment="1">
      <alignment horizontal="center" vertical="center"/>
    </xf>
    <xf numFmtId="0" fontId="46" fillId="0" borderId="92" xfId="79" applyFont="1" applyFill="1" applyBorder="1" applyAlignment="1">
      <alignment horizontal="center" vertical="center" wrapText="1"/>
    </xf>
    <xf numFmtId="0" fontId="46" fillId="0" borderId="10" xfId="79" applyFont="1" applyFill="1" applyBorder="1" applyAlignment="1">
      <alignment horizontal="center" vertical="center"/>
    </xf>
    <xf numFmtId="0" fontId="46" fillId="0" borderId="19" xfId="79" applyFont="1" applyFill="1" applyBorder="1" applyAlignment="1">
      <alignment horizontal="center" vertical="center" wrapText="1"/>
    </xf>
    <xf numFmtId="0" fontId="58" fillId="29" borderId="96" xfId="0" applyFont="1" applyFill="1" applyBorder="1" applyAlignment="1">
      <alignment horizontal="center" vertical="center" wrapText="1"/>
    </xf>
    <xf numFmtId="4" fontId="15" fillId="29" borderId="16" xfId="0" applyNumberFormat="1" applyFont="1" applyFill="1" applyBorder="1" applyAlignment="1">
      <alignment horizontal="center" vertical="center"/>
    </xf>
    <xf numFmtId="4" fontId="15" fillId="29" borderId="17" xfId="0" applyNumberFormat="1" applyFont="1" applyFill="1" applyBorder="1" applyAlignment="1">
      <alignment horizontal="center" vertical="center"/>
    </xf>
    <xf numFmtId="4" fontId="15" fillId="29" borderId="18" xfId="0" applyNumberFormat="1" applyFont="1" applyFill="1" applyBorder="1" applyAlignment="1">
      <alignment horizontal="center" vertical="center"/>
    </xf>
    <xf numFmtId="4" fontId="58" fillId="29" borderId="105" xfId="0" applyNumberFormat="1" applyFont="1" applyFill="1" applyBorder="1" applyAlignment="1">
      <alignment horizontal="center" vertical="center"/>
    </xf>
    <xf numFmtId="4" fontId="58" fillId="29" borderId="102" xfId="0" applyNumberFormat="1" applyFont="1" applyFill="1" applyBorder="1" applyAlignment="1">
      <alignment horizontal="center" vertical="center"/>
    </xf>
    <xf numFmtId="10" fontId="59" fillId="29" borderId="105" xfId="85" applyNumberFormat="1" applyFont="1" applyFill="1" applyBorder="1" applyAlignment="1">
      <alignment horizontal="center" vertical="center"/>
    </xf>
    <xf numFmtId="10" fontId="59" fillId="29" borderId="102" xfId="85" applyNumberFormat="1" applyFont="1" applyFill="1" applyBorder="1" applyAlignment="1">
      <alignment horizontal="center" vertical="center"/>
    </xf>
    <xf numFmtId="4" fontId="15" fillId="29" borderId="105" xfId="0" applyNumberFormat="1" applyFont="1" applyFill="1" applyBorder="1" applyAlignment="1">
      <alignment horizontal="center" vertical="center"/>
    </xf>
    <xf numFmtId="4" fontId="15" fillId="29" borderId="102" xfId="0" applyNumberFormat="1" applyFont="1" applyFill="1" applyBorder="1" applyAlignment="1">
      <alignment horizontal="center" vertical="center"/>
    </xf>
    <xf numFmtId="4" fontId="15" fillId="29" borderId="106" xfId="0" applyNumberFormat="1" applyFont="1" applyFill="1" applyBorder="1" applyAlignment="1">
      <alignment horizontal="center" vertical="center"/>
    </xf>
    <xf numFmtId="169" fontId="59" fillId="29" borderId="105" xfId="85" applyNumberFormat="1" applyFont="1" applyFill="1" applyBorder="1" applyAlignment="1">
      <alignment horizontal="center" vertical="center"/>
    </xf>
    <xf numFmtId="169" fontId="59" fillId="29" borderId="102" xfId="85" applyNumberFormat="1" applyFont="1" applyFill="1" applyBorder="1" applyAlignment="1">
      <alignment horizontal="center" vertical="center"/>
    </xf>
    <xf numFmtId="169" fontId="59" fillId="29" borderId="106" xfId="85" applyNumberFormat="1" applyFont="1" applyFill="1" applyBorder="1" applyAlignment="1">
      <alignment horizontal="center" vertical="center"/>
    </xf>
    <xf numFmtId="4" fontId="59" fillId="29" borderId="106" xfId="85" applyNumberFormat="1" applyFont="1" applyFill="1" applyBorder="1" applyAlignment="1">
      <alignment horizontal="center" vertical="center"/>
    </xf>
    <xf numFmtId="4" fontId="15" fillId="29" borderId="130" xfId="0" applyNumberFormat="1" applyFont="1" applyFill="1" applyBorder="1" applyAlignment="1">
      <alignment horizontal="center" vertical="center"/>
    </xf>
    <xf numFmtId="4" fontId="15" fillId="29" borderId="169" xfId="0" applyNumberFormat="1" applyFont="1" applyFill="1" applyBorder="1" applyAlignment="1">
      <alignment horizontal="center" vertical="center"/>
    </xf>
    <xf numFmtId="4" fontId="15" fillId="29" borderId="127" xfId="0" applyNumberFormat="1" applyFont="1" applyFill="1" applyBorder="1" applyAlignment="1">
      <alignment horizontal="center" vertical="center"/>
    </xf>
    <xf numFmtId="4" fontId="15" fillId="29" borderId="96" xfId="0" applyNumberFormat="1" applyFont="1" applyFill="1" applyBorder="1" applyAlignment="1">
      <alignment horizontal="center" vertical="center"/>
    </xf>
    <xf numFmtId="4" fontId="15" fillId="29" borderId="23" xfId="0" applyNumberFormat="1" applyFont="1" applyFill="1" applyBorder="1" applyAlignment="1">
      <alignment horizontal="center" vertical="center"/>
    </xf>
    <xf numFmtId="4" fontId="15" fillId="0" borderId="287" xfId="0" applyNumberFormat="1" applyFont="1" applyFill="1" applyBorder="1" applyAlignment="1">
      <alignment horizontal="center" vertical="center"/>
    </xf>
    <xf numFmtId="4" fontId="15" fillId="0" borderId="286" xfId="0" applyNumberFormat="1" applyFont="1" applyFill="1" applyBorder="1" applyAlignment="1">
      <alignment horizontal="center" vertical="center"/>
    </xf>
    <xf numFmtId="4" fontId="15" fillId="0" borderId="288" xfId="0" applyNumberFormat="1" applyFont="1" applyFill="1" applyBorder="1" applyAlignment="1">
      <alignment horizontal="center" vertical="center"/>
    </xf>
    <xf numFmtId="169" fontId="81" fillId="0" borderId="287" xfId="85" applyNumberFormat="1" applyFont="1" applyFill="1" applyBorder="1" applyAlignment="1">
      <alignment horizontal="center" vertical="center"/>
    </xf>
    <xf numFmtId="2" fontId="58" fillId="0" borderId="289" xfId="0" applyNumberFormat="1" applyFont="1" applyBorder="1" applyAlignment="1">
      <alignment horizontal="center" vertical="center" wrapText="1"/>
    </xf>
    <xf numFmtId="166" fontId="58" fillId="0" borderId="289" xfId="0" applyNumberFormat="1" applyFont="1" applyBorder="1" applyAlignment="1">
      <alignment horizontal="center" vertical="center"/>
    </xf>
    <xf numFmtId="166" fontId="15" fillId="0" borderId="289" xfId="0" applyNumberFormat="1" applyFont="1" applyBorder="1" applyAlignment="1">
      <alignment horizontal="center" vertical="center"/>
    </xf>
    <xf numFmtId="0" fontId="58" fillId="0" borderId="289" xfId="0" applyFont="1" applyBorder="1" applyAlignment="1">
      <alignment horizontal="center" vertical="center"/>
    </xf>
    <xf numFmtId="0" fontId="58" fillId="0" borderId="290" xfId="0" applyFont="1" applyBorder="1" applyAlignment="1">
      <alignment horizontal="center" vertical="center"/>
    </xf>
    <xf numFmtId="2" fontId="58" fillId="0" borderId="291" xfId="0" applyNumberFormat="1" applyFont="1" applyBorder="1" applyAlignment="1">
      <alignment horizontal="center" vertical="center" wrapText="1"/>
    </xf>
    <xf numFmtId="2" fontId="58" fillId="0" borderId="292" xfId="0" applyNumberFormat="1" applyFont="1" applyBorder="1" applyAlignment="1">
      <alignment horizontal="center" vertical="center" wrapText="1"/>
    </xf>
    <xf numFmtId="2" fontId="58" fillId="0" borderId="294" xfId="0" applyNumberFormat="1" applyFont="1" applyBorder="1" applyAlignment="1">
      <alignment horizontal="center" vertical="center" wrapText="1"/>
    </xf>
    <xf numFmtId="166" fontId="58" fillId="0" borderId="291" xfId="0" applyNumberFormat="1" applyFont="1" applyFill="1" applyBorder="1" applyAlignment="1">
      <alignment horizontal="center" vertical="center"/>
    </xf>
    <xf numFmtId="2" fontId="58" fillId="0" borderId="292" xfId="0" applyNumberFormat="1" applyFont="1" applyFill="1" applyBorder="1" applyAlignment="1">
      <alignment horizontal="center" vertical="center"/>
    </xf>
    <xf numFmtId="4" fontId="58" fillId="0" borderId="292" xfId="0" applyNumberFormat="1" applyFont="1" applyFill="1" applyBorder="1" applyAlignment="1">
      <alignment horizontal="center" vertical="center"/>
    </xf>
    <xf numFmtId="10" fontId="58" fillId="0" borderId="292" xfId="0" applyNumberFormat="1" applyFont="1" applyFill="1" applyBorder="1" applyAlignment="1">
      <alignment horizontal="center" vertical="center"/>
    </xf>
    <xf numFmtId="166" fontId="58" fillId="0" borderId="292" xfId="0" applyNumberFormat="1" applyFont="1" applyBorder="1" applyAlignment="1">
      <alignment horizontal="center" vertical="center"/>
    </xf>
    <xf numFmtId="167" fontId="58" fillId="0" borderId="292" xfId="0" applyNumberFormat="1" applyFont="1" applyBorder="1" applyAlignment="1">
      <alignment horizontal="center" vertical="center"/>
    </xf>
    <xf numFmtId="4" fontId="58" fillId="0" borderId="292" xfId="0" applyNumberFormat="1" applyFont="1" applyBorder="1" applyAlignment="1">
      <alignment horizontal="center" vertical="center"/>
    </xf>
    <xf numFmtId="2" fontId="58" fillId="0" borderId="292" xfId="0" applyNumberFormat="1" applyFont="1" applyBorder="1" applyAlignment="1">
      <alignment horizontal="center" vertical="center"/>
    </xf>
    <xf numFmtId="2" fontId="58" fillId="0" borderId="294" xfId="0" applyNumberFormat="1" applyFont="1" applyBorder="1" applyAlignment="1">
      <alignment horizontal="center" vertical="center"/>
    </xf>
    <xf numFmtId="4" fontId="58" fillId="0" borderId="294" xfId="0" applyNumberFormat="1" applyFont="1" applyBorder="1" applyAlignment="1">
      <alignment horizontal="center" vertical="center"/>
    </xf>
    <xf numFmtId="166" fontId="15" fillId="0" borderId="291" xfId="0" applyNumberFormat="1" applyFont="1" applyFill="1" applyBorder="1" applyAlignment="1">
      <alignment horizontal="center" vertical="center"/>
    </xf>
    <xf numFmtId="4" fontId="15" fillId="0" borderId="292" xfId="0" applyNumberFormat="1" applyFont="1" applyFill="1" applyBorder="1" applyAlignment="1">
      <alignment horizontal="center" vertical="center"/>
    </xf>
    <xf numFmtId="166" fontId="15" fillId="0" borderId="292" xfId="0" applyNumberFormat="1" applyFont="1" applyBorder="1" applyAlignment="1">
      <alignment horizontal="center" vertical="center"/>
    </xf>
    <xf numFmtId="4" fontId="15" fillId="0" borderId="292" xfId="0" applyNumberFormat="1" applyFont="1" applyBorder="1" applyAlignment="1">
      <alignment horizontal="center" vertical="center"/>
    </xf>
    <xf numFmtId="4" fontId="15" fillId="0" borderId="294" xfId="0" applyNumberFormat="1" applyFont="1" applyBorder="1" applyAlignment="1">
      <alignment horizontal="center" vertical="center"/>
    </xf>
    <xf numFmtId="2" fontId="15" fillId="0" borderId="292" xfId="0" applyNumberFormat="1" applyFont="1" applyBorder="1" applyAlignment="1">
      <alignment horizontal="center" vertical="center"/>
    </xf>
    <xf numFmtId="2" fontId="15" fillId="0" borderId="294" xfId="0" applyNumberFormat="1" applyFont="1" applyBorder="1" applyAlignment="1">
      <alignment horizontal="center" vertical="center"/>
    </xf>
    <xf numFmtId="0" fontId="58" fillId="0" borderId="291" xfId="0" applyFont="1" applyFill="1" applyBorder="1" applyAlignment="1">
      <alignment horizontal="center" vertical="center"/>
    </xf>
    <xf numFmtId="0" fontId="58" fillId="0" borderId="292" xfId="0" applyFont="1" applyFill="1" applyBorder="1" applyAlignment="1">
      <alignment horizontal="center" vertical="center"/>
    </xf>
    <xf numFmtId="0" fontId="58" fillId="0" borderId="292" xfId="0" applyFont="1" applyBorder="1" applyAlignment="1">
      <alignment horizontal="center" vertical="center"/>
    </xf>
    <xf numFmtId="166" fontId="58" fillId="0" borderId="292" xfId="0" applyNumberFormat="1" applyFont="1" applyFill="1" applyBorder="1" applyAlignment="1">
      <alignment horizontal="center" vertical="center"/>
    </xf>
    <xf numFmtId="166" fontId="99" fillId="0" borderId="292" xfId="0" applyNumberFormat="1" applyFont="1" applyBorder="1" applyAlignment="1">
      <alignment horizontal="center" vertical="center"/>
    </xf>
    <xf numFmtId="166" fontId="58" fillId="0" borderId="294" xfId="0" applyNumberFormat="1" applyFont="1" applyBorder="1" applyAlignment="1">
      <alignment horizontal="center" vertical="center"/>
    </xf>
    <xf numFmtId="166" fontId="99" fillId="0" borderId="294" xfId="0" applyNumberFormat="1" applyFont="1" applyBorder="1" applyAlignment="1">
      <alignment horizontal="center" vertical="center"/>
    </xf>
    <xf numFmtId="0" fontId="58" fillId="0" borderId="279" xfId="0" applyFont="1" applyFill="1" applyBorder="1" applyAlignment="1">
      <alignment horizontal="center" vertical="center"/>
    </xf>
    <xf numFmtId="0" fontId="58" fillId="0" borderId="269" xfId="0" applyFont="1" applyFill="1" applyBorder="1" applyAlignment="1">
      <alignment horizontal="center" vertical="center"/>
    </xf>
    <xf numFmtId="166" fontId="58" fillId="0" borderId="269" xfId="0" applyNumberFormat="1" applyFont="1" applyFill="1" applyBorder="1" applyAlignment="1">
      <alignment horizontal="center" vertical="center"/>
    </xf>
    <xf numFmtId="10" fontId="58" fillId="0" borderId="269" xfId="0" applyNumberFormat="1" applyFont="1" applyFill="1" applyBorder="1" applyAlignment="1">
      <alignment horizontal="center" vertical="center"/>
    </xf>
    <xf numFmtId="0" fontId="58" fillId="0" borderId="269" xfId="0" applyFont="1" applyBorder="1" applyAlignment="1">
      <alignment horizontal="center" vertical="center"/>
    </xf>
    <xf numFmtId="166" fontId="99" fillId="0" borderId="269" xfId="0" applyNumberFormat="1" applyFont="1" applyBorder="1" applyAlignment="1">
      <alignment horizontal="center" vertical="center"/>
    </xf>
    <xf numFmtId="166" fontId="58" fillId="0" borderId="269" xfId="0" applyNumberFormat="1" applyFont="1" applyBorder="1" applyAlignment="1">
      <alignment horizontal="center" vertical="center"/>
    </xf>
    <xf numFmtId="166" fontId="58" fillId="0" borderId="280" xfId="0" applyNumberFormat="1" applyFont="1" applyBorder="1" applyAlignment="1">
      <alignment horizontal="center" vertical="center"/>
    </xf>
    <xf numFmtId="166" fontId="99" fillId="0" borderId="280" xfId="0" applyNumberFormat="1" applyFont="1" applyBorder="1" applyAlignment="1">
      <alignment horizontal="center" vertical="center"/>
    </xf>
    <xf numFmtId="166" fontId="58" fillId="0" borderId="291" xfId="0" applyNumberFormat="1" applyFont="1" applyBorder="1" applyAlignment="1">
      <alignment horizontal="center" vertical="center"/>
    </xf>
    <xf numFmtId="166" fontId="15" fillId="0" borderId="291" xfId="0" applyNumberFormat="1" applyFont="1" applyBorder="1" applyAlignment="1">
      <alignment horizontal="center" vertical="center"/>
    </xf>
    <xf numFmtId="0" fontId="58" fillId="0" borderId="294" xfId="0" applyFont="1" applyBorder="1" applyAlignment="1">
      <alignment horizontal="center" vertical="center"/>
    </xf>
    <xf numFmtId="0" fontId="58" fillId="0" borderId="291" xfId="0" applyFont="1" applyBorder="1" applyAlignment="1">
      <alignment horizontal="center" vertical="center"/>
    </xf>
    <xf numFmtId="0" fontId="99" fillId="0" borderId="92" xfId="0" applyFont="1" applyBorder="1" applyAlignment="1">
      <alignment horizontal="center" vertical="center"/>
    </xf>
    <xf numFmtId="166" fontId="99" fillId="0" borderId="92" xfId="0" applyNumberFormat="1" applyFont="1" applyBorder="1" applyAlignment="1">
      <alignment horizontal="center" vertical="center"/>
    </xf>
    <xf numFmtId="166" fontId="99" fillId="0" borderId="20" xfId="0" applyNumberFormat="1" applyFont="1" applyBorder="1" applyAlignment="1">
      <alignment horizontal="center" vertical="center"/>
    </xf>
    <xf numFmtId="0" fontId="99" fillId="0" borderId="291" xfId="0" applyFont="1" applyBorder="1" applyAlignment="1">
      <alignment horizontal="center" vertical="center"/>
    </xf>
    <xf numFmtId="0" fontId="99" fillId="0" borderId="292" xfId="0" applyFont="1" applyBorder="1" applyAlignment="1">
      <alignment horizontal="center" vertical="center"/>
    </xf>
    <xf numFmtId="0" fontId="99" fillId="0" borderId="22" xfId="0" applyFont="1" applyBorder="1" applyAlignment="1">
      <alignment horizontal="center" vertical="center"/>
    </xf>
    <xf numFmtId="166" fontId="99" fillId="0" borderId="22" xfId="0" applyNumberFormat="1" applyFont="1" applyBorder="1" applyAlignment="1">
      <alignment horizontal="center" vertical="center"/>
    </xf>
    <xf numFmtId="166" fontId="99" fillId="0" borderId="23" xfId="0" applyNumberFormat="1" applyFont="1" applyBorder="1" applyAlignment="1">
      <alignment horizontal="center" vertical="center"/>
    </xf>
    <xf numFmtId="0" fontId="99" fillId="29" borderId="21" xfId="0" applyFont="1" applyFill="1" applyBorder="1" applyAlignment="1">
      <alignment horizontal="center" vertical="center"/>
    </xf>
    <xf numFmtId="0" fontId="99" fillId="0" borderId="279" xfId="0" applyFont="1" applyBorder="1" applyAlignment="1">
      <alignment horizontal="center" vertical="center"/>
    </xf>
    <xf numFmtId="0" fontId="99" fillId="0" borderId="269" xfId="0" applyFont="1" applyBorder="1" applyAlignment="1">
      <alignment horizontal="center" vertical="center"/>
    </xf>
    <xf numFmtId="0" fontId="99" fillId="0" borderId="21" xfId="0" applyFont="1" applyFill="1" applyBorder="1" applyAlignment="1">
      <alignment horizontal="center" vertical="center"/>
    </xf>
    <xf numFmtId="2" fontId="58" fillId="0" borderId="291" xfId="0" applyNumberFormat="1" applyFont="1" applyFill="1" applyBorder="1" applyAlignment="1">
      <alignment horizontal="center" vertical="center" wrapText="1"/>
    </xf>
    <xf numFmtId="2" fontId="58" fillId="0" borderId="292" xfId="0" applyNumberFormat="1" applyFont="1" applyFill="1" applyBorder="1" applyAlignment="1">
      <alignment horizontal="center" vertical="center" wrapText="1"/>
    </xf>
    <xf numFmtId="166" fontId="58" fillId="0" borderId="291" xfId="0" applyNumberFormat="1" applyFont="1" applyFill="1" applyBorder="1" applyAlignment="1">
      <alignment vertical="center"/>
    </xf>
    <xf numFmtId="2" fontId="58" fillId="0" borderId="292" xfId="0" applyNumberFormat="1" applyFont="1" applyFill="1" applyBorder="1" applyAlignment="1">
      <alignment vertical="center"/>
    </xf>
    <xf numFmtId="0" fontId="58" fillId="0" borderId="291" xfId="0" applyFont="1" applyFill="1" applyBorder="1" applyAlignment="1">
      <alignment vertical="center"/>
    </xf>
    <xf numFmtId="0" fontId="58" fillId="0" borderId="292" xfId="0" applyFont="1" applyFill="1" applyBorder="1" applyAlignment="1">
      <alignment vertical="center"/>
    </xf>
    <xf numFmtId="166" fontId="15" fillId="0" borderId="291" xfId="0" applyNumberFormat="1" applyFont="1" applyFill="1" applyBorder="1" applyAlignment="1">
      <alignment vertical="center"/>
    </xf>
    <xf numFmtId="2" fontId="15" fillId="0" borderId="292" xfId="0" applyNumberFormat="1" applyFont="1" applyFill="1" applyBorder="1" applyAlignment="1">
      <alignment vertical="center"/>
    </xf>
    <xf numFmtId="0" fontId="58" fillId="0" borderId="279" xfId="0" applyFont="1" applyFill="1" applyBorder="1" applyAlignment="1">
      <alignment vertical="center"/>
    </xf>
    <xf numFmtId="4" fontId="58" fillId="0" borderId="292" xfId="0" applyNumberFormat="1" applyFont="1" applyFill="1" applyBorder="1" applyAlignment="1">
      <alignment vertical="center"/>
    </xf>
    <xf numFmtId="166" fontId="58" fillId="0" borderId="292" xfId="0" applyNumberFormat="1" applyFont="1" applyFill="1" applyBorder="1" applyAlignment="1">
      <alignment vertical="center"/>
    </xf>
    <xf numFmtId="4" fontId="58" fillId="0" borderId="294" xfId="0" applyNumberFormat="1" applyFont="1" applyFill="1" applyBorder="1" applyAlignment="1">
      <alignment vertical="center"/>
    </xf>
    <xf numFmtId="4" fontId="15" fillId="0" borderId="292" xfId="0" applyNumberFormat="1" applyFont="1" applyFill="1" applyBorder="1" applyAlignment="1">
      <alignment vertical="center"/>
    </xf>
    <xf numFmtId="166" fontId="15" fillId="0" borderId="292" xfId="0" applyNumberFormat="1" applyFont="1" applyFill="1" applyBorder="1" applyAlignment="1">
      <alignment vertical="center"/>
    </xf>
    <xf numFmtId="4" fontId="15" fillId="0" borderId="294" xfId="0" applyNumberFormat="1" applyFont="1" applyFill="1" applyBorder="1" applyAlignment="1">
      <alignment vertical="center"/>
    </xf>
    <xf numFmtId="0" fontId="58" fillId="0" borderId="294" xfId="0" applyFont="1" applyFill="1" applyBorder="1" applyAlignment="1">
      <alignment vertical="center"/>
    </xf>
    <xf numFmtId="166" fontId="99" fillId="0" borderId="292" xfId="0" applyNumberFormat="1" applyFont="1" applyFill="1" applyBorder="1" applyAlignment="1">
      <alignment vertical="center"/>
    </xf>
    <xf numFmtId="166" fontId="99" fillId="0" borderId="294" xfId="0" applyNumberFormat="1" applyFont="1" applyFill="1" applyBorder="1" applyAlignment="1">
      <alignment vertical="center"/>
    </xf>
    <xf numFmtId="0" fontId="58" fillId="0" borderId="287" xfId="0" applyFont="1" applyFill="1" applyBorder="1" applyAlignment="1">
      <alignment vertical="center"/>
    </xf>
    <xf numFmtId="166" fontId="99" fillId="0" borderId="287" xfId="0" applyNumberFormat="1" applyFont="1" applyFill="1" applyBorder="1" applyAlignment="1">
      <alignment vertical="center"/>
    </xf>
    <xf numFmtId="166" fontId="99" fillId="0" borderId="280" xfId="0" applyNumberFormat="1" applyFont="1" applyFill="1" applyBorder="1" applyAlignment="1">
      <alignment vertical="center"/>
    </xf>
    <xf numFmtId="0" fontId="58" fillId="0" borderId="288" xfId="0" applyFont="1" applyFill="1" applyBorder="1" applyAlignment="1">
      <alignment vertical="center"/>
    </xf>
    <xf numFmtId="0" fontId="58" fillId="0" borderId="297" xfId="0" applyFont="1" applyFill="1" applyBorder="1" applyAlignment="1">
      <alignment horizontal="left" vertical="center"/>
    </xf>
    <xf numFmtId="0" fontId="58" fillId="0" borderId="298" xfId="0" applyFont="1" applyFill="1" applyBorder="1" applyAlignment="1">
      <alignment vertical="center" wrapText="1"/>
    </xf>
    <xf numFmtId="1" fontId="58" fillId="0" borderId="299" xfId="0" applyNumberFormat="1" applyFont="1" applyFill="1" applyBorder="1" applyAlignment="1">
      <alignment horizontal="right" vertical="center"/>
    </xf>
    <xf numFmtId="3" fontId="58" fillId="0" borderId="300" xfId="0" applyNumberFormat="1" applyFont="1" applyFill="1" applyBorder="1" applyAlignment="1">
      <alignment horizontal="right" vertical="center"/>
    </xf>
    <xf numFmtId="168" fontId="58" fillId="0" borderId="298" xfId="0" applyNumberFormat="1" applyFont="1" applyFill="1" applyBorder="1" applyAlignment="1">
      <alignment horizontal="right" vertical="center"/>
    </xf>
    <xf numFmtId="3" fontId="58" fillId="0" borderId="297" xfId="0" applyNumberFormat="1" applyFont="1" applyFill="1" applyBorder="1" applyAlignment="1">
      <alignment horizontal="right" vertical="center"/>
    </xf>
    <xf numFmtId="168" fontId="58" fillId="0" borderId="301" xfId="0" applyNumberFormat="1" applyFont="1" applyFill="1" applyBorder="1" applyAlignment="1">
      <alignment horizontal="right" vertical="center"/>
    </xf>
    <xf numFmtId="1" fontId="58" fillId="0" borderId="297" xfId="0" applyNumberFormat="1" applyFont="1" applyFill="1" applyBorder="1" applyAlignment="1">
      <alignment horizontal="right" vertical="center"/>
    </xf>
    <xf numFmtId="169" fontId="15" fillId="0" borderId="300" xfId="0" applyNumberFormat="1" applyFont="1" applyFill="1" applyBorder="1" applyAlignment="1">
      <alignment horizontal="center" vertical="center" wrapText="1"/>
    </xf>
    <xf numFmtId="168" fontId="58" fillId="0" borderId="300" xfId="0" applyNumberFormat="1" applyFont="1" applyFill="1" applyBorder="1" applyAlignment="1">
      <alignment horizontal="right" vertical="center"/>
    </xf>
    <xf numFmtId="10" fontId="58" fillId="0" borderId="300" xfId="85" applyNumberFormat="1" applyFont="1" applyFill="1" applyBorder="1" applyAlignment="1">
      <alignment vertical="center"/>
    </xf>
    <xf numFmtId="0" fontId="58" fillId="0" borderId="298" xfId="0" applyFont="1" applyFill="1" applyBorder="1" applyAlignment="1">
      <alignment vertical="center"/>
    </xf>
    <xf numFmtId="3" fontId="58" fillId="0" borderId="297" xfId="0" applyNumberFormat="1" applyFont="1" applyFill="1" applyBorder="1" applyAlignment="1">
      <alignment horizontal="center" vertical="center"/>
    </xf>
    <xf numFmtId="0" fontId="58" fillId="0" borderId="301" xfId="0" applyFont="1" applyFill="1" applyBorder="1" applyAlignment="1">
      <alignment vertical="center"/>
    </xf>
    <xf numFmtId="169" fontId="58" fillId="0" borderId="298" xfId="85" applyNumberFormat="1" applyFont="1" applyFill="1" applyBorder="1" applyAlignment="1">
      <alignment vertical="center"/>
    </xf>
    <xf numFmtId="2" fontId="58" fillId="0" borderId="297" xfId="0" applyNumberFormat="1" applyFont="1" applyFill="1" applyBorder="1" applyAlignment="1">
      <alignment horizontal="center" vertical="center"/>
    </xf>
    <xf numFmtId="0" fontId="58" fillId="0" borderId="306" xfId="0" applyFont="1" applyFill="1" applyBorder="1" applyAlignment="1">
      <alignment horizontal="center" vertical="center" wrapText="1"/>
    </xf>
    <xf numFmtId="0" fontId="58" fillId="0" borderId="296" xfId="0" applyFont="1" applyFill="1" applyBorder="1" applyAlignment="1">
      <alignment horizontal="center" vertical="center" wrapText="1"/>
    </xf>
    <xf numFmtId="0" fontId="58" fillId="0" borderId="286" xfId="0" applyFont="1" applyFill="1" applyBorder="1" applyAlignment="1">
      <alignment horizontal="center" vertical="center" wrapText="1"/>
    </xf>
    <xf numFmtId="0" fontId="58" fillId="0" borderId="307" xfId="0" applyFont="1" applyFill="1" applyBorder="1" applyAlignment="1">
      <alignment horizontal="center" vertical="center" wrapText="1"/>
    </xf>
    <xf numFmtId="0" fontId="58" fillId="0" borderId="302" xfId="0" applyFont="1" applyFill="1" applyBorder="1" applyAlignment="1">
      <alignment horizontal="center" vertical="center" wrapText="1"/>
    </xf>
    <xf numFmtId="0" fontId="58" fillId="0" borderId="304" xfId="0" applyFont="1" applyFill="1" applyBorder="1" applyAlignment="1">
      <alignment horizontal="center" vertical="center" wrapText="1"/>
    </xf>
    <xf numFmtId="0" fontId="58" fillId="0" borderId="303" xfId="0" applyFont="1" applyFill="1" applyBorder="1" applyAlignment="1">
      <alignment horizontal="center" vertical="center" wrapText="1"/>
    </xf>
    <xf numFmtId="0" fontId="58" fillId="0" borderId="305" xfId="0" applyFont="1" applyFill="1" applyBorder="1" applyAlignment="1">
      <alignment horizontal="center" vertical="center" wrapText="1"/>
    </xf>
    <xf numFmtId="0" fontId="58" fillId="0" borderId="303" xfId="0" applyFont="1" applyFill="1" applyBorder="1" applyAlignment="1">
      <alignment vertical="center"/>
    </xf>
    <xf numFmtId="0" fontId="15" fillId="0" borderId="302" xfId="0" applyFont="1" applyFill="1" applyBorder="1" applyAlignment="1">
      <alignment horizontal="left" vertical="center"/>
    </xf>
    <xf numFmtId="0" fontId="15" fillId="0" borderId="303" xfId="0" applyFont="1" applyFill="1" applyBorder="1" applyAlignment="1">
      <alignment vertical="center" wrapText="1"/>
    </xf>
    <xf numFmtId="1" fontId="15" fillId="0" borderId="308" xfId="0" applyNumberFormat="1" applyFont="1" applyFill="1" applyBorder="1" applyAlignment="1">
      <alignment horizontal="right" vertical="center"/>
    </xf>
    <xf numFmtId="3" fontId="15" fillId="0" borderId="304" xfId="0" applyNumberFormat="1" applyFont="1" applyFill="1" applyBorder="1" applyAlignment="1">
      <alignment horizontal="right" vertical="center"/>
    </xf>
    <xf numFmtId="168" fontId="15" fillId="0" borderId="303" xfId="0" applyNumberFormat="1" applyFont="1" applyFill="1" applyBorder="1" applyAlignment="1">
      <alignment horizontal="right" vertical="center"/>
    </xf>
    <xf numFmtId="3" fontId="15" fillId="0" borderId="302" xfId="0" applyNumberFormat="1" applyFont="1" applyFill="1" applyBorder="1" applyAlignment="1">
      <alignment horizontal="right" vertical="center"/>
    </xf>
    <xf numFmtId="168" fontId="15" fillId="0" borderId="305" xfId="0" applyNumberFormat="1" applyFont="1" applyFill="1" applyBorder="1" applyAlignment="1">
      <alignment horizontal="right" vertical="center"/>
    </xf>
    <xf numFmtId="1" fontId="15" fillId="0" borderId="302" xfId="0" applyNumberFormat="1" applyFont="1" applyFill="1" applyBorder="1" applyAlignment="1">
      <alignment horizontal="right" vertical="center"/>
    </xf>
    <xf numFmtId="169" fontId="15" fillId="0" borderId="304" xfId="0" applyNumberFormat="1" applyFont="1" applyFill="1" applyBorder="1" applyAlignment="1">
      <alignment horizontal="center" vertical="center" wrapText="1"/>
    </xf>
    <xf numFmtId="168" fontId="15" fillId="0" borderId="304" xfId="0" applyNumberFormat="1" applyFont="1" applyFill="1" applyBorder="1" applyAlignment="1">
      <alignment horizontal="right" vertical="center"/>
    </xf>
    <xf numFmtId="10" fontId="58" fillId="0" borderId="304" xfId="85" applyNumberFormat="1" applyFont="1" applyFill="1" applyBorder="1" applyAlignment="1">
      <alignment vertical="center"/>
    </xf>
    <xf numFmtId="168" fontId="15" fillId="0" borderId="302" xfId="0" applyNumberFormat="1" applyFont="1" applyFill="1" applyBorder="1" applyAlignment="1">
      <alignment horizontal="center" vertical="center"/>
    </xf>
    <xf numFmtId="3" fontId="15" fillId="0" borderId="304" xfId="0" applyNumberFormat="1" applyFont="1" applyFill="1" applyBorder="1" applyAlignment="1">
      <alignment horizontal="center" vertical="center"/>
    </xf>
    <xf numFmtId="168" fontId="15" fillId="0" borderId="304" xfId="0" applyNumberFormat="1" applyFont="1" applyFill="1" applyBorder="1" applyAlignment="1">
      <alignment horizontal="center" vertical="center"/>
    </xf>
    <xf numFmtId="0" fontId="58" fillId="0" borderId="305" xfId="0" applyFont="1" applyFill="1" applyBorder="1" applyAlignment="1">
      <alignment vertical="center"/>
    </xf>
    <xf numFmtId="10" fontId="58" fillId="0" borderId="303" xfId="85" applyNumberFormat="1" applyFont="1" applyFill="1" applyBorder="1" applyAlignment="1">
      <alignment vertical="center"/>
    </xf>
    <xf numFmtId="0" fontId="58" fillId="0" borderId="302" xfId="0" applyFont="1" applyFill="1" applyBorder="1" applyAlignment="1">
      <alignment horizontal="left" vertical="center"/>
    </xf>
    <xf numFmtId="0" fontId="58" fillId="0" borderId="303" xfId="0" applyFont="1" applyFill="1" applyBorder="1" applyAlignment="1">
      <alignment vertical="center" wrapText="1"/>
    </xf>
    <xf numFmtId="1" fontId="58" fillId="0" borderId="308" xfId="0" applyNumberFormat="1" applyFont="1" applyFill="1" applyBorder="1" applyAlignment="1">
      <alignment horizontal="right" vertical="center"/>
    </xf>
    <xf numFmtId="3" fontId="58" fillId="0" borderId="304" xfId="0" applyNumberFormat="1" applyFont="1" applyFill="1" applyBorder="1" applyAlignment="1">
      <alignment horizontal="right" vertical="center"/>
    </xf>
    <xf numFmtId="168" fontId="58" fillId="0" borderId="303" xfId="0" applyNumberFormat="1" applyFont="1" applyFill="1" applyBorder="1" applyAlignment="1">
      <alignment horizontal="right" vertical="center"/>
    </xf>
    <xf numFmtId="3" fontId="58" fillId="0" borderId="302" xfId="0" applyNumberFormat="1" applyFont="1" applyFill="1" applyBorder="1" applyAlignment="1">
      <alignment horizontal="right" vertical="center"/>
    </xf>
    <xf numFmtId="168" fontId="58" fillId="0" borderId="305" xfId="0" applyNumberFormat="1" applyFont="1" applyFill="1" applyBorder="1" applyAlignment="1">
      <alignment horizontal="right" vertical="center"/>
    </xf>
    <xf numFmtId="1" fontId="58" fillId="0" borderId="302" xfId="0" applyNumberFormat="1" applyFont="1" applyFill="1" applyBorder="1" applyAlignment="1">
      <alignment horizontal="right" vertical="center"/>
    </xf>
    <xf numFmtId="168" fontId="58" fillId="0" borderId="304" xfId="0" applyNumberFormat="1" applyFont="1" applyFill="1" applyBorder="1" applyAlignment="1">
      <alignment horizontal="right" vertical="center"/>
    </xf>
    <xf numFmtId="167" fontId="58" fillId="0" borderId="302" xfId="0" applyNumberFormat="1" applyFont="1" applyFill="1" applyBorder="1" applyAlignment="1">
      <alignment horizontal="center" vertical="center"/>
    </xf>
    <xf numFmtId="167" fontId="58" fillId="0" borderId="302" xfId="0" applyNumberFormat="1" applyFont="1" applyFill="1" applyBorder="1" applyAlignment="1">
      <alignment horizontal="right" vertical="center"/>
    </xf>
    <xf numFmtId="2" fontId="58" fillId="0" borderId="302" xfId="0" applyNumberFormat="1" applyFont="1" applyFill="1" applyBorder="1" applyAlignment="1">
      <alignment horizontal="center" vertical="center"/>
    </xf>
    <xf numFmtId="169" fontId="58" fillId="0" borderId="303" xfId="85" applyNumberFormat="1" applyFont="1" applyFill="1" applyBorder="1" applyAlignment="1">
      <alignment vertical="center"/>
    </xf>
    <xf numFmtId="1" fontId="58" fillId="0" borderId="302" xfId="0" applyNumberFormat="1" applyFont="1" applyFill="1" applyBorder="1" applyAlignment="1">
      <alignment horizontal="center" vertical="center"/>
    </xf>
    <xf numFmtId="3" fontId="58" fillId="0" borderId="302" xfId="0" applyNumberFormat="1" applyFont="1" applyFill="1" applyBorder="1" applyAlignment="1">
      <alignment horizontal="center" vertical="center"/>
    </xf>
    <xf numFmtId="0" fontId="58" fillId="0" borderId="308" xfId="0" applyFont="1" applyFill="1" applyBorder="1" applyAlignment="1">
      <alignment vertical="center"/>
    </xf>
    <xf numFmtId="0" fontId="58" fillId="0" borderId="304" xfId="0" applyFont="1" applyFill="1" applyBorder="1" applyAlignment="1">
      <alignment vertical="center"/>
    </xf>
    <xf numFmtId="0" fontId="58" fillId="0" borderId="302" xfId="0" applyFont="1" applyFill="1" applyBorder="1" applyAlignment="1">
      <alignment vertical="center"/>
    </xf>
    <xf numFmtId="3" fontId="58" fillId="0" borderId="304" xfId="0" applyNumberFormat="1" applyFont="1" applyFill="1" applyBorder="1" applyAlignment="1">
      <alignment vertical="center"/>
    </xf>
    <xf numFmtId="169" fontId="58" fillId="0" borderId="304" xfId="85" applyNumberFormat="1" applyFont="1" applyFill="1" applyBorder="1" applyAlignment="1">
      <alignment vertical="center"/>
    </xf>
    <xf numFmtId="1" fontId="58" fillId="0" borderId="302" xfId="0" applyNumberFormat="1" applyFont="1" applyFill="1" applyBorder="1" applyAlignment="1">
      <alignment vertical="center"/>
    </xf>
    <xf numFmtId="0" fontId="58" fillId="0" borderId="309" xfId="0" applyFont="1" applyFill="1" applyBorder="1" applyAlignment="1">
      <alignment vertical="center"/>
    </xf>
    <xf numFmtId="0" fontId="58" fillId="0" borderId="310" xfId="0" applyFont="1" applyFill="1" applyBorder="1" applyAlignment="1">
      <alignment vertical="center"/>
    </xf>
    <xf numFmtId="0" fontId="58" fillId="0" borderId="286" xfId="0" applyFont="1" applyFill="1" applyBorder="1" applyAlignment="1">
      <alignment vertical="center"/>
    </xf>
    <xf numFmtId="0" fontId="58" fillId="0" borderId="306" xfId="0" applyFont="1" applyFill="1" applyBorder="1" applyAlignment="1">
      <alignment vertical="center"/>
    </xf>
    <xf numFmtId="0" fontId="58" fillId="0" borderId="296" xfId="0" applyFont="1" applyFill="1" applyBorder="1" applyAlignment="1">
      <alignment vertical="center"/>
    </xf>
    <xf numFmtId="0" fontId="58" fillId="0" borderId="307" xfId="0" applyFont="1" applyFill="1" applyBorder="1" applyAlignment="1">
      <alignment vertical="center"/>
    </xf>
    <xf numFmtId="3" fontId="58" fillId="0" borderId="296" xfId="0" applyNumberFormat="1" applyFont="1" applyFill="1" applyBorder="1" applyAlignment="1">
      <alignment vertical="center"/>
    </xf>
    <xf numFmtId="169" fontId="58" fillId="0" borderId="286" xfId="85" applyNumberFormat="1" applyFont="1" applyFill="1" applyBorder="1" applyAlignment="1">
      <alignment vertical="center"/>
    </xf>
    <xf numFmtId="169" fontId="58" fillId="0" borderId="296" xfId="85" applyNumberFormat="1" applyFont="1" applyFill="1" applyBorder="1" applyAlignment="1">
      <alignment vertical="center"/>
    </xf>
    <xf numFmtId="1" fontId="58" fillId="0" borderId="288" xfId="0" applyNumberFormat="1" applyFont="1" applyFill="1" applyBorder="1" applyAlignment="1">
      <alignment vertical="center"/>
    </xf>
    <xf numFmtId="3" fontId="58" fillId="0" borderId="296" xfId="0" applyNumberFormat="1" applyFont="1" applyFill="1" applyBorder="1" applyAlignment="1">
      <alignment horizontal="right" vertical="center"/>
    </xf>
    <xf numFmtId="10" fontId="58" fillId="0" borderId="286" xfId="85" applyNumberFormat="1" applyFont="1" applyFill="1" applyBorder="1" applyAlignment="1">
      <alignment vertical="center"/>
    </xf>
    <xf numFmtId="0" fontId="58" fillId="0" borderId="311" xfId="0" applyFont="1" applyFill="1" applyBorder="1" applyAlignment="1">
      <alignment vertical="center"/>
    </xf>
    <xf numFmtId="10" fontId="58" fillId="0" borderId="296" xfId="85" applyNumberFormat="1" applyFont="1" applyFill="1" applyBorder="1" applyAlignment="1">
      <alignment vertical="center"/>
    </xf>
    <xf numFmtId="0" fontId="58" fillId="0" borderId="312" xfId="0" applyFont="1" applyFill="1" applyBorder="1" applyAlignment="1">
      <alignment vertical="center"/>
    </xf>
    <xf numFmtId="10" fontId="15" fillId="0" borderId="309" xfId="85" applyNumberFormat="1" applyFont="1" applyFill="1" applyBorder="1" applyAlignment="1">
      <alignment vertical="center"/>
    </xf>
    <xf numFmtId="1" fontId="58" fillId="0" borderId="288" xfId="0" applyNumberFormat="1" applyFont="1" applyFill="1" applyBorder="1" applyAlignment="1">
      <alignment horizontal="right" vertical="center"/>
    </xf>
    <xf numFmtId="168" fontId="58" fillId="0" borderId="296" xfId="0" applyNumberFormat="1" applyFont="1" applyFill="1" applyBorder="1" applyAlignment="1">
      <alignment horizontal="right" vertical="center"/>
    </xf>
    <xf numFmtId="10" fontId="58" fillId="0" borderId="309" xfId="85" applyNumberFormat="1" applyFont="1" applyFill="1" applyBorder="1" applyAlignment="1">
      <alignment vertical="center"/>
    </xf>
    <xf numFmtId="10" fontId="58" fillId="0" borderId="311" xfId="85" applyNumberFormat="1" applyFont="1" applyFill="1" applyBorder="1" applyAlignment="1">
      <alignment vertical="center"/>
    </xf>
    <xf numFmtId="10" fontId="58" fillId="0" borderId="38" xfId="85" applyNumberFormat="1" applyFont="1" applyFill="1" applyBorder="1" applyAlignment="1">
      <alignment vertical="center"/>
    </xf>
    <xf numFmtId="0" fontId="11" fillId="0" borderId="0" xfId="79" applyFont="1"/>
    <xf numFmtId="169" fontId="11" fillId="0" borderId="11" xfId="85" applyNumberFormat="1" applyFont="1" applyFill="1" applyBorder="1" applyAlignment="1">
      <alignment vertical="center"/>
    </xf>
    <xf numFmtId="169" fontId="11" fillId="0" borderId="35" xfId="85" applyNumberFormat="1" applyFont="1" applyFill="1" applyBorder="1" applyAlignment="1">
      <alignment vertical="center"/>
    </xf>
    <xf numFmtId="169" fontId="11" fillId="0" borderId="38" xfId="85" applyNumberFormat="1" applyFont="1" applyFill="1" applyBorder="1" applyAlignment="1">
      <alignment vertical="center"/>
    </xf>
    <xf numFmtId="169" fontId="11" fillId="0" borderId="92" xfId="85" applyNumberFormat="1" applyFont="1" applyFill="1" applyBorder="1" applyAlignment="1">
      <alignment vertical="center"/>
    </xf>
    <xf numFmtId="169" fontId="11" fillId="0" borderId="207" xfId="85" applyNumberFormat="1" applyFont="1" applyFill="1" applyBorder="1" applyAlignment="1">
      <alignment vertical="center"/>
    </xf>
    <xf numFmtId="169" fontId="11" fillId="0" borderId="202" xfId="85" applyNumberFormat="1" applyFont="1" applyFill="1" applyBorder="1" applyAlignment="1">
      <alignment vertical="center"/>
    </xf>
    <xf numFmtId="169" fontId="11" fillId="0" borderId="196" xfId="85" applyNumberFormat="1" applyFont="1" applyFill="1" applyBorder="1" applyAlignment="1">
      <alignment vertical="center"/>
    </xf>
    <xf numFmtId="0" fontId="12" fillId="0" borderId="0" xfId="79" applyFont="1"/>
    <xf numFmtId="0" fontId="11" fillId="0" borderId="0" xfId="79" applyFont="1" applyFill="1"/>
    <xf numFmtId="169" fontId="11" fillId="0" borderId="196" xfId="85" applyNumberFormat="1" applyFont="1" applyFill="1" applyBorder="1" applyAlignment="1">
      <alignment vertical="center" wrapText="1"/>
    </xf>
    <xf numFmtId="0" fontId="11" fillId="0" borderId="196" xfId="79" applyFont="1" applyBorder="1" applyAlignment="1">
      <alignment wrapText="1"/>
    </xf>
    <xf numFmtId="169" fontId="11" fillId="0" borderId="87" xfId="85" applyNumberFormat="1" applyFont="1" applyFill="1" applyBorder="1" applyAlignment="1">
      <alignment vertical="center"/>
    </xf>
    <xf numFmtId="169" fontId="11" fillId="0" borderId="203" xfId="85" applyNumberFormat="1" applyFont="1" applyFill="1" applyBorder="1" applyAlignment="1">
      <alignment vertical="center"/>
    </xf>
    <xf numFmtId="0" fontId="11" fillId="0" borderId="75" xfId="79" applyFont="1" applyFill="1" applyBorder="1" applyAlignment="1">
      <alignment vertical="center"/>
    </xf>
    <xf numFmtId="0" fontId="11" fillId="0" borderId="76" xfId="79" applyFont="1" applyFill="1" applyBorder="1" applyAlignment="1">
      <alignment vertical="center"/>
    </xf>
    <xf numFmtId="0" fontId="11" fillId="0" borderId="81" xfId="79" applyFont="1" applyFill="1" applyBorder="1" applyAlignment="1">
      <alignment vertical="center"/>
    </xf>
    <xf numFmtId="0" fontId="11" fillId="0" borderId="77" xfId="79" applyFont="1" applyFill="1" applyBorder="1" applyAlignment="1">
      <alignment vertical="center"/>
    </xf>
    <xf numFmtId="10" fontId="11" fillId="0" borderId="76" xfId="85" applyNumberFormat="1" applyFont="1" applyFill="1" applyBorder="1" applyAlignment="1">
      <alignment vertical="center"/>
    </xf>
    <xf numFmtId="0" fontId="11" fillId="0" borderId="53" xfId="79" applyFont="1" applyFill="1" applyBorder="1" applyAlignment="1">
      <alignment vertical="center"/>
    </xf>
    <xf numFmtId="2" fontId="11" fillId="0" borderId="53" xfId="79" applyNumberFormat="1" applyFont="1" applyFill="1" applyBorder="1" applyAlignment="1">
      <alignment vertical="center"/>
    </xf>
    <xf numFmtId="10" fontId="11" fillId="0" borderId="75" xfId="85" applyNumberFormat="1" applyFont="1" applyFill="1" applyBorder="1" applyAlignment="1">
      <alignment vertical="center"/>
    </xf>
    <xf numFmtId="0" fontId="11" fillId="0" borderId="0" xfId="79" applyFont="1" applyFill="1" applyAlignment="1">
      <alignment vertical="center"/>
    </xf>
    <xf numFmtId="0" fontId="11" fillId="0" borderId="0" xfId="79" applyFont="1" applyAlignment="1">
      <alignment vertical="center"/>
    </xf>
    <xf numFmtId="0" fontId="10" fillId="0" borderId="0" xfId="79" applyFont="1"/>
    <xf numFmtId="10" fontId="11" fillId="0" borderId="22" xfId="79" applyNumberFormat="1" applyFont="1" applyFill="1" applyBorder="1" applyAlignment="1">
      <alignment vertical="center"/>
    </xf>
    <xf numFmtId="4" fontId="11" fillId="0" borderId="37" xfId="79" applyNumberFormat="1" applyFont="1" applyFill="1" applyBorder="1" applyAlignment="1">
      <alignment horizontal="center" vertical="center"/>
    </xf>
    <xf numFmtId="4" fontId="11" fillId="0" borderId="302" xfId="79" applyNumberFormat="1" applyFont="1" applyFill="1" applyBorder="1" applyAlignment="1">
      <alignment horizontal="center" vertical="center"/>
    </xf>
    <xf numFmtId="4" fontId="11" fillId="0" borderId="304" xfId="79" applyNumberFormat="1" applyFont="1" applyFill="1" applyBorder="1" applyAlignment="1">
      <alignment horizontal="center" vertical="center"/>
    </xf>
    <xf numFmtId="169" fontId="47" fillId="0" borderId="302" xfId="85" applyNumberFormat="1" applyFont="1" applyFill="1" applyBorder="1" applyAlignment="1">
      <alignment horizontal="center" vertical="center"/>
    </xf>
    <xf numFmtId="169" fontId="47" fillId="0" borderId="304" xfId="85" applyNumberFormat="1" applyFont="1" applyFill="1" applyBorder="1" applyAlignment="1">
      <alignment horizontal="center" vertical="center"/>
    </xf>
    <xf numFmtId="168" fontId="46" fillId="0" borderId="302" xfId="79" applyNumberFormat="1" applyFont="1" applyFill="1" applyBorder="1" applyAlignment="1">
      <alignment horizontal="center" vertical="center"/>
    </xf>
    <xf numFmtId="168" fontId="46" fillId="0" borderId="304" xfId="79" applyNumberFormat="1" applyFont="1" applyFill="1" applyBorder="1" applyAlignment="1">
      <alignment horizontal="center" vertical="center"/>
    </xf>
    <xf numFmtId="4" fontId="15" fillId="29" borderId="16" xfId="0" applyNumberFormat="1" applyFont="1" applyFill="1" applyBorder="1" applyAlignment="1">
      <alignment horizontal="right" vertical="center"/>
    </xf>
    <xf numFmtId="4" fontId="15" fillId="29" borderId="13" xfId="0" applyNumberFormat="1" applyFont="1" applyFill="1" applyBorder="1" applyAlignment="1">
      <alignment horizontal="right" vertical="center"/>
    </xf>
    <xf numFmtId="4" fontId="58" fillId="29" borderId="281" xfId="0" applyNumberFormat="1" applyFont="1" applyFill="1" applyBorder="1" applyAlignment="1">
      <alignment horizontal="right" vertical="center"/>
    </xf>
    <xf numFmtId="4" fontId="58" fillId="29" borderId="285" xfId="0" applyNumberFormat="1" applyFont="1" applyFill="1" applyBorder="1" applyAlignment="1">
      <alignment horizontal="right" vertical="center"/>
    </xf>
    <xf numFmtId="0" fontId="15" fillId="29" borderId="281" xfId="0" applyFont="1" applyFill="1" applyBorder="1" applyAlignment="1">
      <alignment horizontal="right" vertical="center"/>
    </xf>
    <xf numFmtId="10" fontId="59" fillId="29" borderId="281" xfId="85" applyNumberFormat="1" applyFont="1" applyFill="1" applyBorder="1" applyAlignment="1">
      <alignment horizontal="right" vertical="center"/>
    </xf>
    <xf numFmtId="10" fontId="59" fillId="29" borderId="285" xfId="85" applyNumberFormat="1" applyFont="1" applyFill="1" applyBorder="1" applyAlignment="1">
      <alignment horizontal="right" vertical="center"/>
    </xf>
    <xf numFmtId="4" fontId="15" fillId="29" borderId="281" xfId="0" applyNumberFormat="1" applyFont="1" applyFill="1" applyBorder="1" applyAlignment="1">
      <alignment horizontal="right" vertical="center"/>
    </xf>
    <xf numFmtId="4" fontId="15" fillId="29" borderId="285" xfId="0" applyNumberFormat="1" applyFont="1" applyFill="1" applyBorder="1" applyAlignment="1">
      <alignment horizontal="right" vertical="center"/>
    </xf>
    <xf numFmtId="4" fontId="59" fillId="29" borderId="281" xfId="0" applyNumberFormat="1" applyFont="1" applyFill="1" applyBorder="1" applyAlignment="1">
      <alignment horizontal="right" vertical="center" wrapText="1"/>
    </xf>
    <xf numFmtId="4" fontId="59" fillId="29" borderId="285" xfId="0" applyNumberFormat="1" applyFont="1" applyFill="1" applyBorder="1" applyAlignment="1">
      <alignment horizontal="right" vertical="center" wrapText="1"/>
    </xf>
    <xf numFmtId="2" fontId="15" fillId="29" borderId="281" xfId="0" applyNumberFormat="1" applyFont="1" applyFill="1" applyBorder="1" applyAlignment="1">
      <alignment horizontal="right" vertical="center"/>
    </xf>
    <xf numFmtId="2" fontId="15" fillId="29" borderId="285" xfId="0" applyNumberFormat="1" applyFont="1" applyFill="1" applyBorder="1" applyAlignment="1">
      <alignment horizontal="right" vertical="center"/>
    </xf>
    <xf numFmtId="0" fontId="58" fillId="29" borderId="281" xfId="0" applyFont="1" applyFill="1" applyBorder="1" applyAlignment="1">
      <alignment horizontal="right" vertical="center"/>
    </xf>
    <xf numFmtId="0" fontId="58" fillId="29" borderId="285" xfId="0" applyFont="1" applyFill="1" applyBorder="1" applyAlignment="1">
      <alignment horizontal="right" vertical="center"/>
    </xf>
    <xf numFmtId="0" fontId="59" fillId="29" borderId="281" xfId="0" applyFont="1" applyFill="1" applyBorder="1" applyAlignment="1">
      <alignment horizontal="right" vertical="center"/>
    </xf>
    <xf numFmtId="0" fontId="59" fillId="29" borderId="285" xfId="0" applyFont="1" applyFill="1" applyBorder="1" applyAlignment="1">
      <alignment horizontal="right" vertical="center"/>
    </xf>
    <xf numFmtId="0" fontId="59" fillId="29" borderId="279" xfId="0" applyFont="1" applyFill="1" applyBorder="1" applyAlignment="1">
      <alignment horizontal="right" vertical="center"/>
    </xf>
    <xf numFmtId="0" fontId="59" fillId="29" borderId="15" xfId="0" applyFont="1" applyFill="1" applyBorder="1" applyAlignment="1">
      <alignment horizontal="right" vertical="center"/>
    </xf>
    <xf numFmtId="0" fontId="15" fillId="29" borderId="16" xfId="0" applyFont="1" applyFill="1" applyBorder="1" applyAlignment="1">
      <alignment horizontal="right" vertical="center"/>
    </xf>
    <xf numFmtId="0" fontId="15" fillId="29" borderId="13" xfId="0" applyFont="1" applyFill="1" applyBorder="1" applyAlignment="1">
      <alignment horizontal="right" vertical="center"/>
    </xf>
    <xf numFmtId="0" fontId="58" fillId="29" borderId="279" xfId="0" applyFont="1" applyFill="1" applyBorder="1" applyAlignment="1">
      <alignment horizontal="right" vertical="center"/>
    </xf>
    <xf numFmtId="0" fontId="58" fillId="29" borderId="15" xfId="0" applyFont="1" applyFill="1" applyBorder="1" applyAlignment="1">
      <alignment horizontal="right" vertical="center"/>
    </xf>
    <xf numFmtId="4" fontId="58" fillId="29" borderId="92" xfId="0" applyNumberFormat="1" applyFont="1" applyFill="1" applyBorder="1" applyAlignment="1">
      <alignment horizontal="center" vertical="center"/>
    </xf>
    <xf numFmtId="0" fontId="58" fillId="0" borderId="238" xfId="0" applyFont="1" applyFill="1" applyBorder="1" applyAlignment="1">
      <alignment horizontal="center" vertical="center"/>
    </xf>
    <xf numFmtId="2" fontId="58" fillId="0" borderId="292" xfId="0" applyNumberFormat="1" applyFont="1" applyFill="1" applyBorder="1" applyAlignment="1">
      <alignment horizontal="center" vertical="center" wrapText="1"/>
    </xf>
    <xf numFmtId="4" fontId="15" fillId="0" borderId="16" xfId="0" applyNumberFormat="1" applyFont="1" applyFill="1" applyBorder="1" applyAlignment="1">
      <alignment horizontal="right" vertical="center"/>
    </xf>
    <xf numFmtId="4" fontId="58" fillId="0" borderId="281" xfId="0" applyNumberFormat="1" applyFont="1" applyFill="1" applyBorder="1" applyAlignment="1">
      <alignment horizontal="right" vertical="center"/>
    </xf>
    <xf numFmtId="0" fontId="15" fillId="0" borderId="281" xfId="0" applyFont="1" applyFill="1" applyBorder="1" applyAlignment="1">
      <alignment horizontal="right" vertical="center"/>
    </xf>
    <xf numFmtId="10" fontId="59" fillId="0" borderId="281" xfId="85" applyNumberFormat="1" applyFont="1" applyFill="1" applyBorder="1" applyAlignment="1">
      <alignment horizontal="right" vertical="center"/>
    </xf>
    <xf numFmtId="4" fontId="15" fillId="0" borderId="281" xfId="0" applyNumberFormat="1" applyFont="1" applyFill="1" applyBorder="1" applyAlignment="1">
      <alignment horizontal="right" vertical="center"/>
    </xf>
    <xf numFmtId="4" fontId="59" fillId="0" borderId="281" xfId="0" applyNumberFormat="1" applyFont="1" applyFill="1" applyBorder="1" applyAlignment="1">
      <alignment horizontal="right" vertical="center" wrapText="1"/>
    </xf>
    <xf numFmtId="2" fontId="15" fillId="0" borderId="281" xfId="0" applyNumberFormat="1" applyFont="1" applyFill="1" applyBorder="1" applyAlignment="1">
      <alignment horizontal="right" vertical="center"/>
    </xf>
    <xf numFmtId="2" fontId="15" fillId="0" borderId="278" xfId="0" applyNumberFormat="1" applyFont="1" applyFill="1" applyBorder="1" applyAlignment="1">
      <alignment horizontal="right" vertical="center"/>
    </xf>
    <xf numFmtId="0" fontId="58" fillId="0" borderId="281" xfId="0" applyFont="1" applyFill="1" applyBorder="1" applyAlignment="1">
      <alignment horizontal="right" vertical="center"/>
    </xf>
    <xf numFmtId="0" fontId="59" fillId="0" borderId="281" xfId="0" applyFont="1" applyFill="1" applyBorder="1" applyAlignment="1">
      <alignment horizontal="right" vertical="center"/>
    </xf>
    <xf numFmtId="0" fontId="59" fillId="0" borderId="279" xfId="0" applyFont="1" applyFill="1" applyBorder="1" applyAlignment="1">
      <alignment horizontal="right" vertical="center"/>
    </xf>
    <xf numFmtId="166" fontId="99" fillId="29" borderId="92" xfId="0" applyNumberFormat="1" applyFont="1" applyFill="1" applyBorder="1" applyAlignment="1">
      <alignment horizontal="center" vertical="center"/>
    </xf>
    <xf numFmtId="166" fontId="99" fillId="29" borderId="22" xfId="0" applyNumberFormat="1" applyFont="1" applyFill="1" applyBorder="1" applyAlignment="1">
      <alignment horizontal="center" vertical="center"/>
    </xf>
    <xf numFmtId="166" fontId="58" fillId="29" borderId="19" xfId="0" applyNumberFormat="1" applyFont="1" applyFill="1" applyBorder="1" applyAlignment="1">
      <alignment horizontal="center" vertical="center"/>
    </xf>
    <xf numFmtId="2" fontId="58" fillId="29" borderId="102" xfId="0" applyNumberFormat="1" applyFont="1" applyFill="1" applyBorder="1" applyAlignment="1">
      <alignment horizontal="center" vertical="center"/>
    </xf>
    <xf numFmtId="10" fontId="58" fillId="29" borderId="92" xfId="0" applyNumberFormat="1" applyFont="1" applyFill="1" applyBorder="1" applyAlignment="1">
      <alignment horizontal="center" vertical="center"/>
    </xf>
    <xf numFmtId="166" fontId="15" fillId="29" borderId="19" xfId="0" applyNumberFormat="1" applyFont="1" applyFill="1" applyBorder="1" applyAlignment="1">
      <alignment horizontal="center" vertical="center"/>
    </xf>
    <xf numFmtId="4" fontId="15" fillId="29" borderId="92" xfId="0" applyNumberFormat="1" applyFont="1" applyFill="1" applyBorder="1" applyAlignment="1">
      <alignment horizontal="center" vertical="center"/>
    </xf>
    <xf numFmtId="2" fontId="80" fillId="0" borderId="0" xfId="0" applyNumberFormat="1" applyFont="1"/>
    <xf numFmtId="2" fontId="58" fillId="29" borderId="19" xfId="0" applyNumberFormat="1" applyFont="1" applyFill="1" applyBorder="1" applyAlignment="1">
      <alignment horizontal="center" vertical="center" wrapText="1"/>
    </xf>
    <xf numFmtId="166" fontId="58" fillId="29" borderId="130" xfId="0" applyNumberFormat="1" applyFont="1" applyFill="1" applyBorder="1" applyAlignment="1">
      <alignment horizontal="center" vertical="center"/>
    </xf>
    <xf numFmtId="2" fontId="58" fillId="29" borderId="169" xfId="0" applyNumberFormat="1" applyFont="1" applyFill="1" applyBorder="1" applyAlignment="1">
      <alignment horizontal="center" vertical="center"/>
    </xf>
    <xf numFmtId="4" fontId="58" fillId="29" borderId="169" xfId="0" applyNumberFormat="1" applyFont="1" applyFill="1" applyBorder="1" applyAlignment="1">
      <alignment horizontal="center" vertical="center"/>
    </xf>
    <xf numFmtId="10" fontId="58" fillId="29" borderId="169" xfId="0" applyNumberFormat="1" applyFont="1" applyFill="1" applyBorder="1" applyAlignment="1">
      <alignment horizontal="center" vertical="center"/>
    </xf>
    <xf numFmtId="0" fontId="58" fillId="29" borderId="19" xfId="0" applyFont="1" applyFill="1" applyBorder="1" applyAlignment="1">
      <alignment horizontal="center" vertical="center"/>
    </xf>
    <xf numFmtId="0" fontId="58" fillId="29" borderId="92" xfId="0" applyFont="1" applyFill="1" applyBorder="1" applyAlignment="1">
      <alignment horizontal="center" vertical="center"/>
    </xf>
    <xf numFmtId="0" fontId="99" fillId="29" borderId="19" xfId="0" applyFont="1" applyFill="1" applyBorder="1" applyAlignment="1">
      <alignment horizontal="center" vertical="center"/>
    </xf>
    <xf numFmtId="0" fontId="99" fillId="29" borderId="92" xfId="0" applyFont="1" applyFill="1" applyBorder="1" applyAlignment="1">
      <alignment horizontal="center" vertical="center"/>
    </xf>
    <xf numFmtId="10" fontId="99" fillId="29" borderId="92" xfId="0" applyNumberFormat="1" applyFont="1" applyFill="1" applyBorder="1" applyAlignment="1">
      <alignment horizontal="center" vertical="center"/>
    </xf>
    <xf numFmtId="0" fontId="99" fillId="29" borderId="22" xfId="0" applyFont="1" applyFill="1" applyBorder="1" applyAlignment="1">
      <alignment horizontal="center" vertical="center"/>
    </xf>
    <xf numFmtId="10" fontId="99" fillId="29" borderId="269" xfId="0" applyNumberFormat="1" applyFont="1" applyFill="1" applyBorder="1" applyAlignment="1">
      <alignment horizontal="center" vertical="center"/>
    </xf>
    <xf numFmtId="2" fontId="58" fillId="0" borderId="236" xfId="0" applyNumberFormat="1" applyFont="1" applyFill="1" applyBorder="1" applyAlignment="1">
      <alignment horizontal="center" vertical="center" wrapText="1"/>
    </xf>
    <xf numFmtId="166" fontId="58" fillId="0" borderId="236" xfId="0" applyNumberFormat="1" applyFont="1" applyFill="1" applyBorder="1" applyAlignment="1">
      <alignment horizontal="center" vertical="center"/>
    </xf>
    <xf numFmtId="2" fontId="58" fillId="0" borderId="259" xfId="0" applyNumberFormat="1" applyFont="1" applyFill="1" applyBorder="1" applyAlignment="1">
      <alignment horizontal="center" vertical="center"/>
    </xf>
    <xf numFmtId="4" fontId="58" fillId="0" borderId="238" xfId="0" applyNumberFormat="1" applyFont="1" applyFill="1" applyBorder="1" applyAlignment="1">
      <alignment horizontal="center" vertical="center"/>
    </xf>
    <xf numFmtId="167" fontId="58" fillId="0" borderId="259" xfId="0" applyNumberFormat="1" applyFont="1" applyFill="1" applyBorder="1" applyAlignment="1">
      <alignment horizontal="center" vertical="center"/>
    </xf>
    <xf numFmtId="166" fontId="15" fillId="0" borderId="236" xfId="0" applyNumberFormat="1" applyFont="1" applyFill="1" applyBorder="1" applyAlignment="1">
      <alignment horizontal="center" vertical="center"/>
    </xf>
    <xf numFmtId="4" fontId="15" fillId="0" borderId="259" xfId="0" applyNumberFormat="1" applyFont="1" applyFill="1" applyBorder="1" applyAlignment="1">
      <alignment horizontal="center" vertical="center"/>
    </xf>
    <xf numFmtId="4" fontId="15" fillId="0" borderId="238" xfId="0" applyNumberFormat="1" applyFont="1" applyFill="1" applyBorder="1" applyAlignment="1">
      <alignment horizontal="center" vertical="center"/>
    </xf>
    <xf numFmtId="0" fontId="58" fillId="0" borderId="236" xfId="0" applyFont="1" applyFill="1" applyBorder="1" applyAlignment="1">
      <alignment horizontal="center" vertical="center"/>
    </xf>
    <xf numFmtId="0" fontId="58" fillId="0" borderId="259" xfId="0" applyFont="1" applyFill="1" applyBorder="1" applyAlignment="1">
      <alignment horizontal="center" vertical="center"/>
    </xf>
    <xf numFmtId="0" fontId="99" fillId="0" borderId="236" xfId="0" applyFont="1" applyFill="1" applyBorder="1" applyAlignment="1">
      <alignment horizontal="center" vertical="center"/>
    </xf>
    <xf numFmtId="0" fontId="99" fillId="0" borderId="259" xfId="0" applyFont="1" applyFill="1" applyBorder="1" applyAlignment="1">
      <alignment horizontal="center" vertical="center"/>
    </xf>
    <xf numFmtId="166" fontId="99" fillId="0" borderId="238" xfId="0" applyNumberFormat="1" applyFont="1" applyFill="1" applyBorder="1" applyAlignment="1">
      <alignment horizontal="center" vertical="center"/>
    </xf>
    <xf numFmtId="0" fontId="99" fillId="0" borderId="257" xfId="0" applyFont="1" applyFill="1" applyBorder="1" applyAlignment="1">
      <alignment horizontal="center" vertical="center"/>
    </xf>
    <xf numFmtId="166" fontId="99" fillId="0" borderId="233" xfId="0" applyNumberFormat="1" applyFont="1" applyFill="1" applyBorder="1" applyAlignment="1">
      <alignment horizontal="center" vertical="center"/>
    </xf>
    <xf numFmtId="4" fontId="58" fillId="0" borderId="293" xfId="0" applyNumberFormat="1" applyFont="1" applyFill="1" applyBorder="1" applyAlignment="1">
      <alignment vertical="center"/>
    </xf>
    <xf numFmtId="4" fontId="15" fillId="0" borderId="293" xfId="0" applyNumberFormat="1" applyFont="1" applyFill="1" applyBorder="1" applyAlignment="1">
      <alignment vertical="center"/>
    </xf>
    <xf numFmtId="0" fontId="58" fillId="0" borderId="293" xfId="0" applyFont="1" applyFill="1" applyBorder="1" applyAlignment="1">
      <alignment vertical="center"/>
    </xf>
    <xf numFmtId="166" fontId="99" fillId="0" borderId="293" xfId="0" applyNumberFormat="1" applyFont="1" applyFill="1" applyBorder="1" applyAlignment="1">
      <alignment vertical="center"/>
    </xf>
    <xf numFmtId="0" fontId="58" fillId="0" borderId="269" xfId="0" applyFont="1" applyFill="1" applyBorder="1" applyAlignment="1">
      <alignment vertical="center"/>
    </xf>
    <xf numFmtId="166" fontId="99" fillId="0" borderId="295" xfId="0" applyNumberFormat="1" applyFont="1" applyFill="1" applyBorder="1" applyAlignment="1">
      <alignment vertical="center"/>
    </xf>
    <xf numFmtId="2" fontId="58" fillId="29" borderId="302" xfId="0" applyNumberFormat="1" applyFont="1" applyFill="1" applyBorder="1" applyAlignment="1">
      <alignment horizontal="center" vertical="center" wrapText="1"/>
    </xf>
    <xf numFmtId="166" fontId="58" fillId="29" borderId="302" xfId="0" applyNumberFormat="1" applyFont="1" applyFill="1" applyBorder="1" applyAlignment="1">
      <alignment vertical="center"/>
    </xf>
    <xf numFmtId="2" fontId="58" fillId="29" borderId="304" xfId="0" applyNumberFormat="1" applyFont="1" applyFill="1" applyBorder="1" applyAlignment="1">
      <alignment vertical="center"/>
    </xf>
    <xf numFmtId="4" fontId="58" fillId="29" borderId="303" xfId="0" applyNumberFormat="1" applyFont="1" applyFill="1" applyBorder="1" applyAlignment="1">
      <alignment vertical="center"/>
    </xf>
    <xf numFmtId="0" fontId="58" fillId="29" borderId="302" xfId="0" applyFont="1" applyFill="1" applyBorder="1" applyAlignment="1">
      <alignment vertical="center"/>
    </xf>
    <xf numFmtId="0" fontId="58" fillId="29" borderId="304" xfId="0" applyFont="1" applyFill="1" applyBorder="1" applyAlignment="1">
      <alignment vertical="center"/>
    </xf>
    <xf numFmtId="166" fontId="15" fillId="29" borderId="302" xfId="0" applyNumberFormat="1" applyFont="1" applyFill="1" applyBorder="1" applyAlignment="1">
      <alignment vertical="center"/>
    </xf>
    <xf numFmtId="2" fontId="15" fillId="29" borderId="304" xfId="0" applyNumberFormat="1" applyFont="1" applyFill="1" applyBorder="1" applyAlignment="1">
      <alignment vertical="center"/>
    </xf>
    <xf numFmtId="4" fontId="15" fillId="29" borderId="303" xfId="0" applyNumberFormat="1" applyFont="1" applyFill="1" applyBorder="1" applyAlignment="1">
      <alignment vertical="center"/>
    </xf>
    <xf numFmtId="0" fontId="58" fillId="29" borderId="303" xfId="0" applyFont="1" applyFill="1" applyBorder="1" applyAlignment="1">
      <alignment vertical="center"/>
    </xf>
    <xf numFmtId="166" fontId="99" fillId="29" borderId="303" xfId="0" applyNumberFormat="1" applyFont="1" applyFill="1" applyBorder="1" applyAlignment="1">
      <alignment vertical="center"/>
    </xf>
    <xf numFmtId="0" fontId="58" fillId="29" borderId="288" xfId="0" applyFont="1" applyFill="1" applyBorder="1" applyAlignment="1">
      <alignment vertical="center"/>
    </xf>
    <xf numFmtId="0" fontId="58" fillId="29" borderId="296" xfId="0" applyFont="1" applyFill="1" applyBorder="1" applyAlignment="1">
      <alignment vertical="center"/>
    </xf>
    <xf numFmtId="166" fontId="99" fillId="29" borderId="286" xfId="0" applyNumberFormat="1" applyFont="1" applyFill="1" applyBorder="1" applyAlignment="1">
      <alignment vertical="center"/>
    </xf>
    <xf numFmtId="0" fontId="82" fillId="29" borderId="57" xfId="0" applyFont="1" applyFill="1" applyBorder="1" applyAlignment="1">
      <alignment horizontal="center" vertical="center" wrapText="1"/>
    </xf>
    <xf numFmtId="2" fontId="82" fillId="29" borderId="37" xfId="0" applyNumberFormat="1" applyFont="1" applyFill="1" applyBorder="1" applyAlignment="1">
      <alignment horizontal="center" vertical="center"/>
    </xf>
    <xf numFmtId="165" fontId="82" fillId="29" borderId="11" xfId="0" applyNumberFormat="1" applyFont="1" applyFill="1" applyBorder="1" applyAlignment="1">
      <alignment horizontal="center" vertical="center"/>
    </xf>
    <xf numFmtId="3" fontId="82" fillId="29" borderId="11" xfId="0" applyNumberFormat="1" applyFont="1" applyFill="1" applyBorder="1" applyAlignment="1">
      <alignment horizontal="center" vertical="center"/>
    </xf>
    <xf numFmtId="169" fontId="83" fillId="29" borderId="11" xfId="85" applyNumberFormat="1" applyFont="1" applyFill="1" applyBorder="1" applyAlignment="1">
      <alignment horizontal="center" vertical="center"/>
    </xf>
    <xf numFmtId="4" fontId="82" fillId="29" borderId="35" xfId="0" applyNumberFormat="1" applyFont="1" applyFill="1" applyBorder="1" applyAlignment="1">
      <alignment horizontal="center" vertical="center"/>
    </xf>
    <xf numFmtId="165" fontId="82" fillId="29" borderId="10" xfId="0" applyNumberFormat="1" applyFont="1" applyFill="1" applyBorder="1" applyAlignment="1">
      <alignment horizontal="center" vertical="center"/>
    </xf>
    <xf numFmtId="166" fontId="82" fillId="29" borderId="169" xfId="0" applyNumberFormat="1" applyFont="1" applyFill="1" applyBorder="1" applyAlignment="1">
      <alignment horizontal="center" vertical="center"/>
    </xf>
    <xf numFmtId="0" fontId="82" fillId="29" borderId="19" xfId="0" applyFont="1" applyFill="1" applyBorder="1" applyAlignment="1">
      <alignment vertical="center"/>
    </xf>
    <xf numFmtId="0" fontId="82" fillId="29" borderId="10" xfId="0" applyFont="1" applyFill="1" applyBorder="1" applyAlignment="1">
      <alignment vertical="center"/>
    </xf>
    <xf numFmtId="0" fontId="82" fillId="29" borderId="25" xfId="0" applyFont="1" applyFill="1" applyBorder="1" applyAlignment="1">
      <alignment horizontal="center" vertical="center"/>
    </xf>
    <xf numFmtId="0" fontId="82" fillId="29" borderId="86" xfId="0" applyFont="1" applyFill="1" applyBorder="1" applyAlignment="1">
      <alignment vertical="center"/>
    </xf>
    <xf numFmtId="0" fontId="82" fillId="29" borderId="87" xfId="0" applyFont="1" applyFill="1" applyBorder="1" applyAlignment="1">
      <alignment vertical="center"/>
    </xf>
    <xf numFmtId="2" fontId="82" fillId="29" borderId="62" xfId="0" applyNumberFormat="1" applyFont="1" applyFill="1" applyBorder="1" applyAlignment="1">
      <alignment horizontal="center" vertical="center"/>
    </xf>
    <xf numFmtId="0" fontId="14" fillId="29" borderId="75" xfId="0" applyFont="1" applyFill="1" applyBorder="1" applyAlignment="1">
      <alignment vertical="center"/>
    </xf>
    <xf numFmtId="0" fontId="14" fillId="29" borderId="76" xfId="0" applyFont="1" applyFill="1" applyBorder="1" applyAlignment="1">
      <alignment vertical="center"/>
    </xf>
    <xf numFmtId="0" fontId="14" fillId="29" borderId="81" xfId="0" applyFont="1" applyFill="1" applyBorder="1" applyAlignment="1">
      <alignment horizontal="center" vertical="center"/>
    </xf>
    <xf numFmtId="4" fontId="14" fillId="29" borderId="76" xfId="0" applyNumberFormat="1" applyFont="1" applyFill="1" applyBorder="1" applyAlignment="1">
      <alignment horizontal="center" vertical="center"/>
    </xf>
    <xf numFmtId="0" fontId="14" fillId="29" borderId="76" xfId="0" applyFont="1" applyFill="1" applyBorder="1" applyAlignment="1">
      <alignment horizontal="center" vertical="center"/>
    </xf>
    <xf numFmtId="0" fontId="82" fillId="29" borderId="37" xfId="0" applyFont="1" applyFill="1" applyBorder="1" applyAlignment="1">
      <alignment horizontal="center" vertical="center"/>
    </xf>
    <xf numFmtId="167" fontId="82" fillId="29" borderId="35" xfId="0" applyNumberFormat="1" applyFont="1" applyFill="1" applyBorder="1" applyAlignment="1">
      <alignment horizontal="center" vertical="center"/>
    </xf>
    <xf numFmtId="2" fontId="82" fillId="29" borderId="19" xfId="0" applyNumberFormat="1" applyFont="1" applyFill="1" applyBorder="1" applyAlignment="1">
      <alignment horizontal="center" vertical="center"/>
    </xf>
    <xf numFmtId="166" fontId="82" fillId="29" borderId="10" xfId="0" applyNumberFormat="1" applyFont="1" applyFill="1" applyBorder="1" applyAlignment="1">
      <alignment horizontal="center" vertical="center"/>
    </xf>
    <xf numFmtId="167" fontId="82" fillId="29" borderId="25" xfId="0" applyNumberFormat="1" applyFont="1" applyFill="1" applyBorder="1" applyAlignment="1">
      <alignment horizontal="center" vertical="center"/>
    </xf>
    <xf numFmtId="0" fontId="82" fillId="29" borderId="19" xfId="0" applyFont="1" applyFill="1" applyBorder="1" applyAlignment="1">
      <alignment horizontal="center" vertical="center"/>
    </xf>
    <xf numFmtId="167" fontId="14" fillId="29" borderId="81" xfId="0" applyNumberFormat="1" applyFont="1" applyFill="1" applyBorder="1" applyAlignment="1">
      <alignment horizontal="center" vertical="center"/>
    </xf>
    <xf numFmtId="0" fontId="14" fillId="29" borderId="24" xfId="0" applyFont="1" applyFill="1" applyBorder="1" applyAlignment="1">
      <alignment horizontal="center" vertical="center"/>
    </xf>
    <xf numFmtId="4" fontId="14" fillId="29" borderId="43" xfId="0" applyNumberFormat="1" applyFont="1" applyFill="1" applyBorder="1" applyAlignment="1">
      <alignment horizontal="center" vertical="center"/>
    </xf>
    <xf numFmtId="0" fontId="14" fillId="29" borderId="43" xfId="0" applyFont="1" applyFill="1" applyBorder="1" applyAlignment="1">
      <alignment horizontal="center" vertical="center"/>
    </xf>
    <xf numFmtId="0" fontId="14" fillId="29" borderId="79" xfId="0" applyFont="1" applyFill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4" fontId="58" fillId="0" borderId="17" xfId="0" applyNumberFormat="1" applyFont="1" applyBorder="1" applyAlignment="1">
      <alignment horizontal="center" vertical="center"/>
    </xf>
    <xf numFmtId="169" fontId="58" fillId="0" borderId="18" xfId="85" applyNumberFormat="1" applyFont="1" applyBorder="1" applyAlignment="1">
      <alignment horizontal="center" vertical="center"/>
    </xf>
    <xf numFmtId="4" fontId="58" fillId="0" borderId="302" xfId="0" applyNumberFormat="1" applyFont="1" applyBorder="1" applyAlignment="1">
      <alignment horizontal="center" vertical="center"/>
    </xf>
    <xf numFmtId="169" fontId="58" fillId="0" borderId="303" xfId="85" applyNumberFormat="1" applyFont="1" applyBorder="1" applyAlignment="1">
      <alignment horizontal="center" vertical="center"/>
    </xf>
    <xf numFmtId="4" fontId="15" fillId="0" borderId="302" xfId="0" applyNumberFormat="1" applyFont="1" applyBorder="1" applyAlignment="1">
      <alignment horizontal="center" vertical="center"/>
    </xf>
    <xf numFmtId="4" fontId="15" fillId="0" borderId="304" xfId="0" applyNumberFormat="1" applyFont="1" applyBorder="1" applyAlignment="1">
      <alignment horizontal="center" vertical="center"/>
    </xf>
    <xf numFmtId="4" fontId="58" fillId="0" borderId="304" xfId="0" applyNumberFormat="1" applyFont="1" applyBorder="1" applyAlignment="1">
      <alignment horizontal="center" vertical="center"/>
    </xf>
    <xf numFmtId="4" fontId="15" fillId="0" borderId="288" xfId="0" applyNumberFormat="1" applyFont="1" applyBorder="1" applyAlignment="1">
      <alignment horizontal="center" vertical="center"/>
    </xf>
    <xf numFmtId="4" fontId="15" fillId="0" borderId="296" xfId="0" applyNumberFormat="1" applyFont="1" applyBorder="1" applyAlignment="1">
      <alignment horizontal="center" vertical="center"/>
    </xf>
    <xf numFmtId="169" fontId="15" fillId="0" borderId="286" xfId="85" applyNumberFormat="1" applyFont="1" applyBorder="1" applyAlignment="1">
      <alignment horizontal="center" vertical="center"/>
    </xf>
    <xf numFmtId="4" fontId="58" fillId="29" borderId="302" xfId="0" applyNumberFormat="1" applyFont="1" applyFill="1" applyBorder="1" applyAlignment="1">
      <alignment horizontal="center" vertical="center"/>
    </xf>
    <xf numFmtId="4" fontId="15" fillId="29" borderId="302" xfId="0" applyNumberFormat="1" applyFont="1" applyFill="1" applyBorder="1" applyAlignment="1">
      <alignment horizontal="center" vertical="center"/>
    </xf>
    <xf numFmtId="4" fontId="15" fillId="29" borderId="288" xfId="0" applyNumberFormat="1" applyFont="1" applyFill="1" applyBorder="1" applyAlignment="1">
      <alignment horizontal="center" vertical="center"/>
    </xf>
    <xf numFmtId="169" fontId="15" fillId="0" borderId="77" xfId="85" applyNumberFormat="1" applyFont="1" applyBorder="1" applyAlignment="1">
      <alignment horizontal="center" vertical="center"/>
    </xf>
    <xf numFmtId="4" fontId="58" fillId="29" borderId="16" xfId="0" applyNumberFormat="1" applyFont="1" applyFill="1" applyBorder="1" applyAlignment="1">
      <alignment horizontal="center" vertical="center"/>
    </xf>
    <xf numFmtId="4" fontId="15" fillId="0" borderId="76" xfId="0" applyNumberFormat="1" applyFont="1" applyBorder="1" applyAlignment="1">
      <alignment vertical="center"/>
    </xf>
    <xf numFmtId="0" fontId="15" fillId="0" borderId="58" xfId="0" applyFont="1" applyFill="1" applyBorder="1" applyAlignment="1">
      <alignment vertical="center"/>
    </xf>
    <xf numFmtId="0" fontId="60" fillId="0" borderId="80" xfId="0" applyFont="1" applyBorder="1" applyAlignment="1">
      <alignment vertical="center"/>
    </xf>
    <xf numFmtId="0" fontId="60" fillId="0" borderId="76" xfId="0" applyFont="1" applyBorder="1" applyAlignment="1">
      <alignment vertical="center"/>
    </xf>
    <xf numFmtId="167" fontId="81" fillId="0" borderId="76" xfId="0" applyNumberFormat="1" applyFont="1" applyFill="1" applyBorder="1" applyAlignment="1">
      <alignment horizontal="center" vertical="center"/>
    </xf>
    <xf numFmtId="4" fontId="15" fillId="0" borderId="77" xfId="0" applyNumberFormat="1" applyFont="1" applyBorder="1" applyAlignment="1">
      <alignment vertical="center"/>
    </xf>
    <xf numFmtId="0" fontId="58" fillId="29" borderId="302" xfId="0" applyFont="1" applyFill="1" applyBorder="1" applyAlignment="1">
      <alignment horizontal="center" vertical="center" wrapText="1"/>
    </xf>
    <xf numFmtId="0" fontId="58" fillId="29" borderId="304" xfId="0" applyFont="1" applyFill="1" applyBorder="1" applyAlignment="1">
      <alignment horizontal="center" vertical="center" wrapText="1"/>
    </xf>
    <xf numFmtId="1" fontId="15" fillId="29" borderId="302" xfId="0" applyNumberFormat="1" applyFont="1" applyFill="1" applyBorder="1" applyAlignment="1">
      <alignment horizontal="right" vertical="center"/>
    </xf>
    <xf numFmtId="3" fontId="15" fillId="29" borderId="304" xfId="0" applyNumberFormat="1" applyFont="1" applyFill="1" applyBorder="1" applyAlignment="1">
      <alignment horizontal="center" vertical="center"/>
    </xf>
    <xf numFmtId="168" fontId="15" fillId="29" borderId="304" xfId="0" applyNumberFormat="1" applyFont="1" applyFill="1" applyBorder="1" applyAlignment="1">
      <alignment horizontal="center" vertical="center"/>
    </xf>
    <xf numFmtId="10" fontId="58" fillId="29" borderId="304" xfId="85" applyNumberFormat="1" applyFont="1" applyFill="1" applyBorder="1" applyAlignment="1">
      <alignment vertical="center"/>
    </xf>
    <xf numFmtId="1" fontId="58" fillId="29" borderId="302" xfId="0" applyNumberFormat="1" applyFont="1" applyFill="1" applyBorder="1" applyAlignment="1">
      <alignment horizontal="right" vertical="center"/>
    </xf>
    <xf numFmtId="3" fontId="58" fillId="29" borderId="304" xfId="0" applyNumberFormat="1" applyFont="1" applyFill="1" applyBorder="1" applyAlignment="1">
      <alignment horizontal="right" vertical="center"/>
    </xf>
    <xf numFmtId="168" fontId="58" fillId="29" borderId="304" xfId="0" applyNumberFormat="1" applyFont="1" applyFill="1" applyBorder="1" applyAlignment="1">
      <alignment horizontal="right" vertical="center"/>
    </xf>
    <xf numFmtId="168" fontId="58" fillId="29" borderId="296" xfId="0" applyNumberFormat="1" applyFont="1" applyFill="1" applyBorder="1" applyAlignment="1">
      <alignment horizontal="right" vertical="center"/>
    </xf>
    <xf numFmtId="0" fontId="58" fillId="29" borderId="37" xfId="0" applyFont="1" applyFill="1" applyBorder="1" applyAlignment="1">
      <alignment vertical="center"/>
    </xf>
    <xf numFmtId="0" fontId="58" fillId="29" borderId="11" xfId="0" applyFont="1" applyFill="1" applyBorder="1" applyAlignment="1">
      <alignment vertical="center"/>
    </xf>
    <xf numFmtId="3" fontId="58" fillId="29" borderId="304" xfId="0" applyNumberFormat="1" applyFont="1" applyFill="1" applyBorder="1" applyAlignment="1">
      <alignment vertical="center"/>
    </xf>
    <xf numFmtId="3" fontId="58" fillId="29" borderId="296" xfId="0" applyNumberFormat="1" applyFont="1" applyFill="1" applyBorder="1" applyAlignment="1">
      <alignment vertical="center"/>
    </xf>
    <xf numFmtId="10" fontId="58" fillId="29" borderId="296" xfId="85" applyNumberFormat="1" applyFont="1" applyFill="1" applyBorder="1" applyAlignment="1">
      <alignment vertical="center"/>
    </xf>
    <xf numFmtId="2" fontId="59" fillId="0" borderId="11" xfId="89" applyNumberFormat="1" applyFont="1" applyFill="1" applyBorder="1" applyAlignment="1">
      <alignment vertical="center"/>
    </xf>
    <xf numFmtId="2" fontId="59" fillId="29" borderId="11" xfId="89" applyNumberFormat="1" applyFont="1" applyFill="1" applyBorder="1" applyAlignment="1">
      <alignment vertical="center"/>
    </xf>
    <xf numFmtId="4" fontId="15" fillId="29" borderId="75" xfId="0" applyNumberFormat="1" applyFont="1" applyFill="1" applyBorder="1" applyAlignment="1">
      <alignment horizontal="center" vertical="center"/>
    </xf>
    <xf numFmtId="4" fontId="59" fillId="29" borderId="16" xfId="0" applyNumberFormat="1" applyFont="1" applyFill="1" applyBorder="1" applyAlignment="1">
      <alignment vertical="center"/>
    </xf>
    <xf numFmtId="4" fontId="59" fillId="29" borderId="105" xfId="0" applyNumberFormat="1" applyFont="1" applyFill="1" applyBorder="1" applyAlignment="1">
      <alignment vertical="center"/>
    </xf>
    <xf numFmtId="4" fontId="59" fillId="29" borderId="21" xfId="0" applyNumberFormat="1" applyFont="1" applyFill="1" applyBorder="1" applyAlignment="1">
      <alignment vertical="center"/>
    </xf>
    <xf numFmtId="4" fontId="58" fillId="0" borderId="191" xfId="0" applyNumberFormat="1" applyFont="1" applyFill="1" applyBorder="1" applyAlignment="1">
      <alignment horizontal="center" vertical="center"/>
    </xf>
    <xf numFmtId="4" fontId="58" fillId="0" borderId="15" xfId="0" applyNumberFormat="1" applyFont="1" applyFill="1" applyBorder="1" applyAlignment="1">
      <alignment horizontal="center" vertical="center"/>
    </xf>
    <xf numFmtId="4" fontId="15" fillId="0" borderId="58" xfId="0" applyNumberFormat="1" applyFont="1" applyFill="1" applyBorder="1" applyAlignment="1">
      <alignment horizontal="center" vertical="center"/>
    </xf>
    <xf numFmtId="4" fontId="58" fillId="0" borderId="313" xfId="0" applyNumberFormat="1" applyFont="1" applyFill="1" applyBorder="1" applyAlignment="1">
      <alignment vertical="center"/>
    </xf>
    <xf numFmtId="4" fontId="59" fillId="0" borderId="313" xfId="0" applyNumberFormat="1" applyFont="1" applyFill="1" applyBorder="1" applyAlignment="1">
      <alignment vertical="center"/>
    </xf>
    <xf numFmtId="4" fontId="59" fillId="0" borderId="314" xfId="0" applyNumberFormat="1" applyFont="1" applyFill="1" applyBorder="1" applyAlignment="1">
      <alignment vertical="center"/>
    </xf>
    <xf numFmtId="10" fontId="58" fillId="0" borderId="313" xfId="85" applyNumberFormat="1" applyFont="1" applyFill="1" applyBorder="1" applyAlignment="1">
      <alignment horizontal="center" vertical="center"/>
    </xf>
    <xf numFmtId="10" fontId="58" fillId="0" borderId="314" xfId="85" applyNumberFormat="1" applyFont="1" applyFill="1" applyBorder="1" applyAlignment="1">
      <alignment horizontal="center" vertical="center"/>
    </xf>
    <xf numFmtId="4" fontId="58" fillId="0" borderId="313" xfId="0" applyNumberFormat="1" applyFont="1" applyFill="1" applyBorder="1" applyAlignment="1">
      <alignment horizontal="center" vertical="center"/>
    </xf>
    <xf numFmtId="4" fontId="58" fillId="0" borderId="316" xfId="0" applyNumberFormat="1" applyFont="1" applyFill="1" applyBorder="1" applyAlignment="1">
      <alignment horizontal="center" vertical="center"/>
    </xf>
    <xf numFmtId="4" fontId="58" fillId="0" borderId="314" xfId="0" applyNumberFormat="1" applyFont="1" applyFill="1" applyBorder="1" applyAlignment="1">
      <alignment horizontal="center" vertical="center"/>
    </xf>
    <xf numFmtId="4" fontId="58" fillId="0" borderId="317" xfId="0" applyNumberFormat="1" applyFont="1" applyFill="1" applyBorder="1" applyAlignment="1">
      <alignment horizontal="center" vertical="center"/>
    </xf>
    <xf numFmtId="168" fontId="58" fillId="29" borderId="75" xfId="0" applyNumberFormat="1" applyFont="1" applyFill="1" applyBorder="1" applyAlignment="1">
      <alignment vertical="center"/>
    </xf>
    <xf numFmtId="10" fontId="58" fillId="29" borderId="37" xfId="0" applyNumberFormat="1" applyFont="1" applyFill="1" applyBorder="1" applyAlignment="1">
      <alignment vertical="center"/>
    </xf>
    <xf numFmtId="10" fontId="58" fillId="29" borderId="105" xfId="0" applyNumberFormat="1" applyFont="1" applyFill="1" applyBorder="1" applyAlignment="1">
      <alignment vertical="center"/>
    </xf>
    <xf numFmtId="10" fontId="58" fillId="29" borderId="21" xfId="0" applyNumberFormat="1" applyFont="1" applyFill="1" applyBorder="1" applyAlignment="1">
      <alignment vertical="center"/>
    </xf>
    <xf numFmtId="4" fontId="58" fillId="0" borderId="191" xfId="0" applyNumberFormat="1" applyFont="1" applyFill="1" applyBorder="1" applyAlignment="1">
      <alignment vertical="center"/>
    </xf>
    <xf numFmtId="4" fontId="59" fillId="0" borderId="191" xfId="0" applyNumberFormat="1" applyFont="1" applyFill="1" applyBorder="1" applyAlignment="1">
      <alignment vertical="center"/>
    </xf>
    <xf numFmtId="10" fontId="58" fillId="0" borderId="191" xfId="85" applyNumberFormat="1" applyFont="1" applyFill="1" applyBorder="1" applyAlignment="1">
      <alignment horizontal="center" vertical="center"/>
    </xf>
    <xf numFmtId="4" fontId="99" fillId="0" borderId="191" xfId="0" applyNumberFormat="1" applyFont="1" applyFill="1" applyBorder="1" applyAlignment="1">
      <alignment vertical="center"/>
    </xf>
    <xf numFmtId="4" fontId="58" fillId="0" borderId="15" xfId="0" applyNumberFormat="1" applyFont="1" applyFill="1" applyBorder="1" applyAlignment="1">
      <alignment vertical="center"/>
    </xf>
    <xf numFmtId="168" fontId="58" fillId="0" borderId="58" xfId="0" applyNumberFormat="1" applyFont="1" applyFill="1" applyBorder="1" applyAlignment="1">
      <alignment vertical="center"/>
    </xf>
    <xf numFmtId="4" fontId="58" fillId="0" borderId="13" xfId="0" applyNumberFormat="1" applyFont="1" applyFill="1" applyBorder="1" applyAlignment="1">
      <alignment horizontal="center" vertical="center"/>
    </xf>
    <xf numFmtId="10" fontId="58" fillId="0" borderId="34" xfId="85" applyNumberFormat="1" applyFont="1" applyFill="1" applyBorder="1" applyAlignment="1">
      <alignment vertical="center"/>
    </xf>
    <xf numFmtId="10" fontId="58" fillId="0" borderId="191" xfId="85" applyNumberFormat="1" applyFont="1" applyFill="1" applyBorder="1" applyAlignment="1">
      <alignment vertical="center"/>
    </xf>
    <xf numFmtId="10" fontId="58" fillId="0" borderId="15" xfId="85" applyNumberFormat="1" applyFont="1" applyFill="1" applyBorder="1" applyAlignment="1">
      <alignment vertical="center"/>
    </xf>
    <xf numFmtId="0" fontId="46" fillId="0" borderId="34" xfId="79" applyFont="1" applyFill="1" applyBorder="1" applyAlignment="1">
      <alignment vertical="center"/>
    </xf>
    <xf numFmtId="2" fontId="46" fillId="29" borderId="37" xfId="79" applyNumberFormat="1" applyFont="1" applyFill="1" applyBorder="1" applyAlignment="1">
      <alignment horizontal="center" vertical="center"/>
    </xf>
    <xf numFmtId="4" fontId="11" fillId="29" borderId="11" xfId="79" applyNumberFormat="1" applyFont="1" applyFill="1" applyBorder="1" applyAlignment="1">
      <alignment horizontal="center" vertical="center"/>
    </xf>
    <xf numFmtId="167" fontId="46" fillId="29" borderId="19" xfId="79" applyNumberFormat="1" applyFont="1" applyFill="1" applyBorder="1" applyAlignment="1">
      <alignment horizontal="center" vertical="center"/>
    </xf>
    <xf numFmtId="4" fontId="11" fillId="29" borderId="92" xfId="79" applyNumberFormat="1" applyFont="1" applyFill="1" applyBorder="1" applyAlignment="1">
      <alignment horizontal="center" vertical="center"/>
    </xf>
    <xf numFmtId="168" fontId="46" fillId="29" borderId="19" xfId="79" applyNumberFormat="1" applyFont="1" applyFill="1" applyBorder="1" applyAlignment="1">
      <alignment horizontal="center" vertical="center"/>
    </xf>
    <xf numFmtId="168" fontId="46" fillId="29" borderId="92" xfId="79" applyNumberFormat="1" applyFont="1" applyFill="1" applyBorder="1" applyAlignment="1">
      <alignment horizontal="center" vertical="center"/>
    </xf>
    <xf numFmtId="169" fontId="47" fillId="29" borderId="19" xfId="85" applyNumberFormat="1" applyFont="1" applyFill="1" applyBorder="1" applyAlignment="1">
      <alignment horizontal="center" vertical="center"/>
    </xf>
    <xf numFmtId="169" fontId="11" fillId="29" borderId="92" xfId="85" applyNumberFormat="1" applyFont="1" applyFill="1" applyBorder="1" applyAlignment="1">
      <alignment horizontal="center" vertical="center"/>
    </xf>
    <xf numFmtId="168" fontId="49" fillId="29" borderId="86" xfId="79" applyNumberFormat="1" applyFont="1" applyFill="1" applyBorder="1" applyAlignment="1">
      <alignment horizontal="center" vertical="center"/>
    </xf>
    <xf numFmtId="168" fontId="49" fillId="29" borderId="87" xfId="79" applyNumberFormat="1" applyFont="1" applyFill="1" applyBorder="1" applyAlignment="1">
      <alignment horizontal="center" vertical="center"/>
    </xf>
    <xf numFmtId="10" fontId="11" fillId="29" borderId="75" xfId="85" applyNumberFormat="1" applyFont="1" applyFill="1" applyBorder="1" applyAlignment="1">
      <alignment vertical="center"/>
    </xf>
    <xf numFmtId="10" fontId="11" fillId="29" borderId="76" xfId="85" applyNumberFormat="1" applyFont="1" applyFill="1" applyBorder="1" applyAlignment="1">
      <alignment vertical="center"/>
    </xf>
    <xf numFmtId="169" fontId="11" fillId="29" borderId="11" xfId="85" applyNumberFormat="1" applyFont="1" applyFill="1" applyBorder="1" applyAlignment="1">
      <alignment vertical="center"/>
    </xf>
    <xf numFmtId="169" fontId="11" fillId="29" borderId="35" xfId="85" applyNumberFormat="1" applyFont="1" applyFill="1" applyBorder="1" applyAlignment="1">
      <alignment vertical="center"/>
    </xf>
    <xf numFmtId="169" fontId="11" fillId="29" borderId="92" xfId="85" applyNumberFormat="1" applyFont="1" applyFill="1" applyBorder="1" applyAlignment="1">
      <alignment vertical="center"/>
    </xf>
    <xf numFmtId="169" fontId="11" fillId="29" borderId="207" xfId="85" applyNumberFormat="1" applyFont="1" applyFill="1" applyBorder="1" applyAlignment="1">
      <alignment vertical="center"/>
    </xf>
    <xf numFmtId="0" fontId="11" fillId="29" borderId="76" xfId="79" applyFont="1" applyFill="1" applyBorder="1" applyAlignment="1">
      <alignment vertical="center"/>
    </xf>
    <xf numFmtId="0" fontId="11" fillId="29" borderId="81" xfId="79" applyFont="1" applyFill="1" applyBorder="1" applyAlignment="1">
      <alignment vertical="center"/>
    </xf>
    <xf numFmtId="4" fontId="58" fillId="29" borderId="105" xfId="0" applyNumberFormat="1" applyFont="1" applyFill="1" applyBorder="1" applyAlignment="1">
      <alignment horizontal="center" vertical="center" wrapText="1"/>
    </xf>
    <xf numFmtId="0" fontId="58" fillId="0" borderId="96" xfId="0" applyFont="1" applyFill="1" applyBorder="1" applyAlignment="1">
      <alignment horizontal="center" vertical="center" wrapText="1"/>
    </xf>
    <xf numFmtId="4" fontId="15" fillId="29" borderId="105" xfId="0" applyNumberFormat="1" applyFont="1" applyFill="1" applyBorder="1" applyAlignment="1">
      <alignment horizontal="center" vertical="center" wrapText="1"/>
    </xf>
    <xf numFmtId="4" fontId="15" fillId="29" borderId="130" xfId="0" applyNumberFormat="1" applyFont="1" applyFill="1" applyBorder="1" applyAlignment="1">
      <alignment horizontal="center" vertical="center" wrapText="1"/>
    </xf>
    <xf numFmtId="0" fontId="0" fillId="0" borderId="114" xfId="0" applyBorder="1" applyAlignment="1">
      <alignment vertical="center"/>
    </xf>
    <xf numFmtId="4" fontId="0" fillId="0" borderId="105" xfId="0" applyNumberFormat="1" applyBorder="1" applyAlignment="1">
      <alignment vertical="center"/>
    </xf>
    <xf numFmtId="0" fontId="0" fillId="0" borderId="102" xfId="0" applyBorder="1" applyAlignment="1">
      <alignment vertical="center"/>
    </xf>
    <xf numFmtId="4" fontId="0" fillId="0" borderId="105" xfId="0" applyNumberFormat="1" applyFill="1" applyBorder="1" applyAlignment="1">
      <alignment vertical="center"/>
    </xf>
    <xf numFmtId="0" fontId="0" fillId="29" borderId="16" xfId="0" applyFill="1" applyBorder="1" applyAlignment="1">
      <alignment horizontal="center" vertical="center" wrapText="1"/>
    </xf>
    <xf numFmtId="4" fontId="0" fillId="29" borderId="105" xfId="0" applyNumberFormat="1" applyFill="1" applyBorder="1"/>
    <xf numFmtId="4" fontId="0" fillId="29" borderId="105" xfId="0" applyNumberFormat="1" applyFill="1" applyBorder="1" applyAlignment="1">
      <alignment vertical="center"/>
    </xf>
    <xf numFmtId="4" fontId="0" fillId="29" borderId="21" xfId="0" applyNumberFormat="1" applyFill="1" applyBorder="1"/>
    <xf numFmtId="169" fontId="59" fillId="29" borderId="11" xfId="0" applyNumberFormat="1" applyFont="1" applyFill="1" applyBorder="1" applyAlignment="1">
      <alignment horizontal="center" vertical="center" wrapText="1"/>
    </xf>
    <xf numFmtId="169" fontId="59" fillId="29" borderId="102" xfId="0" applyNumberFormat="1" applyFont="1" applyFill="1" applyBorder="1" applyAlignment="1">
      <alignment horizontal="center" vertical="center" wrapText="1"/>
    </xf>
    <xf numFmtId="4" fontId="15" fillId="29" borderId="102" xfId="0" applyNumberFormat="1" applyFont="1" applyFill="1" applyBorder="1" applyAlignment="1">
      <alignment horizontal="center" vertical="center" wrapText="1"/>
    </xf>
    <xf numFmtId="4" fontId="15" fillId="29" borderId="106" xfId="0" applyNumberFormat="1" applyFont="1" applyFill="1" applyBorder="1" applyAlignment="1">
      <alignment horizontal="center" vertical="center" wrapText="1"/>
    </xf>
    <xf numFmtId="169" fontId="59" fillId="29" borderId="320" xfId="0" applyNumberFormat="1" applyFont="1" applyFill="1" applyBorder="1" applyAlignment="1">
      <alignment horizontal="center" vertical="center" wrapText="1"/>
    </xf>
    <xf numFmtId="169" fontId="59" fillId="29" borderId="17" xfId="0" applyNumberFormat="1" applyFont="1" applyFill="1" applyBorder="1" applyAlignment="1">
      <alignment horizontal="center" vertical="center" wrapText="1"/>
    </xf>
    <xf numFmtId="4" fontId="58" fillId="29" borderId="105" xfId="0" applyNumberFormat="1" applyFont="1" applyFill="1" applyBorder="1"/>
    <xf numFmtId="4" fontId="58" fillId="29" borderId="102" xfId="0" applyNumberFormat="1" applyFont="1" applyFill="1" applyBorder="1"/>
    <xf numFmtId="4" fontId="58" fillId="29" borderId="106" xfId="0" applyNumberFormat="1" applyFont="1" applyFill="1" applyBorder="1"/>
    <xf numFmtId="4" fontId="15" fillId="29" borderId="105" xfId="0" applyNumberFormat="1" applyFont="1" applyFill="1" applyBorder="1"/>
    <xf numFmtId="4" fontId="15" fillId="29" borderId="102" xfId="0" applyNumberFormat="1" applyFont="1" applyFill="1" applyBorder="1"/>
    <xf numFmtId="4" fontId="15" fillId="29" borderId="106" xfId="0" applyNumberFormat="1" applyFont="1" applyFill="1" applyBorder="1"/>
    <xf numFmtId="2" fontId="15" fillId="29" borderId="105" xfId="0" applyNumberFormat="1" applyFont="1" applyFill="1" applyBorder="1"/>
    <xf numFmtId="2" fontId="15" fillId="29" borderId="102" xfId="0" applyNumberFormat="1" applyFont="1" applyFill="1" applyBorder="1"/>
    <xf numFmtId="2" fontId="15" fillId="29" borderId="106" xfId="0" applyNumberFormat="1" applyFont="1" applyFill="1" applyBorder="1"/>
    <xf numFmtId="2" fontId="15" fillId="29" borderId="96" xfId="0" applyNumberFormat="1" applyFont="1" applyFill="1" applyBorder="1"/>
    <xf numFmtId="2" fontId="15" fillId="29" borderId="23" xfId="0" applyNumberFormat="1" applyFont="1" applyFill="1" applyBorder="1"/>
    <xf numFmtId="0" fontId="58" fillId="0" borderId="264" xfId="0" applyFont="1" applyFill="1" applyBorder="1" applyAlignment="1">
      <alignment horizontal="center" vertical="center" wrapText="1"/>
    </xf>
    <xf numFmtId="0" fontId="58" fillId="0" borderId="233" xfId="0" applyFont="1" applyFill="1" applyBorder="1" applyAlignment="1">
      <alignment horizontal="center" vertical="center" wrapText="1"/>
    </xf>
    <xf numFmtId="4" fontId="58" fillId="0" borderId="265" xfId="0" applyNumberFormat="1" applyFont="1" applyFill="1" applyBorder="1" applyAlignment="1">
      <alignment horizontal="center" vertical="center"/>
    </xf>
    <xf numFmtId="4" fontId="58" fillId="0" borderId="266" xfId="0" applyNumberFormat="1" applyFont="1" applyFill="1" applyBorder="1" applyAlignment="1">
      <alignment horizontal="center" vertical="center"/>
    </xf>
    <xf numFmtId="4" fontId="58" fillId="0" borderId="267" xfId="0" applyNumberFormat="1" applyFont="1" applyFill="1" applyBorder="1" applyAlignment="1">
      <alignment horizontal="center" vertical="center"/>
    </xf>
    <xf numFmtId="10" fontId="59" fillId="0" borderId="265" xfId="85" applyNumberFormat="1" applyFont="1" applyFill="1" applyBorder="1" applyAlignment="1">
      <alignment horizontal="center" vertical="center"/>
    </xf>
    <xf numFmtId="10" fontId="59" fillId="0" borderId="266" xfId="85" applyNumberFormat="1" applyFont="1" applyFill="1" applyBorder="1" applyAlignment="1">
      <alignment horizontal="center" vertical="center"/>
    </xf>
    <xf numFmtId="10" fontId="59" fillId="0" borderId="267" xfId="85" applyNumberFormat="1" applyFont="1" applyFill="1" applyBorder="1" applyAlignment="1">
      <alignment horizontal="center" vertical="center"/>
    </xf>
    <xf numFmtId="4" fontId="15" fillId="0" borderId="265" xfId="0" applyNumberFormat="1" applyFont="1" applyFill="1" applyBorder="1" applyAlignment="1">
      <alignment horizontal="center" vertical="center"/>
    </xf>
    <xf numFmtId="4" fontId="15" fillId="0" borderId="266" xfId="0" applyNumberFormat="1" applyFont="1" applyFill="1" applyBorder="1" applyAlignment="1">
      <alignment horizontal="center" vertical="center"/>
    </xf>
    <xf numFmtId="4" fontId="15" fillId="0" borderId="267" xfId="0" applyNumberFormat="1" applyFont="1" applyFill="1" applyBorder="1" applyAlignment="1">
      <alignment horizontal="center" vertical="center"/>
    </xf>
    <xf numFmtId="4" fontId="15" fillId="0" borderId="291" xfId="0" applyNumberFormat="1" applyFont="1" applyFill="1" applyBorder="1" applyAlignment="1">
      <alignment horizontal="center" vertical="center"/>
    </xf>
    <xf numFmtId="4" fontId="15" fillId="0" borderId="294" xfId="0" applyNumberFormat="1" applyFont="1" applyFill="1" applyBorder="1" applyAlignment="1">
      <alignment horizontal="center" vertical="center"/>
    </xf>
    <xf numFmtId="4" fontId="15" fillId="0" borderId="265" xfId="0" applyNumberFormat="1" applyFont="1" applyFill="1" applyBorder="1" applyAlignment="1">
      <alignment horizontal="center" vertical="center" wrapText="1"/>
    </xf>
    <xf numFmtId="4" fontId="15" fillId="0" borderId="266" xfId="0" applyNumberFormat="1" applyFont="1" applyFill="1" applyBorder="1" applyAlignment="1">
      <alignment horizontal="center" vertical="center" wrapText="1"/>
    </xf>
    <xf numFmtId="4" fontId="15" fillId="0" borderId="267" xfId="0" applyNumberFormat="1" applyFont="1" applyFill="1" applyBorder="1" applyAlignment="1">
      <alignment horizontal="center" vertical="center" wrapText="1"/>
    </xf>
    <xf numFmtId="4" fontId="15" fillId="0" borderId="264" xfId="0" applyNumberFormat="1" applyFont="1" applyFill="1" applyBorder="1" applyAlignment="1">
      <alignment horizontal="center" vertical="center"/>
    </xf>
    <xf numFmtId="4" fontId="15" fillId="0" borderId="233" xfId="0" applyNumberFormat="1" applyFont="1" applyFill="1" applyBorder="1" applyAlignment="1">
      <alignment horizontal="center" vertical="center"/>
    </xf>
    <xf numFmtId="4" fontId="58" fillId="0" borderId="16" xfId="0" applyNumberFormat="1" applyFont="1" applyFill="1" applyBorder="1"/>
    <xf numFmtId="4" fontId="58" fillId="0" borderId="17" xfId="0" applyNumberFormat="1" applyFont="1" applyFill="1" applyBorder="1"/>
    <xf numFmtId="4" fontId="58" fillId="0" borderId="18" xfId="0" applyNumberFormat="1" applyFont="1" applyFill="1" applyBorder="1"/>
    <xf numFmtId="4" fontId="58" fillId="0" borderId="27" xfId="0" applyNumberFormat="1" applyFont="1" applyFill="1" applyBorder="1"/>
    <xf numFmtId="4" fontId="58" fillId="0" borderId="265" xfId="0" applyNumberFormat="1" applyFont="1" applyFill="1" applyBorder="1"/>
    <xf numFmtId="4" fontId="58" fillId="0" borderId="266" xfId="0" applyNumberFormat="1" applyFont="1" applyFill="1" applyBorder="1"/>
    <xf numFmtId="4" fontId="58" fillId="0" borderId="267" xfId="0" applyNumberFormat="1" applyFont="1" applyFill="1" applyBorder="1"/>
    <xf numFmtId="4" fontId="58" fillId="0" borderId="268" xfId="0" applyNumberFormat="1" applyFont="1" applyFill="1" applyBorder="1"/>
    <xf numFmtId="4" fontId="15" fillId="0" borderId="265" xfId="0" applyNumberFormat="1" applyFont="1" applyFill="1" applyBorder="1"/>
    <xf numFmtId="4" fontId="15" fillId="0" borderId="266" xfId="0" applyNumberFormat="1" applyFont="1" applyFill="1" applyBorder="1"/>
    <xf numFmtId="4" fontId="15" fillId="0" borderId="267" xfId="0" applyNumberFormat="1" applyFont="1" applyFill="1" applyBorder="1"/>
    <xf numFmtId="4" fontId="15" fillId="0" borderId="268" xfId="0" applyNumberFormat="1" applyFont="1" applyFill="1" applyBorder="1"/>
    <xf numFmtId="2" fontId="15" fillId="0" borderId="265" xfId="0" applyNumberFormat="1" applyFont="1" applyFill="1" applyBorder="1"/>
    <xf numFmtId="2" fontId="15" fillId="0" borderId="266" xfId="0" applyNumberFormat="1" applyFont="1" applyFill="1" applyBorder="1"/>
    <xf numFmtId="2" fontId="15" fillId="0" borderId="267" xfId="0" applyNumberFormat="1" applyFont="1" applyFill="1" applyBorder="1"/>
    <xf numFmtId="2" fontId="15" fillId="0" borderId="268" xfId="0" applyNumberFormat="1" applyFont="1" applyFill="1" applyBorder="1"/>
    <xf numFmtId="0" fontId="58" fillId="29" borderId="109" xfId="0" applyFont="1" applyFill="1" applyBorder="1" applyAlignment="1">
      <alignment horizontal="center" vertical="center" wrapText="1"/>
    </xf>
    <xf numFmtId="169" fontId="59" fillId="29" borderId="17" xfId="0" applyNumberFormat="1" applyFont="1" applyFill="1" applyBorder="1" applyAlignment="1">
      <alignment horizontal="center" vertical="center"/>
    </xf>
    <xf numFmtId="169" fontId="59" fillId="29" borderId="102" xfId="0" applyNumberFormat="1" applyFont="1" applyFill="1" applyBorder="1" applyAlignment="1">
      <alignment horizontal="center" vertical="center"/>
    </xf>
    <xf numFmtId="169" fontId="59" fillId="29" borderId="321" xfId="0" applyNumberFormat="1" applyFont="1" applyFill="1" applyBorder="1" applyAlignment="1">
      <alignment horizontal="center" vertical="center"/>
    </xf>
    <xf numFmtId="4" fontId="15" fillId="29" borderId="287" xfId="0" applyNumberFormat="1" applyFont="1" applyFill="1" applyBorder="1" applyAlignment="1">
      <alignment horizontal="center" vertical="center"/>
    </xf>
    <xf numFmtId="4" fontId="15" fillId="29" borderId="286" xfId="0" applyNumberFormat="1" applyFont="1" applyFill="1" applyBorder="1" applyAlignment="1">
      <alignment horizontal="center" vertical="center"/>
    </xf>
    <xf numFmtId="10" fontId="124" fillId="0" borderId="0" xfId="0" applyNumberFormat="1" applyFont="1"/>
    <xf numFmtId="2" fontId="15" fillId="0" borderId="316" xfId="0" applyNumberFormat="1" applyFont="1" applyBorder="1"/>
    <xf numFmtId="169" fontId="59" fillId="0" borderId="321" xfId="85" applyNumberFormat="1" applyFont="1" applyBorder="1"/>
    <xf numFmtId="2" fontId="15" fillId="0" borderId="321" xfId="0" applyNumberFormat="1" applyFont="1" applyBorder="1"/>
    <xf numFmtId="2" fontId="15" fillId="0" borderId="317" xfId="0" applyNumberFormat="1" applyFont="1" applyBorder="1"/>
    <xf numFmtId="2" fontId="15" fillId="0" borderId="316" xfId="0" applyNumberFormat="1" applyFont="1" applyFill="1" applyBorder="1"/>
    <xf numFmtId="2" fontId="15" fillId="0" borderId="321" xfId="0" applyNumberFormat="1" applyFont="1" applyFill="1" applyBorder="1"/>
    <xf numFmtId="2" fontId="15" fillId="0" borderId="317" xfId="0" applyNumberFormat="1" applyFont="1" applyFill="1" applyBorder="1"/>
    <xf numFmtId="2" fontId="15" fillId="0" borderId="322" xfId="0" applyNumberFormat="1" applyFont="1" applyFill="1" applyBorder="1"/>
    <xf numFmtId="2" fontId="15" fillId="29" borderId="316" xfId="0" applyNumberFormat="1" applyFont="1" applyFill="1" applyBorder="1"/>
    <xf numFmtId="169" fontId="59" fillId="29" borderId="321" xfId="0" applyNumberFormat="1" applyFont="1" applyFill="1" applyBorder="1" applyAlignment="1">
      <alignment horizontal="center" vertical="center" wrapText="1"/>
    </xf>
    <xf numFmtId="2" fontId="15" fillId="29" borderId="321" xfId="0" applyNumberFormat="1" applyFont="1" applyFill="1" applyBorder="1"/>
    <xf numFmtId="2" fontId="15" fillId="29" borderId="317" xfId="0" applyNumberFormat="1" applyFont="1" applyFill="1" applyBorder="1"/>
    <xf numFmtId="0" fontId="15" fillId="0" borderId="55" xfId="0" applyFont="1" applyBorder="1"/>
    <xf numFmtId="0" fontId="15" fillId="0" borderId="323" xfId="0" applyFont="1" applyBorder="1"/>
    <xf numFmtId="169" fontId="15" fillId="0" borderId="321" xfId="0" applyNumberFormat="1" applyFont="1" applyFill="1" applyBorder="1" applyAlignment="1">
      <alignment horizontal="center" vertical="center" wrapText="1"/>
    </xf>
    <xf numFmtId="2" fontId="15" fillId="0" borderId="322" xfId="0" applyNumberFormat="1" applyFont="1" applyBorder="1"/>
    <xf numFmtId="169" fontId="81" fillId="0" borderId="321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vertical="center" wrapText="1"/>
    </xf>
    <xf numFmtId="0" fontId="11" fillId="0" borderId="13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4" fontId="101" fillId="35" borderId="324" xfId="96" applyNumberFormat="1" applyFont="1" applyFill="1" applyBorder="1" applyAlignment="1">
      <alignment horizontal="center" vertical="center" wrapText="1"/>
    </xf>
    <xf numFmtId="176" fontId="101" fillId="35" borderId="324" xfId="96" applyNumberFormat="1" applyFont="1" applyFill="1" applyBorder="1" applyAlignment="1">
      <alignment horizontal="center" vertical="center" wrapText="1"/>
    </xf>
    <xf numFmtId="3" fontId="101" fillId="35" borderId="324" xfId="96" applyNumberFormat="1" applyFont="1" applyFill="1" applyBorder="1" applyAlignment="1">
      <alignment horizontal="center" vertical="center" wrapText="1"/>
    </xf>
    <xf numFmtId="4" fontId="82" fillId="36" borderId="324" xfId="96" applyNumberFormat="1" applyFont="1" applyFill="1" applyBorder="1" applyAlignment="1">
      <alignment horizontal="center" vertical="center" wrapText="1"/>
    </xf>
    <xf numFmtId="4" fontId="83" fillId="36" borderId="324" xfId="96" applyNumberFormat="1" applyFont="1" applyFill="1" applyBorder="1" applyAlignment="1">
      <alignment horizontal="center" vertical="center" wrapText="1"/>
    </xf>
    <xf numFmtId="4" fontId="82" fillId="29" borderId="324" xfId="96" applyNumberFormat="1" applyFont="1" applyFill="1" applyBorder="1" applyAlignment="1">
      <alignment horizontal="center" vertical="center" wrapText="1"/>
    </xf>
    <xf numFmtId="4" fontId="82" fillId="37" borderId="324" xfId="96" applyNumberFormat="1" applyFont="1" applyFill="1" applyBorder="1" applyAlignment="1">
      <alignment horizontal="center" vertical="center" wrapText="1"/>
    </xf>
    <xf numFmtId="4" fontId="12" fillId="38" borderId="324" xfId="96" applyNumberFormat="1" applyFont="1" applyFill="1" applyBorder="1" applyAlignment="1">
      <alignment horizontal="center" vertical="center" wrapText="1"/>
    </xf>
    <xf numFmtId="0" fontId="103" fillId="35" borderId="324" xfId="96" applyFont="1" applyFill="1" applyBorder="1" applyAlignment="1">
      <alignment vertical="center"/>
    </xf>
    <xf numFmtId="4" fontId="82" fillId="35" borderId="324" xfId="96" applyNumberFormat="1" applyFont="1" applyFill="1" applyBorder="1" applyAlignment="1">
      <alignment horizontal="center" vertical="center" wrapText="1"/>
    </xf>
    <xf numFmtId="0" fontId="46" fillId="39" borderId="324" xfId="96" applyFont="1" applyFill="1" applyBorder="1" applyAlignment="1">
      <alignment vertical="center"/>
    </xf>
    <xf numFmtId="2" fontId="46" fillId="39" borderId="324" xfId="96" applyNumberFormat="1" applyFont="1" applyFill="1" applyBorder="1" applyAlignment="1">
      <alignment horizontal="center" vertical="center"/>
    </xf>
    <xf numFmtId="0" fontId="82" fillId="27" borderId="324" xfId="96" applyFont="1" applyFill="1" applyBorder="1" applyAlignment="1">
      <alignment horizontal="center" vertical="center" wrapText="1"/>
    </xf>
    <xf numFmtId="0" fontId="46" fillId="39" borderId="324" xfId="96" applyFont="1" applyFill="1" applyBorder="1"/>
    <xf numFmtId="0" fontId="46" fillId="39" borderId="324" xfId="96" applyFont="1" applyFill="1" applyBorder="1" applyAlignment="1">
      <alignment horizontal="center"/>
    </xf>
    <xf numFmtId="4" fontId="82" fillId="35" borderId="242" xfId="96" applyNumberFormat="1" applyFont="1" applyFill="1" applyBorder="1" applyAlignment="1">
      <alignment horizontal="center" vertical="center"/>
    </xf>
    <xf numFmtId="2" fontId="82" fillId="39" borderId="242" xfId="96" applyNumberFormat="1" applyFont="1" applyFill="1" applyBorder="1" applyAlignment="1">
      <alignment horizontal="center" vertical="center" wrapText="1"/>
    </xf>
    <xf numFmtId="167" fontId="46" fillId="39" borderId="242" xfId="96" applyNumberFormat="1" applyFont="1" applyFill="1" applyBorder="1" applyAlignment="1">
      <alignment vertical="center"/>
    </xf>
    <xf numFmtId="2" fontId="82" fillId="35" borderId="242" xfId="96" applyNumberFormat="1" applyFont="1" applyFill="1" applyBorder="1" applyAlignment="1">
      <alignment horizontal="center" vertical="center" wrapText="1"/>
    </xf>
    <xf numFmtId="2" fontId="82" fillId="35" borderId="249" xfId="96" applyNumberFormat="1" applyFont="1" applyFill="1" applyBorder="1" applyAlignment="1">
      <alignment horizontal="center" vertical="center"/>
    </xf>
    <xf numFmtId="2" fontId="82" fillId="39" borderId="249" xfId="96" applyNumberFormat="1" applyFont="1" applyFill="1" applyBorder="1" applyAlignment="1">
      <alignment horizontal="center" vertical="center" wrapText="1"/>
    </xf>
    <xf numFmtId="0" fontId="112" fillId="0" borderId="202" xfId="147" applyFont="1" applyFill="1" applyBorder="1" applyAlignment="1">
      <alignment horizontal="center"/>
    </xf>
    <xf numFmtId="0" fontId="112" fillId="0" borderId="193" xfId="147" applyFont="1" applyFill="1" applyBorder="1" applyAlignment="1">
      <alignment wrapText="1"/>
    </xf>
    <xf numFmtId="0" fontId="112" fillId="0" borderId="193" xfId="147" applyFont="1" applyFill="1" applyBorder="1" applyAlignment="1">
      <alignment horizontal="center" wrapText="1"/>
    </xf>
    <xf numFmtId="4" fontId="112" fillId="0" borderId="193" xfId="147" applyNumberFormat="1" applyFont="1" applyFill="1" applyBorder="1"/>
    <xf numFmtId="4" fontId="112" fillId="0" borderId="202" xfId="147" applyNumberFormat="1" applyFont="1" applyFill="1" applyBorder="1"/>
    <xf numFmtId="4" fontId="112" fillId="0" borderId="328" xfId="147" applyNumberFormat="1" applyFont="1" applyFill="1" applyBorder="1"/>
    <xf numFmtId="0" fontId="112" fillId="0" borderId="193" xfId="147" applyFont="1" applyFill="1" applyBorder="1" applyAlignment="1">
      <alignment horizontal="center" vertical="center" wrapText="1"/>
    </xf>
    <xf numFmtId="0" fontId="112" fillId="0" borderId="202" xfId="147" applyFont="1" applyFill="1" applyBorder="1" applyAlignment="1">
      <alignment wrapText="1"/>
    </xf>
    <xf numFmtId="0" fontId="112" fillId="0" borderId="202" xfId="147" applyFont="1" applyFill="1" applyBorder="1" applyAlignment="1">
      <alignment horizontal="center" vertical="center" wrapText="1"/>
    </xf>
    <xf numFmtId="0" fontId="112" fillId="0" borderId="193" xfId="147" applyFont="1" applyFill="1" applyBorder="1" applyAlignment="1">
      <alignment horizontal="center" vertical="center"/>
    </xf>
    <xf numFmtId="4" fontId="112" fillId="0" borderId="193" xfId="148" applyNumberFormat="1" applyFont="1" applyFill="1" applyBorder="1"/>
    <xf numFmtId="0" fontId="112" fillId="0" borderId="202" xfId="147" applyFont="1" applyFill="1" applyBorder="1" applyAlignment="1">
      <alignment horizontal="center" vertical="center"/>
    </xf>
    <xf numFmtId="0" fontId="112" fillId="0" borderId="193" xfId="147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0" borderId="292" xfId="0" applyFont="1" applyFill="1" applyBorder="1" applyAlignment="1">
      <alignment vertical="center"/>
    </xf>
    <xf numFmtId="0" fontId="15" fillId="0" borderId="293" xfId="0" applyFont="1" applyFill="1" applyBorder="1" applyAlignment="1">
      <alignment vertical="center"/>
    </xf>
    <xf numFmtId="0" fontId="15" fillId="0" borderId="294" xfId="0" applyFont="1" applyFill="1" applyBorder="1" applyAlignment="1">
      <alignment vertical="center"/>
    </xf>
    <xf numFmtId="0" fontId="15" fillId="29" borderId="304" xfId="0" applyFont="1" applyFill="1" applyBorder="1" applyAlignment="1">
      <alignment vertical="center"/>
    </xf>
    <xf numFmtId="0" fontId="15" fillId="29" borderId="303" xfId="0" applyFont="1" applyFill="1" applyBorder="1" applyAlignment="1">
      <alignment vertical="center"/>
    </xf>
    <xf numFmtId="168" fontId="82" fillId="28" borderId="169" xfId="0" applyNumberFormat="1" applyFont="1" applyFill="1" applyBorder="1" applyAlignment="1">
      <alignment horizontal="center" vertical="center"/>
    </xf>
    <xf numFmtId="4" fontId="15" fillId="0" borderId="75" xfId="0" applyNumberFormat="1" applyFont="1" applyBorder="1" applyAlignment="1">
      <alignment horizontal="center" vertical="center"/>
    </xf>
    <xf numFmtId="0" fontId="80" fillId="0" borderId="0" xfId="0" applyFont="1" applyAlignment="1">
      <alignment horizontal="center"/>
    </xf>
    <xf numFmtId="4" fontId="99" fillId="0" borderId="265" xfId="0" applyNumberFormat="1" applyFont="1" applyFill="1" applyBorder="1" applyAlignment="1">
      <alignment horizontal="center" vertical="center"/>
    </xf>
    <xf numFmtId="2" fontId="58" fillId="0" borderId="278" xfId="0" applyNumberFormat="1" applyFont="1" applyFill="1" applyBorder="1" applyAlignment="1">
      <alignment horizontal="right" vertical="center"/>
    </xf>
    <xf numFmtId="2" fontId="15" fillId="0" borderId="17" xfId="0" applyNumberFormat="1" applyFont="1" applyFill="1" applyBorder="1" applyAlignment="1">
      <alignment horizontal="right" vertical="center"/>
    </xf>
    <xf numFmtId="4" fontId="58" fillId="0" borderId="317" xfId="0" applyNumberFormat="1" applyFont="1" applyFill="1" applyBorder="1" applyAlignment="1">
      <alignment horizontal="right" vertical="center"/>
    </xf>
    <xf numFmtId="4" fontId="62" fillId="0" borderId="0" xfId="0" applyNumberFormat="1" applyFont="1"/>
    <xf numFmtId="2" fontId="62" fillId="0" borderId="0" xfId="0" applyNumberFormat="1" applyFont="1"/>
    <xf numFmtId="168" fontId="82" fillId="28" borderId="11" xfId="0" applyNumberFormat="1" applyFont="1" applyFill="1" applyBorder="1" applyAlignment="1">
      <alignment horizontal="center" vertical="center"/>
    </xf>
    <xf numFmtId="4" fontId="58" fillId="29" borderId="326" xfId="0" applyNumberFormat="1" applyFont="1" applyFill="1" applyBorder="1" applyAlignment="1">
      <alignment horizontal="center" vertical="center"/>
    </xf>
    <xf numFmtId="4" fontId="59" fillId="29" borderId="326" xfId="0" applyNumberFormat="1" applyFont="1" applyFill="1" applyBorder="1" applyAlignment="1">
      <alignment vertical="center"/>
    </xf>
    <xf numFmtId="4" fontId="58" fillId="0" borderId="328" xfId="0" applyNumberFormat="1" applyFont="1" applyFill="1" applyBorder="1" applyAlignment="1">
      <alignment horizontal="center" vertical="center"/>
    </xf>
    <xf numFmtId="168" fontId="58" fillId="0" borderId="314" xfId="0" applyNumberFormat="1" applyFont="1" applyFill="1" applyBorder="1" applyAlignment="1">
      <alignment horizontal="right" vertical="center"/>
    </xf>
    <xf numFmtId="10" fontId="59" fillId="0" borderId="313" xfId="85" applyNumberFormat="1" applyFont="1" applyFill="1" applyBorder="1" applyAlignment="1">
      <alignment horizontal="center" vertical="center"/>
    </xf>
    <xf numFmtId="10" fontId="59" fillId="0" borderId="328" xfId="85" applyNumberFormat="1" applyFont="1" applyFill="1" applyBorder="1" applyAlignment="1">
      <alignment horizontal="center" vertical="center"/>
    </xf>
    <xf numFmtId="10" fontId="59" fillId="0" borderId="314" xfId="85" applyNumberFormat="1" applyFont="1" applyFill="1" applyBorder="1" applyAlignment="1">
      <alignment horizontal="center" vertical="center"/>
    </xf>
    <xf numFmtId="4" fontId="58" fillId="0" borderId="321" xfId="0" applyNumberFormat="1" applyFont="1" applyFill="1" applyBorder="1" applyAlignment="1">
      <alignment horizontal="center" vertical="center"/>
    </xf>
    <xf numFmtId="4" fontId="59" fillId="0" borderId="328" xfId="0" applyNumberFormat="1" applyFont="1" applyFill="1" applyBorder="1" applyAlignment="1">
      <alignment vertical="center"/>
    </xf>
    <xf numFmtId="4" fontId="59" fillId="0" borderId="316" xfId="0" applyNumberFormat="1" applyFont="1" applyFill="1" applyBorder="1" applyAlignment="1">
      <alignment vertical="center"/>
    </xf>
    <xf numFmtId="4" fontId="59" fillId="0" borderId="321" xfId="0" applyNumberFormat="1" applyFont="1" applyFill="1" applyBorder="1" applyAlignment="1">
      <alignment vertical="center"/>
    </xf>
    <xf numFmtId="4" fontId="59" fillId="0" borderId="317" xfId="0" applyNumberFormat="1" applyFont="1" applyFill="1" applyBorder="1" applyAlignment="1">
      <alignment vertical="center"/>
    </xf>
    <xf numFmtId="10" fontId="58" fillId="0" borderId="313" xfId="85" applyNumberFormat="1" applyFont="1" applyFill="1" applyBorder="1"/>
    <xf numFmtId="10" fontId="58" fillId="0" borderId="314" xfId="85" applyNumberFormat="1" applyFont="1" applyFill="1" applyBorder="1"/>
    <xf numFmtId="10" fontId="58" fillId="0" borderId="316" xfId="85" applyNumberFormat="1" applyFont="1" applyFill="1" applyBorder="1"/>
    <xf numFmtId="10" fontId="58" fillId="0" borderId="317" xfId="85" applyNumberFormat="1" applyFont="1" applyFill="1" applyBorder="1"/>
    <xf numFmtId="10" fontId="58" fillId="0" borderId="16" xfId="85" applyNumberFormat="1" applyFont="1" applyFill="1" applyBorder="1"/>
    <xf numFmtId="10" fontId="58" fillId="0" borderId="17" xfId="85" applyNumberFormat="1" applyFont="1" applyFill="1" applyBorder="1"/>
    <xf numFmtId="10" fontId="58" fillId="0" borderId="328" xfId="85" applyNumberFormat="1" applyFont="1" applyFill="1" applyBorder="1"/>
    <xf numFmtId="10" fontId="58" fillId="0" borderId="321" xfId="85" applyNumberFormat="1" applyFont="1" applyFill="1" applyBorder="1"/>
    <xf numFmtId="4" fontId="58" fillId="29" borderId="326" xfId="0" applyNumberFormat="1" applyFont="1" applyFill="1" applyBorder="1" applyAlignment="1">
      <alignment vertical="center"/>
    </xf>
    <xf numFmtId="10" fontId="58" fillId="29" borderId="326" xfId="85" applyNumberFormat="1" applyFont="1" applyFill="1" applyBorder="1" applyAlignment="1">
      <alignment horizontal="center" vertical="center"/>
    </xf>
    <xf numFmtId="4" fontId="58" fillId="29" borderId="323" xfId="0" applyNumberFormat="1" applyFont="1" applyFill="1" applyBorder="1" applyAlignment="1">
      <alignment vertical="center"/>
    </xf>
    <xf numFmtId="4" fontId="58" fillId="0" borderId="328" xfId="0" applyNumberFormat="1" applyFont="1" applyFill="1" applyBorder="1" applyAlignment="1">
      <alignment vertical="center"/>
    </xf>
    <xf numFmtId="169" fontId="58" fillId="0" borderId="328" xfId="85" applyNumberFormat="1" applyFont="1" applyBorder="1" applyAlignment="1">
      <alignment vertical="center"/>
    </xf>
    <xf numFmtId="176" fontId="83" fillId="28" borderId="10" xfId="0" applyNumberFormat="1" applyFont="1" applyFill="1" applyBorder="1" applyAlignment="1">
      <alignment horizontal="center" vertical="center"/>
    </xf>
    <xf numFmtId="0" fontId="46" fillId="0" borderId="0" xfId="96" applyFont="1" applyFill="1"/>
    <xf numFmtId="2" fontId="58" fillId="29" borderId="304" xfId="0" applyNumberFormat="1" applyFont="1" applyFill="1" applyBorder="1" applyAlignment="1">
      <alignment horizontal="center" vertical="center" wrapText="1"/>
    </xf>
    <xf numFmtId="2" fontId="58" fillId="29" borderId="92" xfId="0" applyNumberFormat="1" applyFont="1" applyFill="1" applyBorder="1" applyAlignment="1">
      <alignment horizontal="center" vertical="center" wrapText="1"/>
    </xf>
    <xf numFmtId="2" fontId="58" fillId="29" borderId="285" xfId="0" applyNumberFormat="1" applyFont="1" applyFill="1" applyBorder="1" applyAlignment="1">
      <alignment horizontal="right" vertical="center"/>
    </xf>
    <xf numFmtId="166" fontId="58" fillId="29" borderId="102" xfId="0" applyNumberFormat="1" applyFont="1" applyFill="1" applyBorder="1" applyAlignment="1">
      <alignment horizontal="center" vertical="center"/>
    </xf>
    <xf numFmtId="166" fontId="58" fillId="29" borderId="169" xfId="0" applyNumberFormat="1" applyFont="1" applyFill="1" applyBorder="1" applyAlignment="1">
      <alignment horizontal="center" vertical="center"/>
    </xf>
    <xf numFmtId="167" fontId="58" fillId="29" borderId="169" xfId="0" applyNumberFormat="1" applyFont="1" applyFill="1" applyBorder="1" applyAlignment="1">
      <alignment horizontal="center" vertical="center"/>
    </xf>
    <xf numFmtId="166" fontId="15" fillId="29" borderId="102" xfId="0" applyNumberFormat="1" applyFont="1" applyFill="1" applyBorder="1" applyAlignment="1">
      <alignment horizontal="center" vertical="center"/>
    </xf>
    <xf numFmtId="166" fontId="99" fillId="29" borderId="102" xfId="0" applyNumberFormat="1" applyFont="1" applyFill="1" applyBorder="1" applyAlignment="1">
      <alignment horizontal="center" vertical="center"/>
    </xf>
    <xf numFmtId="166" fontId="99" fillId="29" borderId="292" xfId="0" applyNumberFormat="1" applyFont="1" applyFill="1" applyBorder="1" applyAlignment="1">
      <alignment horizontal="center" vertical="center"/>
    </xf>
    <xf numFmtId="166" fontId="99" fillId="29" borderId="269" xfId="0" applyNumberFormat="1" applyFont="1" applyFill="1" applyBorder="1" applyAlignment="1">
      <alignment horizontal="center" vertical="center"/>
    </xf>
    <xf numFmtId="0" fontId="58" fillId="29" borderId="102" xfId="0" applyFont="1" applyFill="1" applyBorder="1" applyAlignment="1">
      <alignment horizontal="center" vertical="center"/>
    </xf>
    <xf numFmtId="9" fontId="99" fillId="29" borderId="102" xfId="0" applyNumberFormat="1" applyFont="1" applyFill="1" applyBorder="1" applyAlignment="1">
      <alignment horizontal="center" vertical="center"/>
    </xf>
    <xf numFmtId="0" fontId="99" fillId="29" borderId="102" xfId="0" applyFont="1" applyFill="1" applyBorder="1" applyAlignment="1">
      <alignment horizontal="center" vertical="center"/>
    </xf>
    <xf numFmtId="0" fontId="99" fillId="29" borderId="96" xfId="0" applyFont="1" applyFill="1" applyBorder="1" applyAlignment="1">
      <alignment horizontal="center" vertical="center"/>
    </xf>
    <xf numFmtId="2" fontId="58" fillId="29" borderId="20" xfId="0" applyNumberFormat="1" applyFont="1" applyFill="1" applyBorder="1" applyAlignment="1">
      <alignment horizontal="center" vertical="center" wrapText="1"/>
    </xf>
    <xf numFmtId="166" fontId="58" fillId="29" borderId="92" xfId="0" applyNumberFormat="1" applyFont="1" applyFill="1" applyBorder="1" applyAlignment="1">
      <alignment horizontal="center" vertical="center"/>
    </xf>
    <xf numFmtId="2" fontId="58" fillId="29" borderId="92" xfId="0" applyNumberFormat="1" applyFont="1" applyFill="1" applyBorder="1" applyAlignment="1">
      <alignment horizontal="center" vertical="center"/>
    </xf>
    <xf numFmtId="2" fontId="58" fillId="29" borderId="20" xfId="0" applyNumberFormat="1" applyFont="1" applyFill="1" applyBorder="1" applyAlignment="1">
      <alignment horizontal="center" vertical="center"/>
    </xf>
    <xf numFmtId="2" fontId="58" fillId="29" borderId="127" xfId="0" applyNumberFormat="1" applyFont="1" applyFill="1" applyBorder="1" applyAlignment="1">
      <alignment horizontal="center" vertical="center"/>
    </xf>
    <xf numFmtId="166" fontId="15" fillId="29" borderId="92" xfId="0" applyNumberFormat="1" applyFont="1" applyFill="1" applyBorder="1" applyAlignment="1">
      <alignment horizontal="center" vertical="center"/>
    </xf>
    <xf numFmtId="2" fontId="15" fillId="29" borderId="92" xfId="0" applyNumberFormat="1" applyFont="1" applyFill="1" applyBorder="1" applyAlignment="1">
      <alignment horizontal="center" vertical="center"/>
    </xf>
    <xf numFmtId="2" fontId="15" fillId="29" borderId="20" xfId="0" applyNumberFormat="1" applyFont="1" applyFill="1" applyBorder="1" applyAlignment="1">
      <alignment horizontal="center" vertical="center"/>
    </xf>
    <xf numFmtId="166" fontId="99" fillId="29" borderId="20" xfId="0" applyNumberFormat="1" applyFont="1" applyFill="1" applyBorder="1" applyAlignment="1">
      <alignment horizontal="center" vertical="center"/>
    </xf>
    <xf numFmtId="166" fontId="99" fillId="29" borderId="23" xfId="0" applyNumberFormat="1" applyFont="1" applyFill="1" applyBorder="1" applyAlignment="1">
      <alignment horizontal="center" vertical="center"/>
    </xf>
    <xf numFmtId="166" fontId="58" fillId="29" borderId="304" xfId="0" applyNumberFormat="1" applyFont="1" applyFill="1" applyBorder="1" applyAlignment="1">
      <alignment vertical="center"/>
    </xf>
    <xf numFmtId="166" fontId="15" fillId="29" borderId="304" xfId="0" applyNumberFormat="1" applyFont="1" applyFill="1" applyBorder="1" applyAlignment="1">
      <alignment vertical="center"/>
    </xf>
    <xf numFmtId="172" fontId="82" fillId="29" borderId="11" xfId="0" applyNumberFormat="1" applyFont="1" applyFill="1" applyBorder="1" applyAlignment="1">
      <alignment horizontal="center" vertical="center"/>
    </xf>
    <xf numFmtId="4" fontId="82" fillId="29" borderId="11" xfId="0" applyNumberFormat="1" applyFont="1" applyFill="1" applyBorder="1" applyAlignment="1">
      <alignment horizontal="center" vertical="center"/>
    </xf>
    <xf numFmtId="10" fontId="83" fillId="29" borderId="11" xfId="85" applyNumberFormat="1" applyFont="1" applyFill="1" applyBorder="1" applyAlignment="1">
      <alignment horizontal="center" vertical="center"/>
    </xf>
    <xf numFmtId="4" fontId="82" fillId="29" borderId="38" xfId="0" applyNumberFormat="1" applyFont="1" applyFill="1" applyBorder="1" applyAlignment="1">
      <alignment horizontal="center" vertical="center"/>
    </xf>
    <xf numFmtId="4" fontId="82" fillId="29" borderId="10" xfId="0" applyNumberFormat="1" applyFont="1" applyFill="1" applyBorder="1" applyAlignment="1">
      <alignment horizontal="center" vertical="center"/>
    </xf>
    <xf numFmtId="4" fontId="82" fillId="29" borderId="169" xfId="0" applyNumberFormat="1" applyFont="1" applyFill="1" applyBorder="1" applyAlignment="1">
      <alignment horizontal="center" vertical="center"/>
    </xf>
    <xf numFmtId="0" fontId="82" fillId="29" borderId="10" xfId="0" applyFont="1" applyFill="1" applyBorder="1" applyAlignment="1">
      <alignment horizontal="center" vertical="center"/>
    </xf>
    <xf numFmtId="4" fontId="83" fillId="29" borderId="10" xfId="0" applyNumberFormat="1" applyFont="1" applyFill="1" applyBorder="1" applyAlignment="1">
      <alignment horizontal="center" vertical="center"/>
    </xf>
    <xf numFmtId="0" fontId="82" fillId="29" borderId="86" xfId="0" applyFont="1" applyFill="1" applyBorder="1" applyAlignment="1">
      <alignment horizontal="center" vertical="center"/>
    </xf>
    <xf numFmtId="0" fontId="82" fillId="29" borderId="87" xfId="0" applyFont="1" applyFill="1" applyBorder="1" applyAlignment="1">
      <alignment horizontal="center" vertical="center"/>
    </xf>
    <xf numFmtId="4" fontId="82" fillId="29" borderId="87" xfId="0" applyNumberFormat="1" applyFont="1" applyFill="1" applyBorder="1" applyAlignment="1">
      <alignment horizontal="center" vertical="center"/>
    </xf>
    <xf numFmtId="4" fontId="83" fillId="29" borderId="87" xfId="0" applyNumberFormat="1" applyFont="1" applyFill="1" applyBorder="1" applyAlignment="1">
      <alignment horizontal="center" vertical="center"/>
    </xf>
    <xf numFmtId="0" fontId="82" fillId="29" borderId="75" xfId="0" applyFont="1" applyFill="1" applyBorder="1" applyAlignment="1">
      <alignment horizontal="center" vertical="center"/>
    </xf>
    <xf numFmtId="0" fontId="82" fillId="29" borderId="76" xfId="0" applyFont="1" applyFill="1" applyBorder="1" applyAlignment="1">
      <alignment horizontal="center" vertical="center"/>
    </xf>
    <xf numFmtId="4" fontId="82" fillId="29" borderId="76" xfId="0" applyNumberFormat="1" applyFont="1" applyFill="1" applyBorder="1" applyAlignment="1">
      <alignment horizontal="center" vertical="center"/>
    </xf>
    <xf numFmtId="4" fontId="83" fillId="29" borderId="76" xfId="0" applyNumberFormat="1" applyFont="1" applyFill="1" applyBorder="1" applyAlignment="1">
      <alignment horizontal="center" vertical="center"/>
    </xf>
    <xf numFmtId="4" fontId="14" fillId="29" borderId="77" xfId="0" applyNumberFormat="1" applyFont="1" applyFill="1" applyBorder="1" applyAlignment="1">
      <alignment horizontal="center" vertical="center"/>
    </xf>
    <xf numFmtId="4" fontId="14" fillId="29" borderId="44" xfId="0" applyNumberFormat="1" applyFont="1" applyFill="1" applyBorder="1" applyAlignment="1">
      <alignment horizontal="center" vertical="center"/>
    </xf>
    <xf numFmtId="0" fontId="58" fillId="29" borderId="303" xfId="0" applyFont="1" applyFill="1" applyBorder="1" applyAlignment="1">
      <alignment horizontal="center" vertical="center" wrapText="1"/>
    </xf>
    <xf numFmtId="168" fontId="15" fillId="29" borderId="304" xfId="0" applyNumberFormat="1" applyFont="1" applyFill="1" applyBorder="1" applyAlignment="1">
      <alignment horizontal="right" vertical="center"/>
    </xf>
    <xf numFmtId="10" fontId="15" fillId="29" borderId="310" xfId="85" applyNumberFormat="1" applyFont="1" applyFill="1" applyBorder="1" applyAlignment="1">
      <alignment vertical="center"/>
    </xf>
    <xf numFmtId="1" fontId="58" fillId="29" borderId="288" xfId="0" applyNumberFormat="1" applyFont="1" applyFill="1" applyBorder="1" applyAlignment="1">
      <alignment horizontal="right" vertical="center"/>
    </xf>
    <xf numFmtId="3" fontId="58" fillId="29" borderId="296" xfId="0" applyNumberFormat="1" applyFont="1" applyFill="1" applyBorder="1" applyAlignment="1">
      <alignment horizontal="right" vertical="center"/>
    </xf>
    <xf numFmtId="10" fontId="58" fillId="29" borderId="11" xfId="85" applyNumberFormat="1" applyFont="1" applyFill="1" applyBorder="1" applyAlignment="1">
      <alignment vertical="center"/>
    </xf>
    <xf numFmtId="10" fontId="15" fillId="29" borderId="312" xfId="85" applyNumberFormat="1" applyFont="1" applyFill="1" applyBorder="1" applyAlignment="1">
      <alignment vertical="center"/>
    </xf>
    <xf numFmtId="0" fontId="58" fillId="29" borderId="23" xfId="0" applyFont="1" applyFill="1" applyBorder="1" applyAlignment="1">
      <alignment horizontal="center" vertical="center" wrapText="1"/>
    </xf>
    <xf numFmtId="4" fontId="58" fillId="29" borderId="17" xfId="0" applyNumberFormat="1" applyFont="1" applyFill="1" applyBorder="1" applyAlignment="1">
      <alignment horizontal="center" vertical="center"/>
    </xf>
    <xf numFmtId="169" fontId="58" fillId="29" borderId="18" xfId="85" applyNumberFormat="1" applyFont="1" applyFill="1" applyBorder="1" applyAlignment="1">
      <alignment horizontal="center" vertical="center"/>
    </xf>
    <xf numFmtId="4" fontId="58" fillId="29" borderId="11" xfId="0" applyNumberFormat="1" applyFont="1" applyFill="1" applyBorder="1" applyAlignment="1">
      <alignment horizontal="center" vertical="center"/>
    </xf>
    <xf numFmtId="169" fontId="58" fillId="29" borderId="314" xfId="85" applyNumberFormat="1" applyFont="1" applyFill="1" applyBorder="1" applyAlignment="1">
      <alignment horizontal="center" vertical="center"/>
    </xf>
    <xf numFmtId="4" fontId="15" fillId="29" borderId="304" xfId="0" applyNumberFormat="1" applyFont="1" applyFill="1" applyBorder="1" applyAlignment="1">
      <alignment horizontal="center" vertical="center"/>
    </xf>
    <xf numFmtId="4" fontId="58" fillId="29" borderId="304" xfId="0" applyNumberFormat="1" applyFont="1" applyFill="1" applyBorder="1" applyAlignment="1">
      <alignment horizontal="center" vertical="center"/>
    </xf>
    <xf numFmtId="4" fontId="15" fillId="29" borderId="296" xfId="0" applyNumberFormat="1" applyFont="1" applyFill="1" applyBorder="1" applyAlignment="1">
      <alignment horizontal="center" vertical="center"/>
    </xf>
    <xf numFmtId="169" fontId="58" fillId="29" borderId="317" xfId="85" applyNumberFormat="1" applyFont="1" applyFill="1" applyBorder="1" applyAlignment="1">
      <alignment horizontal="center" vertical="center"/>
    </xf>
    <xf numFmtId="4" fontId="15" fillId="29" borderId="76" xfId="0" applyNumberFormat="1" applyFont="1" applyFill="1" applyBorder="1" applyAlignment="1">
      <alignment horizontal="center" vertical="center"/>
    </xf>
    <xf numFmtId="169" fontId="58" fillId="29" borderId="77" xfId="85" applyNumberFormat="1" applyFont="1" applyFill="1" applyBorder="1" applyAlignment="1">
      <alignment horizontal="center" vertical="center"/>
    </xf>
    <xf numFmtId="10" fontId="59" fillId="29" borderId="330" xfId="85" applyNumberFormat="1" applyFont="1" applyFill="1" applyBorder="1" applyAlignment="1">
      <alignment horizontal="center" vertical="center"/>
    </xf>
    <xf numFmtId="4" fontId="59" fillId="29" borderId="76" xfId="0" applyNumberFormat="1" applyFont="1" applyFill="1" applyBorder="1" applyAlignment="1">
      <alignment vertical="center"/>
    </xf>
    <xf numFmtId="4" fontId="58" fillId="0" borderId="333" xfId="0" applyNumberFormat="1" applyFont="1" applyFill="1" applyBorder="1" applyAlignment="1">
      <alignment horizontal="center" vertical="center"/>
    </xf>
    <xf numFmtId="4" fontId="99" fillId="0" borderId="333" xfId="0" applyNumberFormat="1" applyFont="1" applyFill="1" applyBorder="1" applyAlignment="1">
      <alignment horizontal="center" vertical="center"/>
    </xf>
    <xf numFmtId="10" fontId="59" fillId="0" borderId="333" xfId="85" applyNumberFormat="1" applyFont="1" applyFill="1" applyBorder="1" applyAlignment="1">
      <alignment horizontal="center" vertical="center"/>
    </xf>
    <xf numFmtId="4" fontId="134" fillId="0" borderId="333" xfId="0" applyNumberFormat="1" applyFont="1" applyFill="1" applyBorder="1" applyAlignment="1">
      <alignment horizontal="center" vertical="center"/>
    </xf>
    <xf numFmtId="4" fontId="59" fillId="0" borderId="58" xfId="0" applyNumberFormat="1" applyFont="1" applyFill="1" applyBorder="1" applyAlignment="1">
      <alignment vertical="center"/>
    </xf>
    <xf numFmtId="4" fontId="59" fillId="0" borderId="13" xfId="0" applyNumberFormat="1" applyFont="1" applyFill="1" applyBorder="1" applyAlignment="1">
      <alignment vertical="center"/>
    </xf>
    <xf numFmtId="4" fontId="59" fillId="0" borderId="333" xfId="0" applyNumberFormat="1" applyFont="1" applyFill="1" applyBorder="1" applyAlignment="1">
      <alignment vertical="center"/>
    </xf>
    <xf numFmtId="4" fontId="59" fillId="0" borderId="15" xfId="0" applyNumberFormat="1" applyFont="1" applyFill="1" applyBorder="1" applyAlignment="1">
      <alignment vertical="center"/>
    </xf>
    <xf numFmtId="10" fontId="58" fillId="0" borderId="34" xfId="85" applyNumberFormat="1" applyFont="1" applyFill="1" applyBorder="1"/>
    <xf numFmtId="10" fontId="58" fillId="0" borderId="333" xfId="85" applyNumberFormat="1" applyFont="1" applyFill="1" applyBorder="1"/>
    <xf numFmtId="10" fontId="58" fillId="0" borderId="15" xfId="85" applyNumberFormat="1" applyFont="1" applyFill="1" applyBorder="1"/>
    <xf numFmtId="4" fontId="58" fillId="29" borderId="335" xfId="0" applyNumberFormat="1" applyFont="1" applyFill="1" applyBorder="1" applyAlignment="1">
      <alignment horizontal="center" vertical="center"/>
    </xf>
    <xf numFmtId="4" fontId="58" fillId="29" borderId="336" xfId="0" applyNumberFormat="1" applyFont="1" applyFill="1" applyBorder="1" applyAlignment="1">
      <alignment horizontal="center" vertical="center"/>
    </xf>
    <xf numFmtId="169" fontId="58" fillId="29" borderId="331" xfId="85" applyNumberFormat="1" applyFont="1" applyFill="1" applyBorder="1" applyAlignment="1">
      <alignment vertical="center"/>
    </xf>
    <xf numFmtId="10" fontId="59" fillId="29" borderId="335" xfId="85" applyNumberFormat="1" applyFont="1" applyFill="1" applyBorder="1" applyAlignment="1">
      <alignment horizontal="center" vertical="center"/>
    </xf>
    <xf numFmtId="169" fontId="58" fillId="29" borderId="337" xfId="85" applyNumberFormat="1" applyFont="1" applyFill="1" applyBorder="1" applyAlignment="1">
      <alignment vertical="center"/>
    </xf>
    <xf numFmtId="4" fontId="58" fillId="29" borderId="334" xfId="0" applyNumberFormat="1" applyFont="1" applyFill="1" applyBorder="1" applyAlignment="1">
      <alignment horizontal="center" vertical="center"/>
    </xf>
    <xf numFmtId="4" fontId="58" fillId="29" borderId="338" xfId="0" applyNumberFormat="1" applyFont="1" applyFill="1" applyBorder="1" applyAlignment="1">
      <alignment horizontal="center" vertical="center"/>
    </xf>
    <xf numFmtId="4" fontId="59" fillId="29" borderId="75" xfId="0" applyNumberFormat="1" applyFont="1" applyFill="1" applyBorder="1" applyAlignment="1">
      <alignment vertical="center"/>
    </xf>
    <xf numFmtId="4" fontId="59" fillId="29" borderId="334" xfId="0" applyNumberFormat="1" applyFont="1" applyFill="1" applyBorder="1" applyAlignment="1">
      <alignment vertical="center"/>
    </xf>
    <xf numFmtId="4" fontId="59" fillId="29" borderId="316" xfId="0" applyNumberFormat="1" applyFont="1" applyFill="1" applyBorder="1" applyAlignment="1">
      <alignment vertical="center"/>
    </xf>
    <xf numFmtId="10" fontId="58" fillId="29" borderId="37" xfId="0" applyNumberFormat="1" applyFont="1" applyFill="1" applyBorder="1"/>
    <xf numFmtId="10" fontId="58" fillId="29" borderId="334" xfId="0" applyNumberFormat="1" applyFont="1" applyFill="1" applyBorder="1"/>
    <xf numFmtId="10" fontId="58" fillId="29" borderId="316" xfId="0" applyNumberFormat="1" applyFont="1" applyFill="1" applyBorder="1"/>
    <xf numFmtId="169" fontId="58" fillId="29" borderId="329" xfId="85" applyNumberFormat="1" applyFont="1" applyFill="1" applyBorder="1" applyAlignment="1">
      <alignment vertical="center"/>
    </xf>
    <xf numFmtId="169" fontId="58" fillId="29" borderId="77" xfId="85" applyNumberFormat="1" applyFont="1" applyFill="1" applyBorder="1" applyAlignment="1">
      <alignment vertical="center"/>
    </xf>
    <xf numFmtId="4" fontId="59" fillId="29" borderId="17" xfId="0" applyNumberFormat="1" applyFont="1" applyFill="1" applyBorder="1" applyAlignment="1">
      <alignment vertical="center"/>
    </xf>
    <xf numFmtId="169" fontId="58" fillId="29" borderId="38" xfId="85" applyNumberFormat="1" applyFont="1" applyFill="1" applyBorder="1" applyAlignment="1">
      <alignment vertical="center"/>
    </xf>
    <xf numFmtId="4" fontId="59" fillId="29" borderId="330" xfId="0" applyNumberFormat="1" applyFont="1" applyFill="1" applyBorder="1" applyAlignment="1">
      <alignment vertical="center"/>
    </xf>
    <xf numFmtId="4" fontId="59" fillId="29" borderId="332" xfId="0" applyNumberFormat="1" applyFont="1" applyFill="1" applyBorder="1" applyAlignment="1">
      <alignment vertical="center"/>
    </xf>
    <xf numFmtId="169" fontId="58" fillId="29" borderId="317" xfId="85" applyNumberFormat="1" applyFont="1" applyFill="1" applyBorder="1" applyAlignment="1">
      <alignment vertical="center"/>
    </xf>
    <xf numFmtId="10" fontId="58" fillId="29" borderId="17" xfId="0" applyNumberFormat="1" applyFont="1" applyFill="1" applyBorder="1"/>
    <xf numFmtId="169" fontId="58" fillId="29" borderId="18" xfId="85" applyNumberFormat="1" applyFont="1" applyFill="1" applyBorder="1" applyAlignment="1">
      <alignment vertical="center"/>
    </xf>
    <xf numFmtId="4" fontId="99" fillId="0" borderId="34" xfId="0" applyNumberFormat="1" applyFont="1" applyFill="1" applyBorder="1" applyAlignment="1">
      <alignment horizontal="center" vertical="center"/>
    </xf>
    <xf numFmtId="4" fontId="99" fillId="29" borderId="336" xfId="0" applyNumberFormat="1" applyFont="1" applyFill="1" applyBorder="1" applyAlignment="1">
      <alignment horizontal="center" vertical="center"/>
    </xf>
    <xf numFmtId="4" fontId="58" fillId="29" borderId="102" xfId="0" applyNumberFormat="1" applyFont="1" applyFill="1" applyBorder="1" applyAlignment="1">
      <alignment vertical="center"/>
    </xf>
    <xf numFmtId="4" fontId="59" fillId="29" borderId="193" xfId="0" applyNumberFormat="1" applyFont="1" applyFill="1" applyBorder="1" applyAlignment="1">
      <alignment vertical="center"/>
    </xf>
    <xf numFmtId="4" fontId="59" fillId="29" borderId="102" xfId="0" applyNumberFormat="1" applyFont="1" applyFill="1" applyBorder="1" applyAlignment="1">
      <alignment vertical="center"/>
    </xf>
    <xf numFmtId="169" fontId="58" fillId="29" borderId="106" xfId="85" applyNumberFormat="1" applyFont="1" applyFill="1" applyBorder="1" applyAlignment="1">
      <alignment vertical="center"/>
    </xf>
    <xf numFmtId="10" fontId="58" fillId="29" borderId="330" xfId="85" applyNumberFormat="1" applyFont="1" applyFill="1" applyBorder="1" applyAlignment="1">
      <alignment horizontal="center" vertical="center"/>
    </xf>
    <xf numFmtId="10" fontId="58" fillId="29" borderId="330" xfId="0" applyNumberFormat="1" applyFont="1" applyFill="1" applyBorder="1"/>
    <xf numFmtId="10" fontId="58" fillId="29" borderId="332" xfId="0" applyNumberFormat="1" applyFont="1" applyFill="1" applyBorder="1"/>
    <xf numFmtId="4" fontId="58" fillId="29" borderId="76" xfId="0" applyNumberFormat="1" applyFont="1" applyFill="1" applyBorder="1" applyAlignment="1">
      <alignment vertical="center"/>
    </xf>
    <xf numFmtId="4" fontId="59" fillId="29" borderId="96" xfId="0" applyNumberFormat="1" applyFont="1" applyFill="1" applyBorder="1" applyAlignment="1">
      <alignment vertical="center"/>
    </xf>
    <xf numFmtId="10" fontId="58" fillId="29" borderId="17" xfId="0" applyNumberFormat="1" applyFont="1" applyFill="1" applyBorder="1" applyAlignment="1">
      <alignment vertical="center"/>
    </xf>
    <xf numFmtId="10" fontId="58" fillId="29" borderId="330" xfId="0" applyNumberFormat="1" applyFont="1" applyFill="1" applyBorder="1" applyAlignment="1">
      <alignment vertical="center"/>
    </xf>
    <xf numFmtId="10" fontId="58" fillId="29" borderId="332" xfId="0" applyNumberFormat="1" applyFont="1" applyFill="1" applyBorder="1" applyAlignment="1">
      <alignment vertical="center"/>
    </xf>
    <xf numFmtId="4" fontId="99" fillId="29" borderId="102" xfId="0" applyNumberFormat="1" applyFont="1" applyFill="1" applyBorder="1" applyAlignment="1">
      <alignment vertical="center"/>
    </xf>
    <xf numFmtId="0" fontId="58" fillId="29" borderId="23" xfId="0" applyFont="1" applyFill="1" applyBorder="1" applyAlignment="1">
      <alignment horizontal="center" vertical="center" wrapText="1"/>
    </xf>
    <xf numFmtId="4" fontId="11" fillId="0" borderId="17" xfId="79" applyNumberFormat="1" applyFont="1" applyFill="1" applyBorder="1" applyAlignment="1">
      <alignment horizontal="center" vertical="center"/>
    </xf>
    <xf numFmtId="4" fontId="11" fillId="0" borderId="18" xfId="79" applyNumberFormat="1" applyFont="1" applyFill="1" applyBorder="1" applyAlignment="1">
      <alignment horizontal="center" vertical="center"/>
    </xf>
    <xf numFmtId="168" fontId="11" fillId="0" borderId="339" xfId="0" applyNumberFormat="1" applyFont="1" applyFill="1" applyBorder="1" applyAlignment="1">
      <alignment horizontal="right" vertical="center"/>
    </xf>
    <xf numFmtId="168" fontId="11" fillId="0" borderId="340" xfId="0" applyNumberFormat="1" applyFont="1" applyFill="1" applyBorder="1" applyAlignment="1">
      <alignment horizontal="right" vertical="center"/>
    </xf>
    <xf numFmtId="169" fontId="47" fillId="0" borderId="339" xfId="85" applyNumberFormat="1" applyFont="1" applyFill="1" applyBorder="1" applyAlignment="1">
      <alignment horizontal="center" vertical="center"/>
    </xf>
    <xf numFmtId="169" fontId="47" fillId="0" borderId="340" xfId="85" applyNumberFormat="1" applyFont="1" applyFill="1" applyBorder="1" applyAlignment="1">
      <alignment horizontal="center" vertical="center"/>
    </xf>
    <xf numFmtId="168" fontId="46" fillId="0" borderId="339" xfId="79" applyNumberFormat="1" applyFont="1" applyFill="1" applyBorder="1" applyAlignment="1">
      <alignment horizontal="center" vertical="center"/>
    </xf>
    <xf numFmtId="168" fontId="46" fillId="0" borderId="340" xfId="79" applyNumberFormat="1" applyFont="1" applyFill="1" applyBorder="1" applyAlignment="1">
      <alignment horizontal="center" vertical="center"/>
    </xf>
    <xf numFmtId="0" fontId="10" fillId="0" borderId="332" xfId="79" applyNumberFormat="1" applyFont="1" applyFill="1" applyBorder="1" applyAlignment="1">
      <alignment horizontal="center" vertical="center"/>
    </xf>
    <xf numFmtId="0" fontId="10" fillId="0" borderId="317" xfId="79" applyNumberFormat="1" applyFont="1" applyFill="1" applyBorder="1" applyAlignment="1">
      <alignment horizontal="center" vertical="center"/>
    </xf>
    <xf numFmtId="169" fontId="11" fillId="0" borderId="341" xfId="85" applyNumberFormat="1" applyFont="1" applyFill="1" applyBorder="1" applyAlignment="1">
      <alignment vertical="center"/>
    </xf>
    <xf numFmtId="0" fontId="11" fillId="0" borderId="312" xfId="79" applyFont="1" applyFill="1" applyBorder="1" applyAlignment="1">
      <alignment vertical="center"/>
    </xf>
    <xf numFmtId="168" fontId="49" fillId="0" borderId="342" xfId="79" applyNumberFormat="1" applyFont="1" applyFill="1" applyBorder="1" applyAlignment="1">
      <alignment horizontal="center" vertical="center"/>
    </xf>
    <xf numFmtId="168" fontId="49" fillId="0" borderId="343" xfId="79" applyNumberFormat="1" applyFont="1" applyFill="1" applyBorder="1" applyAlignment="1">
      <alignment horizontal="center" vertical="center"/>
    </xf>
    <xf numFmtId="169" fontId="11" fillId="0" borderId="343" xfId="85" applyNumberFormat="1" applyFont="1" applyFill="1" applyBorder="1" applyAlignment="1">
      <alignment vertical="center"/>
    </xf>
    <xf numFmtId="169" fontId="11" fillId="0" borderId="344" xfId="85" applyNumberFormat="1" applyFont="1" applyFill="1" applyBorder="1" applyAlignment="1">
      <alignment vertical="center"/>
    </xf>
    <xf numFmtId="2" fontId="11" fillId="0" borderId="76" xfId="79" applyNumberFormat="1" applyFont="1" applyFill="1" applyBorder="1" applyAlignment="1">
      <alignment vertical="center"/>
    </xf>
    <xf numFmtId="2" fontId="11" fillId="0" borderId="77" xfId="79" applyNumberFormat="1" applyFont="1" applyFill="1" applyBorder="1" applyAlignment="1">
      <alignment vertical="center"/>
    </xf>
    <xf numFmtId="169" fontId="47" fillId="29" borderId="195" xfId="85" applyNumberFormat="1" applyFont="1" applyFill="1" applyBorder="1" applyAlignment="1">
      <alignment horizontal="center" vertical="center"/>
    </xf>
    <xf numFmtId="167" fontId="46" fillId="29" borderId="195" xfId="79" applyNumberFormat="1" applyFont="1" applyFill="1" applyBorder="1" applyAlignment="1">
      <alignment horizontal="center" vertical="center"/>
    </xf>
    <xf numFmtId="168" fontId="46" fillId="29" borderId="195" xfId="79" applyNumberFormat="1" applyFont="1" applyFill="1" applyBorder="1" applyAlignment="1">
      <alignment horizontal="center" vertical="center"/>
    </xf>
    <xf numFmtId="169" fontId="11" fillId="29" borderId="38" xfId="85" applyNumberFormat="1" applyFont="1" applyFill="1" applyBorder="1" applyAlignment="1">
      <alignment vertical="center"/>
    </xf>
    <xf numFmtId="4" fontId="11" fillId="29" borderId="202" xfId="79" applyNumberFormat="1" applyFont="1" applyFill="1" applyBorder="1" applyAlignment="1">
      <alignment horizontal="center" vertical="center"/>
    </xf>
    <xf numFmtId="169" fontId="11" fillId="29" borderId="202" xfId="85" applyNumberFormat="1" applyFont="1" applyFill="1" applyBorder="1" applyAlignment="1">
      <alignment vertical="center"/>
    </xf>
    <xf numFmtId="169" fontId="11" fillId="29" borderId="196" xfId="85" applyNumberFormat="1" applyFont="1" applyFill="1" applyBorder="1" applyAlignment="1">
      <alignment vertical="center"/>
    </xf>
    <xf numFmtId="169" fontId="11" fillId="29" borderId="202" xfId="85" applyNumberFormat="1" applyFont="1" applyFill="1" applyBorder="1" applyAlignment="1">
      <alignment horizontal="center" vertical="center"/>
    </xf>
    <xf numFmtId="169" fontId="11" fillId="29" borderId="196" xfId="85" applyNumberFormat="1" applyFont="1" applyFill="1" applyBorder="1" applyAlignment="1">
      <alignment vertical="center" wrapText="1"/>
    </xf>
    <xf numFmtId="0" fontId="11" fillId="29" borderId="196" xfId="79" applyFont="1" applyFill="1" applyBorder="1" applyAlignment="1">
      <alignment wrapText="1"/>
    </xf>
    <xf numFmtId="168" fontId="49" fillId="29" borderId="316" xfId="79" applyNumberFormat="1" applyFont="1" applyFill="1" applyBorder="1" applyAlignment="1">
      <alignment horizontal="center" vertical="center"/>
    </xf>
    <xf numFmtId="168" fontId="49" fillId="29" borderId="332" xfId="79" applyNumberFormat="1" applyFont="1" applyFill="1" applyBorder="1" applyAlignment="1">
      <alignment horizontal="center" vertical="center"/>
    </xf>
    <xf numFmtId="169" fontId="11" fillId="29" borderId="317" xfId="85" applyNumberFormat="1" applyFont="1" applyFill="1" applyBorder="1" applyAlignment="1">
      <alignment vertical="center"/>
    </xf>
    <xf numFmtId="0" fontId="11" fillId="29" borderId="77" xfId="79" applyFont="1" applyFill="1" applyBorder="1" applyAlignment="1">
      <alignment vertical="center"/>
    </xf>
    <xf numFmtId="2" fontId="137" fillId="29" borderId="37" xfId="79" applyNumberFormat="1" applyFont="1" applyFill="1" applyBorder="1" applyAlignment="1">
      <alignment horizontal="center" vertical="center"/>
    </xf>
    <xf numFmtId="4" fontId="123" fillId="29" borderId="202" xfId="79" applyNumberFormat="1" applyFont="1" applyFill="1" applyBorder="1" applyAlignment="1">
      <alignment horizontal="center" vertical="center"/>
    </xf>
    <xf numFmtId="169" fontId="123" fillId="29" borderId="202" xfId="85" applyNumberFormat="1" applyFont="1" applyFill="1" applyBorder="1" applyAlignment="1">
      <alignment vertical="center"/>
    </xf>
    <xf numFmtId="169" fontId="81" fillId="29" borderId="102" xfId="0" applyNumberFormat="1" applyFont="1" applyFill="1" applyBorder="1" applyAlignment="1">
      <alignment horizontal="center" vertical="center" wrapText="1"/>
    </xf>
    <xf numFmtId="4" fontId="58" fillId="29" borderId="304" xfId="0" applyNumberFormat="1" applyFont="1" applyFill="1" applyBorder="1" applyAlignment="1">
      <alignment horizontal="right" vertical="center"/>
    </xf>
    <xf numFmtId="169" fontId="59" fillId="29" borderId="332" xfId="0" applyNumberFormat="1" applyFont="1" applyFill="1" applyBorder="1" applyAlignment="1">
      <alignment horizontal="center" vertical="center" wrapText="1"/>
    </xf>
    <xf numFmtId="4" fontId="58" fillId="29" borderId="202" xfId="0" applyNumberFormat="1" applyFont="1" applyFill="1" applyBorder="1"/>
    <xf numFmtId="4" fontId="15" fillId="29" borderId="202" xfId="0" applyNumberFormat="1" applyFont="1" applyFill="1" applyBorder="1"/>
    <xf numFmtId="4" fontId="58" fillId="29" borderId="196" xfId="0" applyNumberFormat="1" applyFont="1" applyFill="1" applyBorder="1"/>
    <xf numFmtId="4" fontId="15" fillId="29" borderId="196" xfId="0" applyNumberFormat="1" applyFont="1" applyFill="1" applyBorder="1"/>
    <xf numFmtId="0" fontId="58" fillId="29" borderId="212" xfId="0" applyFont="1" applyFill="1" applyBorder="1" applyAlignment="1">
      <alignment horizontal="center" vertical="center" wrapText="1"/>
    </xf>
    <xf numFmtId="0" fontId="58" fillId="29" borderId="217" xfId="0" applyFont="1" applyFill="1" applyBorder="1" applyAlignment="1">
      <alignment horizontal="center" vertical="center" wrapText="1"/>
    </xf>
    <xf numFmtId="4" fontId="58" fillId="29" borderId="195" xfId="0" applyNumberFormat="1" applyFont="1" applyFill="1" applyBorder="1"/>
    <xf numFmtId="4" fontId="15" fillId="29" borderId="195" xfId="0" applyNumberFormat="1" applyFont="1" applyFill="1" applyBorder="1"/>
    <xf numFmtId="2" fontId="15" fillId="29" borderId="195" xfId="0" applyNumberFormat="1" applyFont="1" applyFill="1" applyBorder="1"/>
    <xf numFmtId="2" fontId="15" fillId="29" borderId="202" xfId="0" applyNumberFormat="1" applyFont="1" applyFill="1" applyBorder="1"/>
    <xf numFmtId="2" fontId="15" fillId="29" borderId="196" xfId="0" applyNumberFormat="1" applyFont="1" applyFill="1" applyBorder="1"/>
    <xf numFmtId="2" fontId="46" fillId="39" borderId="242" xfId="96" applyNumberFormat="1" applyFont="1" applyFill="1" applyBorder="1" applyAlignment="1">
      <alignment horizontal="right"/>
    </xf>
    <xf numFmtId="167" fontId="46" fillId="39" borderId="242" xfId="96" applyNumberFormat="1" applyFont="1" applyFill="1" applyBorder="1"/>
    <xf numFmtId="1" fontId="46" fillId="39" borderId="242" xfId="96" applyNumberFormat="1" applyFont="1" applyFill="1" applyBorder="1"/>
    <xf numFmtId="4" fontId="138" fillId="36" borderId="242" xfId="96" applyNumberFormat="1" applyFont="1" applyFill="1" applyBorder="1" applyAlignment="1">
      <alignment horizontal="center" vertical="center" wrapText="1"/>
    </xf>
    <xf numFmtId="4" fontId="139" fillId="36" borderId="249" xfId="96" applyNumberFormat="1" applyFont="1" applyFill="1" applyBorder="1" applyAlignment="1">
      <alignment horizontal="center" vertical="center" wrapText="1"/>
    </xf>
    <xf numFmtId="4" fontId="10" fillId="29" borderId="0" xfId="79" applyNumberFormat="1" applyFont="1" applyFill="1" applyAlignment="1">
      <alignment vertical="center"/>
    </xf>
    <xf numFmtId="169" fontId="59" fillId="29" borderId="17" xfId="85" applyNumberFormat="1" applyFont="1" applyFill="1" applyBorder="1" applyAlignment="1">
      <alignment horizontal="center" vertical="center"/>
    </xf>
    <xf numFmtId="169" fontId="59" fillId="29" borderId="346" xfId="85" applyNumberFormat="1" applyFont="1" applyFill="1" applyBorder="1" applyAlignment="1">
      <alignment horizontal="center" vertical="center"/>
    </xf>
    <xf numFmtId="169" fontId="59" fillId="29" borderId="332" xfId="85" applyNumberFormat="1" applyFont="1" applyFill="1" applyBorder="1" applyAlignment="1">
      <alignment horizontal="center" vertical="center"/>
    </xf>
    <xf numFmtId="169" fontId="59" fillId="29" borderId="345" xfId="85" applyNumberFormat="1" applyFont="1" applyFill="1" applyBorder="1" applyAlignment="1">
      <alignment horizontal="center" vertical="center"/>
    </xf>
    <xf numFmtId="10" fontId="59" fillId="29" borderId="346" xfId="85" applyNumberFormat="1" applyFont="1" applyFill="1" applyBorder="1" applyAlignment="1">
      <alignment horizontal="center" vertical="center"/>
    </xf>
    <xf numFmtId="169" fontId="81" fillId="0" borderId="345" xfId="85" applyNumberFormat="1" applyFont="1" applyFill="1" applyBorder="1" applyAlignment="1">
      <alignment horizontal="center" vertical="center"/>
    </xf>
    <xf numFmtId="4" fontId="15" fillId="0" borderId="346" xfId="0" applyNumberFormat="1" applyFont="1" applyFill="1" applyBorder="1" applyAlignment="1">
      <alignment horizontal="center" vertical="center"/>
    </xf>
    <xf numFmtId="0" fontId="58" fillId="29" borderId="23" xfId="0" applyFont="1" applyFill="1" applyBorder="1" applyAlignment="1">
      <alignment horizontal="center" vertical="center" wrapText="1"/>
    </xf>
    <xf numFmtId="169" fontId="59" fillId="29" borderId="349" xfId="85" applyNumberFormat="1" applyFont="1" applyFill="1" applyBorder="1" applyAlignment="1">
      <alignment horizontal="center" vertical="center"/>
    </xf>
    <xf numFmtId="169" fontId="59" fillId="29" borderId="348" xfId="85" applyNumberFormat="1" applyFont="1" applyFill="1" applyBorder="1" applyAlignment="1">
      <alignment horizontal="center" vertical="center"/>
    </xf>
    <xf numFmtId="169" fontId="59" fillId="29" borderId="350" xfId="85" applyNumberFormat="1" applyFont="1" applyFill="1" applyBorder="1" applyAlignment="1">
      <alignment horizontal="center" vertical="center"/>
    </xf>
    <xf numFmtId="0" fontId="15" fillId="0" borderId="347" xfId="0" applyFont="1" applyFill="1" applyBorder="1" applyAlignment="1">
      <alignment vertical="center" wrapText="1"/>
    </xf>
    <xf numFmtId="0" fontId="15" fillId="0" borderId="351" xfId="0" applyFont="1" applyFill="1" applyBorder="1" applyAlignment="1">
      <alignment horizontal="center" vertical="center"/>
    </xf>
    <xf numFmtId="167" fontId="15" fillId="0" borderId="349" xfId="0" applyNumberFormat="1" applyFont="1" applyFill="1" applyBorder="1" applyAlignment="1">
      <alignment horizontal="center" vertical="center"/>
    </xf>
    <xf numFmtId="167" fontId="59" fillId="0" borderId="349" xfId="0" applyNumberFormat="1" applyFont="1" applyFill="1" applyBorder="1" applyAlignment="1">
      <alignment horizontal="center" vertical="center"/>
    </xf>
    <xf numFmtId="4" fontId="15" fillId="0" borderId="349" xfId="0" applyNumberFormat="1" applyFont="1" applyFill="1" applyBorder="1" applyAlignment="1">
      <alignment horizontal="center" vertical="center"/>
    </xf>
    <xf numFmtId="4" fontId="15" fillId="0" borderId="352" xfId="0" applyNumberFormat="1" applyFont="1" applyFill="1" applyBorder="1" applyAlignment="1">
      <alignment horizontal="center" vertical="center"/>
    </xf>
    <xf numFmtId="4" fontId="15" fillId="0" borderId="347" xfId="0" applyNumberFormat="1" applyFont="1" applyFill="1" applyBorder="1" applyAlignment="1">
      <alignment horizontal="center" vertical="center"/>
    </xf>
    <xf numFmtId="4" fontId="15" fillId="0" borderId="353" xfId="0" applyNumberFormat="1" applyFont="1" applyFill="1" applyBorder="1" applyAlignment="1">
      <alignment horizontal="center" vertical="center"/>
    </xf>
    <xf numFmtId="4" fontId="15" fillId="0" borderId="348" xfId="0" applyNumberFormat="1" applyFont="1" applyFill="1" applyBorder="1" applyAlignment="1">
      <alignment horizontal="center" vertical="center"/>
    </xf>
    <xf numFmtId="4" fontId="15" fillId="0" borderId="350" xfId="0" applyNumberFormat="1" applyFont="1" applyFill="1" applyBorder="1" applyAlignment="1">
      <alignment horizontal="center" vertical="center"/>
    </xf>
    <xf numFmtId="4" fontId="15" fillId="0" borderId="351" xfId="0" applyNumberFormat="1" applyFont="1" applyFill="1" applyBorder="1" applyAlignment="1">
      <alignment horizontal="center" vertical="center"/>
    </xf>
    <xf numFmtId="4" fontId="81" fillId="0" borderId="349" xfId="0" applyNumberFormat="1" applyFont="1" applyFill="1" applyBorder="1" applyAlignment="1">
      <alignment horizontal="center" vertical="center"/>
    </xf>
    <xf numFmtId="169" fontId="81" fillId="0" borderId="352" xfId="85" applyNumberFormat="1" applyFont="1" applyFill="1" applyBorder="1" applyAlignment="1">
      <alignment horizontal="center" vertical="center"/>
    </xf>
    <xf numFmtId="0" fontId="11" fillId="0" borderId="354" xfId="0" applyFont="1" applyFill="1" applyBorder="1" applyAlignment="1">
      <alignment vertical="center"/>
    </xf>
    <xf numFmtId="4" fontId="15" fillId="29" borderId="348" xfId="0" applyNumberFormat="1" applyFont="1" applyFill="1" applyBorder="1" applyAlignment="1">
      <alignment horizontal="center" vertical="center"/>
    </xf>
    <xf numFmtId="169" fontId="59" fillId="29" borderId="349" xfId="0" applyNumberFormat="1" applyFont="1" applyFill="1" applyBorder="1" applyAlignment="1">
      <alignment horizontal="center" vertical="center"/>
    </xf>
    <xf numFmtId="4" fontId="15" fillId="29" borderId="349" xfId="0" applyNumberFormat="1" applyFont="1" applyFill="1" applyBorder="1" applyAlignment="1">
      <alignment horizontal="center" vertical="center"/>
    </xf>
    <xf numFmtId="4" fontId="15" fillId="29" borderId="350" xfId="0" applyNumberFormat="1" applyFont="1" applyFill="1" applyBorder="1" applyAlignment="1">
      <alignment horizontal="center" vertical="center"/>
    </xf>
    <xf numFmtId="169" fontId="59" fillId="29" borderId="352" xfId="85" applyNumberFormat="1" applyFont="1" applyFill="1" applyBorder="1" applyAlignment="1">
      <alignment horizontal="center" vertical="center"/>
    </xf>
    <xf numFmtId="4" fontId="15" fillId="0" borderId="355" xfId="0" applyNumberFormat="1" applyFont="1" applyBorder="1"/>
    <xf numFmtId="4" fontId="15" fillId="0" borderId="356" xfId="0" applyNumberFormat="1" applyFont="1" applyBorder="1"/>
    <xf numFmtId="4" fontId="15" fillId="0" borderId="357" xfId="0" applyNumberFormat="1" applyFont="1" applyBorder="1"/>
    <xf numFmtId="4" fontId="15" fillId="0" borderId="358" xfId="0" applyNumberFormat="1" applyFont="1" applyBorder="1"/>
    <xf numFmtId="169" fontId="15" fillId="0" borderId="357" xfId="0" applyNumberFormat="1" applyFont="1" applyFill="1" applyBorder="1" applyAlignment="1">
      <alignment horizontal="center" vertical="center"/>
    </xf>
    <xf numFmtId="169" fontId="81" fillId="0" borderId="357" xfId="0" applyNumberFormat="1" applyFont="1" applyFill="1" applyBorder="1" applyAlignment="1">
      <alignment horizontal="center" vertical="center"/>
    </xf>
    <xf numFmtId="0" fontId="0" fillId="0" borderId="355" xfId="0" applyFont="1" applyFill="1" applyBorder="1"/>
    <xf numFmtId="4" fontId="15" fillId="29" borderId="356" xfId="0" applyNumberFormat="1" applyFont="1" applyFill="1" applyBorder="1"/>
    <xf numFmtId="169" fontId="59" fillId="29" borderId="357" xfId="0" applyNumberFormat="1" applyFont="1" applyFill="1" applyBorder="1" applyAlignment="1">
      <alignment horizontal="center" vertical="center"/>
    </xf>
    <xf numFmtId="4" fontId="15" fillId="29" borderId="357" xfId="0" applyNumberFormat="1" applyFont="1" applyFill="1" applyBorder="1"/>
    <xf numFmtId="4" fontId="15" fillId="29" borderId="358" xfId="0" applyNumberFormat="1" applyFont="1" applyFill="1" applyBorder="1"/>
    <xf numFmtId="4" fontId="58" fillId="29" borderId="184" xfId="0" applyNumberFormat="1" applyFont="1" applyFill="1" applyBorder="1"/>
    <xf numFmtId="4" fontId="15" fillId="29" borderId="346" xfId="0" applyNumberFormat="1" applyFont="1" applyFill="1" applyBorder="1" applyAlignment="1">
      <alignment horizontal="center" vertical="center"/>
    </xf>
    <xf numFmtId="0" fontId="82" fillId="29" borderId="359" xfId="96" applyFont="1" applyFill="1" applyBorder="1" applyAlignment="1">
      <alignment horizontal="center" vertical="center"/>
    </xf>
    <xf numFmtId="0" fontId="82" fillId="29" borderId="359" xfId="96" applyFont="1" applyFill="1" applyBorder="1" applyAlignment="1">
      <alignment horizontal="left" vertical="center" wrapText="1"/>
    </xf>
    <xf numFmtId="4" fontId="82" fillId="29" borderId="359" xfId="96" applyNumberFormat="1" applyFont="1" applyFill="1" applyBorder="1" applyAlignment="1">
      <alignment horizontal="center" vertical="center" wrapText="1"/>
    </xf>
    <xf numFmtId="49" fontId="82" fillId="29" borderId="359" xfId="96" applyNumberFormat="1" applyFont="1" applyFill="1" applyBorder="1" applyAlignment="1">
      <alignment horizontal="left" vertical="center" wrapText="1"/>
    </xf>
    <xf numFmtId="0" fontId="46" fillId="39" borderId="324" xfId="96" applyFont="1" applyFill="1" applyBorder="1" applyAlignment="1">
      <alignment horizontal="center" vertical="center"/>
    </xf>
    <xf numFmtId="4" fontId="82" fillId="29" borderId="359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/>
    <xf numFmtId="0" fontId="15" fillId="0" borderId="0" xfId="0" applyFont="1" applyAlignment="1">
      <alignment horizontal="center"/>
    </xf>
    <xf numFmtId="0" fontId="0" fillId="0" borderId="0" xfId="0" applyAlignment="1"/>
    <xf numFmtId="0" fontId="58" fillId="0" borderId="343" xfId="0" applyFont="1" applyBorder="1" applyAlignment="1">
      <alignment horizontal="center" vertical="center"/>
    </xf>
    <xf numFmtId="0" fontId="58" fillId="0" borderId="343" xfId="0" applyFont="1" applyFill="1" applyBorder="1" applyAlignment="1">
      <alignment horizontal="center" vertical="center"/>
    </xf>
    <xf numFmtId="0" fontId="58" fillId="30" borderId="343" xfId="0" applyFont="1" applyFill="1" applyBorder="1" applyAlignment="1">
      <alignment horizontal="center" vertical="center"/>
    </xf>
    <xf numFmtId="0" fontId="58" fillId="30" borderId="344" xfId="0" applyFont="1" applyFill="1" applyBorder="1" applyAlignment="1">
      <alignment horizontal="center" vertical="center"/>
    </xf>
    <xf numFmtId="166" fontId="58" fillId="0" borderId="359" xfId="0" applyNumberFormat="1" applyFont="1" applyBorder="1"/>
    <xf numFmtId="166" fontId="58" fillId="30" borderId="359" xfId="0" applyNumberFormat="1" applyFont="1" applyFill="1" applyBorder="1"/>
    <xf numFmtId="166" fontId="58" fillId="30" borderId="358" xfId="0" applyNumberFormat="1" applyFont="1" applyFill="1" applyBorder="1"/>
    <xf numFmtId="2" fontId="58" fillId="0" borderId="359" xfId="0" applyNumberFormat="1" applyFont="1" applyFill="1" applyBorder="1"/>
    <xf numFmtId="2" fontId="58" fillId="30" borderId="359" xfId="0" applyNumberFormat="1" applyFont="1" applyFill="1" applyBorder="1"/>
    <xf numFmtId="2" fontId="58" fillId="30" borderId="358" xfId="0" applyNumberFormat="1" applyFont="1" applyFill="1" applyBorder="1"/>
    <xf numFmtId="2" fontId="58" fillId="30" borderId="343" xfId="0" applyNumberFormat="1" applyFont="1" applyFill="1" applyBorder="1"/>
    <xf numFmtId="166" fontId="58" fillId="29" borderId="359" xfId="0" applyNumberFormat="1" applyFont="1" applyFill="1" applyBorder="1"/>
    <xf numFmtId="166" fontId="58" fillId="29" borderId="358" xfId="0" applyNumberFormat="1" applyFont="1" applyFill="1" applyBorder="1"/>
    <xf numFmtId="2" fontId="58" fillId="29" borderId="343" xfId="0" applyNumberFormat="1" applyFont="1" applyFill="1" applyBorder="1"/>
    <xf numFmtId="2" fontId="58" fillId="29" borderId="344" xfId="0" applyNumberFormat="1" applyFont="1" applyFill="1" applyBorder="1"/>
    <xf numFmtId="2" fontId="58" fillId="29" borderId="332" xfId="0" applyNumberFormat="1" applyFont="1" applyFill="1" applyBorder="1"/>
    <xf numFmtId="2" fontId="58" fillId="29" borderId="317" xfId="0" applyNumberFormat="1" applyFont="1" applyFill="1" applyBorder="1"/>
    <xf numFmtId="2" fontId="58" fillId="30" borderId="344" xfId="0" applyNumberFormat="1" applyFont="1" applyFill="1" applyBorder="1"/>
    <xf numFmtId="0" fontId="14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/>
    </xf>
    <xf numFmtId="2" fontId="58" fillId="0" borderId="0" xfId="0" applyNumberFormat="1" applyFont="1" applyFill="1" applyBorder="1" applyAlignment="1">
      <alignment vertical="center"/>
    </xf>
    <xf numFmtId="2" fontId="58" fillId="0" borderId="359" xfId="0" applyNumberFormat="1" applyFont="1" applyBorder="1"/>
    <xf numFmtId="0" fontId="56" fillId="0" borderId="0" xfId="0" applyFont="1"/>
    <xf numFmtId="0" fontId="88" fillId="0" borderId="0" xfId="0" applyFont="1"/>
    <xf numFmtId="185" fontId="0" fillId="0" borderId="0" xfId="0" applyNumberFormat="1"/>
    <xf numFmtId="185" fontId="91" fillId="43" borderId="0" xfId="0" applyNumberFormat="1" applyFont="1" applyFill="1"/>
    <xf numFmtId="0" fontId="91" fillId="43" borderId="0" xfId="0" applyFont="1" applyFill="1"/>
    <xf numFmtId="0" fontId="91" fillId="0" borderId="0" xfId="0" applyFont="1" applyFill="1"/>
    <xf numFmtId="0" fontId="0" fillId="31" borderId="0" xfId="0" applyFont="1" applyFill="1"/>
    <xf numFmtId="0" fontId="58" fillId="44" borderId="360" xfId="0" applyFont="1" applyFill="1" applyBorder="1" applyAlignment="1">
      <alignment horizontal="center" wrapText="1"/>
    </xf>
    <xf numFmtId="0" fontId="15" fillId="0" borderId="360" xfId="0" applyFont="1" applyBorder="1" applyAlignment="1">
      <alignment vertical="center" wrapText="1"/>
    </xf>
    <xf numFmtId="0" fontId="58" fillId="0" borderId="360" xfId="0" applyFont="1" applyBorder="1"/>
    <xf numFmtId="4" fontId="15" fillId="44" borderId="360" xfId="0" applyNumberFormat="1" applyFont="1" applyFill="1" applyBorder="1"/>
    <xf numFmtId="167" fontId="15" fillId="31" borderId="0" xfId="0" applyNumberFormat="1" applyFont="1" applyFill="1" applyBorder="1"/>
    <xf numFmtId="0" fontId="58" fillId="0" borderId="360" xfId="0" applyFont="1" applyBorder="1" applyAlignment="1">
      <alignment vertical="center" wrapText="1"/>
    </xf>
    <xf numFmtId="4" fontId="58" fillId="44" borderId="360" xfId="0" applyNumberFormat="1" applyFont="1" applyFill="1" applyBorder="1"/>
    <xf numFmtId="4" fontId="58" fillId="0" borderId="360" xfId="0" applyNumberFormat="1" applyFont="1" applyBorder="1"/>
    <xf numFmtId="167" fontId="58" fillId="31" borderId="0" xfId="0" applyNumberFormat="1" applyFont="1" applyFill="1" applyBorder="1"/>
    <xf numFmtId="0" fontId="59" fillId="0" borderId="360" xfId="0" applyFont="1" applyBorder="1" applyAlignment="1">
      <alignment vertical="center" wrapText="1"/>
    </xf>
    <xf numFmtId="4" fontId="59" fillId="44" borderId="360" xfId="0" applyNumberFormat="1" applyFont="1" applyFill="1" applyBorder="1"/>
    <xf numFmtId="10" fontId="59" fillId="44" borderId="360" xfId="0" applyNumberFormat="1" applyFont="1" applyFill="1" applyBorder="1"/>
    <xf numFmtId="10" fontId="59" fillId="0" borderId="360" xfId="0" applyNumberFormat="1" applyFont="1" applyBorder="1"/>
    <xf numFmtId="2" fontId="15" fillId="44" borderId="360" xfId="0" applyNumberFormat="1" applyFont="1" applyFill="1" applyBorder="1"/>
    <xf numFmtId="2" fontId="58" fillId="0" borderId="360" xfId="0" applyNumberFormat="1" applyFont="1" applyFill="1" applyBorder="1"/>
    <xf numFmtId="2" fontId="58" fillId="44" borderId="360" xfId="0" applyNumberFormat="1" applyFont="1" applyFill="1" applyBorder="1"/>
    <xf numFmtId="4" fontId="15" fillId="0" borderId="360" xfId="0" applyNumberFormat="1" applyFont="1" applyFill="1" applyBorder="1"/>
    <xf numFmtId="2" fontId="58" fillId="0" borderId="360" xfId="0" applyNumberFormat="1" applyFont="1" applyBorder="1"/>
    <xf numFmtId="2" fontId="59" fillId="0" borderId="360" xfId="0" applyNumberFormat="1" applyFont="1" applyBorder="1"/>
    <xf numFmtId="2" fontId="59" fillId="44" borderId="360" xfId="0" applyNumberFormat="1" applyFont="1" applyFill="1" applyBorder="1"/>
    <xf numFmtId="167" fontId="15" fillId="0" borderId="360" xfId="0" applyNumberFormat="1" applyFont="1" applyBorder="1"/>
    <xf numFmtId="0" fontId="58" fillId="0" borderId="361" xfId="0" applyFont="1" applyBorder="1" applyAlignment="1">
      <alignment vertical="center" wrapText="1"/>
    </xf>
    <xf numFmtId="0" fontId="59" fillId="0" borderId="361" xfId="0" applyFont="1" applyBorder="1" applyAlignment="1">
      <alignment vertical="center" wrapText="1"/>
    </xf>
    <xf numFmtId="0" fontId="15" fillId="0" borderId="361" xfId="0" applyFont="1" applyBorder="1" applyAlignment="1">
      <alignment vertical="center" wrapText="1"/>
    </xf>
    <xf numFmtId="2" fontId="15" fillId="0" borderId="360" xfId="0" applyNumberFormat="1" applyFont="1" applyBorder="1"/>
    <xf numFmtId="2" fontId="15" fillId="31" borderId="66" xfId="0" applyNumberFormat="1" applyFont="1" applyFill="1" applyBorder="1"/>
    <xf numFmtId="2" fontId="59" fillId="31" borderId="0" xfId="0" applyNumberFormat="1" applyFont="1" applyFill="1" applyBorder="1"/>
    <xf numFmtId="0" fontId="15" fillId="0" borderId="360" xfId="0" applyFont="1" applyBorder="1" applyAlignment="1">
      <alignment horizontal="left" vertical="center"/>
    </xf>
    <xf numFmtId="167" fontId="15" fillId="31" borderId="0" xfId="0" applyNumberFormat="1" applyFont="1" applyFill="1"/>
    <xf numFmtId="0" fontId="58" fillId="0" borderId="360" xfId="0" applyFont="1" applyBorder="1" applyAlignment="1">
      <alignment vertical="center"/>
    </xf>
    <xf numFmtId="167" fontId="58" fillId="31" borderId="0" xfId="0" applyNumberFormat="1" applyFont="1" applyFill="1"/>
    <xf numFmtId="0" fontId="59" fillId="0" borderId="360" xfId="0" applyFont="1" applyBorder="1" applyAlignment="1">
      <alignment vertical="center"/>
    </xf>
    <xf numFmtId="10" fontId="58" fillId="31" borderId="0" xfId="0" applyNumberFormat="1" applyFont="1" applyFill="1"/>
    <xf numFmtId="0" fontId="15" fillId="0" borderId="360" xfId="0" applyFont="1" applyBorder="1" applyAlignment="1">
      <alignment vertical="center"/>
    </xf>
    <xf numFmtId="0" fontId="58" fillId="0" borderId="360" xfId="0" applyFont="1" applyFill="1" applyBorder="1" applyAlignment="1">
      <alignment vertical="center"/>
    </xf>
    <xf numFmtId="4" fontId="58" fillId="0" borderId="360" xfId="0" applyNumberFormat="1" applyFont="1" applyFill="1" applyBorder="1"/>
    <xf numFmtId="0" fontId="59" fillId="0" borderId="360" xfId="0" applyFont="1" applyFill="1" applyBorder="1" applyAlignment="1">
      <alignment vertical="center"/>
    </xf>
    <xf numFmtId="4" fontId="59" fillId="0" borderId="360" xfId="0" applyNumberFormat="1" applyFont="1" applyFill="1" applyBorder="1"/>
    <xf numFmtId="0" fontId="15" fillId="0" borderId="360" xfId="0" applyFont="1" applyBorder="1"/>
    <xf numFmtId="2" fontId="15" fillId="0" borderId="360" xfId="0" applyNumberFormat="1" applyFont="1" applyFill="1" applyBorder="1"/>
    <xf numFmtId="10" fontId="59" fillId="0" borderId="360" xfId="0" applyNumberFormat="1" applyFont="1" applyFill="1" applyBorder="1"/>
    <xf numFmtId="0" fontId="15" fillId="0" borderId="360" xfId="0" applyFont="1" applyFill="1" applyBorder="1"/>
    <xf numFmtId="0" fontId="59" fillId="0" borderId="360" xfId="0" applyFont="1" applyBorder="1"/>
    <xf numFmtId="4" fontId="15" fillId="44" borderId="360" xfId="0" applyNumberFormat="1" applyFont="1" applyFill="1" applyBorder="1" applyAlignment="1">
      <alignment vertical="center"/>
    </xf>
    <xf numFmtId="2" fontId="15" fillId="0" borderId="360" xfId="0" applyNumberFormat="1" applyFont="1" applyBorder="1" applyAlignment="1">
      <alignment vertical="center"/>
    </xf>
    <xf numFmtId="2" fontId="15" fillId="44" borderId="360" xfId="0" applyNumberFormat="1" applyFont="1" applyFill="1" applyBorder="1" applyAlignment="1">
      <alignment vertical="center"/>
    </xf>
    <xf numFmtId="167" fontId="15" fillId="31" borderId="0" xfId="0" applyNumberFormat="1" applyFont="1" applyFill="1" applyAlignment="1">
      <alignment vertical="center"/>
    </xf>
    <xf numFmtId="0" fontId="15" fillId="0" borderId="360" xfId="0" applyFont="1" applyFill="1" applyBorder="1" applyAlignment="1">
      <alignment vertical="center"/>
    </xf>
    <xf numFmtId="167" fontId="15" fillId="0" borderId="360" xfId="0" applyNumberFormat="1" applyFont="1" applyFill="1" applyBorder="1"/>
    <xf numFmtId="2" fontId="15" fillId="31" borderId="0" xfId="0" applyNumberFormat="1" applyFont="1" applyFill="1"/>
    <xf numFmtId="0" fontId="15" fillId="0" borderId="360" xfId="0" applyFont="1" applyFill="1" applyBorder="1" applyAlignment="1">
      <alignment vertical="center" wrapText="1"/>
    </xf>
    <xf numFmtId="0" fontId="0" fillId="31" borderId="0" xfId="0" applyFill="1"/>
    <xf numFmtId="4" fontId="58" fillId="31" borderId="0" xfId="0" applyNumberFormat="1" applyFont="1" applyFill="1"/>
    <xf numFmtId="0" fontId="58" fillId="31" borderId="0" xfId="0" applyFont="1" applyFill="1"/>
    <xf numFmtId="2" fontId="15" fillId="31" borderId="0" xfId="0" applyNumberFormat="1" applyFont="1" applyFill="1" applyBorder="1"/>
    <xf numFmtId="167" fontId="58" fillId="31" borderId="66" xfId="0" applyNumberFormat="1" applyFont="1" applyFill="1" applyBorder="1"/>
    <xf numFmtId="10" fontId="58" fillId="31" borderId="61" xfId="0" applyNumberFormat="1" applyFont="1" applyFill="1" applyBorder="1"/>
    <xf numFmtId="4" fontId="58" fillId="44" borderId="360" xfId="0" applyNumberFormat="1" applyFont="1" applyFill="1" applyBorder="1" applyAlignment="1">
      <alignment vertical="center"/>
    </xf>
    <xf numFmtId="4" fontId="58" fillId="0" borderId="360" xfId="0" applyNumberFormat="1" applyFont="1" applyFill="1" applyBorder="1" applyAlignment="1">
      <alignment vertical="center"/>
    </xf>
    <xf numFmtId="167" fontId="15" fillId="31" borderId="66" xfId="0" applyNumberFormat="1" applyFont="1" applyFill="1" applyBorder="1"/>
    <xf numFmtId="4" fontId="15" fillId="31" borderId="61" xfId="0" applyNumberFormat="1" applyFont="1" applyFill="1" applyBorder="1"/>
    <xf numFmtId="2" fontId="15" fillId="31" borderId="61" xfId="0" applyNumberFormat="1" applyFont="1" applyFill="1" applyBorder="1"/>
    <xf numFmtId="10" fontId="58" fillId="44" borderId="360" xfId="0" applyNumberFormat="1" applyFont="1" applyFill="1" applyBorder="1"/>
    <xf numFmtId="10" fontId="58" fillId="0" borderId="360" xfId="0" applyNumberFormat="1" applyFont="1" applyFill="1" applyBorder="1"/>
    <xf numFmtId="0" fontId="58" fillId="44" borderId="360" xfId="0" applyFont="1" applyFill="1" applyBorder="1" applyAlignment="1">
      <alignment horizontal="center" vertical="center" wrapText="1"/>
    </xf>
    <xf numFmtId="0" fontId="58" fillId="0" borderId="360" xfId="0" applyFont="1" applyFill="1" applyBorder="1" applyAlignment="1">
      <alignment vertical="center" wrapText="1"/>
    </xf>
    <xf numFmtId="0" fontId="59" fillId="0" borderId="360" xfId="0" applyFont="1" applyFill="1" applyBorder="1" applyAlignment="1">
      <alignment vertical="center" wrapText="1"/>
    </xf>
    <xf numFmtId="0" fontId="59" fillId="0" borderId="364" xfId="0" applyFont="1" applyFill="1" applyBorder="1" applyAlignment="1">
      <alignment vertical="center"/>
    </xf>
    <xf numFmtId="4" fontId="59" fillId="44" borderId="360" xfId="0" applyNumberFormat="1" applyFont="1" applyFill="1" applyBorder="1" applyAlignment="1">
      <alignment vertical="center"/>
    </xf>
    <xf numFmtId="167" fontId="58" fillId="31" borderId="0" xfId="0" applyNumberFormat="1" applyFont="1" applyFill="1" applyAlignment="1">
      <alignment vertical="center"/>
    </xf>
    <xf numFmtId="167" fontId="15" fillId="31" borderId="66" xfId="0" applyNumberFormat="1" applyFont="1" applyFill="1" applyBorder="1" applyAlignment="1">
      <alignment vertical="center"/>
    </xf>
    <xf numFmtId="10" fontId="58" fillId="31" borderId="66" xfId="0" applyNumberFormat="1" applyFont="1" applyFill="1" applyBorder="1"/>
    <xf numFmtId="4" fontId="59" fillId="0" borderId="360" xfId="0" applyNumberFormat="1" applyFont="1" applyFill="1" applyBorder="1" applyAlignment="1">
      <alignment vertical="center"/>
    </xf>
    <xf numFmtId="167" fontId="58" fillId="31" borderId="66" xfId="0" applyNumberFormat="1" applyFont="1" applyFill="1" applyBorder="1" applyAlignment="1">
      <alignment vertical="center"/>
    </xf>
    <xf numFmtId="4" fontId="58" fillId="31" borderId="66" xfId="0" applyNumberFormat="1" applyFont="1" applyFill="1" applyBorder="1"/>
    <xf numFmtId="2" fontId="58" fillId="31" borderId="66" xfId="0" applyNumberFormat="1" applyFont="1" applyFill="1" applyBorder="1"/>
    <xf numFmtId="2" fontId="58" fillId="31" borderId="0" xfId="0" applyNumberFormat="1" applyFont="1" applyFill="1" applyBorder="1"/>
    <xf numFmtId="2" fontId="0" fillId="0" borderId="0" xfId="0" applyNumberFormat="1" applyFill="1" applyBorder="1" applyAlignment="1"/>
    <xf numFmtId="166" fontId="0" fillId="0" borderId="0" xfId="0" applyNumberFormat="1" applyFill="1" applyBorder="1" applyAlignment="1"/>
    <xf numFmtId="165" fontId="0" fillId="0" borderId="0" xfId="0" applyNumberFormat="1" applyFill="1" applyBorder="1" applyAlignment="1"/>
    <xf numFmtId="184" fontId="17" fillId="0" borderId="0" xfId="0" applyNumberFormat="1" applyFont="1" applyFill="1" applyBorder="1"/>
    <xf numFmtId="2" fontId="0" fillId="0" borderId="0" xfId="0" applyNumberFormat="1" applyFont="1" applyFill="1" applyBorder="1"/>
    <xf numFmtId="0" fontId="58" fillId="0" borderId="0" xfId="0" applyFont="1" applyFill="1" applyBorder="1"/>
    <xf numFmtId="0" fontId="58" fillId="0" borderId="0" xfId="0" applyFont="1" applyFill="1" applyBorder="1" applyAlignment="1"/>
    <xf numFmtId="2" fontId="58" fillId="0" borderId="0" xfId="0" applyNumberFormat="1" applyFont="1" applyFill="1" applyBorder="1"/>
    <xf numFmtId="2" fontId="58" fillId="0" borderId="0" xfId="0" applyNumberFormat="1" applyFont="1" applyFill="1" applyBorder="1" applyAlignment="1">
      <alignment vertical="center" wrapText="1"/>
    </xf>
    <xf numFmtId="166" fontId="58" fillId="0" borderId="0" xfId="0" applyNumberFormat="1" applyFont="1" applyFill="1" applyBorder="1"/>
    <xf numFmtId="0" fontId="80" fillId="0" borderId="0" xfId="0" applyFont="1" applyFill="1" applyBorder="1"/>
    <xf numFmtId="0" fontId="62" fillId="0" borderId="0" xfId="0" applyFont="1" applyFill="1" applyBorder="1" applyAlignment="1">
      <alignment horizontal="center" vertical="center"/>
    </xf>
    <xf numFmtId="0" fontId="142" fillId="0" borderId="0" xfId="0" applyFont="1"/>
    <xf numFmtId="0" fontId="145" fillId="29" borderId="0" xfId="0" applyFont="1" applyFill="1" applyAlignment="1">
      <alignment horizontal="center" vertical="center"/>
    </xf>
    <xf numFmtId="0" fontId="143" fillId="29" borderId="0" xfId="0" applyFont="1" applyFill="1"/>
    <xf numFmtId="0" fontId="144" fillId="29" borderId="0" xfId="0" applyFont="1" applyFill="1"/>
    <xf numFmtId="166" fontId="145" fillId="29" borderId="0" xfId="0" applyNumberFormat="1" applyFont="1" applyFill="1" applyAlignment="1">
      <alignment horizontal="center" vertical="center"/>
    </xf>
    <xf numFmtId="0" fontId="11" fillId="44" borderId="111" xfId="0" applyFont="1" applyFill="1" applyBorder="1" applyAlignment="1">
      <alignment vertical="center" wrapText="1"/>
    </xf>
    <xf numFmtId="0" fontId="0" fillId="44" borderId="98" xfId="0" applyFont="1" applyFill="1" applyBorder="1" applyAlignment="1">
      <alignment vertical="center" wrapText="1"/>
    </xf>
    <xf numFmtId="0" fontId="0" fillId="44" borderId="112" xfId="0" applyFont="1" applyFill="1" applyBorder="1" applyAlignment="1">
      <alignment vertical="center" wrapText="1"/>
    </xf>
    <xf numFmtId="0" fontId="11" fillId="44" borderId="197" xfId="0" applyFont="1" applyFill="1" applyBorder="1" applyAlignment="1">
      <alignment vertical="center" wrapText="1"/>
    </xf>
    <xf numFmtId="0" fontId="0" fillId="44" borderId="198" xfId="0" applyFont="1" applyFill="1" applyBorder="1" applyAlignment="1">
      <alignment vertical="center" wrapText="1"/>
    </xf>
    <xf numFmtId="0" fontId="0" fillId="44" borderId="199" xfId="0" applyFont="1" applyFill="1" applyBorder="1" applyAlignment="1">
      <alignment vertical="center" wrapText="1"/>
    </xf>
    <xf numFmtId="4" fontId="10" fillId="29" borderId="0" xfId="79" applyNumberFormat="1" applyFont="1" applyFill="1" applyAlignment="1">
      <alignment horizontal="right" vertical="center"/>
    </xf>
    <xf numFmtId="0" fontId="46" fillId="29" borderId="356" xfId="79" applyFont="1" applyFill="1" applyBorder="1" applyAlignment="1">
      <alignment horizontal="center" vertical="center"/>
    </xf>
    <xf numFmtId="0" fontId="46" fillId="29" borderId="360" xfId="79" applyFont="1" applyFill="1" applyBorder="1" applyAlignment="1">
      <alignment horizontal="center" vertical="center"/>
    </xf>
    <xf numFmtId="0" fontId="46" fillId="29" borderId="358" xfId="79" applyFont="1" applyFill="1" applyBorder="1" applyAlignment="1">
      <alignment horizontal="center" vertical="center"/>
    </xf>
    <xf numFmtId="10" fontId="46" fillId="29" borderId="356" xfId="79" applyNumberFormat="1" applyFont="1" applyFill="1" applyBorder="1" applyAlignment="1">
      <alignment horizontal="center" vertical="center"/>
    </xf>
    <xf numFmtId="168" fontId="46" fillId="29" borderId="360" xfId="79" applyNumberFormat="1" applyFont="1" applyFill="1" applyBorder="1" applyAlignment="1">
      <alignment horizontal="center" vertical="center"/>
    </xf>
    <xf numFmtId="10" fontId="46" fillId="29" borderId="360" xfId="85" applyNumberFormat="1" applyFont="1" applyFill="1" applyBorder="1" applyAlignment="1">
      <alignment horizontal="center" vertical="center"/>
    </xf>
    <xf numFmtId="168" fontId="46" fillId="29" borderId="358" xfId="79" applyNumberFormat="1" applyFont="1" applyFill="1" applyBorder="1" applyAlignment="1">
      <alignment horizontal="center" vertical="center"/>
    </xf>
    <xf numFmtId="10" fontId="49" fillId="29" borderId="316" xfId="79" applyNumberFormat="1" applyFont="1" applyFill="1" applyBorder="1" applyAlignment="1">
      <alignment horizontal="center" vertical="center"/>
    </xf>
    <xf numFmtId="168" fontId="49" fillId="29" borderId="322" xfId="79" applyNumberFormat="1" applyFont="1" applyFill="1" applyBorder="1" applyAlignment="1">
      <alignment horizontal="center" vertical="center"/>
    </xf>
    <xf numFmtId="10" fontId="49" fillId="29" borderId="332" xfId="79" applyNumberFormat="1" applyFont="1" applyFill="1" applyBorder="1" applyAlignment="1">
      <alignment horizontal="center" vertical="center"/>
    </xf>
    <xf numFmtId="168" fontId="49" fillId="29" borderId="317" xfId="79" applyNumberFormat="1" applyFont="1" applyFill="1" applyBorder="1" applyAlignment="1">
      <alignment horizontal="center" vertical="center"/>
    </xf>
    <xf numFmtId="4" fontId="15" fillId="0" borderId="360" xfId="0" applyNumberFormat="1" applyFont="1" applyBorder="1"/>
    <xf numFmtId="0" fontId="58" fillId="44" borderId="360" xfId="0" applyFont="1" applyFill="1" applyBorder="1"/>
    <xf numFmtId="0" fontId="58" fillId="44" borderId="360" xfId="0" applyNumberFormat="1" applyFont="1" applyFill="1" applyBorder="1"/>
    <xf numFmtId="0" fontId="59" fillId="44" borderId="360" xfId="0" applyNumberFormat="1" applyFont="1" applyFill="1" applyBorder="1"/>
    <xf numFmtId="2" fontId="59" fillId="0" borderId="360" xfId="0" applyNumberFormat="1" applyFont="1" applyFill="1" applyBorder="1"/>
    <xf numFmtId="0" fontId="59" fillId="0" borderId="360" xfId="0" applyFont="1" applyFill="1" applyBorder="1"/>
    <xf numFmtId="2" fontId="15" fillId="0" borderId="360" xfId="0" applyNumberFormat="1" applyFont="1" applyFill="1" applyBorder="1" applyAlignment="1">
      <alignment vertical="center"/>
    </xf>
    <xf numFmtId="4" fontId="59" fillId="44" borderId="365" xfId="0" applyNumberFormat="1" applyFont="1" applyFill="1" applyBorder="1"/>
    <xf numFmtId="4" fontId="59" fillId="0" borderId="365" xfId="0" applyNumberFormat="1" applyFont="1" applyFill="1" applyBorder="1"/>
    <xf numFmtId="4" fontId="11" fillId="0" borderId="366" xfId="79" applyNumberFormat="1" applyFont="1" applyFill="1" applyBorder="1" applyAlignment="1">
      <alignment horizontal="center" vertical="center"/>
    </xf>
    <xf numFmtId="0" fontId="58" fillId="44" borderId="360" xfId="0" applyFont="1" applyFill="1" applyBorder="1" applyAlignment="1">
      <alignment horizontal="center" vertical="center" wrapText="1"/>
    </xf>
    <xf numFmtId="4" fontId="0" fillId="29" borderId="368" xfId="0" applyNumberFormat="1" applyFill="1" applyBorder="1"/>
    <xf numFmtId="4" fontId="0" fillId="0" borderId="369" xfId="0" applyNumberFormat="1" applyFill="1" applyBorder="1"/>
    <xf numFmtId="0" fontId="0" fillId="0" borderId="369" xfId="0" applyFill="1" applyBorder="1"/>
    <xf numFmtId="4" fontId="0" fillId="29" borderId="367" xfId="0" applyNumberFormat="1" applyFill="1" applyBorder="1"/>
    <xf numFmtId="4" fontId="0" fillId="0" borderId="370" xfId="0" applyNumberFormat="1" applyFill="1" applyBorder="1"/>
    <xf numFmtId="0" fontId="15" fillId="0" borderId="369" xfId="0" applyFont="1" applyFill="1" applyBorder="1" applyAlignment="1">
      <alignment vertical="center" wrapText="1"/>
    </xf>
    <xf numFmtId="0" fontId="15" fillId="0" borderId="371" xfId="0" applyFont="1" applyFill="1" applyBorder="1" applyAlignment="1">
      <alignment vertical="center" wrapText="1"/>
    </xf>
    <xf numFmtId="4" fontId="15" fillId="44" borderId="373" xfId="0" applyNumberFormat="1" applyFont="1" applyFill="1" applyBorder="1"/>
    <xf numFmtId="2" fontId="58" fillId="44" borderId="360" xfId="0" applyNumberFormat="1" applyFont="1" applyFill="1" applyBorder="1" applyAlignment="1">
      <alignment horizontal="right" vertical="center" wrapText="1"/>
    </xf>
    <xf numFmtId="4" fontId="15" fillId="44" borderId="360" xfId="0" applyNumberFormat="1" applyFont="1" applyFill="1" applyBorder="1" applyAlignment="1">
      <alignment horizontal="right" vertical="center"/>
    </xf>
    <xf numFmtId="4" fontId="58" fillId="44" borderId="360" xfId="0" applyNumberFormat="1" applyFont="1" applyFill="1" applyBorder="1" applyAlignment="1">
      <alignment horizontal="right" vertical="center"/>
    </xf>
    <xf numFmtId="167" fontId="58" fillId="0" borderId="360" xfId="0" applyNumberFormat="1" applyFont="1" applyBorder="1"/>
    <xf numFmtId="2" fontId="59" fillId="0" borderId="360" xfId="0" applyNumberFormat="1" applyFont="1" applyFill="1" applyBorder="1" applyAlignment="1">
      <alignment vertical="center"/>
    </xf>
    <xf numFmtId="2" fontId="59" fillId="44" borderId="360" xfId="0" applyNumberFormat="1" applyFont="1" applyFill="1" applyBorder="1" applyAlignment="1">
      <alignment vertical="center"/>
    </xf>
    <xf numFmtId="2" fontId="59" fillId="0" borderId="360" xfId="0" applyNumberFormat="1" applyFont="1" applyBorder="1" applyAlignment="1">
      <alignment vertical="center"/>
    </xf>
    <xf numFmtId="2" fontId="58" fillId="0" borderId="360" xfId="0" applyNumberFormat="1" applyFont="1" applyFill="1" applyBorder="1" applyAlignment="1">
      <alignment vertical="center"/>
    </xf>
    <xf numFmtId="2" fontId="58" fillId="44" borderId="360" xfId="0" applyNumberFormat="1" applyFont="1" applyFill="1" applyBorder="1" applyAlignment="1">
      <alignment vertical="center"/>
    </xf>
    <xf numFmtId="2" fontId="58" fillId="0" borderId="360" xfId="0" applyNumberFormat="1" applyFont="1" applyBorder="1" applyAlignment="1">
      <alignment vertical="center"/>
    </xf>
    <xf numFmtId="4" fontId="15" fillId="44" borderId="369" xfId="0" applyNumberFormat="1" applyFont="1" applyFill="1" applyBorder="1"/>
    <xf numFmtId="4" fontId="15" fillId="44" borderId="372" xfId="0" applyNumberFormat="1" applyFont="1" applyFill="1" applyBorder="1"/>
    <xf numFmtId="0" fontId="58" fillId="44" borderId="36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0" fillId="0" borderId="0" xfId="0" applyAlignment="1"/>
    <xf numFmtId="2" fontId="58" fillId="0" borderId="360" xfId="0" applyNumberFormat="1" applyFont="1" applyFill="1" applyBorder="1" applyAlignment="1">
      <alignment horizontal="right" vertical="center" wrapText="1"/>
    </xf>
    <xf numFmtId="4" fontId="15" fillId="44" borderId="374" xfId="0" applyNumberFormat="1" applyFont="1" applyFill="1" applyBorder="1"/>
    <xf numFmtId="4" fontId="15" fillId="0" borderId="374" xfId="0" applyNumberFormat="1" applyFont="1" applyFill="1" applyBorder="1"/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82" fillId="0" borderId="0" xfId="0" applyFont="1" applyAlignment="1"/>
    <xf numFmtId="0" fontId="89" fillId="0" borderId="0" xfId="0" applyFont="1" applyAlignment="1">
      <alignment horizontal="center"/>
    </xf>
    <xf numFmtId="0" fontId="58" fillId="0" borderId="376" xfId="0" applyFont="1" applyBorder="1" applyAlignment="1">
      <alignment horizontal="center"/>
    </xf>
    <xf numFmtId="0" fontId="15" fillId="0" borderId="375" xfId="0" applyFont="1" applyBorder="1" applyAlignment="1">
      <alignment vertical="center" wrapText="1"/>
    </xf>
    <xf numFmtId="0" fontId="58" fillId="0" borderId="376" xfId="0" applyFont="1" applyBorder="1"/>
    <xf numFmtId="2" fontId="15" fillId="0" borderId="376" xfId="0" applyNumberFormat="1" applyFont="1" applyBorder="1" applyAlignment="1">
      <alignment horizontal="center"/>
    </xf>
    <xf numFmtId="2" fontId="15" fillId="0" borderId="376" xfId="0" applyNumberFormat="1" applyFont="1" applyFill="1" applyBorder="1"/>
    <xf numFmtId="2" fontId="15" fillId="0" borderId="377" xfId="0" applyNumberFormat="1" applyFont="1" applyFill="1" applyBorder="1"/>
    <xf numFmtId="0" fontId="58" fillId="0" borderId="375" xfId="0" applyFont="1" applyBorder="1" applyAlignment="1">
      <alignment vertical="center" wrapText="1"/>
    </xf>
    <xf numFmtId="2" fontId="58" fillId="0" borderId="376" xfId="0" applyNumberFormat="1" applyFont="1" applyBorder="1" applyAlignment="1">
      <alignment horizontal="center"/>
    </xf>
    <xf numFmtId="2" fontId="58" fillId="0" borderId="376" xfId="0" applyNumberFormat="1" applyFont="1" applyFill="1" applyBorder="1"/>
    <xf numFmtId="0" fontId="59" fillId="0" borderId="375" xfId="0" applyFont="1" applyBorder="1" applyAlignment="1">
      <alignment vertical="center" wrapText="1"/>
    </xf>
    <xf numFmtId="10" fontId="59" fillId="0" borderId="376" xfId="0" applyNumberFormat="1" applyFont="1" applyFill="1" applyBorder="1"/>
    <xf numFmtId="2" fontId="58" fillId="0" borderId="377" xfId="0" applyNumberFormat="1" applyFont="1" applyFill="1" applyBorder="1"/>
    <xf numFmtId="2" fontId="59" fillId="0" borderId="376" xfId="0" applyNumberFormat="1" applyFont="1" applyFill="1" applyBorder="1"/>
    <xf numFmtId="2" fontId="59" fillId="0" borderId="377" xfId="0" applyNumberFormat="1" applyFont="1" applyFill="1" applyBorder="1"/>
    <xf numFmtId="0" fontId="58" fillId="0" borderId="375" xfId="0" applyFont="1" applyBorder="1" applyAlignment="1">
      <alignment vertical="center"/>
    </xf>
    <xf numFmtId="0" fontId="59" fillId="0" borderId="375" xfId="0" applyFont="1" applyBorder="1" applyAlignment="1">
      <alignment vertical="center"/>
    </xf>
    <xf numFmtId="10" fontId="58" fillId="0" borderId="376" xfId="0" applyNumberFormat="1" applyFont="1" applyFill="1" applyBorder="1" applyAlignment="1">
      <alignment horizontal="center"/>
    </xf>
    <xf numFmtId="10" fontId="59" fillId="0" borderId="377" xfId="0" applyNumberFormat="1" applyFont="1" applyFill="1" applyBorder="1"/>
    <xf numFmtId="0" fontId="0" fillId="0" borderId="376" xfId="0" applyFont="1" applyBorder="1"/>
    <xf numFmtId="0" fontId="59" fillId="0" borderId="375" xfId="0" applyFont="1" applyFill="1" applyBorder="1" applyAlignment="1">
      <alignment vertical="center"/>
    </xf>
    <xf numFmtId="0" fontId="15" fillId="0" borderId="375" xfId="0" applyFont="1" applyBorder="1" applyAlignment="1">
      <alignment vertical="center"/>
    </xf>
    <xf numFmtId="4" fontId="15" fillId="0" borderId="376" xfId="0" applyNumberFormat="1" applyFont="1" applyFill="1" applyBorder="1"/>
    <xf numFmtId="4" fontId="15" fillId="0" borderId="377" xfId="0" applyNumberFormat="1" applyFont="1" applyFill="1" applyBorder="1"/>
    <xf numFmtId="0" fontId="15" fillId="0" borderId="375" xfId="0" applyFont="1" applyFill="1" applyBorder="1" applyAlignment="1">
      <alignment vertical="center" wrapText="1"/>
    </xf>
    <xf numFmtId="0" fontId="15" fillId="0" borderId="375" xfId="0" applyFont="1" applyFill="1" applyBorder="1" applyAlignment="1">
      <alignment vertical="center"/>
    </xf>
    <xf numFmtId="0" fontId="15" fillId="0" borderId="367" xfId="0" applyFont="1" applyFill="1" applyBorder="1" applyAlignment="1">
      <alignment vertical="center" wrapText="1"/>
    </xf>
    <xf numFmtId="2" fontId="15" fillId="0" borderId="370" xfId="0" applyNumberFormat="1" applyFont="1" applyBorder="1" applyAlignment="1">
      <alignment horizontal="center"/>
    </xf>
    <xf numFmtId="0" fontId="58" fillId="0" borderId="0" xfId="0" applyFont="1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376" xfId="0" applyFont="1" applyFill="1" applyBorder="1" applyAlignment="1">
      <alignment horizontal="center" vertical="center" wrapText="1"/>
    </xf>
    <xf numFmtId="0" fontId="80" fillId="0" borderId="376" xfId="0" applyFont="1" applyBorder="1" applyAlignment="1">
      <alignment vertical="center"/>
    </xf>
    <xf numFmtId="0" fontId="15" fillId="0" borderId="376" xfId="0" applyFont="1" applyBorder="1" applyAlignment="1">
      <alignment horizontal="center" vertical="center" wrapText="1"/>
    </xf>
    <xf numFmtId="0" fontId="58" fillId="0" borderId="376" xfId="0" applyFont="1" applyBorder="1" applyAlignment="1">
      <alignment horizontal="center" vertical="center" wrapText="1"/>
    </xf>
    <xf numFmtId="0" fontId="58" fillId="0" borderId="376" xfId="0" applyFont="1" applyBorder="1" applyAlignment="1">
      <alignment vertical="center"/>
    </xf>
    <xf numFmtId="4" fontId="15" fillId="0" borderId="376" xfId="0" applyNumberFormat="1" applyFont="1" applyBorder="1" applyAlignment="1">
      <alignment horizontal="right" vertical="center"/>
    </xf>
    <xf numFmtId="4" fontId="81" fillId="0" borderId="376" xfId="0" applyNumberFormat="1" applyFont="1" applyBorder="1" applyAlignment="1">
      <alignment horizontal="right" vertical="center"/>
    </xf>
    <xf numFmtId="0" fontId="15" fillId="0" borderId="376" xfId="0" applyFont="1" applyBorder="1" applyAlignment="1">
      <alignment horizontal="right" vertical="center"/>
    </xf>
    <xf numFmtId="167" fontId="15" fillId="0" borderId="376" xfId="0" applyNumberFormat="1" applyFont="1" applyBorder="1" applyAlignment="1">
      <alignment horizontal="center"/>
    </xf>
    <xf numFmtId="4" fontId="58" fillId="0" borderId="376" xfId="0" applyNumberFormat="1" applyFont="1" applyBorder="1" applyAlignment="1">
      <alignment horizontal="right" vertical="center"/>
    </xf>
    <xf numFmtId="4" fontId="59" fillId="0" borderId="376" xfId="0" applyNumberFormat="1" applyFont="1" applyBorder="1" applyAlignment="1">
      <alignment horizontal="right" vertical="center"/>
    </xf>
    <xf numFmtId="0" fontId="58" fillId="0" borderId="376" xfId="0" applyFont="1" applyBorder="1" applyAlignment="1">
      <alignment horizontal="right" vertical="center"/>
    </xf>
    <xf numFmtId="167" fontId="58" fillId="0" borderId="376" xfId="0" applyNumberFormat="1" applyFont="1" applyBorder="1" applyAlignment="1">
      <alignment horizontal="center"/>
    </xf>
    <xf numFmtId="4" fontId="58" fillId="0" borderId="376" xfId="0" applyNumberFormat="1" applyFont="1" applyFill="1" applyBorder="1" applyAlignment="1">
      <alignment horizontal="center"/>
    </xf>
    <xf numFmtId="0" fontId="48" fillId="0" borderId="376" xfId="0" applyFont="1" applyBorder="1"/>
    <xf numFmtId="0" fontId="0" fillId="29" borderId="376" xfId="0" applyFont="1" applyFill="1" applyBorder="1"/>
    <xf numFmtId="4" fontId="15" fillId="0" borderId="376" xfId="0" applyNumberFormat="1" applyFont="1" applyFill="1" applyBorder="1" applyAlignment="1">
      <alignment horizontal="center"/>
    </xf>
    <xf numFmtId="167" fontId="15" fillId="0" borderId="376" xfId="0" applyNumberFormat="1" applyFont="1" applyFill="1" applyBorder="1" applyAlignment="1">
      <alignment horizontal="center"/>
    </xf>
    <xf numFmtId="2" fontId="15" fillId="0" borderId="376" xfId="0" applyNumberFormat="1" applyFont="1" applyFill="1" applyBorder="1" applyAlignment="1">
      <alignment horizontal="center"/>
    </xf>
    <xf numFmtId="0" fontId="15" fillId="0" borderId="376" xfId="0" applyFont="1" applyFill="1" applyBorder="1" applyAlignment="1">
      <alignment horizontal="center"/>
    </xf>
    <xf numFmtId="2" fontId="15" fillId="0" borderId="370" xfId="0" applyNumberFormat="1" applyFont="1" applyFill="1" applyBorder="1" applyAlignment="1">
      <alignment horizontal="center"/>
    </xf>
    <xf numFmtId="0" fontId="82" fillId="0" borderId="0" xfId="0" applyFont="1"/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14" fillId="0" borderId="378" xfId="0" applyFont="1" applyFill="1" applyBorder="1" applyAlignment="1">
      <alignment vertical="center"/>
    </xf>
    <xf numFmtId="0" fontId="82" fillId="0" borderId="379" xfId="0" applyFont="1" applyFill="1" applyBorder="1" applyAlignment="1">
      <alignment vertical="center"/>
    </xf>
    <xf numFmtId="0" fontId="147" fillId="0" borderId="0" xfId="0" applyFont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0" fontId="82" fillId="0" borderId="11" xfId="0" applyFont="1" applyFill="1" applyBorder="1" applyAlignment="1">
      <alignment horizontal="center" vertical="center"/>
    </xf>
    <xf numFmtId="167" fontId="14" fillId="0" borderId="377" xfId="0" applyNumberFormat="1" applyFont="1" applyFill="1" applyBorder="1" applyAlignment="1">
      <alignment vertical="center"/>
    </xf>
    <xf numFmtId="2" fontId="82" fillId="0" borderId="377" xfId="0" applyNumberFormat="1" applyFont="1" applyFill="1" applyBorder="1" applyAlignment="1">
      <alignment vertical="center"/>
    </xf>
    <xf numFmtId="2" fontId="14" fillId="0" borderId="377" xfId="0" applyNumberFormat="1" applyFont="1" applyFill="1" applyBorder="1" applyAlignment="1">
      <alignment vertical="center"/>
    </xf>
    <xf numFmtId="167" fontId="82" fillId="0" borderId="377" xfId="0" applyNumberFormat="1" applyFont="1" applyFill="1" applyBorder="1" applyAlignment="1">
      <alignment vertical="center"/>
    </xf>
    <xf numFmtId="0" fontId="14" fillId="0" borderId="377" xfId="0" applyFont="1" applyFill="1" applyBorder="1" applyAlignment="1">
      <alignment vertical="center"/>
    </xf>
    <xf numFmtId="0" fontId="82" fillId="0" borderId="377" xfId="0" applyFont="1" applyFill="1" applyBorder="1" applyAlignment="1">
      <alignment vertical="center"/>
    </xf>
    <xf numFmtId="2" fontId="14" fillId="0" borderId="379" xfId="0" applyNumberFormat="1" applyFont="1" applyFill="1" applyBorder="1" applyAlignment="1">
      <alignment vertical="center"/>
    </xf>
    <xf numFmtId="0" fontId="82" fillId="0" borderId="367" xfId="0" applyFont="1" applyFill="1" applyBorder="1" applyAlignment="1">
      <alignment vertical="center" wrapText="1"/>
    </xf>
    <xf numFmtId="0" fontId="82" fillId="0" borderId="370" xfId="0" applyFont="1" applyFill="1" applyBorder="1" applyAlignment="1">
      <alignment horizontal="center" vertical="center"/>
    </xf>
    <xf numFmtId="2" fontId="82" fillId="0" borderId="370" xfId="0" applyNumberFormat="1" applyFont="1" applyFill="1" applyBorder="1" applyAlignment="1">
      <alignment vertical="center"/>
    </xf>
    <xf numFmtId="2" fontId="82" fillId="0" borderId="317" xfId="0" applyNumberFormat="1" applyFont="1" applyFill="1" applyBorder="1" applyAlignment="1">
      <alignment vertical="center"/>
    </xf>
    <xf numFmtId="0" fontId="61" fillId="0" borderId="0" xfId="0" applyFont="1"/>
    <xf numFmtId="0" fontId="0" fillId="0" borderId="370" xfId="0" applyFont="1" applyBorder="1"/>
    <xf numFmtId="4" fontId="15" fillId="0" borderId="370" xfId="0" applyNumberFormat="1" applyFont="1" applyFill="1" applyBorder="1"/>
    <xf numFmtId="4" fontId="15" fillId="0" borderId="317" xfId="0" applyNumberFormat="1" applyFont="1" applyFill="1" applyBorder="1"/>
    <xf numFmtId="169" fontId="59" fillId="0" borderId="376" xfId="0" applyNumberFormat="1" applyFont="1" applyFill="1" applyBorder="1"/>
    <xf numFmtId="169" fontId="59" fillId="0" borderId="377" xfId="0" applyNumberFormat="1" applyFont="1" applyFill="1" applyBorder="1"/>
    <xf numFmtId="2" fontId="15" fillId="44" borderId="360" xfId="0" applyNumberFormat="1" applyFont="1" applyFill="1" applyBorder="1" applyAlignment="1">
      <alignment horizontal="right" vertical="center" wrapText="1"/>
    </xf>
    <xf numFmtId="4" fontId="15" fillId="44" borderId="360" xfId="0" applyNumberFormat="1" applyFont="1" applyFill="1" applyBorder="1" applyAlignment="1">
      <alignment horizontal="right" vertical="center" wrapText="1"/>
    </xf>
    <xf numFmtId="2" fontId="15" fillId="0" borderId="360" xfId="0" applyNumberFormat="1" applyFont="1" applyBorder="1" applyAlignment="1">
      <alignment horizontal="center" vertical="center"/>
    </xf>
    <xf numFmtId="2" fontId="15" fillId="44" borderId="360" xfId="0" applyNumberFormat="1" applyFont="1" applyFill="1" applyBorder="1" applyAlignment="1">
      <alignment horizontal="center" vertical="center"/>
    </xf>
    <xf numFmtId="2" fontId="15" fillId="0" borderId="360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0" xfId="0" applyFont="1" applyAlignment="1"/>
    <xf numFmtId="2" fontId="15" fillId="0" borderId="370" xfId="0" applyNumberFormat="1" applyFont="1" applyFill="1" applyBorder="1"/>
    <xf numFmtId="0" fontId="58" fillId="0" borderId="0" xfId="0" applyFont="1" applyAlignment="1"/>
    <xf numFmtId="0" fontId="82" fillId="0" borderId="383" xfId="0" applyFont="1" applyFill="1" applyBorder="1" applyAlignment="1">
      <alignment vertical="center"/>
    </xf>
    <xf numFmtId="167" fontId="82" fillId="0" borderId="384" xfId="0" applyNumberFormat="1" applyFont="1" applyFill="1" applyBorder="1" applyAlignment="1">
      <alignment vertical="center"/>
    </xf>
    <xf numFmtId="0" fontId="83" fillId="0" borderId="383" xfId="0" applyFont="1" applyFill="1" applyBorder="1" applyAlignment="1">
      <alignment vertical="center"/>
    </xf>
    <xf numFmtId="2" fontId="82" fillId="0" borderId="384" xfId="0" applyNumberFormat="1" applyFont="1" applyFill="1" applyBorder="1" applyAlignment="1">
      <alignment vertical="center"/>
    </xf>
    <xf numFmtId="0" fontId="82" fillId="0" borderId="385" xfId="0" applyFont="1" applyFill="1" applyBorder="1" applyAlignment="1">
      <alignment horizontal="center" vertical="center"/>
    </xf>
    <xf numFmtId="0" fontId="82" fillId="0" borderId="385" xfId="0" applyFont="1" applyFill="1" applyBorder="1" applyAlignment="1">
      <alignment vertical="center"/>
    </xf>
    <xf numFmtId="0" fontId="82" fillId="0" borderId="384" xfId="0" applyFont="1" applyFill="1" applyBorder="1" applyAlignment="1">
      <alignment horizontal="center" vertical="center"/>
    </xf>
    <xf numFmtId="167" fontId="14" fillId="0" borderId="384" xfId="0" applyNumberFormat="1" applyFont="1" applyFill="1" applyBorder="1" applyAlignment="1">
      <alignment vertical="center"/>
    </xf>
    <xf numFmtId="0" fontId="14" fillId="0" borderId="384" xfId="0" applyFont="1" applyFill="1" applyBorder="1" applyAlignment="1">
      <alignment vertical="center"/>
    </xf>
    <xf numFmtId="2" fontId="14" fillId="0" borderId="384" xfId="0" applyNumberFormat="1" applyFont="1" applyFill="1" applyBorder="1" applyAlignment="1">
      <alignment vertical="center"/>
    </xf>
    <xf numFmtId="0" fontId="82" fillId="0" borderId="384" xfId="0" applyFont="1" applyFill="1" applyBorder="1" applyAlignment="1">
      <alignment vertical="center"/>
    </xf>
    <xf numFmtId="2" fontId="14" fillId="0" borderId="385" xfId="0" applyNumberFormat="1" applyFont="1" applyFill="1" applyBorder="1" applyAlignment="1">
      <alignment vertical="center"/>
    </xf>
    <xf numFmtId="0" fontId="82" fillId="0" borderId="383" xfId="0" applyFont="1" applyFill="1" applyBorder="1" applyAlignment="1">
      <alignment vertical="center" wrapText="1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2" fontId="83" fillId="0" borderId="384" xfId="0" applyNumberFormat="1" applyFont="1" applyFill="1" applyBorder="1" applyAlignment="1">
      <alignment vertical="center"/>
    </xf>
    <xf numFmtId="167" fontId="83" fillId="0" borderId="384" xfId="0" applyNumberFormat="1" applyFont="1" applyFill="1" applyBorder="1" applyAlignment="1">
      <alignment vertical="center"/>
    </xf>
    <xf numFmtId="167" fontId="83" fillId="0" borderId="377" xfId="0" applyNumberFormat="1" applyFont="1" applyFill="1" applyBorder="1" applyAlignment="1">
      <alignment vertical="center"/>
    </xf>
    <xf numFmtId="0" fontId="148" fillId="0" borderId="383" xfId="0" applyFont="1" applyFill="1" applyBorder="1" applyAlignment="1">
      <alignment vertical="center"/>
    </xf>
    <xf numFmtId="0" fontId="14" fillId="0" borderId="384" xfId="0" applyFont="1" applyFill="1" applyBorder="1" applyAlignment="1">
      <alignment horizontal="center" vertical="center"/>
    </xf>
    <xf numFmtId="0" fontId="14" fillId="0" borderId="383" xfId="0" applyFont="1" applyFill="1" applyBorder="1" applyAlignment="1">
      <alignment vertical="center"/>
    </xf>
    <xf numFmtId="0" fontId="82" fillId="0" borderId="0" xfId="0" applyFont="1" applyFill="1"/>
    <xf numFmtId="0" fontId="1" fillId="0" borderId="0" xfId="150"/>
    <xf numFmtId="0" fontId="112" fillId="0" borderId="0" xfId="150" applyFont="1"/>
    <xf numFmtId="0" fontId="112" fillId="0" borderId="384" xfId="150" applyFont="1" applyBorder="1" applyAlignment="1">
      <alignment horizontal="center" vertical="center"/>
    </xf>
    <xf numFmtId="0" fontId="111" fillId="0" borderId="384" xfId="150" applyFont="1" applyBorder="1" applyAlignment="1">
      <alignment horizontal="center" vertical="center"/>
    </xf>
    <xf numFmtId="2" fontId="111" fillId="0" borderId="384" xfId="150" applyNumberFormat="1" applyFont="1" applyBorder="1" applyAlignment="1">
      <alignment horizontal="center" vertical="center"/>
    </xf>
    <xf numFmtId="2" fontId="112" fillId="0" borderId="0" xfId="150" applyNumberFormat="1" applyFont="1" applyBorder="1" applyAlignment="1">
      <alignment horizontal="center"/>
    </xf>
    <xf numFmtId="0" fontId="112" fillId="0" borderId="0" xfId="150" applyFont="1" applyAlignment="1">
      <alignment horizontal="center"/>
    </xf>
    <xf numFmtId="2" fontId="112" fillId="0" borderId="384" xfId="150" applyNumberFormat="1" applyFont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87" fillId="0" borderId="0" xfId="0" applyFont="1" applyAlignment="1"/>
    <xf numFmtId="0" fontId="46" fillId="0" borderId="16" xfId="150" applyFont="1" applyBorder="1" applyAlignment="1">
      <alignment horizontal="center" vertical="center"/>
    </xf>
    <xf numFmtId="0" fontId="46" fillId="0" borderId="17" xfId="150" applyFont="1" applyBorder="1" applyAlignment="1">
      <alignment horizontal="center" vertical="center"/>
    </xf>
    <xf numFmtId="0" fontId="49" fillId="44" borderId="17" xfId="150" applyFont="1" applyFill="1" applyBorder="1" applyAlignment="1">
      <alignment horizontal="center" vertical="center"/>
    </xf>
    <xf numFmtId="0" fontId="49" fillId="44" borderId="18" xfId="150" applyFont="1" applyFill="1" applyBorder="1" applyAlignment="1">
      <alignment horizontal="center" vertical="center"/>
    </xf>
    <xf numFmtId="0" fontId="49" fillId="0" borderId="383" xfId="150" applyFont="1" applyBorder="1" applyAlignment="1">
      <alignment vertical="center" wrapText="1"/>
    </xf>
    <xf numFmtId="0" fontId="49" fillId="0" borderId="384" xfId="150" applyFont="1" applyBorder="1" applyAlignment="1">
      <alignment horizontal="center" vertical="center"/>
    </xf>
    <xf numFmtId="0" fontId="49" fillId="44" borderId="384" xfId="150" applyFont="1" applyFill="1" applyBorder="1" applyAlignment="1">
      <alignment horizontal="center" vertical="center"/>
    </xf>
    <xf numFmtId="167" fontId="49" fillId="44" borderId="384" xfId="150" applyNumberFormat="1" applyFont="1" applyFill="1" applyBorder="1" applyAlignment="1">
      <alignment horizontal="center" vertical="center"/>
    </xf>
    <xf numFmtId="0" fontId="49" fillId="44" borderId="377" xfId="150" applyFont="1" applyFill="1" applyBorder="1" applyAlignment="1">
      <alignment horizontal="center" vertical="center"/>
    </xf>
    <xf numFmtId="0" fontId="46" fillId="0" borderId="383" xfId="150" applyFont="1" applyBorder="1" applyAlignment="1">
      <alignment vertical="center" wrapText="1"/>
    </xf>
    <xf numFmtId="2" fontId="46" fillId="0" borderId="384" xfId="150" applyNumberFormat="1" applyFont="1" applyBorder="1" applyAlignment="1">
      <alignment horizontal="center" vertical="center"/>
    </xf>
    <xf numFmtId="2" fontId="49" fillId="44" borderId="384" xfId="150" applyNumberFormat="1" applyFont="1" applyFill="1" applyBorder="1" applyAlignment="1">
      <alignment horizontal="center" vertical="center"/>
    </xf>
    <xf numFmtId="2" fontId="49" fillId="44" borderId="377" xfId="150" applyNumberFormat="1" applyFont="1" applyFill="1" applyBorder="1" applyAlignment="1">
      <alignment horizontal="center" vertical="center"/>
    </xf>
    <xf numFmtId="0" fontId="47" fillId="0" borderId="383" xfId="150" applyFont="1" applyBorder="1" applyAlignment="1">
      <alignment vertical="center" wrapText="1"/>
    </xf>
    <xf numFmtId="2" fontId="47" fillId="0" borderId="384" xfId="150" applyNumberFormat="1" applyFont="1" applyBorder="1" applyAlignment="1">
      <alignment horizontal="center" vertical="center"/>
    </xf>
    <xf numFmtId="4" fontId="47" fillId="0" borderId="384" xfId="150" applyNumberFormat="1" applyFont="1" applyBorder="1" applyAlignment="1">
      <alignment horizontal="center" vertical="center"/>
    </xf>
    <xf numFmtId="2" fontId="49" fillId="0" borderId="384" xfId="150" applyNumberFormat="1" applyFont="1" applyBorder="1" applyAlignment="1">
      <alignment horizontal="center" vertical="center"/>
    </xf>
    <xf numFmtId="2" fontId="49" fillId="0" borderId="384" xfId="0" applyNumberFormat="1" applyFont="1" applyBorder="1" applyAlignment="1">
      <alignment horizontal="center" vertical="center"/>
    </xf>
    <xf numFmtId="0" fontId="49" fillId="0" borderId="383" xfId="150" applyFont="1" applyFill="1" applyBorder="1" applyAlignment="1">
      <alignment vertical="center" wrapText="1"/>
    </xf>
    <xf numFmtId="0" fontId="47" fillId="0" borderId="383" xfId="150" applyFont="1" applyFill="1" applyBorder="1" applyAlignment="1">
      <alignment vertical="center" wrapText="1"/>
    </xf>
    <xf numFmtId="2" fontId="50" fillId="44" borderId="384" xfId="150" applyNumberFormat="1" applyFont="1" applyFill="1" applyBorder="1" applyAlignment="1">
      <alignment horizontal="center" vertical="center"/>
    </xf>
    <xf numFmtId="2" fontId="50" fillId="44" borderId="377" xfId="150" applyNumberFormat="1" applyFont="1" applyFill="1" applyBorder="1" applyAlignment="1">
      <alignment horizontal="center" vertical="center"/>
    </xf>
    <xf numFmtId="0" fontId="47" fillId="0" borderId="384" xfId="150" applyFont="1" applyBorder="1" applyAlignment="1">
      <alignment horizontal="center" vertical="center"/>
    </xf>
    <xf numFmtId="0" fontId="50" fillId="44" borderId="384" xfId="150" applyFont="1" applyFill="1" applyBorder="1" applyAlignment="1">
      <alignment horizontal="center" vertical="center"/>
    </xf>
    <xf numFmtId="0" fontId="50" fillId="44" borderId="377" xfId="150" applyFont="1" applyFill="1" applyBorder="1" applyAlignment="1">
      <alignment horizontal="center" vertical="center"/>
    </xf>
    <xf numFmtId="0" fontId="47" fillId="0" borderId="367" xfId="150" applyFont="1" applyFill="1" applyBorder="1" applyAlignment="1">
      <alignment vertical="center" wrapText="1"/>
    </xf>
    <xf numFmtId="0" fontId="47" fillId="0" borderId="370" xfId="150" applyFont="1" applyBorder="1" applyAlignment="1">
      <alignment horizontal="center" vertical="center"/>
    </xf>
    <xf numFmtId="0" fontId="50" fillId="44" borderId="370" xfId="150" applyFont="1" applyFill="1" applyBorder="1" applyAlignment="1">
      <alignment horizontal="center" vertical="center"/>
    </xf>
    <xf numFmtId="0" fontId="50" fillId="44" borderId="317" xfId="150" applyFont="1" applyFill="1" applyBorder="1" applyAlignment="1">
      <alignment horizontal="center" vertical="center"/>
    </xf>
    <xf numFmtId="0" fontId="112" fillId="0" borderId="384" xfId="150" applyFont="1" applyBorder="1" applyAlignment="1">
      <alignment vertical="center"/>
    </xf>
    <xf numFmtId="0" fontId="111" fillId="0" borderId="384" xfId="150" applyFont="1" applyBorder="1" applyAlignment="1">
      <alignment vertical="center"/>
    </xf>
    <xf numFmtId="0" fontId="16" fillId="0" borderId="0" xfId="0" applyFont="1" applyAlignment="1" applyProtection="1">
      <alignment horizontal="left"/>
    </xf>
    <xf numFmtId="0" fontId="62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Protection="1"/>
    <xf numFmtId="0" fontId="0" fillId="0" borderId="0" xfId="0" applyProtection="1"/>
    <xf numFmtId="0" fontId="16" fillId="0" borderId="0" xfId="0" applyFont="1" applyProtection="1"/>
    <xf numFmtId="0" fontId="11" fillId="0" borderId="0" xfId="0" applyFont="1" applyProtection="1">
      <protection locked="0"/>
    </xf>
    <xf numFmtId="0" fontId="15" fillId="29" borderId="386" xfId="0" applyFont="1" applyFill="1" applyBorder="1" applyAlignment="1" applyProtection="1">
      <alignment horizontal="left"/>
    </xf>
    <xf numFmtId="0" fontId="0" fillId="29" borderId="387" xfId="0" applyFill="1" applyBorder="1" applyAlignment="1" applyProtection="1"/>
    <xf numFmtId="0" fontId="0" fillId="29" borderId="388" xfId="0" applyFill="1" applyBorder="1" applyAlignment="1" applyProtection="1"/>
    <xf numFmtId="0" fontId="1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0" borderId="389" xfId="0" applyFont="1" applyBorder="1" applyAlignment="1" applyProtection="1">
      <alignment vertical="center" wrapText="1"/>
    </xf>
    <xf numFmtId="0" fontId="58" fillId="0" borderId="389" xfId="0" applyFont="1" applyBorder="1" applyAlignment="1" applyProtection="1">
      <alignment vertical="center" wrapText="1"/>
    </xf>
    <xf numFmtId="2" fontId="99" fillId="0" borderId="389" xfId="0" applyNumberFormat="1" applyFont="1" applyFill="1" applyBorder="1" applyAlignment="1" applyProtection="1">
      <alignment vertical="center"/>
    </xf>
    <xf numFmtId="2" fontId="58" fillId="0" borderId="389" xfId="0" applyNumberFormat="1" applyFont="1" applyFill="1" applyBorder="1" applyAlignment="1" applyProtection="1">
      <alignment vertical="center"/>
      <protection locked="0"/>
    </xf>
    <xf numFmtId="2" fontId="99" fillId="44" borderId="389" xfId="0" applyNumberFormat="1" applyFont="1" applyFill="1" applyBorder="1" applyAlignment="1" applyProtection="1">
      <alignment vertical="center"/>
    </xf>
    <xf numFmtId="0" fontId="59" fillId="0" borderId="389" xfId="0" applyFont="1" applyBorder="1" applyAlignment="1" applyProtection="1">
      <alignment vertical="center" wrapText="1"/>
    </xf>
    <xf numFmtId="10" fontId="150" fillId="0" borderId="389" xfId="0" applyNumberFormat="1" applyFont="1" applyFill="1" applyBorder="1" applyAlignment="1" applyProtection="1">
      <alignment vertical="center"/>
    </xf>
    <xf numFmtId="2" fontId="150" fillId="44" borderId="389" xfId="0" applyNumberFormat="1" applyFont="1" applyFill="1" applyBorder="1" applyAlignment="1" applyProtection="1">
      <alignment vertical="center"/>
    </xf>
    <xf numFmtId="10" fontId="150" fillId="44" borderId="389" xfId="0" applyNumberFormat="1" applyFont="1" applyFill="1" applyBorder="1" applyAlignment="1" applyProtection="1">
      <alignment vertical="center"/>
    </xf>
    <xf numFmtId="0" fontId="0" fillId="29" borderId="387" xfId="0" applyFill="1" applyBorder="1" applyAlignment="1" applyProtection="1">
      <alignment horizontal="left"/>
    </xf>
    <xf numFmtId="0" fontId="0" fillId="29" borderId="388" xfId="0" applyFill="1" applyBorder="1" applyAlignment="1" applyProtection="1">
      <alignment horizontal="left"/>
    </xf>
    <xf numFmtId="0" fontId="58" fillId="0" borderId="0" xfId="0" applyFont="1" applyAlignment="1" applyProtection="1">
      <alignment vertical="center"/>
    </xf>
    <xf numFmtId="0" fontId="15" fillId="0" borderId="389" xfId="0" applyFont="1" applyBorder="1" applyAlignment="1" applyProtection="1">
      <alignment horizontal="left" vertical="center"/>
    </xf>
    <xf numFmtId="0" fontId="58" fillId="0" borderId="389" xfId="0" applyFont="1" applyBorder="1" applyAlignment="1" applyProtection="1">
      <alignment vertical="center"/>
    </xf>
    <xf numFmtId="0" fontId="59" fillId="0" borderId="389" xfId="0" applyFont="1" applyBorder="1" applyAlignment="1" applyProtection="1">
      <alignment vertical="center"/>
    </xf>
    <xf numFmtId="0" fontId="15" fillId="0" borderId="389" xfId="0" applyFont="1" applyBorder="1" applyAlignment="1" applyProtection="1">
      <alignment vertical="center"/>
    </xf>
    <xf numFmtId="4" fontId="90" fillId="0" borderId="389" xfId="0" applyNumberFormat="1" applyFont="1" applyFill="1" applyBorder="1" applyAlignment="1" applyProtection="1">
      <alignment vertical="center"/>
    </xf>
    <xf numFmtId="4" fontId="90" fillId="44" borderId="389" xfId="0" applyNumberFormat="1" applyFont="1" applyFill="1" applyBorder="1" applyAlignment="1" applyProtection="1">
      <alignment vertical="center"/>
    </xf>
    <xf numFmtId="0" fontId="58" fillId="0" borderId="389" xfId="0" applyFont="1" applyFill="1" applyBorder="1" applyAlignment="1" applyProtection="1">
      <alignment vertical="center"/>
    </xf>
    <xf numFmtId="4" fontId="58" fillId="0" borderId="389" xfId="0" applyNumberFormat="1" applyFont="1" applyFill="1" applyBorder="1" applyAlignment="1" applyProtection="1">
      <alignment vertical="center"/>
      <protection locked="0"/>
    </xf>
    <xf numFmtId="4" fontId="99" fillId="0" borderId="389" xfId="0" applyNumberFormat="1" applyFont="1" applyFill="1" applyBorder="1" applyAlignment="1" applyProtection="1">
      <alignment vertical="center"/>
    </xf>
    <xf numFmtId="4" fontId="99" fillId="44" borderId="389" xfId="0" applyNumberFormat="1" applyFont="1" applyFill="1" applyBorder="1" applyAlignment="1" applyProtection="1">
      <alignment vertical="center"/>
    </xf>
    <xf numFmtId="0" fontId="59" fillId="0" borderId="389" xfId="0" applyFont="1" applyFill="1" applyBorder="1" applyAlignment="1" applyProtection="1">
      <alignment vertical="center"/>
    </xf>
    <xf numFmtId="4" fontId="59" fillId="0" borderId="389" xfId="0" applyNumberFormat="1" applyFont="1" applyFill="1" applyBorder="1" applyAlignment="1" applyProtection="1">
      <alignment vertical="center"/>
      <protection locked="0"/>
    </xf>
    <xf numFmtId="0" fontId="59" fillId="0" borderId="389" xfId="0" applyFont="1" applyFill="1" applyBorder="1" applyAlignment="1">
      <alignment vertical="center"/>
    </xf>
    <xf numFmtId="0" fontId="15" fillId="0" borderId="389" xfId="0" applyFont="1" applyFill="1" applyBorder="1" applyAlignment="1" applyProtection="1">
      <alignment vertical="center"/>
    </xf>
    <xf numFmtId="0" fontId="0" fillId="29" borderId="387" xfId="0" applyFill="1" applyBorder="1" applyProtection="1"/>
    <xf numFmtId="0" fontId="0" fillId="29" borderId="388" xfId="0" applyFill="1" applyBorder="1" applyProtection="1"/>
    <xf numFmtId="10" fontId="150" fillId="0" borderId="389" xfId="0" applyNumberFormat="1" applyFont="1" applyFill="1" applyBorder="1" applyProtection="1"/>
    <xf numFmtId="10" fontId="150" fillId="44" borderId="389" xfId="0" applyNumberFormat="1" applyFont="1" applyFill="1" applyBorder="1" applyProtection="1"/>
    <xf numFmtId="0" fontId="58" fillId="0" borderId="0" xfId="0" applyFont="1" applyProtection="1"/>
    <xf numFmtId="2" fontId="58" fillId="0" borderId="0" xfId="0" applyNumberFormat="1" applyFont="1" applyProtection="1"/>
    <xf numFmtId="0" fontId="16" fillId="0" borderId="0" xfId="0" applyFont="1" applyAlignment="1">
      <alignment horizontal="left"/>
    </xf>
    <xf numFmtId="0" fontId="16" fillId="0" borderId="0" xfId="0" applyFont="1"/>
    <xf numFmtId="0" fontId="15" fillId="29" borderId="386" xfId="0" applyFont="1" applyFill="1" applyBorder="1" applyAlignment="1">
      <alignment horizontal="left"/>
    </xf>
    <xf numFmtId="0" fontId="0" fillId="29" borderId="387" xfId="0" applyFont="1" applyFill="1" applyBorder="1"/>
    <xf numFmtId="0" fontId="0" fillId="29" borderId="388" xfId="0" applyFont="1" applyFill="1" applyBorder="1"/>
    <xf numFmtId="0" fontId="58" fillId="44" borderId="11" xfId="0" applyFont="1" applyFill="1" applyBorder="1" applyAlignment="1">
      <alignment horizontal="center" vertical="center" wrapText="1"/>
    </xf>
    <xf numFmtId="0" fontId="15" fillId="0" borderId="389" xfId="0" applyFont="1" applyFill="1" applyBorder="1" applyAlignment="1">
      <alignment vertical="center" wrapText="1"/>
    </xf>
    <xf numFmtId="2" fontId="90" fillId="0" borderId="389" xfId="0" applyNumberFormat="1" applyFont="1" applyFill="1" applyBorder="1" applyAlignment="1">
      <alignment vertical="center"/>
    </xf>
    <xf numFmtId="2" fontId="90" fillId="44" borderId="389" xfId="0" applyNumberFormat="1" applyFont="1" applyFill="1" applyBorder="1" applyAlignment="1">
      <alignment vertical="center"/>
    </xf>
    <xf numFmtId="2" fontId="99" fillId="44" borderId="389" xfId="0" applyNumberFormat="1" applyFont="1" applyFill="1" applyBorder="1" applyAlignment="1">
      <alignment horizontal="right" wrapText="1"/>
    </xf>
    <xf numFmtId="0" fontId="58" fillId="0" borderId="389" xfId="0" applyFont="1" applyFill="1" applyBorder="1" applyAlignment="1">
      <alignment vertical="center" wrapText="1"/>
    </xf>
    <xf numFmtId="2" fontId="99" fillId="44" borderId="389" xfId="0" applyNumberFormat="1" applyFont="1" applyFill="1" applyBorder="1" applyAlignment="1">
      <alignment vertical="center"/>
    </xf>
    <xf numFmtId="0" fontId="59" fillId="0" borderId="389" xfId="0" applyFont="1" applyFill="1" applyBorder="1" applyAlignment="1">
      <alignment vertical="center" wrapText="1"/>
    </xf>
    <xf numFmtId="10" fontId="150" fillId="0" borderId="389" xfId="0" applyNumberFormat="1" applyFont="1" applyFill="1" applyBorder="1" applyAlignment="1">
      <alignment vertical="center"/>
    </xf>
    <xf numFmtId="10" fontId="150" fillId="44" borderId="389" xfId="0" applyNumberFormat="1" applyFont="1" applyFill="1" applyBorder="1" applyAlignment="1">
      <alignment vertical="center"/>
    </xf>
    <xf numFmtId="2" fontId="150" fillId="0" borderId="389" xfId="0" applyNumberFormat="1" applyFont="1" applyFill="1" applyBorder="1" applyAlignment="1">
      <alignment vertical="center"/>
    </xf>
    <xf numFmtId="2" fontId="150" fillId="44" borderId="389" xfId="0" applyNumberFormat="1" applyFont="1" applyFill="1" applyBorder="1" applyAlignment="1">
      <alignment horizontal="right" wrapText="1"/>
    </xf>
    <xf numFmtId="2" fontId="150" fillId="44" borderId="389" xfId="0" applyNumberFormat="1" applyFont="1" applyFill="1" applyBorder="1" applyAlignment="1">
      <alignment vertical="center"/>
    </xf>
    <xf numFmtId="0" fontId="58" fillId="0" borderId="386" xfId="0" applyFont="1" applyBorder="1" applyAlignment="1">
      <alignment vertical="center" wrapText="1"/>
    </xf>
    <xf numFmtId="0" fontId="59" fillId="0" borderId="386" xfId="0" applyFont="1" applyBorder="1" applyAlignment="1">
      <alignment vertical="center" wrapText="1"/>
    </xf>
    <xf numFmtId="0" fontId="15" fillId="0" borderId="386" xfId="0" applyFont="1" applyBorder="1" applyAlignment="1">
      <alignment vertical="center" wrapText="1"/>
    </xf>
    <xf numFmtId="2" fontId="90" fillId="44" borderId="389" xfId="0" applyNumberFormat="1" applyFont="1" applyFill="1" applyBorder="1" applyAlignment="1">
      <alignment horizontal="right" wrapText="1"/>
    </xf>
    <xf numFmtId="0" fontId="0" fillId="29" borderId="387" xfId="0" applyFont="1" applyFill="1" applyBorder="1" applyAlignment="1">
      <alignment horizontal="left"/>
    </xf>
    <xf numFmtId="0" fontId="58" fillId="0" borderId="389" xfId="0" applyFont="1" applyBorder="1" applyAlignment="1">
      <alignment vertical="center"/>
    </xf>
    <xf numFmtId="2" fontId="99" fillId="0" borderId="389" xfId="0" applyNumberFormat="1" applyFont="1" applyFill="1" applyBorder="1"/>
    <xf numFmtId="2" fontId="58" fillId="0" borderId="389" xfId="0" applyNumberFormat="1" applyFont="1" applyFill="1" applyBorder="1" applyProtection="1">
      <protection locked="0"/>
    </xf>
    <xf numFmtId="0" fontId="59" fillId="0" borderId="389" xfId="0" applyFont="1" applyBorder="1" applyAlignment="1">
      <alignment vertical="center"/>
    </xf>
    <xf numFmtId="10" fontId="150" fillId="0" borderId="389" xfId="0" applyNumberFormat="1" applyFont="1" applyFill="1" applyBorder="1"/>
    <xf numFmtId="10" fontId="150" fillId="44" borderId="389" xfId="0" applyNumberFormat="1" applyFont="1" applyFill="1" applyBorder="1"/>
    <xf numFmtId="10" fontId="150" fillId="44" borderId="389" xfId="0" applyNumberFormat="1" applyFont="1" applyFill="1" applyBorder="1" applyAlignment="1">
      <alignment horizontal="right" wrapText="1"/>
    </xf>
    <xf numFmtId="2" fontId="99" fillId="0" borderId="389" xfId="0" applyNumberFormat="1" applyFont="1" applyFill="1" applyBorder="1" applyProtection="1">
      <protection locked="0"/>
    </xf>
    <xf numFmtId="2" fontId="150" fillId="0" borderId="389" xfId="0" applyNumberFormat="1" applyFont="1" applyFill="1" applyBorder="1"/>
    <xf numFmtId="4" fontId="150" fillId="0" borderId="389" xfId="0" applyNumberFormat="1" applyFont="1" applyFill="1" applyBorder="1"/>
    <xf numFmtId="0" fontId="58" fillId="0" borderId="389" xfId="0" applyFont="1" applyBorder="1" applyAlignment="1">
      <alignment vertical="center" wrapText="1"/>
    </xf>
    <xf numFmtId="0" fontId="59" fillId="0" borderId="389" xfId="0" applyFont="1" applyBorder="1" applyAlignment="1">
      <alignment vertical="center" wrapText="1"/>
    </xf>
    <xf numFmtId="0" fontId="15" fillId="0" borderId="389" xfId="0" applyFont="1" applyBorder="1" applyAlignment="1">
      <alignment vertical="center"/>
    </xf>
    <xf numFmtId="2" fontId="90" fillId="0" borderId="389" xfId="0" applyNumberFormat="1" applyFont="1" applyFill="1" applyBorder="1"/>
    <xf numFmtId="2" fontId="90" fillId="44" borderId="389" xfId="0" applyNumberFormat="1" applyFont="1" applyFill="1" applyBorder="1"/>
    <xf numFmtId="0" fontId="15" fillId="0" borderId="389" xfId="0" applyFont="1" applyFill="1" applyBorder="1" applyAlignment="1">
      <alignment vertical="center"/>
    </xf>
    <xf numFmtId="4" fontId="90" fillId="0" borderId="389" xfId="0" applyNumberFormat="1" applyFont="1" applyFill="1" applyBorder="1"/>
    <xf numFmtId="2" fontId="90" fillId="0" borderId="389" xfId="0" applyNumberFormat="1" applyFont="1" applyFill="1" applyBorder="1" applyProtection="1">
      <protection locked="0"/>
    </xf>
    <xf numFmtId="0" fontId="58" fillId="0" borderId="0" xfId="0" applyFont="1" applyFill="1"/>
    <xf numFmtId="0" fontId="15" fillId="29" borderId="386" xfId="0" applyFont="1" applyFill="1" applyBorder="1" applyAlignment="1">
      <alignment horizontal="left" vertical="center" wrapText="1"/>
    </xf>
    <xf numFmtId="0" fontId="15" fillId="29" borderId="387" xfId="0" applyFont="1" applyFill="1" applyBorder="1" applyAlignment="1">
      <alignment horizontal="center" vertical="center" wrapText="1"/>
    </xf>
    <xf numFmtId="0" fontId="0" fillId="29" borderId="387" xfId="0" applyFill="1" applyBorder="1" applyAlignment="1"/>
    <xf numFmtId="0" fontId="0" fillId="29" borderId="387" xfId="0" applyFill="1" applyBorder="1"/>
    <xf numFmtId="0" fontId="0" fillId="29" borderId="388" xfId="0" applyFill="1" applyBorder="1"/>
    <xf numFmtId="0" fontId="58" fillId="0" borderId="389" xfId="0" applyFont="1" applyFill="1" applyBorder="1" applyAlignment="1">
      <alignment horizontal="center" vertical="center" wrapText="1"/>
    </xf>
    <xf numFmtId="0" fontId="58" fillId="0" borderId="389" xfId="0" applyFont="1" applyFill="1" applyBorder="1" applyAlignment="1">
      <alignment horizontal="center" vertical="center"/>
    </xf>
    <xf numFmtId="0" fontId="58" fillId="0" borderId="389" xfId="0" applyNumberFormat="1" applyFont="1" applyFill="1" applyBorder="1" applyAlignment="1">
      <alignment horizontal="center" vertical="center" wrapText="1"/>
    </xf>
    <xf numFmtId="0" fontId="58" fillId="0" borderId="389" xfId="0" applyNumberFormat="1" applyFont="1" applyFill="1" applyBorder="1" applyAlignment="1">
      <alignment horizontal="center" vertical="center"/>
    </xf>
    <xf numFmtId="0" fontId="58" fillId="44" borderId="389" xfId="0" applyNumberFormat="1" applyFont="1" applyFill="1" applyBorder="1" applyAlignment="1">
      <alignment horizontal="center" vertical="center" wrapText="1"/>
    </xf>
    <xf numFmtId="0" fontId="15" fillId="0" borderId="389" xfId="0" applyFont="1" applyBorder="1" applyAlignment="1">
      <alignment horizontal="left" vertical="center"/>
    </xf>
    <xf numFmtId="2" fontId="90" fillId="0" borderId="389" xfId="0" applyNumberFormat="1" applyFont="1" applyFill="1" applyBorder="1" applyAlignment="1">
      <alignment horizontal="right" vertical="center" wrapText="1"/>
    </xf>
    <xf numFmtId="0" fontId="58" fillId="0" borderId="389" xfId="0" applyNumberFormat="1" applyFont="1" applyFill="1" applyBorder="1" applyAlignment="1">
      <alignment horizontal="right" vertical="center" wrapText="1"/>
    </xf>
    <xf numFmtId="0" fontId="58" fillId="0" borderId="389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389" xfId="0" applyNumberFormat="1" applyFont="1" applyFill="1" applyBorder="1" applyAlignment="1" applyProtection="1">
      <alignment horizontal="right" vertical="center"/>
      <protection locked="0"/>
    </xf>
    <xf numFmtId="0" fontId="90" fillId="0" borderId="389" xfId="0" applyFont="1" applyFill="1" applyBorder="1" applyAlignment="1">
      <alignment horizontal="right" vertical="center"/>
    </xf>
    <xf numFmtId="0" fontId="90" fillId="0" borderId="389" xfId="0" applyNumberFormat="1" applyFont="1" applyFill="1" applyBorder="1" applyAlignment="1">
      <alignment horizontal="right" vertical="center"/>
    </xf>
    <xf numFmtId="2" fontId="90" fillId="44" borderId="389" xfId="0" applyNumberFormat="1" applyFont="1" applyFill="1" applyBorder="1" applyAlignment="1">
      <alignment horizontal="right" vertical="center"/>
    </xf>
    <xf numFmtId="0" fontId="90" fillId="0" borderId="389" xfId="0" applyNumberFormat="1" applyFont="1" applyFill="1" applyBorder="1" applyAlignment="1">
      <alignment horizontal="center" vertical="center"/>
    </xf>
    <xf numFmtId="0" fontId="15" fillId="0" borderId="389" xfId="0" applyNumberFormat="1" applyFont="1" applyFill="1" applyBorder="1" applyAlignment="1" applyProtection="1">
      <alignment vertical="center" wrapText="1"/>
      <protection locked="0"/>
    </xf>
    <xf numFmtId="0" fontId="15" fillId="0" borderId="389" xfId="0" applyNumberFormat="1" applyFont="1" applyFill="1" applyBorder="1" applyAlignment="1" applyProtection="1">
      <alignment vertical="center"/>
      <protection locked="0"/>
    </xf>
    <xf numFmtId="0" fontId="90" fillId="0" borderId="389" xfId="0" applyNumberFormat="1" applyFont="1" applyFill="1" applyBorder="1" applyAlignment="1">
      <alignment vertical="center"/>
    </xf>
    <xf numFmtId="0" fontId="15" fillId="0" borderId="389" xfId="0" applyFont="1" applyBorder="1" applyAlignment="1">
      <alignment vertical="center" wrapText="1"/>
    </xf>
    <xf numFmtId="2" fontId="90" fillId="0" borderId="389" xfId="0" applyNumberFormat="1" applyFont="1" applyFill="1" applyBorder="1" applyAlignment="1">
      <alignment horizontal="right" vertical="center"/>
    </xf>
    <xf numFmtId="2" fontId="90" fillId="0" borderId="389" xfId="0" applyNumberFormat="1" applyFont="1" applyFill="1" applyBorder="1" applyAlignment="1">
      <alignment horizontal="right"/>
    </xf>
    <xf numFmtId="2" fontId="99" fillId="0" borderId="389" xfId="0" applyNumberFormat="1" applyFont="1" applyFill="1" applyBorder="1" applyAlignment="1">
      <alignment horizontal="right" vertical="center" wrapText="1"/>
    </xf>
    <xf numFmtId="2" fontId="58" fillId="0" borderId="389" xfId="0" applyNumberFormat="1" applyFont="1" applyFill="1" applyBorder="1" applyAlignment="1" applyProtection="1">
      <alignment horizontal="right" vertical="center"/>
      <protection locked="0"/>
    </xf>
    <xf numFmtId="2" fontId="99" fillId="44" borderId="389" xfId="0" applyNumberFormat="1" applyFont="1" applyFill="1" applyBorder="1" applyAlignment="1">
      <alignment horizontal="right" vertical="center"/>
    </xf>
    <xf numFmtId="2" fontId="58" fillId="0" borderId="389" xfId="0" applyNumberFormat="1" applyFont="1" applyFill="1" applyBorder="1" applyAlignment="1" applyProtection="1">
      <alignment horizontal="right"/>
      <protection locked="0"/>
    </xf>
    <xf numFmtId="0" fontId="0" fillId="29" borderId="387" xfId="0" applyFill="1" applyBorder="1" applyAlignment="1">
      <alignment horizontal="center"/>
    </xf>
    <xf numFmtId="4" fontId="99" fillId="0" borderId="389" xfId="0" applyNumberFormat="1" applyFont="1" applyFill="1" applyBorder="1"/>
    <xf numFmtId="4" fontId="58" fillId="0" borderId="389" xfId="0" applyNumberFormat="1" applyFont="1" applyFill="1" applyBorder="1" applyProtection="1">
      <protection locked="0"/>
    </xf>
    <xf numFmtId="10" fontId="150" fillId="44" borderId="389" xfId="0" applyNumberFormat="1" applyFont="1" applyFill="1" applyBorder="1" applyAlignment="1">
      <alignment horizontal="right" vertical="center"/>
    </xf>
    <xf numFmtId="0" fontId="58" fillId="0" borderId="389" xfId="0" applyFont="1" applyFill="1" applyBorder="1" applyAlignment="1">
      <alignment vertical="center"/>
    </xf>
    <xf numFmtId="4" fontId="59" fillId="0" borderId="389" xfId="0" applyNumberFormat="1" applyFont="1" applyFill="1" applyBorder="1" applyProtection="1">
      <protection locked="0"/>
    </xf>
    <xf numFmtId="2" fontId="150" fillId="44" borderId="389" xfId="0" applyNumberFormat="1" applyFont="1" applyFill="1" applyBorder="1" applyAlignment="1">
      <alignment horizontal="right" vertical="center"/>
    </xf>
    <xf numFmtId="4" fontId="150" fillId="0" borderId="389" xfId="0" applyNumberFormat="1" applyFont="1" applyFill="1" applyBorder="1" applyAlignment="1">
      <alignment vertical="center"/>
    </xf>
    <xf numFmtId="4" fontId="59" fillId="0" borderId="389" xfId="0" applyNumberFormat="1" applyFont="1" applyFill="1" applyBorder="1" applyAlignment="1">
      <alignment vertical="center"/>
    </xf>
    <xf numFmtId="4" fontId="59" fillId="0" borderId="389" xfId="0" applyNumberFormat="1" applyFont="1" applyFill="1" applyBorder="1"/>
    <xf numFmtId="4" fontId="90" fillId="0" borderId="389" xfId="0" applyNumberFormat="1" applyFont="1" applyFill="1" applyBorder="1" applyAlignment="1">
      <alignment vertical="center"/>
    </xf>
    <xf numFmtId="0" fontId="15" fillId="0" borderId="61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4" fontId="90" fillId="0" borderId="389" xfId="0" applyNumberFormat="1" applyFont="1" applyFill="1" applyBorder="1" applyAlignment="1">
      <alignment horizontal="right" vertical="center"/>
    </xf>
    <xf numFmtId="4" fontId="99" fillId="0" borderId="389" xfId="0" applyNumberFormat="1" applyFont="1" applyFill="1" applyBorder="1" applyAlignment="1">
      <alignment horizontal="right" vertical="center"/>
    </xf>
    <xf numFmtId="2" fontId="99" fillId="44" borderId="389" xfId="0" applyNumberFormat="1" applyFont="1" applyFill="1" applyBorder="1"/>
    <xf numFmtId="2" fontId="150" fillId="44" borderId="389" xfId="0" applyNumberFormat="1" applyFont="1" applyFill="1" applyBorder="1"/>
    <xf numFmtId="4" fontId="150" fillId="44" borderId="389" xfId="0" applyNumberFormat="1" applyFont="1" applyFill="1" applyBorder="1"/>
    <xf numFmtId="4" fontId="99" fillId="44" borderId="389" xfId="0" applyNumberFormat="1" applyFont="1" applyFill="1" applyBorder="1"/>
    <xf numFmtId="4" fontId="90" fillId="44" borderId="389" xfId="0" applyNumberFormat="1" applyFont="1" applyFill="1" applyBorder="1"/>
    <xf numFmtId="4" fontId="99" fillId="0" borderId="389" xfId="0" applyNumberFormat="1" applyFont="1" applyBorder="1"/>
    <xf numFmtId="4" fontId="58" fillId="0" borderId="389" xfId="0" applyNumberFormat="1" applyFont="1" applyFill="1" applyBorder="1" applyAlignment="1">
      <alignment vertical="center"/>
    </xf>
    <xf numFmtId="4" fontId="99" fillId="0" borderId="389" xfId="0" applyNumberFormat="1" applyFont="1" applyFill="1" applyBorder="1" applyAlignment="1">
      <alignment vertical="center"/>
    </xf>
    <xf numFmtId="2" fontId="90" fillId="0" borderId="389" xfId="0" applyNumberFormat="1" applyFont="1" applyBorder="1"/>
    <xf numFmtId="4" fontId="150" fillId="0" borderId="389" xfId="0" applyNumberFormat="1" applyFont="1" applyBorder="1"/>
    <xf numFmtId="4" fontId="90" fillId="0" borderId="389" xfId="0" applyNumberFormat="1" applyFont="1" applyBorder="1"/>
    <xf numFmtId="0" fontId="15" fillId="0" borderId="389" xfId="0" applyFont="1" applyBorder="1"/>
    <xf numFmtId="0" fontId="0" fillId="29" borderId="391" xfId="0" applyFill="1" applyBorder="1"/>
    <xf numFmtId="0" fontId="15" fillId="0" borderId="389" xfId="0" applyFont="1" applyFill="1" applyBorder="1" applyAlignment="1">
      <alignment horizontal="left"/>
    </xf>
    <xf numFmtId="4" fontId="99" fillId="0" borderId="389" xfId="0" applyNumberFormat="1" applyFont="1" applyFill="1" applyBorder="1" applyAlignment="1">
      <alignment horizontal="right" wrapText="1"/>
    </xf>
    <xf numFmtId="0" fontId="99" fillId="0" borderId="389" xfId="0" applyFont="1" applyFill="1" applyBorder="1" applyAlignment="1">
      <alignment horizontal="right" wrapText="1"/>
    </xf>
    <xf numFmtId="4" fontId="90" fillId="0" borderId="389" xfId="0" applyNumberFormat="1" applyFont="1" applyFill="1" applyBorder="1" applyAlignment="1">
      <alignment horizontal="right" wrapText="1"/>
    </xf>
    <xf numFmtId="0" fontId="90" fillId="0" borderId="389" xfId="0" applyFont="1" applyFill="1" applyBorder="1" applyAlignment="1">
      <alignment horizontal="right" wrapText="1"/>
    </xf>
    <xf numFmtId="4" fontId="58" fillId="0" borderId="389" xfId="0" applyNumberFormat="1" applyFont="1" applyFill="1" applyBorder="1" applyAlignment="1" applyProtection="1">
      <alignment horizontal="right" vertical="center"/>
      <protection locked="0"/>
    </xf>
    <xf numFmtId="0" fontId="15" fillId="29" borderId="386" xfId="0" applyFont="1" applyFill="1" applyBorder="1" applyAlignment="1">
      <alignment vertical="center"/>
    </xf>
    <xf numFmtId="4" fontId="58" fillId="29" borderId="387" xfId="0" applyNumberFormat="1" applyFont="1" applyFill="1" applyBorder="1" applyAlignment="1">
      <alignment horizontal="right" vertical="center"/>
    </xf>
    <xf numFmtId="4" fontId="58" fillId="29" borderId="387" xfId="0" applyNumberFormat="1" applyFont="1" applyFill="1" applyBorder="1"/>
    <xf numFmtId="4" fontId="0" fillId="29" borderId="387" xfId="0" applyNumberFormat="1" applyFill="1" applyBorder="1"/>
    <xf numFmtId="4" fontId="59" fillId="0" borderId="389" xfId="0" applyNumberFormat="1" applyFont="1" applyFill="1" applyBorder="1" applyAlignment="1" applyProtection="1">
      <alignment horizontal="right" vertical="center"/>
      <protection locked="0"/>
    </xf>
    <xf numFmtId="4" fontId="90" fillId="44" borderId="389" xfId="0" applyNumberFormat="1" applyFont="1" applyFill="1" applyBorder="1" applyAlignment="1">
      <alignment horizontal="right" vertical="center"/>
    </xf>
    <xf numFmtId="4" fontId="0" fillId="29" borderId="387" xfId="0" applyNumberFormat="1" applyFill="1" applyBorder="1" applyAlignment="1">
      <alignment horizontal="left"/>
    </xf>
    <xf numFmtId="4" fontId="58" fillId="29" borderId="387" xfId="0" applyNumberFormat="1" applyFont="1" applyFill="1" applyBorder="1" applyAlignment="1">
      <alignment horizontal="left"/>
    </xf>
    <xf numFmtId="4" fontId="58" fillId="29" borderId="388" xfId="0" applyNumberFormat="1" applyFont="1" applyFill="1" applyBorder="1" applyAlignment="1">
      <alignment horizontal="left"/>
    </xf>
    <xf numFmtId="4" fontId="99" fillId="44" borderId="386" xfId="0" applyNumberFormat="1" applyFont="1" applyFill="1" applyBorder="1"/>
    <xf numFmtId="10" fontId="150" fillId="44" borderId="386" xfId="0" applyNumberFormat="1" applyFont="1" applyFill="1" applyBorder="1"/>
    <xf numFmtId="4" fontId="99" fillId="0" borderId="389" xfId="0" applyNumberFormat="1" applyFont="1" applyFill="1" applyBorder="1" applyProtection="1">
      <protection locked="0"/>
    </xf>
    <xf numFmtId="4" fontId="150" fillId="44" borderId="386" xfId="0" applyNumberFormat="1" applyFont="1" applyFill="1" applyBorder="1"/>
    <xf numFmtId="4" fontId="90" fillId="44" borderId="386" xfId="0" applyNumberFormat="1" applyFont="1" applyFill="1" applyBorder="1"/>
    <xf numFmtId="4" fontId="15" fillId="0" borderId="389" xfId="0" applyNumberFormat="1" applyFont="1" applyFill="1" applyBorder="1"/>
    <xf numFmtId="4" fontId="15" fillId="44" borderId="387" xfId="0" applyNumberFormat="1" applyFont="1" applyFill="1" applyBorder="1"/>
    <xf numFmtId="4" fontId="15" fillId="44" borderId="389" xfId="0" applyNumberFormat="1" applyFont="1" applyFill="1" applyBorder="1"/>
    <xf numFmtId="4" fontId="15" fillId="0" borderId="389" xfId="0" applyNumberFormat="1" applyFont="1" applyFill="1" applyBorder="1" applyProtection="1">
      <protection locked="0"/>
    </xf>
    <xf numFmtId="4" fontId="90" fillId="44" borderId="389" xfId="0" applyNumberFormat="1" applyFont="1" applyFill="1" applyBorder="1" applyAlignment="1">
      <alignment vertical="center"/>
    </xf>
    <xf numFmtId="4" fontId="90" fillId="44" borderId="386" xfId="0" applyNumberFormat="1" applyFont="1" applyFill="1" applyBorder="1" applyAlignment="1">
      <alignment vertical="center"/>
    </xf>
    <xf numFmtId="4" fontId="150" fillId="44" borderId="389" xfId="0" applyNumberFormat="1" applyFont="1" applyFill="1" applyBorder="1" applyAlignment="1">
      <alignment vertical="center"/>
    </xf>
    <xf numFmtId="4" fontId="150" fillId="44" borderId="386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90" fillId="0" borderId="0" xfId="0" applyNumberFormat="1" applyFont="1" applyFill="1" applyBorder="1"/>
    <xf numFmtId="4" fontId="90" fillId="0" borderId="0" xfId="0" applyNumberFormat="1" applyFont="1" applyFill="1" applyBorder="1" applyAlignment="1">
      <alignment vertical="center"/>
    </xf>
    <xf numFmtId="2" fontId="99" fillId="0" borderId="0" xfId="0" applyNumberFormat="1" applyFont="1" applyFill="1" applyBorder="1" applyAlignment="1">
      <alignment horizontal="right" wrapText="1"/>
    </xf>
    <xf numFmtId="4" fontId="58" fillId="0" borderId="0" xfId="0" applyNumberFormat="1" applyFont="1" applyFill="1"/>
    <xf numFmtId="4" fontId="58" fillId="0" borderId="0" xfId="0" applyNumberFormat="1" applyFont="1"/>
    <xf numFmtId="2" fontId="59" fillId="0" borderId="389" xfId="0" applyNumberFormat="1" applyFont="1" applyFill="1" applyBorder="1" applyProtection="1">
      <protection locked="0"/>
    </xf>
    <xf numFmtId="2" fontId="15" fillId="0" borderId="389" xfId="0" applyNumberFormat="1" applyFont="1" applyFill="1" applyBorder="1" applyProtection="1">
      <protection locked="0"/>
    </xf>
    <xf numFmtId="4" fontId="15" fillId="0" borderId="389" xfId="0" applyNumberFormat="1" applyFont="1" applyFill="1" applyBorder="1" applyAlignment="1" applyProtection="1">
      <alignment vertical="center"/>
      <protection locked="0"/>
    </xf>
    <xf numFmtId="4" fontId="150" fillId="0" borderId="389" xfId="0" applyNumberFormat="1" applyFont="1" applyFill="1" applyBorder="1" applyAlignment="1" applyProtection="1">
      <alignment vertical="center"/>
    </xf>
    <xf numFmtId="4" fontId="150" fillId="44" borderId="389" xfId="0" applyNumberFormat="1" applyFont="1" applyFill="1" applyBorder="1" applyAlignment="1" applyProtection="1">
      <alignment vertical="center"/>
    </xf>
    <xf numFmtId="4" fontId="151" fillId="44" borderId="389" xfId="0" applyNumberFormat="1" applyFont="1" applyFill="1" applyBorder="1" applyAlignment="1" applyProtection="1">
      <alignment vertical="center"/>
    </xf>
    <xf numFmtId="4" fontId="151" fillId="0" borderId="389" xfId="0" applyNumberFormat="1" applyFont="1" applyFill="1" applyBorder="1" applyAlignment="1" applyProtection="1">
      <alignment vertical="center"/>
    </xf>
    <xf numFmtId="4" fontId="150" fillId="0" borderId="389" xfId="0" applyNumberFormat="1" applyFont="1" applyFill="1" applyBorder="1" applyAlignment="1" applyProtection="1">
      <alignment vertical="center"/>
      <protection locked="0"/>
    </xf>
    <xf numFmtId="4" fontId="90" fillId="0" borderId="389" xfId="0" applyNumberFormat="1" applyFont="1" applyFill="1" applyBorder="1" applyProtection="1"/>
    <xf numFmtId="4" fontId="90" fillId="44" borderId="389" xfId="0" applyNumberFormat="1" applyFont="1" applyFill="1" applyBorder="1" applyProtection="1"/>
    <xf numFmtId="4" fontId="99" fillId="0" borderId="389" xfId="0" applyNumberFormat="1" applyFont="1" applyFill="1" applyBorder="1" applyProtection="1"/>
    <xf numFmtId="4" fontId="99" fillId="44" borderId="389" xfId="0" applyNumberFormat="1" applyFont="1" applyFill="1" applyBorder="1" applyProtection="1"/>
    <xf numFmtId="4" fontId="150" fillId="0" borderId="389" xfId="0" applyNumberFormat="1" applyFont="1" applyFill="1" applyBorder="1" applyProtection="1"/>
    <xf numFmtId="4" fontId="150" fillId="44" borderId="389" xfId="0" applyNumberFormat="1" applyFont="1" applyFill="1" applyBorder="1" applyProtection="1"/>
    <xf numFmtId="4" fontId="90" fillId="44" borderId="389" xfId="0" applyNumberFormat="1" applyFont="1" applyFill="1" applyBorder="1" applyAlignment="1">
      <alignment horizontal="right" wrapText="1"/>
    </xf>
    <xf numFmtId="4" fontId="99" fillId="44" borderId="389" xfId="0" applyNumberFormat="1" applyFont="1" applyFill="1" applyBorder="1" applyAlignment="1">
      <alignment vertical="center"/>
    </xf>
    <xf numFmtId="4" fontId="99" fillId="44" borderId="389" xfId="0" applyNumberFormat="1" applyFont="1" applyFill="1" applyBorder="1" applyAlignment="1">
      <alignment horizontal="right" wrapText="1"/>
    </xf>
    <xf numFmtId="4" fontId="150" fillId="44" borderId="389" xfId="0" applyNumberFormat="1" applyFont="1" applyFill="1" applyBorder="1" applyAlignment="1">
      <alignment horizontal="right" wrapText="1"/>
    </xf>
    <xf numFmtId="4" fontId="150" fillId="44" borderId="390" xfId="0" applyNumberFormat="1" applyFont="1" applyFill="1" applyBorder="1" applyAlignment="1">
      <alignment vertical="center"/>
    </xf>
    <xf numFmtId="4" fontId="90" fillId="44" borderId="390" xfId="0" applyNumberFormat="1" applyFont="1" applyFill="1" applyBorder="1" applyAlignment="1">
      <alignment vertical="center"/>
    </xf>
    <xf numFmtId="4" fontId="90" fillId="0" borderId="389" xfId="0" applyNumberFormat="1" applyFont="1" applyFill="1" applyBorder="1" applyProtection="1">
      <protection locked="0"/>
    </xf>
    <xf numFmtId="0" fontId="15" fillId="0" borderId="392" xfId="0" applyFont="1" applyFill="1" applyBorder="1" applyAlignment="1">
      <alignment vertical="center" wrapText="1"/>
    </xf>
    <xf numFmtId="4" fontId="90" fillId="0" borderId="392" xfId="0" applyNumberFormat="1" applyFont="1" applyFill="1" applyBorder="1"/>
    <xf numFmtId="4" fontId="58" fillId="0" borderId="389" xfId="0" applyNumberFormat="1" applyFont="1" applyFill="1" applyBorder="1" applyAlignment="1">
      <alignment horizontal="right" wrapText="1"/>
    </xf>
    <xf numFmtId="2" fontId="90" fillId="0" borderId="389" xfId="0" applyNumberFormat="1" applyFont="1" applyFill="1" applyBorder="1" applyAlignment="1">
      <alignment horizontal="right" wrapText="1"/>
    </xf>
    <xf numFmtId="2" fontId="99" fillId="0" borderId="389" xfId="0" applyNumberFormat="1" applyFont="1" applyFill="1" applyBorder="1" applyAlignment="1">
      <alignment horizontal="right" wrapText="1"/>
    </xf>
    <xf numFmtId="0" fontId="90" fillId="44" borderId="389" xfId="0" applyFont="1" applyFill="1" applyBorder="1" applyAlignment="1">
      <alignment horizontal="right" wrapText="1"/>
    </xf>
    <xf numFmtId="4" fontId="90" fillId="44" borderId="389" xfId="0" applyNumberFormat="1" applyFont="1" applyFill="1" applyBorder="1" applyAlignment="1">
      <alignment horizontal="right"/>
    </xf>
    <xf numFmtId="4" fontId="90" fillId="44" borderId="11" xfId="0" applyNumberFormat="1" applyFont="1" applyFill="1" applyBorder="1" applyAlignment="1">
      <alignment horizontal="right"/>
    </xf>
    <xf numFmtId="4" fontId="15" fillId="0" borderId="389" xfId="0" applyNumberFormat="1" applyFont="1" applyFill="1" applyBorder="1" applyAlignment="1">
      <alignment horizontal="right" wrapText="1"/>
    </xf>
    <xf numFmtId="0" fontId="15" fillId="0" borderId="389" xfId="0" applyFont="1" applyFill="1" applyBorder="1" applyAlignment="1">
      <alignment horizontal="right" wrapText="1"/>
    </xf>
    <xf numFmtId="4" fontId="150" fillId="0" borderId="389" xfId="0" applyNumberFormat="1" applyFont="1" applyFill="1" applyBorder="1" applyAlignment="1">
      <alignment horizontal="right" vertical="center"/>
    </xf>
    <xf numFmtId="2" fontId="15" fillId="0" borderId="389" xfId="0" applyNumberFormat="1" applyFont="1" applyFill="1" applyBorder="1" applyAlignment="1" applyProtection="1">
      <alignment vertical="center"/>
      <protection locked="0"/>
    </xf>
    <xf numFmtId="169" fontId="150" fillId="44" borderId="389" xfId="0" applyNumberFormat="1" applyFont="1" applyFill="1" applyBorder="1" applyAlignment="1">
      <alignment horizontal="right" wrapText="1"/>
    </xf>
    <xf numFmtId="4" fontId="0" fillId="0" borderId="0" xfId="0" applyNumberFormat="1" applyFill="1" applyBorder="1"/>
    <xf numFmtId="4" fontId="90" fillId="0" borderId="393" xfId="0" applyNumberFormat="1" applyFont="1" applyFill="1" applyBorder="1"/>
    <xf numFmtId="2" fontId="151" fillId="44" borderId="389" xfId="0" applyNumberFormat="1" applyFont="1" applyFill="1" applyBorder="1" applyAlignment="1">
      <alignment horizontal="right" vertical="center"/>
    </xf>
    <xf numFmtId="4" fontId="81" fillId="0" borderId="389" xfId="0" applyNumberFormat="1" applyFont="1" applyFill="1" applyBorder="1" applyProtection="1">
      <protection locked="0"/>
    </xf>
    <xf numFmtId="0" fontId="58" fillId="0" borderId="389" xfId="0" applyFont="1" applyBorder="1" applyAlignment="1">
      <alignment horizontal="center" vertical="center"/>
    </xf>
    <xf numFmtId="0" fontId="58" fillId="0" borderId="389" xfId="0" applyFont="1" applyFill="1" applyBorder="1" applyAlignment="1">
      <alignment horizontal="center" vertical="center" wrapText="1"/>
    </xf>
    <xf numFmtId="0" fontId="0" fillId="0" borderId="389" xfId="0" applyFill="1" applyBorder="1" applyAlignment="1">
      <alignment horizontal="center" vertical="center" wrapText="1"/>
    </xf>
    <xf numFmtId="0" fontId="58" fillId="44" borderId="386" xfId="0" applyFont="1" applyFill="1" applyBorder="1" applyAlignment="1">
      <alignment horizontal="center" vertical="center" wrapText="1"/>
    </xf>
    <xf numFmtId="0" fontId="0" fillId="44" borderId="387" xfId="0" applyFill="1" applyBorder="1" applyAlignment="1">
      <alignment horizontal="center" vertical="center" wrapText="1"/>
    </xf>
    <xf numFmtId="0" fontId="0" fillId="0" borderId="387" xfId="0" applyBorder="1" applyAlignment="1">
      <alignment horizontal="center" vertical="center" wrapText="1"/>
    </xf>
    <xf numFmtId="0" fontId="0" fillId="0" borderId="388" xfId="0" applyBorder="1" applyAlignment="1">
      <alignment horizontal="center" vertical="center" wrapText="1"/>
    </xf>
    <xf numFmtId="0" fontId="58" fillId="0" borderId="39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8" fillId="44" borderId="390" xfId="0" applyFont="1" applyFill="1" applyBorder="1" applyAlignment="1">
      <alignment horizontal="center" vertical="center" wrapText="1"/>
    </xf>
    <xf numFmtId="0" fontId="58" fillId="44" borderId="389" xfId="0" applyFont="1" applyFill="1" applyBorder="1" applyAlignment="1">
      <alignment horizontal="center" vertical="center" wrapText="1"/>
    </xf>
    <xf numFmtId="0" fontId="0" fillId="44" borderId="389" xfId="0" applyFill="1" applyBorder="1" applyAlignment="1">
      <alignment horizontal="center" vertical="center" wrapText="1"/>
    </xf>
    <xf numFmtId="0" fontId="0" fillId="0" borderId="389" xfId="0" applyBorder="1" applyAlignment="1">
      <alignment horizontal="center" vertical="center" wrapText="1"/>
    </xf>
    <xf numFmtId="0" fontId="11" fillId="44" borderId="389" xfId="0" applyFont="1" applyFill="1" applyBorder="1" applyAlignment="1">
      <alignment horizontal="center" vertical="center" wrapText="1"/>
    </xf>
    <xf numFmtId="0" fontId="58" fillId="44" borderId="394" xfId="0" applyFont="1" applyFill="1" applyBorder="1" applyAlignment="1">
      <alignment horizontal="center" vertical="center" wrapText="1"/>
    </xf>
    <xf numFmtId="0" fontId="58" fillId="44" borderId="395" xfId="0" applyFont="1" applyFill="1" applyBorder="1" applyAlignment="1">
      <alignment horizontal="center" vertical="center" wrapText="1"/>
    </xf>
    <xf numFmtId="0" fontId="58" fillId="44" borderId="396" xfId="0" applyFont="1" applyFill="1" applyBorder="1" applyAlignment="1">
      <alignment horizontal="center" vertical="center" wrapText="1"/>
    </xf>
    <xf numFmtId="0" fontId="58" fillId="44" borderId="61" xfId="0" applyFont="1" applyFill="1" applyBorder="1" applyAlignment="1">
      <alignment horizontal="center" vertical="center" wrapText="1"/>
    </xf>
    <xf numFmtId="0" fontId="58" fillId="0" borderId="386" xfId="0" applyNumberFormat="1" applyFont="1" applyFill="1" applyBorder="1" applyAlignment="1">
      <alignment horizontal="center" vertical="center" wrapText="1"/>
    </xf>
    <xf numFmtId="0" fontId="0" fillId="0" borderId="387" xfId="0" applyNumberFormat="1" applyFill="1" applyBorder="1" applyAlignment="1">
      <alignment horizontal="center" vertical="center"/>
    </xf>
    <xf numFmtId="0" fontId="0" fillId="0" borderId="388" xfId="0" applyNumberFormat="1" applyFill="1" applyBorder="1" applyAlignment="1">
      <alignment horizontal="center" vertical="center"/>
    </xf>
    <xf numFmtId="0" fontId="58" fillId="44" borderId="386" xfId="0" applyNumberFormat="1" applyFont="1" applyFill="1" applyBorder="1" applyAlignment="1">
      <alignment horizontal="center" vertical="center" wrapText="1"/>
    </xf>
    <xf numFmtId="0" fontId="0" fillId="0" borderId="387" xfId="0" applyNumberFormat="1" applyBorder="1" applyAlignment="1">
      <alignment horizontal="center" vertical="center"/>
    </xf>
    <xf numFmtId="0" fontId="0" fillId="0" borderId="388" xfId="0" applyNumberFormat="1" applyBorder="1" applyAlignment="1">
      <alignment horizontal="center" vertical="center"/>
    </xf>
    <xf numFmtId="0" fontId="58" fillId="0" borderId="386" xfId="0" applyFont="1" applyFill="1" applyBorder="1" applyAlignment="1">
      <alignment horizontal="center" vertical="center" wrapText="1"/>
    </xf>
    <xf numFmtId="0" fontId="0" fillId="0" borderId="387" xfId="0" applyFill="1" applyBorder="1" applyAlignment="1">
      <alignment horizontal="center" vertical="center"/>
    </xf>
    <xf numFmtId="0" fontId="0" fillId="0" borderId="388" xfId="0" applyFill="1" applyBorder="1" applyAlignment="1">
      <alignment horizontal="center" vertical="center"/>
    </xf>
    <xf numFmtId="0" fontId="58" fillId="0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Fill="1" applyBorder="1" applyAlignment="1">
      <alignment horizontal="center" vertical="center"/>
    </xf>
    <xf numFmtId="0" fontId="58" fillId="44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Border="1" applyAlignment="1">
      <alignment horizontal="center" vertical="center"/>
    </xf>
    <xf numFmtId="0" fontId="0" fillId="0" borderId="389" xfId="0" applyFill="1" applyBorder="1" applyAlignment="1">
      <alignment horizontal="center" vertical="center"/>
    </xf>
    <xf numFmtId="0" fontId="58" fillId="44" borderId="389" xfId="0" applyFont="1" applyFill="1" applyBorder="1" applyAlignment="1" applyProtection="1">
      <alignment horizontal="center" vertical="center"/>
    </xf>
    <xf numFmtId="0" fontId="58" fillId="0" borderId="389" xfId="0" applyFont="1" applyFill="1" applyBorder="1" applyAlignment="1" applyProtection="1">
      <alignment horizontal="center" vertical="center" wrapText="1"/>
    </xf>
    <xf numFmtId="0" fontId="58" fillId="0" borderId="389" xfId="0" applyFont="1" applyFill="1" applyBorder="1" applyAlignment="1" applyProtection="1">
      <alignment horizontal="center" vertical="center"/>
    </xf>
    <xf numFmtId="0" fontId="58" fillId="44" borderId="389" xfId="0" applyFont="1" applyFill="1" applyBorder="1" applyAlignment="1" applyProtection="1">
      <alignment horizontal="center" vertical="center" wrapText="1"/>
    </xf>
    <xf numFmtId="0" fontId="58" fillId="0" borderId="389" xfId="0" applyFont="1" applyBorder="1" applyAlignment="1" applyProtection="1">
      <alignment horizontal="center" vertical="center" wrapText="1"/>
    </xf>
    <xf numFmtId="0" fontId="0" fillId="0" borderId="389" xfId="0" applyBorder="1" applyAlignment="1" applyProtection="1">
      <alignment horizontal="center" vertical="center"/>
    </xf>
    <xf numFmtId="0" fontId="58" fillId="30" borderId="389" xfId="0" applyFont="1" applyFill="1" applyBorder="1" applyAlignment="1" applyProtection="1">
      <alignment horizontal="center" vertical="center"/>
    </xf>
    <xf numFmtId="0" fontId="0" fillId="0" borderId="389" xfId="0" applyFill="1" applyBorder="1" applyAlignment="1" applyProtection="1">
      <alignment horizontal="center" vertical="center"/>
    </xf>
    <xf numFmtId="0" fontId="111" fillId="0" borderId="0" xfId="150" applyFont="1" applyAlignment="1">
      <alignment horizontal="center"/>
    </xf>
    <xf numFmtId="0" fontId="11" fillId="0" borderId="0" xfId="0" applyFont="1" applyAlignment="1">
      <alignment horizontal="center"/>
    </xf>
    <xf numFmtId="0" fontId="112" fillId="0" borderId="0" xfId="150" applyFont="1" applyAlignment="1">
      <alignment horizontal="center"/>
    </xf>
    <xf numFmtId="0" fontId="0" fillId="0" borderId="0" xfId="0" applyAlignment="1">
      <alignment horizontal="center"/>
    </xf>
    <xf numFmtId="0" fontId="146" fillId="0" borderId="0" xfId="150" applyFont="1" applyAlignment="1">
      <alignment horizontal="center"/>
    </xf>
    <xf numFmtId="0" fontId="149" fillId="0" borderId="0" xfId="150" applyFont="1" applyAlignment="1">
      <alignment horizontal="center"/>
    </xf>
    <xf numFmtId="0" fontId="112" fillId="0" borderId="0" xfId="150" applyFont="1" applyAlignment="1">
      <alignment horizontal="left"/>
    </xf>
    <xf numFmtId="0" fontId="0" fillId="0" borderId="0" xfId="0" applyAlignment="1">
      <alignment horizontal="left"/>
    </xf>
    <xf numFmtId="0" fontId="14" fillId="0" borderId="380" xfId="0" applyFont="1" applyFill="1" applyBorder="1" applyAlignment="1">
      <alignment horizontal="center" vertical="center"/>
    </xf>
    <xf numFmtId="0" fontId="0" fillId="0" borderId="381" xfId="0" applyFont="1" applyFill="1" applyBorder="1" applyAlignment="1">
      <alignment horizontal="center" vertical="center"/>
    </xf>
    <xf numFmtId="0" fontId="0" fillId="0" borderId="382" xfId="0" applyFont="1" applyFill="1" applyBorder="1" applyAlignment="1">
      <alignment horizontal="center" vertical="center"/>
    </xf>
    <xf numFmtId="0" fontId="61" fillId="0" borderId="0" xfId="0" applyFont="1" applyAlignment="1">
      <alignment wrapText="1"/>
    </xf>
    <xf numFmtId="0" fontId="0" fillId="0" borderId="0" xfId="0" applyAlignment="1"/>
    <xf numFmtId="0" fontId="58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58" fillId="0" borderId="0" xfId="0" applyFont="1" applyAlignment="1">
      <alignment horizontal="left" vertical="top"/>
    </xf>
    <xf numFmtId="0" fontId="58" fillId="0" borderId="0" xfId="0" applyFont="1" applyAlignment="1"/>
    <xf numFmtId="0" fontId="14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wrapText="1"/>
    </xf>
    <xf numFmtId="0" fontId="87" fillId="0" borderId="0" xfId="0" applyFont="1" applyAlignment="1">
      <alignment wrapText="1"/>
    </xf>
    <xf numFmtId="0" fontId="0" fillId="0" borderId="0" xfId="0" applyAlignment="1">
      <alignment wrapText="1"/>
    </xf>
    <xf numFmtId="0" fontId="15" fillId="25" borderId="16" xfId="0" applyFont="1" applyFill="1" applyBorder="1" applyAlignment="1">
      <alignment horizontal="center" vertical="center" wrapText="1"/>
    </xf>
    <xf numFmtId="0" fontId="15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58" fillId="0" borderId="375" xfId="0" applyFont="1" applyBorder="1" applyAlignment="1">
      <alignment horizontal="center" vertical="center"/>
    </xf>
    <xf numFmtId="0" fontId="15" fillId="0" borderId="376" xfId="0" applyFont="1" applyBorder="1" applyAlignment="1">
      <alignment horizontal="center" vertical="center" wrapText="1"/>
    </xf>
    <xf numFmtId="0" fontId="58" fillId="0" borderId="376" xfId="0" applyFont="1" applyBorder="1" applyAlignment="1">
      <alignment horizontal="center" vertical="center"/>
    </xf>
    <xf numFmtId="0" fontId="58" fillId="0" borderId="376" xfId="0" applyFont="1" applyFill="1" applyBorder="1" applyAlignment="1">
      <alignment horizontal="center" vertical="center"/>
    </xf>
    <xf numFmtId="0" fontId="58" fillId="0" borderId="377" xfId="0" applyFont="1" applyFill="1" applyBorder="1" applyAlignment="1">
      <alignment horizontal="center" vertical="center"/>
    </xf>
    <xf numFmtId="0" fontId="15" fillId="29" borderId="375" xfId="0" applyFont="1" applyFill="1" applyBorder="1" applyAlignment="1">
      <alignment horizontal="center"/>
    </xf>
    <xf numFmtId="0" fontId="0" fillId="0" borderId="376" xfId="0" applyFont="1" applyBorder="1" applyAlignment="1">
      <alignment horizontal="center"/>
    </xf>
    <xf numFmtId="0" fontId="0" fillId="0" borderId="376" xfId="0" applyFont="1" applyBorder="1" applyAlignment="1"/>
    <xf numFmtId="0" fontId="0" fillId="0" borderId="377" xfId="0" applyFont="1" applyBorder="1" applyAlignment="1"/>
    <xf numFmtId="0" fontId="15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58" fillId="0" borderId="375" xfId="0" applyFont="1" applyBorder="1" applyAlignment="1">
      <alignment horizontal="center" vertical="center" wrapText="1"/>
    </xf>
    <xf numFmtId="0" fontId="0" fillId="0" borderId="375" xfId="0" applyFont="1" applyBorder="1" applyAlignment="1">
      <alignment horizontal="center" vertical="center" wrapText="1"/>
    </xf>
    <xf numFmtId="0" fontId="58" fillId="0" borderId="360" xfId="0" applyFont="1" applyBorder="1" applyAlignment="1">
      <alignment horizontal="center" vertical="center"/>
    </xf>
    <xf numFmtId="0" fontId="58" fillId="44" borderId="360" xfId="0" applyFont="1" applyFill="1" applyBorder="1" applyAlignment="1">
      <alignment horizontal="center" vertical="center"/>
    </xf>
    <xf numFmtId="0" fontId="58" fillId="31" borderId="0" xfId="0" applyFont="1" applyFill="1" applyBorder="1" applyAlignment="1">
      <alignment vertical="center"/>
    </xf>
    <xf numFmtId="0" fontId="15" fillId="29" borderId="361" xfId="0" applyFont="1" applyFill="1" applyBorder="1" applyAlignment="1">
      <alignment horizontal="center" vertical="center" wrapText="1"/>
    </xf>
    <xf numFmtId="0" fontId="0" fillId="0" borderId="362" xfId="0" applyFont="1" applyBorder="1" applyAlignment="1">
      <alignment horizontal="center"/>
    </xf>
    <xf numFmtId="0" fontId="0" fillId="0" borderId="363" xfId="0" applyFont="1" applyBorder="1" applyAlignment="1">
      <alignment horizontal="center"/>
    </xf>
    <xf numFmtId="0" fontId="58" fillId="44" borderId="360" xfId="0" applyFont="1" applyFill="1" applyBorder="1" applyAlignment="1">
      <alignment horizontal="center" vertical="center" wrapText="1"/>
    </xf>
    <xf numFmtId="0" fontId="0" fillId="44" borderId="360" xfId="0" applyFont="1" applyFill="1" applyBorder="1" applyAlignment="1">
      <alignment horizontal="center" vertical="center" wrapText="1"/>
    </xf>
    <xf numFmtId="0" fontId="15" fillId="29" borderId="361" xfId="0" applyFont="1" applyFill="1" applyBorder="1" applyAlignment="1">
      <alignment horizontal="center"/>
    </xf>
    <xf numFmtId="0" fontId="0" fillId="0" borderId="362" xfId="0" applyFont="1" applyBorder="1" applyAlignment="1"/>
    <xf numFmtId="0" fontId="0" fillId="0" borderId="363" xfId="0" applyFont="1" applyBorder="1" applyAlignment="1"/>
    <xf numFmtId="0" fontId="6" fillId="29" borderId="362" xfId="0" applyFont="1" applyFill="1" applyBorder="1" applyAlignment="1">
      <alignment horizontal="center"/>
    </xf>
    <xf numFmtId="0" fontId="6" fillId="29" borderId="363" xfId="0" applyFont="1" applyFill="1" applyBorder="1" applyAlignment="1">
      <alignment horizontal="center"/>
    </xf>
    <xf numFmtId="0" fontId="58" fillId="0" borderId="360" xfId="0" applyFont="1" applyBorder="1" applyAlignment="1">
      <alignment horizontal="center" vertical="center" wrapText="1"/>
    </xf>
    <xf numFmtId="0" fontId="0" fillId="0" borderId="360" xfId="0" applyFont="1" applyBorder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87" fillId="0" borderId="0" xfId="0" applyFont="1" applyAlignment="1"/>
    <xf numFmtId="0" fontId="15" fillId="25" borderId="360" xfId="0" applyFont="1" applyFill="1" applyBorder="1" applyAlignment="1">
      <alignment horizontal="center" vertical="center" wrapText="1"/>
    </xf>
    <xf numFmtId="0" fontId="0" fillId="0" borderId="360" xfId="0" applyBorder="1" applyAlignment="1"/>
    <xf numFmtId="0" fontId="0" fillId="44" borderId="360" xfId="0" applyFill="1" applyBorder="1" applyAlignment="1">
      <alignment horizontal="center" vertical="center" wrapText="1"/>
    </xf>
    <xf numFmtId="0" fontId="15" fillId="29" borderId="35" xfId="0" applyFont="1" applyFill="1" applyBorder="1" applyAlignment="1">
      <alignment horizontal="center" vertical="center" wrapText="1"/>
    </xf>
    <xf numFmtId="0" fontId="15" fillId="29" borderId="360" xfId="0" applyFont="1" applyFill="1" applyBorder="1" applyAlignment="1">
      <alignment horizontal="center"/>
    </xf>
    <xf numFmtId="0" fontId="0" fillId="0" borderId="360" xfId="0" applyFont="1" applyBorder="1" applyAlignment="1">
      <alignment horizontal="center"/>
    </xf>
    <xf numFmtId="0" fontId="0" fillId="0" borderId="360" xfId="0" applyFont="1" applyBorder="1" applyAlignment="1"/>
    <xf numFmtId="0" fontId="11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58" fillId="31" borderId="66" xfId="0" applyFont="1" applyFill="1" applyBorder="1" applyAlignment="1">
      <alignment horizontal="center" vertical="center"/>
    </xf>
    <xf numFmtId="0" fontId="15" fillId="29" borderId="360" xfId="0" applyFont="1" applyFill="1" applyBorder="1" applyAlignment="1">
      <alignment horizontal="center" vertical="center" wrapText="1"/>
    </xf>
    <xf numFmtId="0" fontId="0" fillId="0" borderId="360" xfId="0" applyBorder="1" applyAlignment="1">
      <alignment horizontal="center"/>
    </xf>
    <xf numFmtId="0" fontId="68" fillId="0" borderId="0" xfId="0" applyFont="1" applyAlignment="1">
      <alignment horizontal="center" vertical="center"/>
    </xf>
    <xf numFmtId="0" fontId="87" fillId="0" borderId="0" xfId="0" applyFont="1" applyAlignment="1">
      <alignment vertical="center"/>
    </xf>
    <xf numFmtId="0" fontId="15" fillId="29" borderId="360" xfId="0" applyFont="1" applyFill="1" applyBorder="1" applyAlignment="1">
      <alignment horizontal="center" vertical="center"/>
    </xf>
    <xf numFmtId="0" fontId="0" fillId="0" borderId="360" xfId="0" applyBorder="1" applyAlignment="1">
      <alignment horizontal="center" vertical="center"/>
    </xf>
    <xf numFmtId="176" fontId="82" fillId="35" borderId="247" xfId="96" applyNumberFormat="1" applyFont="1" applyFill="1" applyBorder="1" applyAlignment="1">
      <alignment horizontal="center" vertical="center" wrapText="1"/>
    </xf>
    <xf numFmtId="176" fontId="82" fillId="35" borderId="61" xfId="96" applyNumberFormat="1" applyFont="1" applyFill="1" applyBorder="1" applyAlignment="1">
      <alignment horizontal="center" vertical="center" wrapText="1"/>
    </xf>
    <xf numFmtId="176" fontId="82" fillId="35" borderId="11" xfId="96" applyNumberFormat="1" applyFont="1" applyFill="1" applyBorder="1" applyAlignment="1">
      <alignment horizontal="center" vertical="center" wrapText="1"/>
    </xf>
    <xf numFmtId="0" fontId="82" fillId="35" borderId="247" xfId="96" applyFont="1" applyFill="1" applyBorder="1" applyAlignment="1">
      <alignment horizontal="center" vertical="center" wrapText="1"/>
    </xf>
    <xf numFmtId="0" fontId="82" fillId="35" borderId="61" xfId="96" applyFont="1" applyFill="1" applyBorder="1" applyAlignment="1">
      <alignment horizontal="center" vertical="center" wrapText="1"/>
    </xf>
    <xf numFmtId="0" fontId="82" fillId="35" borderId="11" xfId="96" applyFont="1" applyFill="1" applyBorder="1" applyAlignment="1">
      <alignment horizontal="center" vertical="center" wrapText="1"/>
    </xf>
    <xf numFmtId="0" fontId="82" fillId="27" borderId="247" xfId="96" applyFont="1" applyFill="1" applyBorder="1" applyAlignment="1">
      <alignment horizontal="center" vertical="center" wrapText="1"/>
    </xf>
    <xf numFmtId="0" fontId="82" fillId="27" borderId="248" xfId="96" applyFont="1" applyFill="1" applyBorder="1" applyAlignment="1">
      <alignment horizontal="center" vertical="center" wrapText="1"/>
    </xf>
    <xf numFmtId="0" fontId="82" fillId="27" borderId="246" xfId="96" applyFont="1" applyFill="1" applyBorder="1" applyAlignment="1">
      <alignment horizontal="center" vertical="center" wrapText="1"/>
    </xf>
    <xf numFmtId="0" fontId="46" fillId="43" borderId="0" xfId="96" applyFont="1" applyFill="1" applyAlignment="1">
      <alignment horizontal="right"/>
    </xf>
    <xf numFmtId="0" fontId="0" fillId="0" borderId="0" xfId="0" applyAlignment="1">
      <alignment horizontal="right"/>
    </xf>
    <xf numFmtId="0" fontId="15" fillId="43" borderId="0" xfId="96" applyFont="1" applyFill="1" applyAlignment="1">
      <alignment horizontal="center"/>
    </xf>
    <xf numFmtId="0" fontId="82" fillId="27" borderId="242" xfId="96" applyFont="1" applyFill="1" applyBorder="1" applyAlignment="1">
      <alignment horizontal="center" vertical="center" wrapText="1"/>
    </xf>
    <xf numFmtId="0" fontId="82" fillId="27" borderId="243" xfId="96" applyFont="1" applyFill="1" applyBorder="1" applyAlignment="1">
      <alignment horizontal="center" vertical="center" wrapText="1"/>
    </xf>
    <xf numFmtId="0" fontId="82" fillId="27" borderId="244" xfId="96" applyFont="1" applyFill="1" applyBorder="1" applyAlignment="1">
      <alignment horizontal="center" vertical="center" wrapText="1"/>
    </xf>
    <xf numFmtId="0" fontId="82" fillId="27" borderId="245" xfId="96" applyFont="1" applyFill="1" applyBorder="1" applyAlignment="1">
      <alignment horizontal="center" vertical="center" wrapText="1"/>
    </xf>
    <xf numFmtId="0" fontId="82" fillId="27" borderId="31" xfId="96" applyFont="1" applyFill="1" applyBorder="1" applyAlignment="1">
      <alignment horizontal="center" vertical="center" wrapText="1"/>
    </xf>
    <xf numFmtId="0" fontId="82" fillId="27" borderId="324" xfId="96" applyFont="1" applyFill="1" applyBorder="1" applyAlignment="1">
      <alignment horizontal="center" vertical="center" wrapText="1"/>
    </xf>
    <xf numFmtId="0" fontId="0" fillId="0" borderId="324" xfId="0" applyBorder="1" applyAlignment="1">
      <alignment horizontal="center" vertical="center" wrapText="1"/>
    </xf>
    <xf numFmtId="0" fontId="82" fillId="27" borderId="325" xfId="96" applyFont="1" applyFill="1" applyBorder="1" applyAlignment="1">
      <alignment horizontal="center" vertical="center" wrapText="1"/>
    </xf>
    <xf numFmtId="0" fontId="82" fillId="27" borderId="326" xfId="96" applyFont="1" applyFill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11" fillId="0" borderId="275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274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58" fillId="0" borderId="281" xfId="0" applyFont="1" applyBorder="1" applyAlignment="1">
      <alignment horizontal="center" vertical="center" wrapText="1"/>
    </xf>
    <xf numFmtId="0" fontId="58" fillId="0" borderId="274" xfId="0" applyFont="1" applyBorder="1" applyAlignment="1">
      <alignment horizontal="center" vertical="center" wrapText="1"/>
    </xf>
    <xf numFmtId="0" fontId="58" fillId="0" borderId="278" xfId="0" applyFont="1" applyBorder="1" applyAlignment="1">
      <alignment horizontal="center" vertical="center" wrapText="1"/>
    </xf>
    <xf numFmtId="0" fontId="58" fillId="0" borderId="275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58" fillId="0" borderId="282" xfId="0" applyFont="1" applyBorder="1" applyAlignment="1">
      <alignment horizontal="center" vertical="center" wrapText="1"/>
    </xf>
    <xf numFmtId="0" fontId="58" fillId="0" borderId="272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0" fillId="0" borderId="69" xfId="0" applyBorder="1" applyAlignment="1"/>
    <xf numFmtId="0" fontId="0" fillId="0" borderId="69" xfId="0" applyBorder="1" applyAlignment="1">
      <alignment horizontal="center" vertical="center" wrapText="1"/>
    </xf>
    <xf numFmtId="0" fontId="0" fillId="0" borderId="278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wrapText="1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9" xfId="0" applyFont="1" applyBorder="1" applyAlignment="1">
      <alignment horizontal="center"/>
    </xf>
    <xf numFmtId="0" fontId="15" fillId="29" borderId="73" xfId="0" applyFont="1" applyFill="1" applyBorder="1" applyAlignment="1">
      <alignment horizontal="center" vertical="center" wrapText="1"/>
    </xf>
    <xf numFmtId="0" fontId="0" fillId="29" borderId="69" xfId="0" applyFill="1" applyBorder="1" applyAlignment="1">
      <alignment horizontal="center" vertical="center"/>
    </xf>
    <xf numFmtId="0" fontId="15" fillId="29" borderId="52" xfId="0" applyFont="1" applyFill="1" applyBorder="1" applyAlignment="1">
      <alignment horizontal="center" vertical="center"/>
    </xf>
    <xf numFmtId="0" fontId="60" fillId="29" borderId="53" xfId="0" applyFont="1" applyFill="1" applyBorder="1" applyAlignment="1"/>
    <xf numFmtId="0" fontId="0" fillId="0" borderId="53" xfId="0" applyBorder="1" applyAlignment="1"/>
    <xf numFmtId="0" fontId="0" fillId="0" borderId="59" xfId="0" applyBorder="1" applyAlignment="1"/>
    <xf numFmtId="0" fontId="15" fillId="25" borderId="52" xfId="0" applyFont="1" applyFill="1" applyBorder="1" applyAlignment="1">
      <alignment horizontal="center" vertical="center"/>
    </xf>
    <xf numFmtId="0" fontId="15" fillId="25" borderId="53" xfId="0" applyFont="1" applyFill="1" applyBorder="1" applyAlignment="1">
      <alignment horizontal="center" vertical="center"/>
    </xf>
    <xf numFmtId="0" fontId="58" fillId="0" borderId="273" xfId="0" applyFont="1" applyBorder="1" applyAlignment="1">
      <alignment horizontal="center" vertical="center" wrapText="1"/>
    </xf>
    <xf numFmtId="0" fontId="58" fillId="0" borderId="271" xfId="0" applyFont="1" applyBorder="1" applyAlignment="1">
      <alignment horizontal="center" vertical="center" wrapText="1"/>
    </xf>
    <xf numFmtId="0" fontId="58" fillId="0" borderId="66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/>
    </xf>
    <xf numFmtId="0" fontId="58" fillId="0" borderId="285" xfId="0" applyFont="1" applyFill="1" applyBorder="1" applyAlignment="1">
      <alignment horizontal="center" vertical="center"/>
    </xf>
    <xf numFmtId="0" fontId="58" fillId="0" borderId="270" xfId="0" applyFont="1" applyFill="1" applyBorder="1" applyAlignment="1">
      <alignment horizontal="center" vertical="center"/>
    </xf>
    <xf numFmtId="0" fontId="0" fillId="0" borderId="282" xfId="0" applyBorder="1" applyAlignment="1">
      <alignment horizontal="center" vertical="center" wrapText="1"/>
    </xf>
    <xf numFmtId="0" fontId="0" fillId="0" borderId="272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38" xfId="0" applyBorder="1" applyAlignment="1">
      <alignment vertical="center" wrapText="1"/>
    </xf>
    <xf numFmtId="0" fontId="56" fillId="0" borderId="0" xfId="0" applyFont="1" applyAlignment="1">
      <alignment horizontal="right" vertical="center"/>
    </xf>
    <xf numFmtId="0" fontId="85" fillId="0" borderId="0" xfId="0" applyFont="1" applyAlignment="1">
      <alignment horizontal="center" vertical="center"/>
    </xf>
    <xf numFmtId="0" fontId="135" fillId="0" borderId="0" xfId="0" applyFont="1" applyAlignment="1">
      <alignment vertical="center"/>
    </xf>
    <xf numFmtId="0" fontId="58" fillId="0" borderId="274" xfId="0" applyFont="1" applyFill="1" applyBorder="1" applyAlignment="1">
      <alignment horizontal="center" vertical="center" wrapText="1"/>
    </xf>
    <xf numFmtId="0" fontId="58" fillId="0" borderId="49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58" fillId="0" borderId="272" xfId="0" applyFont="1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 wrapText="1"/>
    </xf>
    <xf numFmtId="0" fontId="58" fillId="0" borderId="275" xfId="0" applyFont="1" applyFill="1" applyBorder="1" applyAlignment="1">
      <alignment horizontal="center" vertical="center" wrapText="1"/>
    </xf>
    <xf numFmtId="0" fontId="0" fillId="0" borderId="67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58" fillId="29" borderId="270" xfId="0" applyFont="1" applyFill="1" applyBorder="1" applyAlignment="1">
      <alignment horizontal="center" vertical="center" wrapText="1"/>
    </xf>
    <xf numFmtId="0" fontId="58" fillId="29" borderId="46" xfId="0" applyFont="1" applyFill="1" applyBorder="1" applyAlignment="1">
      <alignment horizontal="center" vertical="center" wrapText="1"/>
    </xf>
    <xf numFmtId="0" fontId="0" fillId="29" borderId="57" xfId="0" applyFill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center"/>
    </xf>
    <xf numFmtId="0" fontId="60" fillId="0" borderId="0" xfId="0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11" fillId="0" borderId="40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15" fillId="0" borderId="73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58" fillId="0" borderId="142" xfId="0" applyFont="1" applyBorder="1" applyAlignment="1">
      <alignment horizontal="center" vertical="center" wrapText="1"/>
    </xf>
    <xf numFmtId="0" fontId="58" fillId="0" borderId="143" xfId="0" applyFont="1" applyBorder="1" applyAlignment="1">
      <alignment horizontal="center" vertical="center" wrapText="1"/>
    </xf>
    <xf numFmtId="0" fontId="58" fillId="0" borderId="144" xfId="0" applyFont="1" applyBorder="1" applyAlignment="1">
      <alignment horizontal="center" vertical="center" wrapText="1"/>
    </xf>
    <xf numFmtId="0" fontId="58" fillId="0" borderId="146" xfId="0" applyFont="1" applyBorder="1" applyAlignment="1">
      <alignment horizontal="center" vertical="center" wrapText="1"/>
    </xf>
    <xf numFmtId="0" fontId="58" fillId="0" borderId="30" xfId="0" applyFont="1" applyBorder="1" applyAlignment="1">
      <alignment horizontal="left" vertical="center" wrapText="1"/>
    </xf>
    <xf numFmtId="0" fontId="58" fillId="0" borderId="18" xfId="0" applyFont="1" applyBorder="1" applyAlignment="1">
      <alignment horizontal="left" vertical="center" wrapText="1"/>
    </xf>
    <xf numFmtId="0" fontId="58" fillId="0" borderId="127" xfId="0" applyFont="1" applyBorder="1" applyAlignment="1">
      <alignment horizontal="center" vertical="center" wrapText="1"/>
    </xf>
    <xf numFmtId="0" fontId="58" fillId="0" borderId="149" xfId="0" applyFont="1" applyBorder="1" applyAlignment="1">
      <alignment horizontal="center" vertical="center" wrapText="1"/>
    </xf>
    <xf numFmtId="0" fontId="58" fillId="0" borderId="54" xfId="0" applyFont="1" applyBorder="1" applyAlignment="1">
      <alignment horizontal="center" vertical="center" wrapText="1"/>
    </xf>
    <xf numFmtId="0" fontId="60" fillId="29" borderId="55" xfId="0" applyFont="1" applyFill="1" applyBorder="1" applyAlignment="1"/>
    <xf numFmtId="0" fontId="60" fillId="29" borderId="59" xfId="0" applyFont="1" applyFill="1" applyBorder="1" applyAlignment="1"/>
    <xf numFmtId="0" fontId="58" fillId="0" borderId="16" xfId="0" applyFont="1" applyBorder="1" applyAlignment="1">
      <alignment horizontal="left" vertical="center" wrapText="1"/>
    </xf>
    <xf numFmtId="0" fontId="58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58" fillId="0" borderId="20" xfId="0" applyFont="1" applyBorder="1" applyAlignment="1">
      <alignment horizontal="left" vertical="center" wrapText="1"/>
    </xf>
    <xf numFmtId="0" fontId="58" fillId="0" borderId="92" xfId="0" applyFont="1" applyBorder="1" applyAlignment="1">
      <alignment horizontal="center" vertical="center" wrapText="1"/>
    </xf>
    <xf numFmtId="0" fontId="58" fillId="0" borderId="87" xfId="0" applyFont="1" applyBorder="1" applyAlignment="1">
      <alignment horizontal="center" vertical="center" wrapText="1"/>
    </xf>
    <xf numFmtId="0" fontId="58" fillId="0" borderId="14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0" xfId="0" applyBorder="1" applyAlignment="1">
      <alignment horizontal="center"/>
    </xf>
    <xf numFmtId="0" fontId="15" fillId="0" borderId="73" xfId="0" applyFont="1" applyFill="1" applyBorder="1" applyAlignment="1">
      <alignment horizontal="center" vertical="center" wrapText="1"/>
    </xf>
    <xf numFmtId="0" fontId="15" fillId="0" borderId="71" xfId="0" applyFont="1" applyFill="1" applyBorder="1" applyAlignment="1">
      <alignment horizontal="center" vertical="center" wrapText="1"/>
    </xf>
    <xf numFmtId="0" fontId="15" fillId="0" borderId="69" xfId="0" applyFont="1" applyFill="1" applyBorder="1" applyAlignment="1">
      <alignment horizontal="center" vertical="center" wrapText="1"/>
    </xf>
    <xf numFmtId="0" fontId="58" fillId="0" borderId="163" xfId="0" applyFont="1" applyBorder="1" applyAlignment="1">
      <alignment horizontal="left" vertical="center" wrapText="1"/>
    </xf>
    <xf numFmtId="0" fontId="58" fillId="0" borderId="127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1" fillId="0" borderId="161" xfId="0" applyFont="1" applyBorder="1" applyAlignment="1">
      <alignment horizontal="left" vertical="center" wrapText="1"/>
    </xf>
    <xf numFmtId="0" fontId="0" fillId="0" borderId="162" xfId="0" applyBorder="1" applyAlignment="1">
      <alignment horizontal="left" vertical="center" wrapText="1"/>
    </xf>
    <xf numFmtId="0" fontId="15" fillId="25" borderId="54" xfId="0" applyFont="1" applyFill="1" applyBorder="1" applyAlignment="1">
      <alignment horizontal="center" vertical="center" wrapText="1"/>
    </xf>
    <xf numFmtId="0" fontId="15" fillId="25" borderId="0" xfId="0" applyFont="1" applyFill="1" applyBorder="1" applyAlignment="1">
      <alignment horizontal="center" vertical="center" wrapText="1"/>
    </xf>
    <xf numFmtId="0" fontId="15" fillId="25" borderId="60" xfId="0" applyFont="1" applyFill="1" applyBorder="1" applyAlignment="1">
      <alignment horizontal="center" vertical="center" wrapText="1"/>
    </xf>
    <xf numFmtId="0" fontId="11" fillId="0" borderId="163" xfId="0" applyFont="1" applyBorder="1" applyAlignment="1">
      <alignment horizontal="left" vertical="center" wrapText="1"/>
    </xf>
    <xf numFmtId="0" fontId="11" fillId="0" borderId="127" xfId="0" applyFont="1" applyBorder="1" applyAlignment="1">
      <alignment horizontal="left" vertical="center" wrapText="1"/>
    </xf>
    <xf numFmtId="0" fontId="11" fillId="0" borderId="10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59" fillId="0" borderId="20" xfId="0" applyFont="1" applyBorder="1" applyAlignment="1">
      <alignment horizontal="left"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58" fillId="0" borderId="14" xfId="0" applyFont="1" applyBorder="1" applyAlignment="1">
      <alignment horizontal="center" vertical="center"/>
    </xf>
    <xf numFmtId="0" fontId="0" fillId="0" borderId="71" xfId="0" applyBorder="1" applyAlignment="1"/>
    <xf numFmtId="0" fontId="58" fillId="0" borderId="30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0" fontId="58" fillId="0" borderId="20" xfId="0" applyFont="1" applyBorder="1" applyAlignment="1">
      <alignment horizontal="center" vertical="center"/>
    </xf>
    <xf numFmtId="0" fontId="58" fillId="0" borderId="65" xfId="0" applyFont="1" applyBorder="1" applyAlignment="1">
      <alignment horizontal="center" vertical="center"/>
    </xf>
    <xf numFmtId="0" fontId="58" fillId="0" borderId="88" xfId="0" applyFont="1" applyBorder="1" applyAlignment="1">
      <alignment horizontal="center" vertical="center"/>
    </xf>
    <xf numFmtId="0" fontId="58" fillId="0" borderId="130" xfId="0" applyFont="1" applyBorder="1" applyAlignment="1">
      <alignment horizontal="center"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128" xfId="0" applyFont="1" applyBorder="1" applyAlignment="1">
      <alignment horizontal="center" vertical="center" wrapText="1"/>
    </xf>
    <xf numFmtId="0" fontId="58" fillId="0" borderId="161" xfId="0" applyFont="1" applyBorder="1" applyAlignment="1">
      <alignment horizontal="center" vertical="center" wrapText="1"/>
    </xf>
    <xf numFmtId="0" fontId="58" fillId="0" borderId="159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 wrapText="1"/>
    </xf>
    <xf numFmtId="0" fontId="58" fillId="0" borderId="88" xfId="0" applyFont="1" applyBorder="1" applyAlignment="1">
      <alignment horizontal="center" vertical="center" wrapText="1"/>
    </xf>
    <xf numFmtId="0" fontId="58" fillId="0" borderId="156" xfId="0" applyFont="1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63" xfId="0" applyFont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1" fillId="0" borderId="69" xfId="0" applyFont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36" fillId="0" borderId="0" xfId="0" applyFont="1" applyAlignment="1"/>
    <xf numFmtId="0" fontId="15" fillId="0" borderId="58" xfId="0" applyFont="1" applyFill="1" applyBorder="1" applyAlignment="1">
      <alignment horizontal="center" vertical="center" wrapText="1"/>
    </xf>
    <xf numFmtId="0" fontId="6" fillId="0" borderId="5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58" fillId="0" borderId="21" xfId="0" applyFont="1" applyFill="1" applyBorder="1" applyAlignment="1">
      <alignment horizontal="center" vertical="center" wrapText="1"/>
    </xf>
    <xf numFmtId="0" fontId="0" fillId="0" borderId="96" xfId="0" applyFill="1" applyBorder="1" applyAlignment="1">
      <alignment horizontal="center" vertical="center" wrapText="1"/>
    </xf>
    <xf numFmtId="0" fontId="58" fillId="0" borderId="114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 wrapText="1"/>
    </xf>
    <xf numFmtId="0" fontId="58" fillId="0" borderId="96" xfId="0" applyFont="1" applyBorder="1" applyAlignment="1">
      <alignment horizontal="center" vertical="center" wrapText="1"/>
    </xf>
    <xf numFmtId="0" fontId="58" fillId="0" borderId="122" xfId="0" applyFont="1" applyBorder="1" applyAlignment="1">
      <alignment horizontal="center" vertical="center" wrapText="1"/>
    </xf>
    <xf numFmtId="0" fontId="58" fillId="0" borderId="61" xfId="0" applyFont="1" applyBorder="1" applyAlignment="1">
      <alignment horizontal="center" vertical="center" wrapText="1"/>
    </xf>
    <xf numFmtId="0" fontId="58" fillId="0" borderId="43" xfId="0" applyFont="1" applyBorder="1" applyAlignment="1">
      <alignment horizontal="center" vertical="center" wrapText="1"/>
    </xf>
    <xf numFmtId="0" fontId="58" fillId="0" borderId="103" xfId="0" applyFont="1" applyBorder="1" applyAlignment="1">
      <alignment horizontal="center" vertical="center" wrapText="1"/>
    </xf>
    <xf numFmtId="0" fontId="58" fillId="0" borderId="121" xfId="0" applyFont="1" applyBorder="1" applyAlignment="1">
      <alignment horizontal="center" vertical="center" wrapText="1"/>
    </xf>
    <xf numFmtId="0" fontId="58" fillId="0" borderId="5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/>
    </xf>
    <xf numFmtId="0" fontId="58" fillId="0" borderId="30" xfId="0" applyFont="1" applyBorder="1" applyAlignment="1">
      <alignment horizontal="center" vertical="center" wrapText="1"/>
    </xf>
    <xf numFmtId="0" fontId="58" fillId="0" borderId="10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56" fillId="0" borderId="53" xfId="0" applyFont="1" applyBorder="1" applyAlignment="1">
      <alignment horizontal="center" vertical="center" wrapText="1"/>
    </xf>
    <xf numFmtId="0" fontId="56" fillId="0" borderId="59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76" xfId="0" applyFont="1" applyBorder="1" applyAlignment="1">
      <alignment horizontal="center" vertical="center" wrapText="1"/>
    </xf>
    <xf numFmtId="0" fontId="16" fillId="0" borderId="77" xfId="0" applyFont="1" applyBorder="1" applyAlignment="1">
      <alignment horizontal="center" vertical="center" wrapText="1"/>
    </xf>
    <xf numFmtId="0" fontId="79" fillId="0" borderId="102" xfId="0" applyFont="1" applyBorder="1" applyAlignment="1">
      <alignment horizontal="center" vertical="center" wrapText="1"/>
    </xf>
    <xf numFmtId="0" fontId="79" fillId="0" borderId="103" xfId="0" applyFont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11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48" fillId="0" borderId="96" xfId="0" applyFont="1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48" fillId="0" borderId="212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125" xfId="0" applyFont="1" applyFill="1" applyBorder="1" applyAlignment="1">
      <alignment horizontal="center" vertical="center" wrapText="1"/>
    </xf>
    <xf numFmtId="0" fontId="58" fillId="0" borderId="99" xfId="0" applyFont="1" applyFill="1" applyBorder="1" applyAlignment="1">
      <alignment horizontal="center" vertical="center" wrapText="1"/>
    </xf>
    <xf numFmtId="0" fontId="6" fillId="25" borderId="25" xfId="0" applyFont="1" applyFill="1" applyBorder="1" applyAlignment="1">
      <alignment horizontal="center"/>
    </xf>
    <xf numFmtId="0" fontId="6" fillId="25" borderId="26" xfId="0" applyFont="1" applyFill="1" applyBorder="1" applyAlignment="1">
      <alignment horizontal="center"/>
    </xf>
    <xf numFmtId="0" fontId="6" fillId="25" borderId="28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53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6" fillId="25" borderId="0" xfId="0" applyFont="1" applyFill="1" applyBorder="1" applyAlignment="1">
      <alignment horizontal="center"/>
    </xf>
    <xf numFmtId="0" fontId="6" fillId="25" borderId="36" xfId="0" applyFont="1" applyFill="1" applyBorder="1" applyAlignment="1">
      <alignment horizontal="center"/>
    </xf>
    <xf numFmtId="0" fontId="15" fillId="0" borderId="52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0" fontId="15" fillId="0" borderId="59" xfId="0" applyFont="1" applyFill="1" applyBorder="1" applyAlignment="1">
      <alignment horizontal="center" vertical="center"/>
    </xf>
    <xf numFmtId="0" fontId="16" fillId="29" borderId="75" xfId="0" applyFont="1" applyFill="1" applyBorder="1" applyAlignment="1">
      <alignment horizontal="center" vertical="center" wrapText="1"/>
    </xf>
    <xf numFmtId="0" fontId="16" fillId="29" borderId="76" xfId="0" applyFont="1" applyFill="1" applyBorder="1" applyAlignment="1">
      <alignment horizontal="center" vertical="center" wrapText="1"/>
    </xf>
    <xf numFmtId="0" fontId="16" fillId="29" borderId="77" xfId="0" applyFont="1" applyFill="1" applyBorder="1" applyAlignment="1">
      <alignment horizontal="center" vertical="center" wrapText="1"/>
    </xf>
    <xf numFmtId="0" fontId="15" fillId="29" borderId="58" xfId="0" applyFont="1" applyFill="1" applyBorder="1" applyAlignment="1">
      <alignment horizontal="center" vertical="center" wrapText="1"/>
    </xf>
    <xf numFmtId="0" fontId="6" fillId="29" borderId="58" xfId="0" applyFont="1" applyFill="1" applyBorder="1" applyAlignment="1">
      <alignment horizontal="center" vertical="center" wrapText="1"/>
    </xf>
    <xf numFmtId="0" fontId="58" fillId="29" borderId="37" xfId="0" applyFont="1" applyFill="1" applyBorder="1" applyAlignment="1">
      <alignment horizontal="center" vertical="center" wrapText="1"/>
    </xf>
    <xf numFmtId="0" fontId="0" fillId="29" borderId="21" xfId="0" applyFill="1" applyBorder="1" applyAlignment="1">
      <alignment horizontal="center" vertical="center" wrapText="1"/>
    </xf>
    <xf numFmtId="0" fontId="59" fillId="29" borderId="11" xfId="0" applyFont="1" applyFill="1" applyBorder="1" applyAlignment="1">
      <alignment horizontal="center" vertical="center" wrapText="1"/>
    </xf>
    <xf numFmtId="0" fontId="48" fillId="29" borderId="96" xfId="0" applyFont="1" applyFill="1" applyBorder="1" applyAlignment="1">
      <alignment horizontal="center" vertical="center" wrapText="1"/>
    </xf>
    <xf numFmtId="0" fontId="58" fillId="29" borderId="11" xfId="0" applyFont="1" applyFill="1" applyBorder="1" applyAlignment="1">
      <alignment horizontal="center" vertical="center" wrapText="1"/>
    </xf>
    <xf numFmtId="0" fontId="0" fillId="29" borderId="38" xfId="0" applyFill="1" applyBorder="1" applyAlignment="1">
      <alignment horizontal="center" vertical="center" wrapText="1"/>
    </xf>
    <xf numFmtId="0" fontId="0" fillId="29" borderId="216" xfId="0" applyFill="1" applyBorder="1" applyAlignment="1">
      <alignment horizontal="center" vertical="center" wrapText="1"/>
    </xf>
    <xf numFmtId="0" fontId="59" fillId="29" borderId="17" xfId="0" applyFont="1" applyFill="1" applyBorder="1" applyAlignment="1">
      <alignment horizontal="center" vertical="center" wrapText="1"/>
    </xf>
    <xf numFmtId="0" fontId="48" fillId="29" borderId="33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 vertical="center" wrapText="1"/>
    </xf>
    <xf numFmtId="0" fontId="80" fillId="0" borderId="60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/>
    </xf>
    <xf numFmtId="0" fontId="58" fillId="0" borderId="21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5" fillId="0" borderId="52" xfId="0" applyFont="1" applyBorder="1" applyAlignment="1">
      <alignment horizontal="center"/>
    </xf>
    <xf numFmtId="0" fontId="15" fillId="0" borderId="53" xfId="0" applyFont="1" applyBorder="1" applyAlignment="1">
      <alignment horizontal="center"/>
    </xf>
    <xf numFmtId="0" fontId="15" fillId="0" borderId="59" xfId="0" applyFont="1" applyBorder="1" applyAlignment="1">
      <alignment horizontal="center"/>
    </xf>
    <xf numFmtId="0" fontId="15" fillId="29" borderId="54" xfId="0" applyFont="1" applyFill="1" applyBorder="1" applyAlignment="1">
      <alignment horizontal="center" vertical="center" wrapText="1"/>
    </xf>
    <xf numFmtId="0" fontId="60" fillId="29" borderId="0" xfId="0" applyFont="1" applyFill="1" applyBorder="1"/>
    <xf numFmtId="0" fontId="58" fillId="29" borderId="16" xfId="0" applyFont="1" applyFill="1" applyBorder="1" applyAlignment="1">
      <alignment horizontal="center" vertical="center"/>
    </xf>
    <xf numFmtId="0" fontId="58" fillId="29" borderId="21" xfId="0" applyFont="1" applyFill="1" applyBorder="1" applyAlignment="1">
      <alignment horizontal="center" vertical="center"/>
    </xf>
    <xf numFmtId="0" fontId="59" fillId="29" borderId="96" xfId="0" applyFont="1" applyFill="1" applyBorder="1" applyAlignment="1">
      <alignment horizontal="center" vertical="center" wrapText="1"/>
    </xf>
    <xf numFmtId="0" fontId="58" fillId="29" borderId="17" xfId="0" applyFont="1" applyFill="1" applyBorder="1" applyAlignment="1">
      <alignment horizontal="center" vertical="center"/>
    </xf>
    <xf numFmtId="0" fontId="58" fillId="29" borderId="27" xfId="0" applyFont="1" applyFill="1" applyBorder="1" applyAlignment="1">
      <alignment horizontal="center" vertical="center"/>
    </xf>
    <xf numFmtId="0" fontId="15" fillId="29" borderId="37" xfId="0" applyFont="1" applyFill="1" applyBorder="1" applyAlignment="1">
      <alignment horizontal="center" vertical="center" wrapText="1"/>
    </xf>
    <xf numFmtId="0" fontId="15" fillId="29" borderId="11" xfId="0" applyFont="1" applyFill="1" applyBorder="1" applyAlignment="1">
      <alignment horizontal="center" vertical="center" wrapText="1"/>
    </xf>
    <xf numFmtId="0" fontId="15" fillId="29" borderId="38" xfId="0" applyFont="1" applyFill="1" applyBorder="1" applyAlignment="1">
      <alignment horizontal="center" vertical="center" wrapText="1"/>
    </xf>
    <xf numFmtId="0" fontId="58" fillId="29" borderId="105" xfId="0" applyFont="1" applyFill="1" applyBorder="1" applyAlignment="1">
      <alignment horizontal="center" vertical="center"/>
    </xf>
    <xf numFmtId="0" fontId="59" fillId="29" borderId="102" xfId="0" applyFont="1" applyFill="1" applyBorder="1" applyAlignment="1">
      <alignment horizontal="center" vertical="center" wrapText="1"/>
    </xf>
    <xf numFmtId="0" fontId="58" fillId="29" borderId="102" xfId="0" applyFont="1" applyFill="1" applyBorder="1" applyAlignment="1">
      <alignment horizontal="center" vertical="center"/>
    </xf>
    <xf numFmtId="0" fontId="58" fillId="29" borderId="106" xfId="0" applyFont="1" applyFill="1" applyBorder="1" applyAlignment="1">
      <alignment horizontal="center" vertical="center"/>
    </xf>
    <xf numFmtId="0" fontId="15" fillId="29" borderId="52" xfId="0" applyFont="1" applyFill="1" applyBorder="1" applyAlignment="1">
      <alignment horizontal="center"/>
    </xf>
    <xf numFmtId="0" fontId="15" fillId="29" borderId="53" xfId="0" applyFont="1" applyFill="1" applyBorder="1" applyAlignment="1">
      <alignment horizontal="center"/>
    </xf>
    <xf numFmtId="0" fontId="15" fillId="29" borderId="59" xfId="0" applyFont="1" applyFill="1" applyBorder="1" applyAlignment="1">
      <alignment horizontal="center"/>
    </xf>
    <xf numFmtId="0" fontId="16" fillId="29" borderId="52" xfId="0" applyFont="1" applyFill="1" applyBorder="1" applyAlignment="1">
      <alignment horizontal="center" vertical="center" wrapText="1"/>
    </xf>
    <xf numFmtId="0" fontId="16" fillId="29" borderId="53" xfId="0" applyFont="1" applyFill="1" applyBorder="1" applyAlignment="1">
      <alignment horizontal="center" vertical="center" wrapText="1"/>
    </xf>
    <xf numFmtId="0" fontId="16" fillId="29" borderId="59" xfId="0" applyFont="1" applyFill="1" applyBorder="1" applyAlignment="1">
      <alignment horizontal="center" vertical="center" wrapText="1"/>
    </xf>
    <xf numFmtId="0" fontId="15" fillId="29" borderId="52" xfId="0" applyFont="1" applyFill="1" applyBorder="1" applyAlignment="1">
      <alignment horizontal="center" vertical="center" wrapText="1"/>
    </xf>
    <xf numFmtId="0" fontId="15" fillId="29" borderId="53" xfId="0" applyFont="1" applyFill="1" applyBorder="1" applyAlignment="1">
      <alignment horizontal="center" vertical="center" wrapText="1"/>
    </xf>
    <xf numFmtId="0" fontId="15" fillId="29" borderId="59" xfId="0" applyFont="1" applyFill="1" applyBorder="1" applyAlignment="1">
      <alignment horizontal="center" vertical="center" wrapText="1"/>
    </xf>
    <xf numFmtId="0" fontId="58" fillId="29" borderId="37" xfId="0" applyFont="1" applyFill="1" applyBorder="1" applyAlignment="1">
      <alignment horizontal="center" vertical="center"/>
    </xf>
    <xf numFmtId="0" fontId="58" fillId="29" borderId="11" xfId="0" applyFont="1" applyFill="1" applyBorder="1" applyAlignment="1">
      <alignment horizontal="center" vertical="center"/>
    </xf>
    <xf numFmtId="0" fontId="58" fillId="29" borderId="38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 wrapText="1"/>
    </xf>
    <xf numFmtId="0" fontId="60" fillId="0" borderId="43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 wrapText="1"/>
    </xf>
    <xf numFmtId="0" fontId="0" fillId="0" borderId="53" xfId="0" applyFill="1" applyBorder="1" applyAlignment="1"/>
    <xf numFmtId="0" fontId="58" fillId="0" borderId="17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96" xfId="0" applyFont="1" applyFill="1" applyBorder="1" applyAlignment="1">
      <alignment horizontal="center" vertical="center" wrapText="1"/>
    </xf>
    <xf numFmtId="0" fontId="58" fillId="0" borderId="69" xfId="0" applyFont="1" applyFill="1" applyBorder="1" applyAlignment="1">
      <alignment horizontal="center" vertical="center"/>
    </xf>
    <xf numFmtId="0" fontId="58" fillId="0" borderId="124" xfId="0" applyFont="1" applyFill="1" applyBorder="1" applyAlignment="1">
      <alignment horizontal="center" vertical="center"/>
    </xf>
    <xf numFmtId="0" fontId="58" fillId="0" borderId="113" xfId="0" applyFont="1" applyFill="1" applyBorder="1" applyAlignment="1">
      <alignment horizontal="center" vertical="center"/>
    </xf>
    <xf numFmtId="0" fontId="58" fillId="0" borderId="102" xfId="0" applyFont="1" applyFill="1" applyBorder="1" applyAlignment="1">
      <alignment horizontal="center" vertical="center" wrapText="1"/>
    </xf>
    <xf numFmtId="0" fontId="58" fillId="0" borderId="96" xfId="0" applyFont="1" applyFill="1" applyBorder="1" applyAlignment="1">
      <alignment horizontal="center" vertical="center" wrapText="1"/>
    </xf>
    <xf numFmtId="0" fontId="58" fillId="0" borderId="122" xfId="0" applyFont="1" applyFill="1" applyBorder="1" applyAlignment="1">
      <alignment horizontal="center" vertical="center" wrapText="1"/>
    </xf>
    <xf numFmtId="0" fontId="58" fillId="0" borderId="61" xfId="0" applyFont="1" applyFill="1" applyBorder="1" applyAlignment="1">
      <alignment horizontal="center" vertical="center" wrapText="1"/>
    </xf>
    <xf numFmtId="0" fontId="58" fillId="0" borderId="43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58" fillId="0" borderId="30" xfId="0" applyFont="1" applyFill="1" applyBorder="1" applyAlignment="1">
      <alignment horizontal="center" vertical="center" wrapText="1"/>
    </xf>
    <xf numFmtId="0" fontId="58" fillId="0" borderId="121" xfId="0" applyFont="1" applyFill="1" applyBorder="1" applyAlignment="1">
      <alignment horizontal="center" vertical="center" wrapText="1"/>
    </xf>
    <xf numFmtId="0" fontId="58" fillId="0" borderId="101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62" fillId="0" borderId="53" xfId="0" applyFont="1" applyFill="1" applyBorder="1" applyAlignment="1">
      <alignment horizontal="center" vertical="center" wrapText="1"/>
    </xf>
    <xf numFmtId="0" fontId="62" fillId="0" borderId="59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15" fillId="0" borderId="75" xfId="0" applyFont="1" applyFill="1" applyBorder="1" applyAlignment="1">
      <alignment horizontal="center" vertical="center" wrapText="1"/>
    </xf>
    <xf numFmtId="0" fontId="60" fillId="0" borderId="76" xfId="0" applyFont="1" applyFill="1" applyBorder="1" applyAlignment="1"/>
    <xf numFmtId="0" fontId="60" fillId="0" borderId="77" xfId="0" applyFont="1" applyFill="1" applyBorder="1" applyAlignment="1"/>
    <xf numFmtId="0" fontId="6" fillId="0" borderId="76" xfId="0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0" fontId="60" fillId="0" borderId="77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/>
    </xf>
    <xf numFmtId="0" fontId="60" fillId="0" borderId="0" xfId="0" applyFont="1" applyFill="1" applyBorder="1"/>
    <xf numFmtId="0" fontId="15" fillId="0" borderId="16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58" fillId="0" borderId="27" xfId="0" applyFont="1" applyFill="1" applyBorder="1" applyAlignment="1">
      <alignment horizontal="center" vertical="center"/>
    </xf>
    <xf numFmtId="0" fontId="58" fillId="0" borderId="105" xfId="0" applyFont="1" applyFill="1" applyBorder="1" applyAlignment="1">
      <alignment horizontal="center" vertical="center"/>
    </xf>
    <xf numFmtId="0" fontId="59" fillId="0" borderId="102" xfId="0" applyFont="1" applyFill="1" applyBorder="1" applyAlignment="1">
      <alignment horizontal="center" vertical="center" wrapText="1"/>
    </xf>
    <xf numFmtId="0" fontId="58" fillId="0" borderId="102" xfId="0" applyFont="1" applyFill="1" applyBorder="1" applyAlignment="1">
      <alignment horizontal="center" vertical="center"/>
    </xf>
    <xf numFmtId="0" fontId="58" fillId="0" borderId="106" xfId="0" applyFont="1" applyFill="1" applyBorder="1" applyAlignment="1">
      <alignment horizontal="center" vertical="center"/>
    </xf>
    <xf numFmtId="0" fontId="58" fillId="0" borderId="123" xfId="0" applyFont="1" applyFill="1" applyBorder="1" applyAlignment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58" fillId="0" borderId="79" xfId="0" applyFont="1" applyFill="1" applyBorder="1" applyAlignment="1">
      <alignment horizontal="center" vertical="center" wrapText="1"/>
    </xf>
    <xf numFmtId="0" fontId="15" fillId="0" borderId="52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0" fontId="15" fillId="0" borderId="59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11" fillId="0" borderId="69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13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72" fillId="0" borderId="26" xfId="0" applyFont="1" applyFill="1" applyBorder="1" applyAlignment="1">
      <alignment horizontal="center"/>
    </xf>
    <xf numFmtId="0" fontId="58" fillId="0" borderId="11" xfId="0" applyFont="1" applyFill="1" applyBorder="1" applyAlignment="1">
      <alignment horizontal="center" vertical="center"/>
    </xf>
    <xf numFmtId="0" fontId="58" fillId="0" borderId="38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left" wrapText="1"/>
    </xf>
    <xf numFmtId="0" fontId="0" fillId="0" borderId="28" xfId="0" applyFill="1" applyBorder="1" applyAlignment="1">
      <alignment horizontal="left" wrapText="1"/>
    </xf>
    <xf numFmtId="0" fontId="72" fillId="0" borderId="36" xfId="0" applyFont="1" applyFill="1" applyBorder="1" applyAlignment="1">
      <alignment horizontal="center"/>
    </xf>
    <xf numFmtId="0" fontId="58" fillId="0" borderId="51" xfId="0" applyFont="1" applyFill="1" applyBorder="1" applyAlignment="1">
      <alignment horizontal="center" vertical="center"/>
    </xf>
    <xf numFmtId="0" fontId="58" fillId="0" borderId="46" xfId="0" applyFont="1" applyFill="1" applyBorder="1" applyAlignment="1">
      <alignment horizontal="center" vertical="center"/>
    </xf>
    <xf numFmtId="0" fontId="58" fillId="0" borderId="57" xfId="0" applyFont="1" applyFill="1" applyBorder="1" applyAlignment="1">
      <alignment horizontal="center" vertical="center"/>
    </xf>
    <xf numFmtId="2" fontId="58" fillId="0" borderId="292" xfId="0" applyNumberFormat="1" applyFont="1" applyBorder="1" applyAlignment="1">
      <alignment horizontal="center" vertical="center" wrapText="1"/>
    </xf>
    <xf numFmtId="2" fontId="58" fillId="0" borderId="294" xfId="0" applyNumberFormat="1" applyFont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 wrapText="1"/>
    </xf>
    <xf numFmtId="2" fontId="15" fillId="0" borderId="92" xfId="0" applyNumberFormat="1" applyFont="1" applyBorder="1" applyAlignment="1">
      <alignment horizontal="center" vertical="center"/>
    </xf>
    <xf numFmtId="2" fontId="58" fillId="0" borderId="102" xfId="0" applyNumberFormat="1" applyFont="1" applyBorder="1" applyAlignment="1">
      <alignment horizontal="center" vertical="center" wrapText="1"/>
    </xf>
    <xf numFmtId="2" fontId="15" fillId="0" borderId="19" xfId="0" applyNumberFormat="1" applyFont="1" applyBorder="1" applyAlignment="1">
      <alignment horizontal="center" vertical="center"/>
    </xf>
    <xf numFmtId="2" fontId="16" fillId="0" borderId="100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16" fillId="0" borderId="292" xfId="0" applyNumberFormat="1" applyFont="1" applyBorder="1" applyAlignment="1">
      <alignment horizontal="center" vertical="center"/>
    </xf>
    <xf numFmtId="2" fontId="15" fillId="0" borderId="292" xfId="0" applyNumberFormat="1" applyFont="1" applyBorder="1" applyAlignment="1">
      <alignment horizontal="center" vertical="center"/>
    </xf>
    <xf numFmtId="2" fontId="15" fillId="0" borderId="294" xfId="0" applyNumberFormat="1" applyFont="1" applyBorder="1" applyAlignment="1">
      <alignment horizontal="center" vertical="center"/>
    </xf>
    <xf numFmtId="2" fontId="58" fillId="0" borderId="92" xfId="0" applyNumberFormat="1" applyFont="1" applyFill="1" applyBorder="1" applyAlignment="1">
      <alignment horizontal="center" vertical="center" wrapText="1"/>
    </xf>
    <xf numFmtId="2" fontId="11" fillId="0" borderId="62" xfId="0" applyNumberFormat="1" applyFont="1" applyBorder="1" applyAlignment="1">
      <alignment horizontal="center" vertical="center" wrapText="1"/>
    </xf>
    <xf numFmtId="2" fontId="11" fillId="0" borderId="65" xfId="0" applyNumberFormat="1" applyFont="1" applyBorder="1" applyAlignment="1">
      <alignment horizontal="center" vertical="center" wrapText="1"/>
    </xf>
    <xf numFmtId="2" fontId="11" fillId="0" borderId="35" xfId="0" applyNumberFormat="1" applyFont="1" applyBorder="1" applyAlignment="1">
      <alignment horizontal="center" vertical="center" wrapText="1"/>
    </xf>
    <xf numFmtId="2" fontId="11" fillId="0" borderId="31" xfId="0" applyNumberFormat="1" applyFont="1" applyBorder="1" applyAlignment="1">
      <alignment horizontal="center" vertical="center" wrapText="1"/>
    </xf>
    <xf numFmtId="2" fontId="11" fillId="0" borderId="10" xfId="0" applyNumberFormat="1" applyFont="1" applyBorder="1" applyAlignment="1">
      <alignment horizontal="center" vertical="center" wrapText="1"/>
    </xf>
    <xf numFmtId="2" fontId="16" fillId="0" borderId="294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2" fontId="15" fillId="0" borderId="93" xfId="0" applyNumberFormat="1" applyFont="1" applyFill="1" applyBorder="1" applyAlignment="1">
      <alignment horizontal="center" vertical="center"/>
    </xf>
    <xf numFmtId="2" fontId="15" fillId="0" borderId="90" xfId="0" applyNumberFormat="1" applyFont="1" applyFill="1" applyBorder="1" applyAlignment="1">
      <alignment horizontal="center" vertical="center"/>
    </xf>
    <xf numFmtId="2" fontId="15" fillId="0" borderId="89" xfId="0" applyNumberFormat="1" applyFont="1" applyFill="1" applyBorder="1" applyAlignment="1">
      <alignment horizontal="center" vertical="center"/>
    </xf>
    <xf numFmtId="2" fontId="16" fillId="0" borderId="291" xfId="0" applyNumberFormat="1" applyFont="1" applyBorder="1" applyAlignment="1">
      <alignment horizontal="center" vertical="center"/>
    </xf>
    <xf numFmtId="2" fontId="16" fillId="0" borderId="293" xfId="0" applyNumberFormat="1" applyFont="1" applyBorder="1" applyAlignment="1">
      <alignment horizontal="center" vertical="center"/>
    </xf>
    <xf numFmtId="2" fontId="11" fillId="0" borderId="45" xfId="0" applyNumberFormat="1" applyFont="1" applyBorder="1" applyAlignment="1">
      <alignment horizontal="center" vertical="center" wrapText="1"/>
    </xf>
    <xf numFmtId="2" fontId="11" fillId="0" borderId="11" xfId="0" applyNumberFormat="1" applyFont="1" applyBorder="1" applyAlignment="1">
      <alignment horizontal="center" vertical="center" wrapText="1"/>
    </xf>
    <xf numFmtId="2" fontId="58" fillId="29" borderId="304" xfId="0" applyNumberFormat="1" applyFont="1" applyFill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2" fontId="58" fillId="0" borderId="292" xfId="0" applyNumberFormat="1" applyFont="1" applyFill="1" applyBorder="1" applyAlignment="1">
      <alignment horizontal="center" vertical="center" wrapText="1"/>
    </xf>
    <xf numFmtId="2" fontId="58" fillId="0" borderId="294" xfId="0" applyNumberFormat="1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19" xfId="0" applyNumberFormat="1" applyFont="1" applyBorder="1" applyAlignment="1">
      <alignment horizontal="center" vertical="center"/>
    </xf>
    <xf numFmtId="0" fontId="62" fillId="0" borderId="71" xfId="0" applyFont="1" applyBorder="1" applyAlignment="1">
      <alignment horizontal="center" vertical="center"/>
    </xf>
    <xf numFmtId="0" fontId="62" fillId="0" borderId="69" xfId="0" applyFont="1" applyBorder="1" applyAlignment="1">
      <alignment horizontal="center" vertical="center"/>
    </xf>
    <xf numFmtId="2" fontId="16" fillId="29" borderId="304" xfId="0" applyNumberFormat="1" applyFont="1" applyFill="1" applyBorder="1" applyAlignment="1">
      <alignment horizontal="center" vertical="center"/>
    </xf>
    <xf numFmtId="2" fontId="16" fillId="29" borderId="303" xfId="0" applyNumberFormat="1" applyFont="1" applyFill="1" applyBorder="1" applyAlignment="1">
      <alignment horizontal="center" vertical="center"/>
    </xf>
    <xf numFmtId="2" fontId="15" fillId="0" borderId="102" xfId="0" applyNumberFormat="1" applyFont="1" applyBorder="1" applyAlignment="1">
      <alignment horizontal="center" vertical="center"/>
    </xf>
    <xf numFmtId="2" fontId="16" fillId="0" borderId="102" xfId="0" applyNumberFormat="1" applyFont="1" applyBorder="1" applyAlignment="1">
      <alignment horizontal="center" vertical="center"/>
    </xf>
    <xf numFmtId="2" fontId="16" fillId="0" borderId="291" xfId="0" applyNumberFormat="1" applyFont="1" applyFill="1" applyBorder="1" applyAlignment="1">
      <alignment horizontal="center" vertical="center"/>
    </xf>
    <xf numFmtId="2" fontId="16" fillId="0" borderId="292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2" fontId="11" fillId="0" borderId="62" xfId="0" applyNumberFormat="1" applyFont="1" applyBorder="1" applyAlignment="1">
      <alignment horizontal="center" vertical="center"/>
    </xf>
    <xf numFmtId="2" fontId="11" fillId="0" borderId="78" xfId="0" applyNumberFormat="1" applyFont="1" applyBorder="1" applyAlignment="1">
      <alignment horizontal="center" vertical="center"/>
    </xf>
    <xf numFmtId="2" fontId="11" fillId="0" borderId="65" xfId="0" applyNumberFormat="1" applyFont="1" applyBorder="1" applyAlignment="1">
      <alignment horizontal="center" vertical="center"/>
    </xf>
    <xf numFmtId="2" fontId="11" fillId="0" borderId="35" xfId="0" applyNumberFormat="1" applyFont="1" applyBorder="1" applyAlignment="1">
      <alignment horizontal="center" vertical="center"/>
    </xf>
    <xf numFmtId="2" fontId="11" fillId="0" borderId="36" xfId="0" applyNumberFormat="1" applyFont="1" applyBorder="1" applyAlignment="1">
      <alignment horizontal="center" vertical="center"/>
    </xf>
    <xf numFmtId="2" fontId="11" fillId="0" borderId="31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11" fillId="0" borderId="92" xfId="0" applyFont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2" fontId="11" fillId="0" borderId="92" xfId="0" applyNumberFormat="1" applyFont="1" applyBorder="1" applyAlignment="1">
      <alignment horizontal="center" vertical="center"/>
    </xf>
    <xf numFmtId="0" fontId="16" fillId="29" borderId="73" xfId="0" applyFont="1" applyFill="1" applyBorder="1" applyAlignment="1">
      <alignment horizontal="center" vertical="center"/>
    </xf>
    <xf numFmtId="0" fontId="16" fillId="29" borderId="71" xfId="0" applyFont="1" applyFill="1" applyBorder="1" applyAlignment="1">
      <alignment horizontal="center" vertical="center"/>
    </xf>
    <xf numFmtId="0" fontId="0" fillId="29" borderId="71" xfId="0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2" fontId="15" fillId="0" borderId="289" xfId="0" applyNumberFormat="1" applyFont="1" applyBorder="1" applyAlignment="1">
      <alignment horizontal="center" vertical="center"/>
    </xf>
    <xf numFmtId="2" fontId="15" fillId="0" borderId="20" xfId="0" applyNumberFormat="1" applyFont="1" applyBorder="1" applyAlignment="1">
      <alignment horizontal="center" vertical="center"/>
    </xf>
    <xf numFmtId="2" fontId="58" fillId="0" borderId="13" xfId="0" applyNumberFormat="1" applyFont="1" applyBorder="1" applyAlignment="1">
      <alignment horizontal="center" vertical="center"/>
    </xf>
    <xf numFmtId="2" fontId="58" fillId="0" borderId="12" xfId="0" applyNumberFormat="1" applyFont="1" applyBorder="1" applyAlignment="1">
      <alignment horizontal="center" vertical="center"/>
    </xf>
    <xf numFmtId="2" fontId="58" fillId="29" borderId="303" xfId="0" applyNumberFormat="1" applyFont="1" applyFill="1" applyBorder="1" applyAlignment="1">
      <alignment horizontal="center" vertical="center" wrapText="1"/>
    </xf>
    <xf numFmtId="2" fontId="16" fillId="29" borderId="302" xfId="0" applyNumberFormat="1" applyFont="1" applyFill="1" applyBorder="1" applyAlignment="1">
      <alignment horizontal="center" vertical="center"/>
    </xf>
    <xf numFmtId="2" fontId="58" fillId="0" borderId="293" xfId="0" applyNumberFormat="1" applyFont="1" applyFill="1" applyBorder="1" applyAlignment="1">
      <alignment horizontal="center" vertical="center" wrapText="1"/>
    </xf>
    <xf numFmtId="2" fontId="58" fillId="0" borderId="289" xfId="0" applyNumberFormat="1" applyFont="1" applyBorder="1" applyAlignment="1">
      <alignment horizontal="center" vertical="center" wrapText="1"/>
    </xf>
    <xf numFmtId="2" fontId="58" fillId="0" borderId="20" xfId="0" applyNumberFormat="1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2" fontId="16" fillId="0" borderId="29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86" fillId="0" borderId="0" xfId="0" applyFont="1" applyAlignment="1"/>
    <xf numFmtId="0" fontId="11" fillId="0" borderId="0" xfId="0" applyFont="1" applyBorder="1" applyAlignment="1">
      <alignment horizontal="center"/>
    </xf>
    <xf numFmtId="2" fontId="58" fillId="0" borderId="20" xfId="0" applyNumberFormat="1" applyFont="1" applyFill="1" applyBorder="1" applyAlignment="1">
      <alignment horizontal="center" vertical="center" wrapText="1"/>
    </xf>
    <xf numFmtId="2" fontId="58" fillId="0" borderId="92" xfId="0" applyNumberFormat="1" applyFont="1" applyBorder="1" applyAlignment="1">
      <alignment horizontal="center" vertical="center"/>
    </xf>
    <xf numFmtId="2" fontId="58" fillId="29" borderId="92" xfId="0" applyNumberFormat="1" applyFont="1" applyFill="1" applyBorder="1" applyAlignment="1">
      <alignment horizontal="center" vertical="center" wrapText="1"/>
    </xf>
    <xf numFmtId="2" fontId="58" fillId="29" borderId="20" xfId="0" applyNumberFormat="1" applyFont="1" applyFill="1" applyBorder="1" applyAlignment="1">
      <alignment horizontal="center" vertical="center" wrapText="1"/>
    </xf>
    <xf numFmtId="2" fontId="16" fillId="29" borderId="193" xfId="0" applyNumberFormat="1" applyFont="1" applyFill="1" applyBorder="1" applyAlignment="1">
      <alignment horizontal="center" vertical="center"/>
    </xf>
    <xf numFmtId="2" fontId="15" fillId="29" borderId="92" xfId="0" applyNumberFormat="1" applyFont="1" applyFill="1" applyBorder="1" applyAlignment="1">
      <alignment horizontal="center" vertical="center"/>
    </xf>
    <xf numFmtId="2" fontId="15" fillId="29" borderId="20" xfId="0" applyNumberFormat="1" applyFont="1" applyFill="1" applyBorder="1" applyAlignment="1">
      <alignment horizontal="center" vertical="center"/>
    </xf>
    <xf numFmtId="2" fontId="16" fillId="29" borderId="19" xfId="0" applyNumberFormat="1" applyFont="1" applyFill="1" applyBorder="1" applyAlignment="1">
      <alignment horizontal="center" vertical="center"/>
    </xf>
    <xf numFmtId="2" fontId="16" fillId="29" borderId="92" xfId="0" applyNumberFormat="1" applyFont="1" applyFill="1" applyBorder="1" applyAlignment="1">
      <alignment horizontal="center" vertical="center"/>
    </xf>
    <xf numFmtId="2" fontId="16" fillId="29" borderId="194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/>
    </xf>
    <xf numFmtId="0" fontId="131" fillId="0" borderId="0" xfId="0" applyFont="1" applyFill="1" applyBorder="1" applyAlignment="1">
      <alignment horizontal="center"/>
    </xf>
    <xf numFmtId="0" fontId="131" fillId="0" borderId="0" xfId="0" applyFont="1" applyAlignment="1">
      <alignment horizontal="center"/>
    </xf>
    <xf numFmtId="0" fontId="131" fillId="0" borderId="0" xfId="0" applyFont="1" applyAlignment="1"/>
    <xf numFmtId="0" fontId="95" fillId="0" borderId="0" xfId="0" applyFont="1" applyBorder="1" applyAlignment="1">
      <alignment horizontal="center"/>
    </xf>
    <xf numFmtId="0" fontId="141" fillId="29" borderId="52" xfId="0" applyFont="1" applyFill="1" applyBorder="1" applyAlignment="1">
      <alignment horizontal="center"/>
    </xf>
    <xf numFmtId="0" fontId="141" fillId="29" borderId="53" xfId="0" applyFont="1" applyFill="1" applyBorder="1" applyAlignment="1"/>
    <xf numFmtId="0" fontId="141" fillId="29" borderId="59" xfId="0" applyFont="1" applyFill="1" applyBorder="1" applyAlignment="1"/>
    <xf numFmtId="0" fontId="58" fillId="30" borderId="356" xfId="0" applyFont="1" applyFill="1" applyBorder="1" applyAlignment="1">
      <alignment horizontal="left" vertical="center"/>
    </xf>
    <xf numFmtId="0" fontId="0" fillId="0" borderId="359" xfId="0" applyBorder="1" applyAlignment="1"/>
    <xf numFmtId="2" fontId="16" fillId="0" borderId="194" xfId="0" applyNumberFormat="1" applyFont="1" applyBorder="1" applyAlignment="1">
      <alignment horizontal="center" vertical="center"/>
    </xf>
    <xf numFmtId="2" fontId="16" fillId="0" borderId="193" xfId="0" applyNumberFormat="1" applyFont="1" applyBorder="1" applyAlignment="1">
      <alignment horizontal="center" vertical="center"/>
    </xf>
    <xf numFmtId="2" fontId="85" fillId="0" borderId="0" xfId="0" applyNumberFormat="1" applyFont="1" applyAlignment="1">
      <alignment horizontal="center"/>
    </xf>
    <xf numFmtId="0" fontId="135" fillId="0" borderId="0" xfId="0" applyFont="1" applyAlignment="1"/>
    <xf numFmtId="0" fontId="15" fillId="0" borderId="1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6" fillId="29" borderId="16" xfId="0" applyFont="1" applyFill="1" applyBorder="1" applyAlignment="1">
      <alignment horizontal="center" vertical="center"/>
    </xf>
    <xf numFmtId="0" fontId="16" fillId="29" borderId="17" xfId="0" applyFont="1" applyFill="1" applyBorder="1" applyAlignment="1">
      <alignment horizontal="center" vertical="center"/>
    </xf>
    <xf numFmtId="0" fontId="16" fillId="29" borderId="18" xfId="0" applyFont="1" applyFill="1" applyBorder="1" applyAlignment="1">
      <alignment horizontal="center" vertical="center"/>
    </xf>
    <xf numFmtId="2" fontId="16" fillId="0" borderId="16" xfId="0" applyNumberFormat="1" applyFont="1" applyFill="1" applyBorder="1" applyAlignment="1">
      <alignment horizontal="center" vertical="center"/>
    </xf>
    <xf numFmtId="0" fontId="0" fillId="0" borderId="17" xfId="0" applyFill="1" applyBorder="1" applyAlignment="1"/>
    <xf numFmtId="0" fontId="0" fillId="0" borderId="18" xfId="0" applyFill="1" applyBorder="1" applyAlignment="1"/>
    <xf numFmtId="0" fontId="0" fillId="0" borderId="236" xfId="0" applyFill="1" applyBorder="1" applyAlignment="1"/>
    <xf numFmtId="0" fontId="0" fillId="0" borderId="259" xfId="0" applyFill="1" applyBorder="1" applyAlignment="1"/>
    <xf numFmtId="0" fontId="0" fillId="0" borderId="238" xfId="0" applyFill="1" applyBorder="1" applyAlignment="1"/>
    <xf numFmtId="2" fontId="58" fillId="29" borderId="356" xfId="0" applyNumberFormat="1" applyFont="1" applyFill="1" applyBorder="1" applyAlignment="1">
      <alignment vertical="center"/>
    </xf>
    <xf numFmtId="0" fontId="0" fillId="0" borderId="359" xfId="0" applyFont="1" applyBorder="1" applyAlignment="1"/>
    <xf numFmtId="0" fontId="58" fillId="29" borderId="316" xfId="0" applyFont="1" applyFill="1" applyBorder="1" applyAlignment="1">
      <alignment horizontal="left" vertical="center"/>
    </xf>
    <xf numFmtId="0" fontId="0" fillId="0" borderId="332" xfId="0" applyFont="1" applyBorder="1" applyAlignment="1"/>
    <xf numFmtId="2" fontId="58" fillId="0" borderId="259" xfId="0" applyNumberFormat="1" applyFont="1" applyFill="1" applyBorder="1" applyAlignment="1">
      <alignment horizontal="center" vertical="center" wrapText="1"/>
    </xf>
    <xf numFmtId="2" fontId="58" fillId="0" borderId="238" xfId="0" applyNumberFormat="1" applyFont="1" applyFill="1" applyBorder="1" applyAlignment="1">
      <alignment horizontal="center" vertical="center" wrapText="1"/>
    </xf>
    <xf numFmtId="0" fontId="58" fillId="29" borderId="37" xfId="0" applyFont="1" applyFill="1" applyBorder="1" applyAlignment="1">
      <alignment horizontal="left" vertical="center"/>
    </xf>
    <xf numFmtId="0" fontId="0" fillId="0" borderId="11" xfId="0" applyFont="1" applyBorder="1" applyAlignment="1"/>
    <xf numFmtId="0" fontId="58" fillId="0" borderId="37" xfId="0" applyFont="1" applyBorder="1" applyAlignment="1">
      <alignment horizontal="left" vertical="center"/>
    </xf>
    <xf numFmtId="2" fontId="58" fillId="0" borderId="356" xfId="0" applyNumberFormat="1" applyFont="1" applyBorder="1" applyAlignment="1">
      <alignment vertical="center"/>
    </xf>
    <xf numFmtId="0" fontId="58" fillId="0" borderId="356" xfId="0" applyFont="1" applyBorder="1" applyAlignment="1">
      <alignment horizontal="left" vertical="center"/>
    </xf>
    <xf numFmtId="0" fontId="10" fillId="0" borderId="72" xfId="0" applyFont="1" applyBorder="1" applyAlignment="1">
      <alignment horizontal="center"/>
    </xf>
    <xf numFmtId="0" fontId="10" fillId="0" borderId="148" xfId="0" applyFont="1" applyBorder="1" applyAlignment="1">
      <alignment horizontal="center"/>
    </xf>
    <xf numFmtId="0" fontId="10" fillId="0" borderId="70" xfId="0" applyFont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0" borderId="52" xfId="0" applyFont="1" applyFill="1" applyBorder="1" applyAlignment="1">
      <alignment horizontal="center" vertical="center"/>
    </xf>
    <xf numFmtId="0" fontId="58" fillId="30" borderId="342" xfId="0" applyFont="1" applyFill="1" applyBorder="1" applyAlignment="1">
      <alignment horizontal="left" vertical="center"/>
    </xf>
    <xf numFmtId="0" fontId="0" fillId="0" borderId="343" xfId="0" applyBorder="1" applyAlignment="1"/>
    <xf numFmtId="0" fontId="0" fillId="0" borderId="11" xfId="0" applyBorder="1" applyAlignment="1"/>
    <xf numFmtId="0" fontId="58" fillId="29" borderId="342" xfId="0" applyFont="1" applyFill="1" applyBorder="1" applyAlignment="1">
      <alignment horizontal="left" vertical="center"/>
    </xf>
    <xf numFmtId="0" fontId="0" fillId="0" borderId="53" xfId="0" applyFont="1" applyBorder="1" applyAlignment="1"/>
    <xf numFmtId="0" fontId="0" fillId="0" borderId="59" xfId="0" applyFont="1" applyBorder="1" applyAlignment="1"/>
    <xf numFmtId="0" fontId="0" fillId="0" borderId="343" xfId="0" applyFont="1" applyBorder="1" applyAlignment="1"/>
    <xf numFmtId="0" fontId="58" fillId="0" borderId="16" xfId="0" applyFont="1" applyBorder="1" applyAlignment="1">
      <alignment horizontal="center" vertical="center"/>
    </xf>
    <xf numFmtId="0" fontId="58" fillId="0" borderId="342" xfId="0" applyFont="1" applyBorder="1" applyAlignment="1">
      <alignment horizontal="center" vertical="center"/>
    </xf>
    <xf numFmtId="0" fontId="58" fillId="30" borderId="17" xfId="0" applyFont="1" applyFill="1" applyBorder="1" applyAlignment="1">
      <alignment horizontal="center" vertical="center" wrapText="1"/>
    </xf>
    <xf numFmtId="0" fontId="58" fillId="0" borderId="343" xfId="0" applyFont="1" applyBorder="1" applyAlignment="1">
      <alignment horizontal="center" vertical="center" wrapText="1"/>
    </xf>
    <xf numFmtId="0" fontId="58" fillId="30" borderId="17" xfId="0" applyFont="1" applyFill="1" applyBorder="1" applyAlignment="1">
      <alignment horizontal="center" vertical="center"/>
    </xf>
    <xf numFmtId="0" fontId="58" fillId="0" borderId="17" xfId="0" applyFont="1" applyBorder="1" applyAlignment="1"/>
    <xf numFmtId="0" fontId="58" fillId="0" borderId="18" xfId="0" applyFont="1" applyBorder="1" applyAlignment="1"/>
    <xf numFmtId="0" fontId="85" fillId="0" borderId="0" xfId="0" applyFont="1" applyAlignment="1">
      <alignment horizontal="center"/>
    </xf>
    <xf numFmtId="0" fontId="65" fillId="0" borderId="0" xfId="0" applyFont="1" applyAlignment="1"/>
    <xf numFmtId="0" fontId="10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4" fillId="29" borderId="58" xfId="0" applyFont="1" applyFill="1" applyBorder="1" applyAlignment="1">
      <alignment horizontal="center" vertical="center"/>
    </xf>
    <xf numFmtId="0" fontId="0" fillId="29" borderId="58" xfId="0" applyFill="1" applyBorder="1" applyAlignment="1">
      <alignment vertical="center"/>
    </xf>
    <xf numFmtId="0" fontId="55" fillId="29" borderId="58" xfId="0" applyFont="1" applyFill="1" applyBorder="1" applyAlignment="1">
      <alignment horizontal="center" vertical="center"/>
    </xf>
    <xf numFmtId="0" fontId="11" fillId="0" borderId="16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1" fillId="0" borderId="10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2" fontId="46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4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4" fillId="28" borderId="53" xfId="0" applyFont="1" applyFill="1" applyBorder="1" applyAlignment="1">
      <alignment horizontal="center" vertical="center"/>
    </xf>
    <xf numFmtId="0" fontId="14" fillId="28" borderId="59" xfId="0" applyFont="1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14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2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14" fillId="26" borderId="58" xfId="0" applyFont="1" applyFill="1" applyBorder="1" applyAlignment="1">
      <alignment horizontal="center" vertical="center"/>
    </xf>
    <xf numFmtId="0" fontId="14" fillId="27" borderId="5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6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6" fillId="0" borderId="58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55" fillId="0" borderId="53" xfId="0" applyFont="1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9" xfId="0" applyBorder="1" applyAlignment="1">
      <alignment vertical="center"/>
    </xf>
    <xf numFmtId="0" fontId="80" fillId="0" borderId="52" xfId="0" applyFont="1" applyBorder="1" applyAlignment="1">
      <alignment vertical="center"/>
    </xf>
    <xf numFmtId="0" fontId="80" fillId="0" borderId="59" xfId="0" applyFont="1" applyBorder="1" applyAlignment="1">
      <alignment vertical="center"/>
    </xf>
    <xf numFmtId="0" fontId="15" fillId="0" borderId="52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59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2" fillId="0" borderId="0" xfId="0" applyFont="1" applyAlignment="1"/>
    <xf numFmtId="4" fontId="11" fillId="0" borderId="41" xfId="0" applyNumberFormat="1" applyFont="1" applyBorder="1" applyAlignment="1">
      <alignment horizontal="left" vertical="center" wrapText="1"/>
    </xf>
    <xf numFmtId="4" fontId="11" fillId="0" borderId="89" xfId="0" applyNumberFormat="1" applyFont="1" applyBorder="1" applyAlignment="1">
      <alignment horizontal="left" vertical="center" wrapText="1"/>
    </xf>
    <xf numFmtId="4" fontId="11" fillId="0" borderId="42" xfId="0" applyNumberFormat="1" applyFont="1" applyBorder="1" applyAlignment="1">
      <alignment horizontal="left" vertical="center" wrapText="1"/>
    </xf>
    <xf numFmtId="4" fontId="11" fillId="0" borderId="94" xfId="0" applyNumberFormat="1" applyFont="1" applyBorder="1" applyAlignment="1">
      <alignment horizontal="left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296" xfId="0" applyFont="1" applyBorder="1" applyAlignment="1">
      <alignment horizontal="center" vertical="center" wrapText="1"/>
    </xf>
    <xf numFmtId="0" fontId="58" fillId="0" borderId="38" xfId="0" applyFont="1" applyBorder="1" applyAlignment="1">
      <alignment horizontal="center" vertical="center" wrapText="1"/>
    </xf>
    <xf numFmtId="0" fontId="58" fillId="0" borderId="286" xfId="0" applyFont="1" applyBorder="1" applyAlignment="1">
      <alignment horizontal="center" vertical="center" wrapText="1"/>
    </xf>
    <xf numFmtId="0" fontId="15" fillId="29" borderId="75" xfId="0" applyFont="1" applyFill="1" applyBorder="1" applyAlignment="1">
      <alignment horizontal="center" vertical="center"/>
    </xf>
    <xf numFmtId="0" fontId="15" fillId="29" borderId="76" xfId="0" applyFont="1" applyFill="1" applyBorder="1" applyAlignment="1">
      <alignment horizontal="center" vertical="center"/>
    </xf>
    <xf numFmtId="0" fontId="15" fillId="29" borderId="77" xfId="0" applyFont="1" applyFill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58" fillId="29" borderId="21" xfId="0" applyFont="1" applyFill="1" applyBorder="1" applyAlignment="1">
      <alignment horizontal="center" vertical="center" wrapText="1"/>
    </xf>
    <xf numFmtId="0" fontId="58" fillId="29" borderId="188" xfId="0" applyFont="1" applyFill="1" applyBorder="1" applyAlignment="1">
      <alignment horizontal="center" vertical="center" wrapText="1"/>
    </xf>
    <xf numFmtId="0" fontId="58" fillId="29" borderId="38" xfId="0" applyFont="1" applyFill="1" applyBorder="1" applyAlignment="1">
      <alignment horizontal="center" vertical="center" wrapText="1"/>
    </xf>
    <xf numFmtId="0" fontId="58" fillId="29" borderId="23" xfId="0" applyFont="1" applyFill="1" applyBorder="1" applyAlignment="1">
      <alignment horizontal="center" vertical="center" wrapText="1"/>
    </xf>
    <xf numFmtId="0" fontId="58" fillId="0" borderId="191" xfId="0" applyFont="1" applyBorder="1" applyAlignment="1">
      <alignment horizontal="center" vertical="center"/>
    </xf>
    <xf numFmtId="0" fontId="58" fillId="0" borderId="37" xfId="0" applyFont="1" applyBorder="1" applyAlignment="1">
      <alignment horizontal="center" vertical="center" wrapText="1"/>
    </xf>
    <xf numFmtId="0" fontId="58" fillId="0" borderId="188" xfId="0" applyFont="1" applyBorder="1" applyAlignment="1">
      <alignment horizontal="center" vertical="center" wrapText="1"/>
    </xf>
    <xf numFmtId="4" fontId="11" fillId="0" borderId="40" xfId="0" applyNumberFormat="1" applyFont="1" applyBorder="1" applyAlignment="1">
      <alignment horizontal="left" vertical="center" wrapText="1"/>
    </xf>
    <xf numFmtId="4" fontId="11" fillId="0" borderId="68" xfId="0" applyNumberFormat="1" applyFont="1" applyBorder="1" applyAlignment="1">
      <alignment horizontal="left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92" xfId="0" applyFont="1" applyBorder="1" applyAlignment="1">
      <alignment horizontal="center"/>
    </xf>
    <xf numFmtId="0" fontId="14" fillId="0" borderId="202" xfId="0" applyFont="1" applyBorder="1" applyAlignment="1">
      <alignment horizontal="center"/>
    </xf>
    <xf numFmtId="0" fontId="14" fillId="0" borderId="261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14" fillId="0" borderId="90" xfId="0" applyFont="1" applyBorder="1" applyAlignment="1">
      <alignment horizontal="center"/>
    </xf>
    <xf numFmtId="0" fontId="80" fillId="0" borderId="52" xfId="0" applyFont="1" applyBorder="1" applyAlignment="1">
      <alignment horizontal="center" vertical="center"/>
    </xf>
    <xf numFmtId="0" fontId="80" fillId="0" borderId="59" xfId="0" applyFont="1" applyBorder="1" applyAlignment="1">
      <alignment horizontal="center" vertical="center"/>
    </xf>
    <xf numFmtId="0" fontId="15" fillId="0" borderId="75" xfId="0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15" fillId="0" borderId="7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58" fillId="0" borderId="288" xfId="0" applyFont="1" applyBorder="1" applyAlignment="1">
      <alignment horizontal="center" vertical="center" wrapText="1"/>
    </xf>
    <xf numFmtId="4" fontId="11" fillId="0" borderId="42" xfId="0" applyNumberFormat="1" applyFont="1" applyBorder="1" applyAlignment="1">
      <alignment horizontal="center" vertical="center" wrapText="1"/>
    </xf>
    <xf numFmtId="4" fontId="11" fillId="0" borderId="94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65" fillId="0" borderId="52" xfId="0" applyFont="1" applyBorder="1" applyAlignment="1">
      <alignment horizontal="center"/>
    </xf>
    <xf numFmtId="0" fontId="65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9" xfId="0" applyBorder="1" applyAlignment="1">
      <alignment horizontal="center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302" xfId="0" applyFont="1" applyFill="1" applyBorder="1" applyAlignment="1">
      <alignment horizontal="center" vertical="center" wrapText="1"/>
    </xf>
    <xf numFmtId="0" fontId="16" fillId="0" borderId="30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03" xfId="0" applyFont="1" applyFill="1" applyBorder="1" applyAlignment="1">
      <alignment horizontal="center" vertical="center" wrapText="1"/>
    </xf>
    <xf numFmtId="0" fontId="58" fillId="0" borderId="66" xfId="0" applyFont="1" applyFill="1" applyBorder="1" applyAlignment="1">
      <alignment horizontal="center" vertical="center"/>
    </xf>
    <xf numFmtId="0" fontId="58" fillId="0" borderId="79" xfId="0" applyFont="1" applyFill="1" applyBorder="1" applyAlignment="1">
      <alignment horizontal="center" vertical="center"/>
    </xf>
    <xf numFmtId="0" fontId="15" fillId="29" borderId="53" xfId="0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center"/>
    </xf>
    <xf numFmtId="0" fontId="58" fillId="0" borderId="38" xfId="0" applyFont="1" applyFill="1" applyBorder="1" applyAlignment="1">
      <alignment horizontal="left" vertical="center"/>
    </xf>
    <xf numFmtId="0" fontId="58" fillId="0" borderId="302" xfId="0" applyFont="1" applyFill="1" applyBorder="1" applyAlignment="1">
      <alignment horizontal="left" vertical="center"/>
    </xf>
    <xf numFmtId="0" fontId="58" fillId="0" borderId="303" xfId="0" applyFont="1" applyFill="1" applyBorder="1" applyAlignment="1">
      <alignment horizontal="left" vertical="center"/>
    </xf>
    <xf numFmtId="0" fontId="15" fillId="0" borderId="50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0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6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305" xfId="0" applyFont="1" applyFill="1" applyBorder="1" applyAlignment="1">
      <alignment horizontal="center" vertical="center" wrapText="1"/>
    </xf>
    <xf numFmtId="0" fontId="15" fillId="27" borderId="50" xfId="0" applyFont="1" applyFill="1" applyBorder="1" applyAlignment="1">
      <alignment horizontal="center" vertical="center" wrapText="1"/>
    </xf>
    <xf numFmtId="0" fontId="15" fillId="27" borderId="47" xfId="0" applyFont="1" applyFill="1" applyBorder="1" applyAlignment="1">
      <alignment horizontal="center" vertical="center" wrapText="1"/>
    </xf>
    <xf numFmtId="0" fontId="15" fillId="27" borderId="40" xfId="0" applyFont="1" applyFill="1" applyBorder="1" applyAlignment="1">
      <alignment horizontal="center" vertical="center" wrapText="1"/>
    </xf>
    <xf numFmtId="0" fontId="15" fillId="27" borderId="36" xfId="0" applyFont="1" applyFill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5" fillId="24" borderId="50" xfId="0" applyFont="1" applyFill="1" applyBorder="1" applyAlignment="1">
      <alignment horizontal="center" vertical="center" wrapText="1"/>
    </xf>
    <xf numFmtId="0" fontId="15" fillId="24" borderId="47" xfId="0" applyFont="1" applyFill="1" applyBorder="1" applyAlignment="1">
      <alignment horizontal="center" vertical="center" wrapText="1"/>
    </xf>
    <xf numFmtId="0" fontId="15" fillId="24" borderId="48" xfId="0" applyFont="1" applyFill="1" applyBorder="1" applyAlignment="1">
      <alignment horizontal="center" vertical="center" wrapText="1"/>
    </xf>
    <xf numFmtId="0" fontId="15" fillId="24" borderId="40" xfId="0" applyFont="1" applyFill="1" applyBorder="1" applyAlignment="1">
      <alignment horizontal="center" vertical="center" wrapText="1"/>
    </xf>
    <xf numFmtId="0" fontId="15" fillId="24" borderId="36" xfId="0" applyFont="1" applyFill="1" applyBorder="1" applyAlignment="1">
      <alignment horizontal="center" vertical="center" wrapText="1"/>
    </xf>
    <xf numFmtId="0" fontId="15" fillId="24" borderId="68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0" fontId="16" fillId="0" borderId="5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60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0" fillId="0" borderId="303" xfId="0" applyBorder="1" applyAlignment="1"/>
    <xf numFmtId="0" fontId="58" fillId="0" borderId="16" xfId="0" applyFont="1" applyFill="1" applyBorder="1" applyAlignment="1">
      <alignment horizontal="center" vertical="center" wrapText="1"/>
    </xf>
    <xf numFmtId="0" fontId="0" fillId="0" borderId="302" xfId="0" applyBorder="1" applyAlignment="1"/>
    <xf numFmtId="0" fontId="60" fillId="0" borderId="51" xfId="0" applyFont="1" applyBorder="1" applyAlignment="1">
      <alignment horizontal="center" vertical="center" wrapText="1"/>
    </xf>
    <xf numFmtId="0" fontId="60" fillId="0" borderId="46" xfId="0" applyFont="1" applyBorder="1" applyAlignment="1">
      <alignment horizontal="center" vertical="center" wrapText="1"/>
    </xf>
    <xf numFmtId="0" fontId="60" fillId="0" borderId="57" xfId="0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0" borderId="48" xfId="0" applyFont="1" applyFill="1" applyBorder="1" applyAlignment="1">
      <alignment horizontal="center" vertical="center" wrapText="1"/>
    </xf>
    <xf numFmtId="0" fontId="56" fillId="0" borderId="40" xfId="0" applyFont="1" applyFill="1" applyBorder="1" applyAlignment="1">
      <alignment horizontal="center" vertical="center" wrapText="1"/>
    </xf>
    <xf numFmtId="0" fontId="56" fillId="0" borderId="36" xfId="0" applyFont="1" applyFill="1" applyBorder="1" applyAlignment="1">
      <alignment horizontal="center" vertical="center" wrapText="1"/>
    </xf>
    <xf numFmtId="0" fontId="56" fillId="0" borderId="68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right"/>
    </xf>
    <xf numFmtId="0" fontId="16" fillId="29" borderId="37" xfId="0" applyFont="1" applyFill="1" applyBorder="1" applyAlignment="1">
      <alignment horizontal="center" vertical="center" wrapText="1"/>
    </xf>
    <xf numFmtId="0" fontId="16" fillId="29" borderId="11" xfId="0" applyFont="1" applyFill="1" applyBorder="1" applyAlignment="1">
      <alignment horizontal="center" vertical="center" wrapText="1"/>
    </xf>
    <xf numFmtId="0" fontId="16" fillId="29" borderId="302" xfId="0" applyFont="1" applyFill="1" applyBorder="1" applyAlignment="1">
      <alignment horizontal="center" vertical="center" wrapText="1"/>
    </xf>
    <xf numFmtId="0" fontId="16" fillId="29" borderId="304" xfId="0" applyFont="1" applyFill="1" applyBorder="1" applyAlignment="1">
      <alignment horizontal="center" vertical="center" wrapText="1"/>
    </xf>
    <xf numFmtId="0" fontId="16" fillId="29" borderId="54" xfId="0" applyFont="1" applyFill="1" applyBorder="1" applyAlignment="1">
      <alignment horizontal="center" vertical="center" wrapText="1"/>
    </xf>
    <xf numFmtId="0" fontId="16" fillId="29" borderId="0" xfId="0" applyFont="1" applyFill="1" applyBorder="1" applyAlignment="1">
      <alignment horizontal="center" vertical="center" wrapText="1"/>
    </xf>
    <xf numFmtId="0" fontId="16" fillId="29" borderId="60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/>
    </xf>
    <xf numFmtId="0" fontId="97" fillId="0" borderId="0" xfId="0" applyFont="1" applyAlignment="1"/>
    <xf numFmtId="0" fontId="65" fillId="29" borderId="52" xfId="0" applyFont="1" applyFill="1" applyBorder="1" applyAlignment="1">
      <alignment horizontal="center"/>
    </xf>
    <xf numFmtId="0" fontId="65" fillId="29" borderId="53" xfId="0" applyFont="1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85" fillId="0" borderId="52" xfId="0" applyFont="1" applyBorder="1" applyAlignment="1">
      <alignment horizontal="center"/>
    </xf>
    <xf numFmtId="0" fontId="85" fillId="0" borderId="53" xfId="0" applyFont="1" applyBorder="1" applyAlignment="1">
      <alignment horizontal="center"/>
    </xf>
    <xf numFmtId="0" fontId="85" fillId="0" borderId="59" xfId="0" applyFont="1" applyBorder="1" applyAlignment="1">
      <alignment horizontal="center"/>
    </xf>
    <xf numFmtId="0" fontId="58" fillId="0" borderId="72" xfId="0" applyFont="1" applyFill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center" wrapText="1"/>
    </xf>
    <xf numFmtId="0" fontId="58" fillId="0" borderId="49" xfId="0" applyFont="1" applyBorder="1" applyAlignment="1">
      <alignment horizontal="center" vertical="center" wrapText="1"/>
    </xf>
    <xf numFmtId="0" fontId="58" fillId="0" borderId="24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 wrapText="1"/>
    </xf>
    <xf numFmtId="0" fontId="58" fillId="0" borderId="67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/>
    </xf>
    <xf numFmtId="0" fontId="16" fillId="0" borderId="218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0" fillId="0" borderId="195" xfId="0" applyBorder="1" applyAlignment="1"/>
    <xf numFmtId="0" fontId="0" fillId="0" borderId="196" xfId="0" applyBorder="1" applyAlignment="1"/>
    <xf numFmtId="0" fontId="65" fillId="0" borderId="59" xfId="0" applyFont="1" applyBorder="1" applyAlignment="1">
      <alignment horizontal="center"/>
    </xf>
    <xf numFmtId="0" fontId="16" fillId="0" borderId="195" xfId="0" applyFont="1" applyFill="1" applyBorder="1" applyAlignment="1">
      <alignment horizontal="center" vertical="center" wrapText="1"/>
    </xf>
    <xf numFmtId="0" fontId="16" fillId="0" borderId="202" xfId="0" applyFont="1" applyFill="1" applyBorder="1" applyAlignment="1">
      <alignment horizontal="center" vertical="center" wrapText="1"/>
    </xf>
    <xf numFmtId="0" fontId="16" fillId="0" borderId="213" xfId="0" applyFont="1" applyFill="1" applyBorder="1" applyAlignment="1">
      <alignment horizontal="center" vertical="center" wrapText="1"/>
    </xf>
    <xf numFmtId="0" fontId="16" fillId="0" borderId="196" xfId="0" applyFont="1" applyFill="1" applyBorder="1" applyAlignment="1">
      <alignment horizontal="center" vertical="center" wrapText="1"/>
    </xf>
    <xf numFmtId="0" fontId="15" fillId="29" borderId="59" xfId="0" applyFont="1" applyFill="1" applyBorder="1" applyAlignment="1">
      <alignment horizontal="center" vertical="center"/>
    </xf>
    <xf numFmtId="0" fontId="58" fillId="0" borderId="195" xfId="0" applyFont="1" applyFill="1" applyBorder="1" applyAlignment="1">
      <alignment horizontal="left" vertical="center"/>
    </xf>
    <xf numFmtId="0" fontId="58" fillId="0" borderId="196" xfId="0" applyFont="1" applyFill="1" applyBorder="1" applyAlignment="1">
      <alignment horizontal="left" vertical="center"/>
    </xf>
    <xf numFmtId="0" fontId="53" fillId="0" borderId="40" xfId="147" applyFont="1" applyBorder="1" applyAlignment="1">
      <alignment horizontal="left" vertical="center" wrapText="1"/>
    </xf>
    <xf numFmtId="0" fontId="53" fillId="0" borderId="68" xfId="147" applyFont="1" applyBorder="1" applyAlignment="1">
      <alignment horizontal="left" vertical="center" wrapText="1"/>
    </xf>
    <xf numFmtId="0" fontId="14" fillId="0" borderId="0" xfId="147" applyFont="1" applyAlignment="1">
      <alignment horizontal="center"/>
    </xf>
    <xf numFmtId="0" fontId="84" fillId="41" borderId="55" xfId="147" applyFont="1" applyFill="1" applyBorder="1" applyAlignment="1">
      <alignment horizontal="center"/>
    </xf>
    <xf numFmtId="0" fontId="53" fillId="0" borderId="50" xfId="147" applyFont="1" applyBorder="1" applyAlignment="1">
      <alignment horizontal="center" vertical="center" wrapText="1"/>
    </xf>
    <xf numFmtId="0" fontId="53" fillId="0" borderId="48" xfId="147" applyFont="1" applyBorder="1" applyAlignment="1">
      <alignment horizontal="center" vertical="center" wrapText="1"/>
    </xf>
    <xf numFmtId="0" fontId="53" fillId="0" borderId="56" xfId="147" applyFont="1" applyBorder="1" applyAlignment="1">
      <alignment horizontal="center" vertical="center" wrapText="1"/>
    </xf>
    <xf numFmtId="0" fontId="53" fillId="0" borderId="33" xfId="147" applyFont="1" applyBorder="1" applyAlignment="1">
      <alignment horizontal="center" vertical="center" wrapText="1"/>
    </xf>
    <xf numFmtId="0" fontId="53" fillId="0" borderId="52" xfId="147" applyFont="1" applyBorder="1" applyAlignment="1">
      <alignment horizontal="center" vertical="center" wrapText="1"/>
    </xf>
    <xf numFmtId="0" fontId="53" fillId="0" borderId="59" xfId="147" applyFont="1" applyBorder="1" applyAlignment="1">
      <alignment horizontal="center" vertical="center" wrapText="1"/>
    </xf>
    <xf numFmtId="0" fontId="53" fillId="0" borderId="40" xfId="147" applyFont="1" applyBorder="1" applyAlignment="1">
      <alignment vertical="center" wrapText="1"/>
    </xf>
    <xf numFmtId="0" fontId="53" fillId="0" borderId="68" xfId="147" applyFont="1" applyBorder="1" applyAlignment="1">
      <alignment vertical="center" wrapText="1"/>
    </xf>
    <xf numFmtId="0" fontId="53" fillId="0" borderId="197" xfId="147" applyFont="1" applyBorder="1" applyAlignment="1">
      <alignment horizontal="center" vertical="center" wrapText="1"/>
    </xf>
    <xf numFmtId="0" fontId="53" fillId="0" borderId="199" xfId="147" applyFont="1" applyBorder="1" applyAlignment="1">
      <alignment horizontal="center" vertical="center" wrapText="1"/>
    </xf>
    <xf numFmtId="0" fontId="52" fillId="42" borderId="52" xfId="147" applyFont="1" applyFill="1" applyBorder="1" applyAlignment="1">
      <alignment horizontal="left" vertical="center" wrapText="1"/>
    </xf>
    <xf numFmtId="0" fontId="52" fillId="42" borderId="53" xfId="147" applyFont="1" applyFill="1" applyBorder="1" applyAlignment="1">
      <alignment horizontal="left" vertical="center" wrapText="1"/>
    </xf>
    <xf numFmtId="0" fontId="14" fillId="0" borderId="0" xfId="147" applyFont="1" applyBorder="1" applyAlignment="1">
      <alignment horizontal="center"/>
    </xf>
    <xf numFmtId="0" fontId="53" fillId="0" borderId="161" xfId="147" applyFont="1" applyBorder="1" applyAlignment="1">
      <alignment horizontal="left" vertical="center" wrapText="1"/>
    </xf>
    <xf numFmtId="0" fontId="53" fillId="0" borderId="190" xfId="147" applyFont="1" applyBorder="1" applyAlignment="1">
      <alignment horizontal="left" vertical="center" wrapText="1"/>
    </xf>
    <xf numFmtId="0" fontId="53" fillId="0" borderId="197" xfId="147" applyFont="1" applyBorder="1" applyAlignment="1">
      <alignment horizontal="left" vertical="center" wrapText="1"/>
    </xf>
    <xf numFmtId="0" fontId="53" fillId="0" borderId="199" xfId="147" applyFont="1" applyBorder="1" applyAlignment="1">
      <alignment horizontal="left" vertical="center" wrapText="1"/>
    </xf>
    <xf numFmtId="0" fontId="53" fillId="0" borderId="56" xfId="147" applyFont="1" applyBorder="1" applyAlignment="1">
      <alignment horizontal="left" vertical="center" wrapText="1"/>
    </xf>
    <xf numFmtId="0" fontId="53" fillId="0" borderId="33" xfId="147" applyFont="1" applyBorder="1" applyAlignment="1">
      <alignment horizontal="left" vertical="center" wrapText="1"/>
    </xf>
    <xf numFmtId="0" fontId="58" fillId="30" borderId="364" xfId="0" applyFont="1" applyFill="1" applyBorder="1" applyAlignment="1">
      <alignment horizontal="center" vertical="center"/>
    </xf>
    <xf numFmtId="0" fontId="58" fillId="30" borderId="11" xfId="0" applyFont="1" applyFill="1" applyBorder="1" applyAlignment="1">
      <alignment horizontal="center" vertical="center"/>
    </xf>
    <xf numFmtId="0" fontId="58" fillId="31" borderId="66" xfId="0" applyFont="1" applyFill="1" applyBorder="1" applyAlignment="1">
      <alignment vertical="center"/>
    </xf>
    <xf numFmtId="0" fontId="58" fillId="30" borderId="237" xfId="0" applyFont="1" applyFill="1" applyBorder="1" applyAlignment="1">
      <alignment horizontal="center" vertical="center"/>
    </xf>
    <xf numFmtId="0" fontId="58" fillId="0" borderId="364" xfId="0" applyFont="1" applyBorder="1" applyAlignment="1">
      <alignment horizontal="center" vertical="center"/>
    </xf>
    <xf numFmtId="0" fontId="58" fillId="0" borderId="11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58" fillId="0" borderId="237" xfId="0" applyFont="1" applyFill="1" applyBorder="1" applyAlignment="1">
      <alignment horizontal="center" vertical="center" wrapText="1"/>
    </xf>
    <xf numFmtId="0" fontId="0" fillId="0" borderId="237" xfId="0" applyFont="1" applyFill="1" applyBorder="1" applyAlignment="1">
      <alignment horizontal="center" vertical="center" wrapText="1"/>
    </xf>
    <xf numFmtId="0" fontId="58" fillId="30" borderId="237" xfId="0" applyFont="1" applyFill="1" applyBorder="1" applyAlignment="1">
      <alignment horizontal="center" vertical="center" wrapText="1"/>
    </xf>
    <xf numFmtId="0" fontId="58" fillId="0" borderId="237" xfId="0" applyFont="1" applyBorder="1" applyAlignment="1">
      <alignment horizontal="center" vertical="center"/>
    </xf>
    <xf numFmtId="0" fontId="11" fillId="44" borderId="105" xfId="0" applyFont="1" applyFill="1" applyBorder="1" applyAlignment="1">
      <alignment horizontal="left" vertical="center" wrapText="1"/>
    </xf>
    <xf numFmtId="0" fontId="0" fillId="44" borderId="102" xfId="0" applyFont="1" applyFill="1" applyBorder="1" applyAlignment="1">
      <alignment horizontal="left" vertical="center" wrapText="1"/>
    </xf>
    <xf numFmtId="0" fontId="0" fillId="44" borderId="106" xfId="0" applyFont="1" applyFill="1" applyBorder="1" applyAlignment="1">
      <alignment horizontal="left" vertical="center" wrapText="1"/>
    </xf>
    <xf numFmtId="0" fontId="11" fillId="44" borderId="105" xfId="0" applyFont="1" applyFill="1" applyBorder="1" applyAlignment="1">
      <alignment vertical="center" wrapText="1"/>
    </xf>
    <xf numFmtId="0" fontId="0" fillId="44" borderId="102" xfId="0" applyFont="1" applyFill="1" applyBorder="1" applyAlignment="1">
      <alignment vertical="center" wrapText="1"/>
    </xf>
    <xf numFmtId="0" fontId="0" fillId="44" borderId="106" xfId="0" applyFont="1" applyFill="1" applyBorder="1" applyAlignment="1">
      <alignment vertical="center" wrapText="1"/>
    </xf>
    <xf numFmtId="0" fontId="58" fillId="0" borderId="106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23" fillId="44" borderId="105" xfId="0" applyFont="1" applyFill="1" applyBorder="1" applyAlignment="1">
      <alignment horizontal="left" vertical="center" wrapText="1"/>
    </xf>
    <xf numFmtId="0" fontId="124" fillId="44" borderId="102" xfId="0" applyFont="1" applyFill="1" applyBorder="1" applyAlignment="1">
      <alignment horizontal="left" vertical="center" wrapText="1"/>
    </xf>
    <xf numFmtId="0" fontId="124" fillId="44" borderId="106" xfId="0" applyFont="1" applyFill="1" applyBorder="1" applyAlignment="1">
      <alignment horizontal="left" vertical="center" wrapText="1"/>
    </xf>
    <xf numFmtId="0" fontId="58" fillId="0" borderId="105" xfId="0" applyFont="1" applyBorder="1" applyAlignment="1">
      <alignment horizontal="center" vertical="center"/>
    </xf>
    <xf numFmtId="0" fontId="58" fillId="0" borderId="102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96" xfId="0" applyFont="1" applyBorder="1" applyAlignment="1">
      <alignment horizontal="center" vertical="center"/>
    </xf>
    <xf numFmtId="0" fontId="11" fillId="44" borderId="111" xfId="0" applyFont="1" applyFill="1" applyBorder="1" applyAlignment="1">
      <alignment vertical="center" wrapText="1"/>
    </xf>
    <xf numFmtId="0" fontId="0" fillId="44" borderId="98" xfId="0" applyFont="1" applyFill="1" applyBorder="1" applyAlignment="1">
      <alignment vertical="center" wrapText="1"/>
    </xf>
    <xf numFmtId="0" fontId="0" fillId="44" borderId="112" xfId="0" applyFont="1" applyFill="1" applyBorder="1" applyAlignment="1">
      <alignment vertical="center" wrapText="1"/>
    </xf>
    <xf numFmtId="0" fontId="11" fillId="44" borderId="42" xfId="0" applyFont="1" applyFill="1" applyBorder="1" applyAlignment="1">
      <alignment vertical="center" wrapText="1"/>
    </xf>
    <xf numFmtId="0" fontId="0" fillId="44" borderId="99" xfId="0" applyFont="1" applyFill="1" applyBorder="1" applyAlignment="1">
      <alignment vertical="center" wrapText="1"/>
    </xf>
    <xf numFmtId="0" fontId="0" fillId="44" borderId="113" xfId="0" applyFont="1" applyFill="1" applyBorder="1" applyAlignment="1">
      <alignment vertical="center" wrapText="1"/>
    </xf>
    <xf numFmtId="0" fontId="11" fillId="44" borderId="73" xfId="0" applyFont="1" applyFill="1" applyBorder="1" applyAlignment="1"/>
    <xf numFmtId="0" fontId="0" fillId="44" borderId="71" xfId="0" applyFont="1" applyFill="1" applyBorder="1" applyAlignment="1"/>
    <xf numFmtId="0" fontId="0" fillId="44" borderId="69" xfId="0" applyFont="1" applyFill="1" applyBorder="1" applyAlignment="1"/>
    <xf numFmtId="0" fontId="11" fillId="44" borderId="111" xfId="0" applyFont="1" applyFill="1" applyBorder="1" applyAlignment="1"/>
    <xf numFmtId="0" fontId="0" fillId="44" borderId="98" xfId="0" applyFont="1" applyFill="1" applyBorder="1" applyAlignment="1"/>
    <xf numFmtId="0" fontId="0" fillId="44" borderId="112" xfId="0" applyFont="1" applyFill="1" applyBorder="1" applyAlignment="1"/>
    <xf numFmtId="0" fontId="11" fillId="44" borderId="42" xfId="0" applyFont="1" applyFill="1" applyBorder="1" applyAlignment="1"/>
    <xf numFmtId="0" fontId="0" fillId="44" borderId="99" xfId="0" applyFont="1" applyFill="1" applyBorder="1" applyAlignment="1"/>
    <xf numFmtId="0" fontId="0" fillId="44" borderId="113" xfId="0" applyFont="1" applyFill="1" applyBorder="1" applyAlignment="1"/>
    <xf numFmtId="0" fontId="11" fillId="44" borderId="21" xfId="0" applyFont="1" applyFill="1" applyBorder="1" applyAlignment="1">
      <alignment vertical="center" wrapText="1"/>
    </xf>
    <xf numFmtId="0" fontId="0" fillId="44" borderId="96" xfId="0" applyFont="1" applyFill="1" applyBorder="1" applyAlignment="1">
      <alignment vertical="center" wrapText="1"/>
    </xf>
    <xf numFmtId="0" fontId="0" fillId="44" borderId="23" xfId="0" applyFont="1" applyFill="1" applyBorder="1" applyAlignment="1">
      <alignment vertical="center" wrapText="1"/>
    </xf>
    <xf numFmtId="0" fontId="11" fillId="44" borderId="52" xfId="0" applyFont="1" applyFill="1" applyBorder="1" applyAlignment="1">
      <alignment vertical="center" wrapText="1"/>
    </xf>
    <xf numFmtId="0" fontId="11" fillId="44" borderId="53" xfId="0" applyFont="1" applyFill="1" applyBorder="1" applyAlignment="1">
      <alignment vertical="center" wrapText="1"/>
    </xf>
    <xf numFmtId="0" fontId="11" fillId="44" borderId="59" xfId="0" applyFont="1" applyFill="1" applyBorder="1" applyAlignment="1">
      <alignment vertical="center" wrapText="1"/>
    </xf>
    <xf numFmtId="167" fontId="11" fillId="44" borderId="75" xfId="0" applyNumberFormat="1" applyFont="1" applyFill="1" applyBorder="1" applyAlignment="1">
      <alignment vertical="center" wrapText="1"/>
    </xf>
    <xf numFmtId="0" fontId="0" fillId="44" borderId="76" xfId="0" applyFont="1" applyFill="1" applyBorder="1" applyAlignment="1">
      <alignment vertical="center" wrapText="1"/>
    </xf>
    <xf numFmtId="0" fontId="0" fillId="44" borderId="77" xfId="0" applyFont="1" applyFill="1" applyBorder="1" applyAlignment="1">
      <alignment vertical="center" wrapText="1"/>
    </xf>
    <xf numFmtId="0" fontId="11" fillId="44" borderId="16" xfId="0" applyFont="1" applyFill="1" applyBorder="1" applyAlignment="1">
      <alignment vertical="center" wrapText="1"/>
    </xf>
    <xf numFmtId="0" fontId="0" fillId="44" borderId="17" xfId="0" applyFont="1" applyFill="1" applyBorder="1" applyAlignment="1">
      <alignment vertical="center" wrapText="1"/>
    </xf>
    <xf numFmtId="0" fontId="0" fillId="44" borderId="18" xfId="0" applyFont="1" applyFill="1" applyBorder="1" applyAlignment="1">
      <alignment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/>
    </xf>
    <xf numFmtId="0" fontId="15" fillId="0" borderId="100" xfId="0" applyFont="1" applyBorder="1" applyAlignment="1">
      <alignment horizontal="center" vertical="center" wrapText="1"/>
    </xf>
    <xf numFmtId="0" fontId="15" fillId="0" borderId="98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98" xfId="0" applyFont="1" applyBorder="1" applyAlignment="1">
      <alignment horizontal="center" vertical="center" wrapText="1"/>
    </xf>
    <xf numFmtId="0" fontId="15" fillId="25" borderId="104" xfId="0" applyFont="1" applyFill="1" applyBorder="1" applyAlignment="1">
      <alignment horizontal="center" vertical="center" wrapText="1"/>
    </xf>
    <xf numFmtId="0" fontId="15" fillId="25" borderId="66" xfId="0" applyFont="1" applyFill="1" applyBorder="1" applyAlignment="1">
      <alignment horizontal="center" vertical="center" wrapText="1"/>
    </xf>
    <xf numFmtId="0" fontId="15" fillId="25" borderId="35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58" fillId="0" borderId="104" xfId="0" applyFont="1" applyFill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0" fontId="58" fillId="0" borderId="106" xfId="0" applyFont="1" applyFill="1" applyBorder="1" applyAlignment="1">
      <alignment horizontal="center" vertical="center" wrapText="1"/>
    </xf>
    <xf numFmtId="0" fontId="58" fillId="0" borderId="105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58" fillId="0" borderId="46" xfId="0" applyFont="1" applyFill="1" applyBorder="1" applyAlignment="1">
      <alignment horizontal="center" vertical="center" wrapText="1"/>
    </xf>
    <xf numFmtId="0" fontId="58" fillId="0" borderId="34" xfId="0" applyFont="1" applyFill="1" applyBorder="1" applyAlignment="1">
      <alignment horizontal="center" vertical="center" wrapText="1"/>
    </xf>
    <xf numFmtId="0" fontId="11" fillId="44" borderId="16" xfId="0" applyFont="1" applyFill="1" applyBorder="1" applyAlignment="1">
      <alignment horizontal="center" vertical="center"/>
    </xf>
    <xf numFmtId="0" fontId="0" fillId="44" borderId="17" xfId="0" applyFont="1" applyFill="1" applyBorder="1" applyAlignment="1">
      <alignment horizontal="center" vertical="center"/>
    </xf>
    <xf numFmtId="0" fontId="0" fillId="44" borderId="18" xfId="0" applyFont="1" applyFill="1" applyBorder="1" applyAlignment="1">
      <alignment horizontal="center" vertical="center"/>
    </xf>
    <xf numFmtId="0" fontId="11" fillId="44" borderId="105" xfId="0" applyFont="1" applyFill="1" applyBorder="1" applyAlignment="1">
      <alignment horizontal="center" vertical="center"/>
    </xf>
    <xf numFmtId="0" fontId="0" fillId="44" borderId="102" xfId="0" applyFont="1" applyFill="1" applyBorder="1" applyAlignment="1">
      <alignment horizontal="center" vertical="center"/>
    </xf>
    <xf numFmtId="0" fontId="0" fillId="44" borderId="106" xfId="0" applyFont="1" applyFill="1" applyBorder="1" applyAlignment="1">
      <alignment horizontal="center" vertical="center"/>
    </xf>
    <xf numFmtId="0" fontId="12" fillId="44" borderId="105" xfId="0" applyFont="1" applyFill="1" applyBorder="1" applyAlignment="1">
      <alignment horizontal="left" vertical="center" wrapText="1"/>
    </xf>
    <xf numFmtId="0" fontId="11" fillId="44" borderId="197" xfId="0" applyFont="1" applyFill="1" applyBorder="1" applyAlignment="1">
      <alignment horizontal="center" vertical="center" wrapText="1"/>
    </xf>
    <xf numFmtId="0" fontId="11" fillId="44" borderId="208" xfId="0" applyFont="1" applyFill="1" applyBorder="1" applyAlignment="1">
      <alignment horizontal="center" vertical="center" wrapText="1"/>
    </xf>
    <xf numFmtId="0" fontId="11" fillId="44" borderId="210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58" fillId="0" borderId="313" xfId="0" applyFont="1" applyFill="1" applyBorder="1" applyAlignment="1">
      <alignment horizontal="center" vertical="center" wrapText="1"/>
    </xf>
    <xf numFmtId="0" fontId="58" fillId="0" borderId="328" xfId="0" applyFont="1" applyFill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 wrapText="1"/>
    </xf>
    <xf numFmtId="0" fontId="58" fillId="0" borderId="38" xfId="0" applyFont="1" applyFill="1" applyBorder="1" applyAlignment="1">
      <alignment horizontal="center" vertical="center" wrapText="1"/>
    </xf>
    <xf numFmtId="0" fontId="15" fillId="29" borderId="17" xfId="0" applyFont="1" applyFill="1" applyBorder="1" applyAlignment="1">
      <alignment horizontal="center"/>
    </xf>
    <xf numFmtId="0" fontId="15" fillId="29" borderId="18" xfId="0" applyFont="1" applyFill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1" fillId="0" borderId="105" xfId="0" applyFont="1" applyBorder="1" applyAlignment="1">
      <alignment horizontal="center" vertical="center"/>
    </xf>
    <xf numFmtId="0" fontId="0" fillId="0" borderId="102" xfId="0" applyFont="1" applyBorder="1" applyAlignment="1">
      <alignment horizontal="center" vertical="center"/>
    </xf>
    <xf numFmtId="0" fontId="0" fillId="0" borderId="106" xfId="0" applyFont="1" applyBorder="1" applyAlignment="1">
      <alignment horizontal="center" vertical="center"/>
    </xf>
    <xf numFmtId="0" fontId="58" fillId="29" borderId="334" xfId="0" applyFont="1" applyFill="1" applyBorder="1" applyAlignment="1">
      <alignment horizontal="center" vertical="center" wrapText="1"/>
    </xf>
    <xf numFmtId="0" fontId="58" fillId="29" borderId="330" xfId="0" applyFont="1" applyFill="1" applyBorder="1" applyAlignment="1">
      <alignment horizontal="center" vertical="center" wrapText="1"/>
    </xf>
    <xf numFmtId="0" fontId="58" fillId="29" borderId="331" xfId="0" applyFont="1" applyFill="1" applyBorder="1" applyAlignment="1">
      <alignment horizontal="center" vertical="center" wrapText="1"/>
    </xf>
    <xf numFmtId="0" fontId="11" fillId="0" borderId="105" xfId="0" applyFont="1" applyBorder="1" applyAlignment="1">
      <alignment horizontal="left" vertical="center" wrapText="1"/>
    </xf>
    <xf numFmtId="0" fontId="0" fillId="0" borderId="102" xfId="0" applyFont="1" applyBorder="1" applyAlignment="1">
      <alignment horizontal="left" vertical="center" wrapText="1"/>
    </xf>
    <xf numFmtId="0" fontId="0" fillId="0" borderId="106" xfId="0" applyFont="1" applyBorder="1" applyAlignment="1">
      <alignment horizontal="left" vertical="center" wrapText="1"/>
    </xf>
    <xf numFmtId="0" fontId="11" fillId="0" borderId="197" xfId="0" applyFont="1" applyBorder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11" fillId="0" borderId="210" xfId="0" applyFont="1" applyBorder="1" applyAlignment="1">
      <alignment horizontal="center" vertical="center" wrapText="1"/>
    </xf>
    <xf numFmtId="0" fontId="12" fillId="0" borderId="105" xfId="0" applyFont="1" applyBorder="1" applyAlignment="1">
      <alignment horizontal="left" vertical="center" wrapText="1"/>
    </xf>
    <xf numFmtId="0" fontId="11" fillId="0" borderId="105" xfId="0" applyFont="1" applyBorder="1" applyAlignment="1">
      <alignment vertical="center" wrapText="1"/>
    </xf>
    <xf numFmtId="0" fontId="0" fillId="0" borderId="102" xfId="0" applyFont="1" applyBorder="1" applyAlignment="1">
      <alignment vertical="center" wrapText="1"/>
    </xf>
    <xf numFmtId="0" fontId="0" fillId="0" borderId="106" xfId="0" applyFont="1" applyBorder="1" applyAlignment="1">
      <alignment vertical="center" wrapText="1"/>
    </xf>
    <xf numFmtId="0" fontId="123" fillId="0" borderId="105" xfId="0" applyFont="1" applyBorder="1" applyAlignment="1">
      <alignment horizontal="left" vertical="center" wrapText="1"/>
    </xf>
    <xf numFmtId="0" fontId="124" fillId="0" borderId="102" xfId="0" applyFont="1" applyBorder="1" applyAlignment="1">
      <alignment horizontal="left" vertical="center" wrapText="1"/>
    </xf>
    <xf numFmtId="0" fontId="124" fillId="0" borderId="106" xfId="0" applyFont="1" applyBorder="1" applyAlignment="1">
      <alignment horizontal="left" vertical="center" wrapText="1"/>
    </xf>
    <xf numFmtId="0" fontId="11" fillId="0" borderId="42" xfId="0" applyFont="1" applyBorder="1" applyAlignment="1"/>
    <xf numFmtId="0" fontId="0" fillId="0" borderId="99" xfId="0" applyFont="1" applyBorder="1" applyAlignment="1"/>
    <xf numFmtId="0" fontId="0" fillId="0" borderId="113" xfId="0" applyFont="1" applyBorder="1" applyAlignment="1"/>
    <xf numFmtId="0" fontId="0" fillId="0" borderId="0" xfId="0" applyFont="1" applyAlignment="1">
      <alignment horizontal="right"/>
    </xf>
    <xf numFmtId="0" fontId="65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15" fillId="0" borderId="73" xfId="0" applyFont="1" applyBorder="1" applyAlignment="1">
      <alignment horizontal="center"/>
    </xf>
    <xf numFmtId="0" fontId="15" fillId="0" borderId="71" xfId="0" applyFont="1" applyBorder="1" applyAlignment="1">
      <alignment horizontal="center"/>
    </xf>
    <xf numFmtId="0" fontId="15" fillId="0" borderId="69" xfId="0" applyFont="1" applyBorder="1" applyAlignment="1">
      <alignment horizontal="center"/>
    </xf>
    <xf numFmtId="0" fontId="11" fillId="0" borderId="52" xfId="0" applyFont="1" applyBorder="1" applyAlignment="1">
      <alignment vertical="center" wrapText="1"/>
    </xf>
    <xf numFmtId="0" fontId="11" fillId="0" borderId="53" xfId="0" applyFont="1" applyBorder="1" applyAlignment="1">
      <alignment vertical="center" wrapText="1"/>
    </xf>
    <xf numFmtId="0" fontId="11" fillId="0" borderId="59" xfId="0" applyFont="1" applyBorder="1" applyAlignment="1">
      <alignment vertical="center" wrapText="1"/>
    </xf>
    <xf numFmtId="167" fontId="11" fillId="0" borderId="75" xfId="0" applyNumberFormat="1" applyFont="1" applyBorder="1" applyAlignment="1">
      <alignment vertical="center" wrapText="1"/>
    </xf>
    <xf numFmtId="0" fontId="0" fillId="0" borderId="76" xfId="0" applyFont="1" applyBorder="1" applyAlignment="1">
      <alignment vertical="center" wrapText="1"/>
    </xf>
    <xf numFmtId="0" fontId="0" fillId="0" borderId="77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0" fontId="11" fillId="0" borderId="21" xfId="0" applyFont="1" applyBorder="1" applyAlignment="1">
      <alignment vertical="center" wrapText="1"/>
    </xf>
    <xf numFmtId="0" fontId="0" fillId="0" borderId="96" xfId="0" applyFont="1" applyBorder="1" applyAlignment="1">
      <alignment vertical="center" wrapText="1"/>
    </xf>
    <xf numFmtId="0" fontId="0" fillId="0" borderId="23" xfId="0" applyFont="1" applyBorder="1" applyAlignment="1">
      <alignment vertical="center" wrapText="1"/>
    </xf>
    <xf numFmtId="0" fontId="11" fillId="0" borderId="73" xfId="0" applyFont="1" applyBorder="1" applyAlignment="1"/>
    <xf numFmtId="0" fontId="0" fillId="0" borderId="71" xfId="0" applyFont="1" applyBorder="1" applyAlignment="1"/>
    <xf numFmtId="0" fontId="0" fillId="0" borderId="69" xfId="0" applyFont="1" applyBorder="1" applyAlignment="1"/>
    <xf numFmtId="0" fontId="11" fillId="0" borderId="111" xfId="0" applyFont="1" applyBorder="1" applyAlignment="1"/>
    <xf numFmtId="0" fontId="0" fillId="0" borderId="98" xfId="0" applyFont="1" applyBorder="1" applyAlignment="1"/>
    <xf numFmtId="0" fontId="0" fillId="0" borderId="112" xfId="0" applyFont="1" applyBorder="1" applyAlignment="1"/>
    <xf numFmtId="0" fontId="11" fillId="0" borderId="111" xfId="0" applyFont="1" applyBorder="1" applyAlignment="1">
      <alignment vertical="center" wrapText="1"/>
    </xf>
    <xf numFmtId="0" fontId="0" fillId="0" borderId="98" xfId="0" applyFont="1" applyBorder="1" applyAlignment="1">
      <alignment vertical="center" wrapText="1"/>
    </xf>
    <xf numFmtId="0" fontId="0" fillId="0" borderId="112" xfId="0" applyFont="1" applyBorder="1" applyAlignment="1">
      <alignment vertical="center" wrapText="1"/>
    </xf>
    <xf numFmtId="0" fontId="11" fillId="0" borderId="42" xfId="0" applyFont="1" applyBorder="1" applyAlignment="1">
      <alignment vertical="center" wrapText="1"/>
    </xf>
    <xf numFmtId="0" fontId="0" fillId="0" borderId="99" xfId="0" applyFont="1" applyBorder="1" applyAlignment="1">
      <alignment vertical="center" wrapText="1"/>
    </xf>
    <xf numFmtId="0" fontId="0" fillId="0" borderId="113" xfId="0" applyFont="1" applyBorder="1" applyAlignment="1">
      <alignment vertical="center" wrapText="1"/>
    </xf>
    <xf numFmtId="0" fontId="123" fillId="44" borderId="111" xfId="0" applyFont="1" applyFill="1" applyBorder="1" applyAlignment="1">
      <alignment vertical="center" wrapText="1"/>
    </xf>
    <xf numFmtId="0" fontId="124" fillId="44" borderId="98" xfId="0" applyFont="1" applyFill="1" applyBorder="1" applyAlignment="1">
      <alignment vertical="center" wrapText="1"/>
    </xf>
    <xf numFmtId="0" fontId="124" fillId="44" borderId="112" xfId="0" applyFont="1" applyFill="1" applyBorder="1" applyAlignment="1">
      <alignment vertical="center" wrapText="1"/>
    </xf>
    <xf numFmtId="0" fontId="11" fillId="44" borderId="73" xfId="0" applyFont="1" applyFill="1" applyBorder="1" applyAlignment="1">
      <alignment vertical="center"/>
    </xf>
    <xf numFmtId="0" fontId="0" fillId="44" borderId="71" xfId="0" applyFill="1" applyBorder="1" applyAlignment="1"/>
    <xf numFmtId="0" fontId="0" fillId="44" borderId="69" xfId="0" applyFill="1" applyBorder="1" applyAlignment="1"/>
    <xf numFmtId="0" fontId="11" fillId="44" borderId="111" xfId="0" applyFont="1" applyFill="1" applyBorder="1" applyAlignment="1">
      <alignment vertical="center"/>
    </xf>
    <xf numFmtId="0" fontId="0" fillId="44" borderId="98" xfId="0" applyFill="1" applyBorder="1" applyAlignment="1"/>
    <xf numFmtId="0" fontId="0" fillId="44" borderId="112" xfId="0" applyFill="1" applyBorder="1" applyAlignment="1"/>
    <xf numFmtId="0" fontId="11" fillId="44" borderId="42" xfId="0" applyFont="1" applyFill="1" applyBorder="1" applyAlignment="1">
      <alignment vertical="center"/>
    </xf>
    <xf numFmtId="0" fontId="0" fillId="44" borderId="99" xfId="0" applyFill="1" applyBorder="1" applyAlignment="1"/>
    <xf numFmtId="0" fontId="0" fillId="44" borderId="113" xfId="0" applyFill="1" applyBorder="1" applyAlignment="1"/>
    <xf numFmtId="0" fontId="58" fillId="0" borderId="40" xfId="0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/>
    </xf>
    <xf numFmtId="0" fontId="58" fillId="0" borderId="111" xfId="0" applyFont="1" applyFill="1" applyBorder="1" applyAlignment="1">
      <alignment horizontal="center" vertical="center"/>
    </xf>
    <xf numFmtId="0" fontId="58" fillId="0" borderId="98" xfId="0" applyFont="1" applyFill="1" applyBorder="1" applyAlignment="1">
      <alignment horizontal="center" vertical="center"/>
    </xf>
    <xf numFmtId="0" fontId="58" fillId="0" borderId="112" xfId="0" applyFont="1" applyFill="1" applyBorder="1" applyAlignment="1">
      <alignment horizontal="center" vertical="center"/>
    </xf>
    <xf numFmtId="0" fontId="58" fillId="0" borderId="42" xfId="0" applyFont="1" applyFill="1" applyBorder="1" applyAlignment="1">
      <alignment horizontal="center" vertical="center"/>
    </xf>
    <xf numFmtId="0" fontId="58" fillId="0" borderId="99" xfId="0" applyFont="1" applyFill="1" applyBorder="1" applyAlignment="1">
      <alignment horizontal="center" vertical="center"/>
    </xf>
    <xf numFmtId="0" fontId="11" fillId="44" borderId="116" xfId="0" applyFont="1" applyFill="1" applyBorder="1" applyAlignment="1">
      <alignment vertical="center" wrapText="1"/>
    </xf>
    <xf numFmtId="0" fontId="0" fillId="44" borderId="117" xfId="0" applyFont="1" applyFill="1" applyBorder="1" applyAlignment="1">
      <alignment vertical="center" wrapText="1"/>
    </xf>
    <xf numFmtId="0" fontId="0" fillId="44" borderId="118" xfId="0" applyFont="1" applyFill="1" applyBorder="1" applyAlignment="1">
      <alignment vertical="center" wrapText="1"/>
    </xf>
    <xf numFmtId="0" fontId="0" fillId="44" borderId="99" xfId="0" applyFill="1" applyBorder="1" applyAlignment="1">
      <alignment vertical="center" wrapText="1"/>
    </xf>
    <xf numFmtId="0" fontId="0" fillId="44" borderId="113" xfId="0" applyFill="1" applyBorder="1" applyAlignment="1">
      <alignment vertical="center" wrapText="1"/>
    </xf>
    <xf numFmtId="0" fontId="95" fillId="44" borderId="52" xfId="0" applyFont="1" applyFill="1" applyBorder="1" applyAlignment="1">
      <alignment vertical="center" wrapText="1"/>
    </xf>
    <xf numFmtId="0" fontId="91" fillId="44" borderId="53" xfId="0" applyFont="1" applyFill="1" applyBorder="1" applyAlignment="1">
      <alignment vertical="center" wrapText="1"/>
    </xf>
    <xf numFmtId="0" fontId="91" fillId="44" borderId="59" xfId="0" applyFont="1" applyFill="1" applyBorder="1" applyAlignment="1">
      <alignment vertical="center" wrapText="1"/>
    </xf>
    <xf numFmtId="0" fontId="0" fillId="44" borderId="53" xfId="0" applyFill="1" applyBorder="1" applyAlignment="1">
      <alignment vertical="center" wrapText="1"/>
    </xf>
    <xf numFmtId="0" fontId="0" fillId="44" borderId="59" xfId="0" applyFill="1" applyBorder="1" applyAlignment="1">
      <alignment vertical="center" wrapText="1"/>
    </xf>
    <xf numFmtId="0" fontId="11" fillId="44" borderId="40" xfId="0" applyFont="1" applyFill="1" applyBorder="1" applyAlignment="1">
      <alignment vertical="center" wrapText="1"/>
    </xf>
    <xf numFmtId="0" fontId="0" fillId="44" borderId="36" xfId="0" applyFill="1" applyBorder="1" applyAlignment="1">
      <alignment vertical="center" wrapText="1"/>
    </xf>
    <xf numFmtId="0" fontId="0" fillId="44" borderId="68" xfId="0" applyFill="1" applyBorder="1" applyAlignment="1">
      <alignment vertical="center" wrapText="1"/>
    </xf>
    <xf numFmtId="0" fontId="0" fillId="44" borderId="98" xfId="0" applyFill="1" applyBorder="1" applyAlignment="1">
      <alignment vertical="center" wrapText="1"/>
    </xf>
    <xf numFmtId="0" fontId="0" fillId="44" borderId="112" xfId="0" applyFill="1" applyBorder="1" applyAlignment="1">
      <alignment vertical="center" wrapText="1"/>
    </xf>
    <xf numFmtId="0" fontId="58" fillId="30" borderId="140" xfId="0" applyFont="1" applyFill="1" applyBorder="1" applyAlignment="1">
      <alignment horizontal="center" vertical="center"/>
    </xf>
    <xf numFmtId="0" fontId="58" fillId="30" borderId="140" xfId="0" applyFont="1" applyFill="1" applyBorder="1" applyAlignment="1">
      <alignment horizontal="center" vertical="center" wrapText="1"/>
    </xf>
    <xf numFmtId="0" fontId="58" fillId="30" borderId="11" xfId="0" applyFont="1" applyFill="1" applyBorder="1" applyAlignment="1">
      <alignment horizontal="center" vertical="center" wrapText="1"/>
    </xf>
    <xf numFmtId="0" fontId="58" fillId="30" borderId="137" xfId="0" applyFont="1" applyFill="1" applyBorder="1" applyAlignment="1">
      <alignment horizontal="center" vertical="center" wrapText="1"/>
    </xf>
    <xf numFmtId="0" fontId="58" fillId="30" borderId="139" xfId="0" applyFont="1" applyFill="1" applyBorder="1" applyAlignment="1">
      <alignment horizontal="center" vertical="center" wrapText="1"/>
    </xf>
    <xf numFmtId="0" fontId="58" fillId="0" borderId="140" xfId="0" applyFont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 wrapText="1"/>
    </xf>
    <xf numFmtId="0" fontId="58" fillId="25" borderId="103" xfId="0" applyFont="1" applyFill="1" applyBorder="1" applyAlignment="1">
      <alignment horizontal="center" vertical="center" wrapText="1"/>
    </xf>
    <xf numFmtId="0" fontId="11" fillId="44" borderId="73" xfId="0" applyFont="1" applyFill="1" applyBorder="1" applyAlignment="1">
      <alignment horizontal="center" vertical="center" wrapText="1"/>
    </xf>
    <xf numFmtId="0" fontId="0" fillId="44" borderId="71" xfId="0" applyFill="1" applyBorder="1" applyAlignment="1">
      <alignment vertical="center" wrapText="1"/>
    </xf>
    <xf numFmtId="0" fontId="0" fillId="44" borderId="69" xfId="0" applyFill="1" applyBorder="1" applyAlignment="1">
      <alignment vertical="center" wrapText="1"/>
    </xf>
    <xf numFmtId="0" fontId="11" fillId="44" borderId="111" xfId="0" applyFont="1" applyFill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137" xfId="0" applyFont="1" applyFill="1" applyBorder="1" applyAlignment="1">
      <alignment horizontal="center"/>
    </xf>
    <xf numFmtId="0" fontId="15" fillId="0" borderId="138" xfId="0" applyFont="1" applyFill="1" applyBorder="1" applyAlignment="1">
      <alignment horizontal="center"/>
    </xf>
    <xf numFmtId="0" fontId="15" fillId="0" borderId="139" xfId="0" applyFont="1" applyFill="1" applyBorder="1" applyAlignment="1">
      <alignment horizontal="center"/>
    </xf>
    <xf numFmtId="0" fontId="58" fillId="0" borderId="100" xfId="0" applyFont="1" applyBorder="1" applyAlignment="1">
      <alignment horizontal="center" vertical="center" wrapText="1"/>
    </xf>
    <xf numFmtId="0" fontId="15" fillId="0" borderId="237" xfId="0" applyFont="1" applyFill="1" applyBorder="1" applyAlignment="1">
      <alignment horizontal="center"/>
    </xf>
    <xf numFmtId="0" fontId="60" fillId="0" borderId="237" xfId="0" applyFont="1" applyFill="1" applyBorder="1" applyAlignment="1">
      <alignment horizontal="center"/>
    </xf>
    <xf numFmtId="0" fontId="58" fillId="30" borderId="219" xfId="0" applyFont="1" applyFill="1" applyBorder="1" applyAlignment="1">
      <alignment horizontal="center" vertical="center" wrapText="1"/>
    </xf>
    <xf numFmtId="0" fontId="0" fillId="0" borderId="220" xfId="0" applyBorder="1" applyAlignment="1">
      <alignment horizontal="center" vertical="center"/>
    </xf>
    <xf numFmtId="0" fontId="0" fillId="0" borderId="226" xfId="0" applyBorder="1" applyAlignment="1">
      <alignment horizontal="center" vertical="center"/>
    </xf>
    <xf numFmtId="0" fontId="58" fillId="0" borderId="314" xfId="0" applyFont="1" applyFill="1" applyBorder="1" applyAlignment="1">
      <alignment horizontal="center" vertical="center" wrapText="1"/>
    </xf>
    <xf numFmtId="0" fontId="58" fillId="29" borderId="326" xfId="0" applyFont="1" applyFill="1" applyBorder="1" applyAlignment="1">
      <alignment horizontal="center" vertical="center" wrapText="1"/>
    </xf>
    <xf numFmtId="0" fontId="58" fillId="29" borderId="102" xfId="0" applyFont="1" applyFill="1" applyBorder="1" applyAlignment="1">
      <alignment horizontal="center" vertical="center" wrapText="1"/>
    </xf>
    <xf numFmtId="0" fontId="58" fillId="29" borderId="106" xfId="0" applyFont="1" applyFill="1" applyBorder="1" applyAlignment="1">
      <alignment horizontal="center" vertical="center" wrapText="1"/>
    </xf>
    <xf numFmtId="0" fontId="15" fillId="29" borderId="30" xfId="0" applyFont="1" applyFill="1" applyBorder="1" applyAlignment="1">
      <alignment horizontal="center" vertical="center"/>
    </xf>
    <xf numFmtId="0" fontId="15" fillId="29" borderId="17" xfId="0" applyFont="1" applyFill="1" applyBorder="1" applyAlignment="1">
      <alignment horizontal="center" vertical="center"/>
    </xf>
    <xf numFmtId="0" fontId="15" fillId="29" borderId="18" xfId="0" applyFont="1" applyFill="1" applyBorder="1" applyAlignment="1">
      <alignment horizontal="center" vertical="center"/>
    </xf>
    <xf numFmtId="0" fontId="58" fillId="25" borderId="102" xfId="0" applyFont="1" applyFill="1" applyBorder="1" applyAlignment="1">
      <alignment horizontal="center" vertical="center" wrapText="1"/>
    </xf>
    <xf numFmtId="0" fontId="0" fillId="0" borderId="0" xfId="79" applyFont="1" applyAlignment="1">
      <alignment horizontal="right"/>
    </xf>
    <xf numFmtId="0" fontId="66" fillId="0" borderId="0" xfId="79" applyFont="1" applyAlignment="1">
      <alignment horizontal="center"/>
    </xf>
    <xf numFmtId="0" fontId="88" fillId="0" borderId="73" xfId="79" applyFont="1" applyFill="1" applyBorder="1" applyAlignment="1">
      <alignment horizontal="center" vertical="center" wrapText="1"/>
    </xf>
    <xf numFmtId="0" fontId="88" fillId="0" borderId="71" xfId="0" applyFont="1" applyBorder="1" applyAlignment="1">
      <alignment horizontal="center" vertical="center" wrapText="1"/>
    </xf>
    <xf numFmtId="0" fontId="88" fillId="0" borderId="69" xfId="0" applyFont="1" applyBorder="1" applyAlignment="1">
      <alignment horizontal="center" vertical="center" wrapText="1"/>
    </xf>
    <xf numFmtId="0" fontId="46" fillId="0" borderId="82" xfId="79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46" fillId="0" borderId="62" xfId="79" applyFont="1" applyFill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5" xfId="79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11" xfId="79" applyFont="1" applyFill="1" applyBorder="1" applyAlignment="1">
      <alignment horizontal="center" vertical="center"/>
    </xf>
    <xf numFmtId="0" fontId="11" fillId="0" borderId="38" xfId="79" applyFont="1" applyFill="1" applyBorder="1" applyAlignment="1">
      <alignment horizontal="center" vertical="center"/>
    </xf>
    <xf numFmtId="0" fontId="11" fillId="0" borderId="209" xfId="79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202" xfId="79" applyFont="1" applyFill="1" applyBorder="1" applyAlignment="1">
      <alignment horizontal="center" vertical="center" wrapText="1"/>
    </xf>
    <xf numFmtId="0" fontId="11" fillId="0" borderId="188" xfId="79" applyFont="1" applyFill="1" applyBorder="1" applyAlignment="1">
      <alignment horizontal="center" vertical="center" wrapText="1"/>
    </xf>
    <xf numFmtId="0" fontId="11" fillId="0" borderId="196" xfId="79" applyFont="1" applyFill="1" applyBorder="1" applyAlignment="1">
      <alignment horizontal="center" vertical="center" wrapText="1"/>
    </xf>
    <xf numFmtId="0" fontId="11" fillId="0" borderId="23" xfId="79" applyFont="1" applyFill="1" applyBorder="1" applyAlignment="1">
      <alignment horizontal="center" vertical="center" wrapText="1"/>
    </xf>
    <xf numFmtId="0" fontId="46" fillId="0" borderId="204" xfId="79" applyFont="1" applyFill="1" applyBorder="1" applyAlignment="1">
      <alignment horizontal="center" vertical="center" wrapText="1"/>
    </xf>
    <xf numFmtId="0" fontId="46" fillId="0" borderId="248" xfId="79" applyFont="1" applyFill="1" applyBorder="1" applyAlignment="1">
      <alignment horizontal="center" vertical="center" wrapText="1"/>
    </xf>
    <xf numFmtId="0" fontId="11" fillId="0" borderId="205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49" fillId="0" borderId="73" xfId="79" applyFont="1" applyFill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10" fillId="0" borderId="69" xfId="0" applyFont="1" applyBorder="1" applyAlignment="1">
      <alignment horizontal="center" vertical="center" wrapText="1"/>
    </xf>
    <xf numFmtId="0" fontId="46" fillId="0" borderId="37" xfId="79" applyFont="1" applyFill="1" applyBorder="1" applyAlignment="1">
      <alignment horizontal="center" vertical="center" wrapText="1"/>
    </xf>
    <xf numFmtId="0" fontId="46" fillId="0" borderId="195" xfId="79" applyFont="1" applyFill="1" applyBorder="1" applyAlignment="1">
      <alignment horizontal="center" vertical="center" wrapText="1"/>
    </xf>
    <xf numFmtId="0" fontId="46" fillId="0" borderId="21" xfId="79" applyFont="1" applyFill="1" applyBorder="1" applyAlignment="1">
      <alignment horizontal="center" vertical="center" wrapText="1"/>
    </xf>
    <xf numFmtId="0" fontId="46" fillId="0" borderId="87" xfId="79" applyFont="1" applyFill="1" applyBorder="1" applyAlignment="1">
      <alignment horizontal="center" vertical="center"/>
    </xf>
    <xf numFmtId="0" fontId="46" fillId="0" borderId="61" xfId="79" applyFont="1" applyFill="1" applyBorder="1" applyAlignment="1">
      <alignment horizontal="center" vertical="center"/>
    </xf>
    <xf numFmtId="0" fontId="46" fillId="0" borderId="11" xfId="79" applyFont="1" applyFill="1" applyBorder="1" applyAlignment="1">
      <alignment horizontal="center" vertical="center"/>
    </xf>
    <xf numFmtId="0" fontId="46" fillId="0" borderId="87" xfId="79" applyFont="1" applyFill="1" applyBorder="1" applyAlignment="1">
      <alignment horizontal="center" vertical="center" wrapText="1"/>
    </xf>
    <xf numFmtId="0" fontId="46" fillId="0" borderId="61" xfId="79" applyFont="1" applyFill="1" applyBorder="1" applyAlignment="1">
      <alignment horizontal="center" vertical="center" wrapText="1"/>
    </xf>
    <xf numFmtId="0" fontId="46" fillId="0" borderId="11" xfId="79" applyFont="1" applyFill="1" applyBorder="1" applyAlignment="1">
      <alignment horizontal="center" vertical="center" wrapText="1"/>
    </xf>
    <xf numFmtId="0" fontId="14" fillId="0" borderId="93" xfId="79" applyFont="1" applyFill="1" applyBorder="1" applyAlignment="1">
      <alignment horizontal="center" vertical="center" wrapText="1"/>
    </xf>
    <xf numFmtId="0" fontId="14" fillId="0" borderId="90" xfId="79" applyFont="1" applyFill="1" applyBorder="1" applyAlignment="1">
      <alignment horizontal="center" vertical="center" wrapText="1"/>
    </xf>
    <xf numFmtId="0" fontId="46" fillId="0" borderId="19" xfId="79" applyFont="1" applyFill="1" applyBorder="1" applyAlignment="1">
      <alignment horizontal="center" vertical="center" wrapText="1"/>
    </xf>
    <xf numFmtId="0" fontId="46" fillId="0" borderId="92" xfId="79" applyFont="1" applyFill="1" applyBorder="1" applyAlignment="1">
      <alignment horizontal="center" vertical="center" wrapText="1"/>
    </xf>
    <xf numFmtId="0" fontId="11" fillId="0" borderId="62" xfId="79" applyFont="1" applyFill="1" applyBorder="1" applyAlignment="1">
      <alignment horizontal="center" vertical="center"/>
    </xf>
    <xf numFmtId="0" fontId="11" fillId="0" borderId="83" xfId="79" applyFont="1" applyFill="1" applyBorder="1" applyAlignment="1">
      <alignment horizontal="center" vertical="center"/>
    </xf>
    <xf numFmtId="0" fontId="11" fillId="0" borderId="35" xfId="79" applyFont="1" applyFill="1" applyBorder="1" applyAlignment="1">
      <alignment horizontal="center" vertical="center"/>
    </xf>
    <xf numFmtId="0" fontId="11" fillId="0" borderId="68" xfId="79" applyFont="1" applyFill="1" applyBorder="1" applyAlignment="1">
      <alignment horizontal="center" vertical="center"/>
    </xf>
    <xf numFmtId="0" fontId="15" fillId="0" borderId="73" xfId="79" applyFont="1" applyFill="1" applyBorder="1" applyAlignment="1">
      <alignment horizontal="center" vertical="center" wrapText="1"/>
    </xf>
    <xf numFmtId="0" fontId="15" fillId="0" borderId="71" xfId="79" applyFont="1" applyFill="1" applyBorder="1" applyAlignment="1">
      <alignment horizontal="center" vertical="center" wrapText="1"/>
    </xf>
    <xf numFmtId="0" fontId="15" fillId="0" borderId="69" xfId="79" applyFont="1" applyFill="1" applyBorder="1" applyAlignment="1">
      <alignment horizontal="center" vertical="center" wrapText="1"/>
    </xf>
    <xf numFmtId="0" fontId="14" fillId="0" borderId="50" xfId="79" applyFont="1" applyFill="1" applyBorder="1" applyAlignment="1">
      <alignment horizontal="center" vertical="center" wrapText="1"/>
    </xf>
    <xf numFmtId="0" fontId="14" fillId="0" borderId="47" xfId="79" applyFont="1" applyFill="1" applyBorder="1" applyAlignment="1">
      <alignment horizontal="center" vertical="center" wrapText="1"/>
    </xf>
    <xf numFmtId="0" fontId="14" fillId="0" borderId="48" xfId="79" applyFont="1" applyFill="1" applyBorder="1" applyAlignment="1">
      <alignment horizontal="center" vertical="center" wrapText="1"/>
    </xf>
    <xf numFmtId="0" fontId="46" fillId="0" borderId="202" xfId="79" applyFont="1" applyFill="1" applyBorder="1" applyAlignment="1">
      <alignment horizontal="center" vertical="center" wrapText="1"/>
    </xf>
    <xf numFmtId="0" fontId="46" fillId="0" borderId="196" xfId="79" applyFont="1" applyFill="1" applyBorder="1" applyAlignment="1">
      <alignment horizontal="center" vertical="center" wrapText="1"/>
    </xf>
    <xf numFmtId="4" fontId="11" fillId="0" borderId="251" xfId="79" applyNumberFormat="1" applyFont="1" applyFill="1" applyBorder="1" applyAlignment="1">
      <alignment horizontal="center" vertical="center"/>
    </xf>
    <xf numFmtId="0" fontId="11" fillId="0" borderId="241" xfId="0" applyFont="1" applyFill="1" applyBorder="1" applyAlignment="1">
      <alignment horizontal="center" vertical="center"/>
    </xf>
    <xf numFmtId="0" fontId="49" fillId="0" borderId="16" xfId="79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46" fillId="0" borderId="62" xfId="79" applyFont="1" applyFill="1" applyBorder="1" applyAlignment="1">
      <alignment horizontal="center" vertical="center"/>
    </xf>
    <xf numFmtId="0" fontId="46" fillId="0" borderId="78" xfId="79" applyFont="1" applyFill="1" applyBorder="1" applyAlignment="1">
      <alignment horizontal="center" vertical="center"/>
    </xf>
    <xf numFmtId="0" fontId="46" fillId="0" borderId="66" xfId="79" applyFont="1" applyFill="1" applyBorder="1" applyAlignment="1">
      <alignment horizontal="center" vertical="center"/>
    </xf>
    <xf numFmtId="0" fontId="46" fillId="0" borderId="0" xfId="79" applyFont="1" applyFill="1" applyBorder="1" applyAlignment="1">
      <alignment horizontal="center" vertical="center"/>
    </xf>
    <xf numFmtId="0" fontId="11" fillId="0" borderId="202" xfId="79" applyFont="1" applyFill="1" applyBorder="1" applyAlignment="1">
      <alignment horizontal="center" vertical="center"/>
    </xf>
    <xf numFmtId="0" fontId="11" fillId="0" borderId="61" xfId="79" applyFont="1" applyFill="1" applyBorder="1" applyAlignment="1">
      <alignment horizontal="center" vertical="center" wrapText="1"/>
    </xf>
    <xf numFmtId="0" fontId="11" fillId="0" borderId="43" xfId="79" applyFont="1" applyFill="1" applyBorder="1" applyAlignment="1">
      <alignment horizontal="center" vertical="center" wrapText="1"/>
    </xf>
    <xf numFmtId="0" fontId="11" fillId="0" borderId="250" xfId="79" applyFont="1" applyFill="1" applyBorder="1" applyAlignment="1">
      <alignment horizontal="center" vertical="center" wrapText="1"/>
    </xf>
    <xf numFmtId="0" fontId="11" fillId="0" borderId="254" xfId="79" applyFont="1" applyFill="1" applyBorder="1" applyAlignment="1">
      <alignment horizontal="center" vertical="center" wrapText="1"/>
    </xf>
    <xf numFmtId="0" fontId="11" fillId="0" borderId="257" xfId="79" applyFont="1" applyFill="1" applyBorder="1" applyAlignment="1">
      <alignment horizontal="center" vertical="center" wrapText="1"/>
    </xf>
    <xf numFmtId="0" fontId="11" fillId="0" borderId="251" xfId="79" applyFont="1" applyFill="1" applyBorder="1" applyAlignment="1">
      <alignment horizontal="center" vertical="center" wrapText="1"/>
    </xf>
    <xf numFmtId="0" fontId="11" fillId="0" borderId="252" xfId="0" applyFont="1" applyBorder="1" applyAlignment="1">
      <alignment horizontal="center" vertical="center" wrapText="1"/>
    </xf>
    <xf numFmtId="0" fontId="11" fillId="0" borderId="253" xfId="0" applyFont="1" applyBorder="1" applyAlignment="1">
      <alignment horizontal="center" vertical="center" wrapText="1"/>
    </xf>
    <xf numFmtId="0" fontId="88" fillId="0" borderId="50" xfId="79" applyFont="1" applyFill="1" applyBorder="1" applyAlignment="1">
      <alignment horizontal="center" vertical="center" wrapText="1"/>
    </xf>
    <xf numFmtId="0" fontId="88" fillId="0" borderId="47" xfId="0" applyFont="1" applyBorder="1" applyAlignment="1">
      <alignment horizontal="center" vertical="center" wrapText="1"/>
    </xf>
    <xf numFmtId="0" fontId="11" fillId="0" borderId="255" xfId="79" applyFont="1" applyFill="1" applyBorder="1" applyAlignment="1">
      <alignment horizontal="center" vertical="center" wrapText="1"/>
    </xf>
    <xf numFmtId="0" fontId="46" fillId="0" borderId="51" xfId="79" applyFont="1" applyFill="1" applyBorder="1" applyAlignment="1">
      <alignment horizontal="center" vertical="center"/>
    </xf>
    <xf numFmtId="0" fontId="46" fillId="0" borderId="46" xfId="79" applyFont="1" applyFill="1" applyBorder="1" applyAlignment="1">
      <alignment horizontal="center" vertical="center"/>
    </xf>
    <xf numFmtId="0" fontId="46" fillId="0" borderId="34" xfId="79" applyFont="1" applyFill="1" applyBorder="1" applyAlignment="1">
      <alignment horizontal="center" vertical="center"/>
    </xf>
    <xf numFmtId="0" fontId="46" fillId="0" borderId="65" xfId="79" applyFont="1" applyFill="1" applyBorder="1" applyAlignment="1">
      <alignment horizontal="center" vertical="center"/>
    </xf>
    <xf numFmtId="0" fontId="46" fillId="0" borderId="36" xfId="79" applyFont="1" applyFill="1" applyBorder="1" applyAlignment="1">
      <alignment horizontal="center" vertical="center"/>
    </xf>
    <xf numFmtId="0" fontId="46" fillId="0" borderId="31" xfId="79" applyFont="1" applyFill="1" applyBorder="1" applyAlignment="1">
      <alignment horizontal="center" vertical="center"/>
    </xf>
    <xf numFmtId="0" fontId="46" fillId="0" borderId="74" xfId="79" applyFont="1" applyFill="1" applyBorder="1" applyAlignment="1">
      <alignment horizontal="center" vertical="center"/>
    </xf>
    <xf numFmtId="0" fontId="46" fillId="0" borderId="35" xfId="79" applyFont="1" applyFill="1" applyBorder="1" applyAlignment="1">
      <alignment horizontal="center" vertical="center"/>
    </xf>
    <xf numFmtId="0" fontId="46" fillId="0" borderId="45" xfId="79" applyFont="1" applyFill="1" applyBorder="1" applyAlignment="1">
      <alignment horizontal="center" vertical="center" wrapText="1"/>
    </xf>
    <xf numFmtId="0" fontId="46" fillId="0" borderId="13" xfId="79" applyFont="1" applyFill="1" applyBorder="1" applyAlignment="1">
      <alignment horizontal="center" vertical="center"/>
    </xf>
    <xf numFmtId="0" fontId="46" fillId="0" borderId="315" xfId="79" applyFont="1" applyFill="1" applyBorder="1" applyAlignment="1">
      <alignment horizontal="center" vertical="center"/>
    </xf>
    <xf numFmtId="0" fontId="46" fillId="0" borderId="15" xfId="79" applyFont="1" applyFill="1" applyBorder="1" applyAlignment="1">
      <alignment horizontal="center" vertical="center"/>
    </xf>
    <xf numFmtId="0" fontId="46" fillId="0" borderId="91" xfId="79" applyFont="1" applyFill="1" applyBorder="1" applyAlignment="1">
      <alignment horizontal="center" vertical="center" wrapText="1"/>
    </xf>
    <xf numFmtId="0" fontId="46" fillId="0" borderId="10" xfId="79" applyFont="1" applyFill="1" applyBorder="1" applyAlignment="1">
      <alignment horizontal="center" vertical="center" wrapText="1"/>
    </xf>
    <xf numFmtId="0" fontId="16" fillId="0" borderId="0" xfId="79" applyFont="1" applyFill="1" applyBorder="1" applyAlignment="1">
      <alignment horizontal="center" vertical="center"/>
    </xf>
    <xf numFmtId="0" fontId="16" fillId="0" borderId="36" xfId="79" applyFont="1" applyFill="1" applyBorder="1" applyAlignment="1">
      <alignment horizontal="center" vertical="center"/>
    </xf>
    <xf numFmtId="0" fontId="46" fillId="0" borderId="65" xfId="79" applyFont="1" applyFill="1" applyBorder="1" applyAlignment="1">
      <alignment horizontal="center" vertical="center" wrapText="1"/>
    </xf>
    <xf numFmtId="0" fontId="46" fillId="0" borderId="40" xfId="79" applyFont="1" applyFill="1" applyBorder="1" applyAlignment="1">
      <alignment horizontal="center" vertical="center" wrapText="1"/>
    </xf>
    <xf numFmtId="0" fontId="46" fillId="0" borderId="31" xfId="79" applyFont="1" applyFill="1" applyBorder="1" applyAlignment="1">
      <alignment horizontal="center" vertical="center" wrapText="1"/>
    </xf>
    <xf numFmtId="0" fontId="46" fillId="0" borderId="10" xfId="79" applyFont="1" applyFill="1" applyBorder="1" applyAlignment="1">
      <alignment horizontal="center" vertical="center"/>
    </xf>
    <xf numFmtId="0" fontId="46" fillId="0" borderId="50" xfId="79" applyFont="1" applyFill="1" applyBorder="1" applyAlignment="1">
      <alignment horizontal="center" vertical="center" wrapText="1"/>
    </xf>
    <xf numFmtId="0" fontId="11" fillId="0" borderId="47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1" fillId="0" borderId="211" xfId="79" applyFont="1" applyFill="1" applyBorder="1" applyAlignment="1">
      <alignment horizontal="center" vertical="center" wrapText="1"/>
    </xf>
    <xf numFmtId="0" fontId="11" fillId="0" borderId="67" xfId="79" applyFont="1" applyFill="1" applyBorder="1" applyAlignment="1">
      <alignment horizontal="center" vertical="center" wrapText="1"/>
    </xf>
    <xf numFmtId="0" fontId="11" fillId="0" borderId="44" xfId="79" applyFont="1" applyFill="1" applyBorder="1" applyAlignment="1">
      <alignment horizontal="center" vertical="center" wrapText="1"/>
    </xf>
    <xf numFmtId="0" fontId="68" fillId="0" borderId="73" xfId="79" applyFont="1" applyFill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46" fillId="0" borderId="188" xfId="79" applyFont="1" applyFill="1" applyBorder="1" applyAlignment="1">
      <alignment horizontal="center" vertical="center" wrapText="1"/>
    </xf>
    <xf numFmtId="4" fontId="11" fillId="0" borderId="304" xfId="79" applyNumberFormat="1" applyFont="1" applyFill="1" applyBorder="1" applyAlignment="1">
      <alignment horizontal="center" vertical="center"/>
    </xf>
    <xf numFmtId="0" fontId="11" fillId="0" borderId="304" xfId="0" applyFont="1" applyFill="1" applyBorder="1" applyAlignment="1">
      <alignment horizontal="center" vertical="center"/>
    </xf>
    <xf numFmtId="0" fontId="46" fillId="0" borderId="26" xfId="79" applyFont="1" applyFill="1" applyBorder="1" applyAlignment="1">
      <alignment horizontal="center" vertical="center"/>
    </xf>
    <xf numFmtId="0" fontId="46" fillId="0" borderId="25" xfId="79" applyFont="1" applyFill="1" applyBorder="1" applyAlignment="1">
      <alignment horizontal="center" vertical="center"/>
    </xf>
    <xf numFmtId="0" fontId="46" fillId="0" borderId="28" xfId="79" applyFont="1" applyFill="1" applyBorder="1" applyAlignment="1">
      <alignment horizontal="center" vertical="center"/>
    </xf>
    <xf numFmtId="0" fontId="46" fillId="0" borderId="93" xfId="79" applyFont="1" applyFill="1" applyBorder="1" applyAlignment="1">
      <alignment horizontal="center" vertical="center" wrapText="1"/>
    </xf>
    <xf numFmtId="0" fontId="46" fillId="0" borderId="90" xfId="79" applyFont="1" applyFill="1" applyBorder="1" applyAlignment="1">
      <alignment horizontal="center" vertical="center" wrapText="1"/>
    </xf>
    <xf numFmtId="0" fontId="46" fillId="0" borderId="66" xfId="79" applyFont="1" applyFill="1" applyBorder="1" applyAlignment="1">
      <alignment horizontal="center" vertical="center" wrapText="1"/>
    </xf>
    <xf numFmtId="0" fontId="46" fillId="0" borderId="35" xfId="79" applyFont="1" applyFill="1" applyBorder="1" applyAlignment="1">
      <alignment horizontal="center" vertical="center" wrapText="1"/>
    </xf>
    <xf numFmtId="0" fontId="46" fillId="0" borderId="73" xfId="79" applyFont="1" applyFill="1" applyBorder="1" applyAlignment="1">
      <alignment horizontal="center" vertical="center" wrapText="1"/>
    </xf>
    <xf numFmtId="0" fontId="46" fillId="0" borderId="71" xfId="79" applyFont="1" applyFill="1" applyBorder="1" applyAlignment="1">
      <alignment horizontal="center" vertical="center" wrapText="1"/>
    </xf>
    <xf numFmtId="0" fontId="11" fillId="0" borderId="256" xfId="79" applyFont="1" applyFill="1" applyBorder="1" applyAlignment="1">
      <alignment horizontal="center" vertical="center" wrapText="1"/>
    </xf>
    <xf numFmtId="0" fontId="11" fillId="0" borderId="302" xfId="79" applyFont="1" applyFill="1" applyBorder="1" applyAlignment="1">
      <alignment horizontal="center" vertical="center" wrapText="1"/>
    </xf>
    <xf numFmtId="0" fontId="11" fillId="0" borderId="304" xfId="0" applyFont="1" applyBorder="1" applyAlignment="1">
      <alignment horizontal="center" vertical="center" wrapText="1"/>
    </xf>
    <xf numFmtId="0" fontId="11" fillId="0" borderId="300" xfId="79" applyFont="1" applyFill="1" applyBorder="1" applyAlignment="1">
      <alignment horizontal="center" vertical="center" wrapText="1"/>
    </xf>
    <xf numFmtId="0" fontId="49" fillId="29" borderId="16" xfId="79" applyFont="1" applyFill="1" applyBorder="1" applyAlignment="1">
      <alignment horizontal="center" vertical="center" wrapText="1"/>
    </xf>
    <xf numFmtId="0" fontId="10" fillId="29" borderId="17" xfId="0" applyFont="1" applyFill="1" applyBorder="1" applyAlignment="1">
      <alignment horizontal="center" vertical="center" wrapText="1"/>
    </xf>
    <xf numFmtId="0" fontId="10" fillId="29" borderId="70" xfId="0" applyFont="1" applyFill="1" applyBorder="1" applyAlignment="1">
      <alignment horizontal="center" vertical="center" wrapText="1"/>
    </xf>
    <xf numFmtId="0" fontId="10" fillId="29" borderId="67" xfId="0" applyFont="1" applyFill="1" applyBorder="1" applyAlignment="1">
      <alignment horizontal="center" vertical="center" wrapText="1"/>
    </xf>
    <xf numFmtId="0" fontId="10" fillId="29" borderId="44" xfId="0" applyFont="1" applyFill="1" applyBorder="1" applyAlignment="1">
      <alignment horizontal="center" vertical="center" wrapText="1"/>
    </xf>
    <xf numFmtId="0" fontId="46" fillId="29" borderId="195" xfId="79" applyFont="1" applyFill="1" applyBorder="1" applyAlignment="1">
      <alignment horizontal="center" vertical="center" wrapText="1"/>
    </xf>
    <xf numFmtId="0" fontId="46" fillId="29" borderId="21" xfId="79" applyFont="1" applyFill="1" applyBorder="1" applyAlignment="1">
      <alignment horizontal="center" vertical="center" wrapText="1"/>
    </xf>
    <xf numFmtId="0" fontId="11" fillId="29" borderId="202" xfId="79" applyFont="1" applyFill="1" applyBorder="1" applyAlignment="1">
      <alignment horizontal="center" vertical="center" wrapText="1"/>
    </xf>
    <xf numFmtId="0" fontId="11" fillId="29" borderId="202" xfId="79" applyFont="1" applyFill="1" applyBorder="1" applyAlignment="1">
      <alignment horizontal="center" vertical="center"/>
    </xf>
    <xf numFmtId="0" fontId="11" fillId="29" borderId="188" xfId="79" applyFont="1" applyFill="1" applyBorder="1" applyAlignment="1">
      <alignment horizontal="center" vertical="center" wrapText="1"/>
    </xf>
    <xf numFmtId="0" fontId="11" fillId="0" borderId="297" xfId="79" applyFont="1" applyFill="1" applyBorder="1" applyAlignment="1">
      <alignment horizontal="center" vertical="center" wrapText="1"/>
    </xf>
    <xf numFmtId="0" fontId="11" fillId="0" borderId="24" xfId="79" applyFont="1" applyFill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 wrapText="1"/>
    </xf>
    <xf numFmtId="0" fontId="10" fillId="0" borderId="67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46" fillId="29" borderId="229" xfId="79" applyFont="1" applyFill="1" applyBorder="1" applyAlignment="1">
      <alignment horizontal="center" vertical="center" wrapText="1"/>
    </xf>
    <xf numFmtId="0" fontId="11" fillId="29" borderId="299" xfId="0" applyFont="1" applyFill="1" applyBorder="1" applyAlignment="1">
      <alignment horizontal="center" vertical="center" wrapText="1"/>
    </xf>
    <xf numFmtId="0" fontId="11" fillId="29" borderId="40" xfId="0" applyFont="1" applyFill="1" applyBorder="1" applyAlignment="1">
      <alignment horizontal="center" vertical="center" wrapText="1"/>
    </xf>
    <xf numFmtId="0" fontId="11" fillId="29" borderId="31" xfId="0" applyFont="1" applyFill="1" applyBorder="1" applyAlignment="1">
      <alignment horizontal="center" vertical="center" wrapText="1"/>
    </xf>
    <xf numFmtId="0" fontId="49" fillId="29" borderId="73" xfId="79" applyFont="1" applyFill="1" applyBorder="1" applyAlignment="1">
      <alignment horizontal="center" vertical="center" wrapText="1"/>
    </xf>
    <xf numFmtId="0" fontId="10" fillId="29" borderId="71" xfId="0" applyFont="1" applyFill="1" applyBorder="1" applyAlignment="1">
      <alignment horizontal="center" vertical="center" wrapText="1"/>
    </xf>
    <xf numFmtId="0" fontId="10" fillId="29" borderId="69" xfId="0" applyFont="1" applyFill="1" applyBorder="1" applyAlignment="1">
      <alignment horizontal="center" vertical="center" wrapText="1"/>
    </xf>
    <xf numFmtId="0" fontId="46" fillId="29" borderId="37" xfId="79" applyFont="1" applyFill="1" applyBorder="1" applyAlignment="1">
      <alignment horizontal="center" vertical="center" wrapText="1"/>
    </xf>
    <xf numFmtId="0" fontId="11" fillId="29" borderId="35" xfId="79" applyFont="1" applyFill="1" applyBorder="1" applyAlignment="1">
      <alignment horizontal="center" vertical="center" wrapText="1"/>
    </xf>
    <xf numFmtId="0" fontId="11" fillId="29" borderId="11" xfId="79" applyFont="1" applyFill="1" applyBorder="1" applyAlignment="1">
      <alignment horizontal="center" vertical="center"/>
    </xf>
    <xf numFmtId="0" fontId="11" fillId="29" borderId="38" xfId="79" applyFont="1" applyFill="1" applyBorder="1" applyAlignment="1">
      <alignment horizontal="center" vertical="center"/>
    </xf>
    <xf numFmtId="0" fontId="11" fillId="29" borderId="209" xfId="79" applyFont="1" applyFill="1" applyBorder="1" applyAlignment="1">
      <alignment horizontal="center" vertical="center" wrapText="1"/>
    </xf>
    <xf numFmtId="0" fontId="11" fillId="29" borderId="43" xfId="0" applyFont="1" applyFill="1" applyBorder="1" applyAlignment="1">
      <alignment horizontal="center" vertical="center" wrapText="1"/>
    </xf>
    <xf numFmtId="0" fontId="11" fillId="29" borderId="196" xfId="79" applyFont="1" applyFill="1" applyBorder="1" applyAlignment="1">
      <alignment horizontal="center" vertical="center" wrapText="1"/>
    </xf>
    <xf numFmtId="0" fontId="11" fillId="29" borderId="23" xfId="79" applyFont="1" applyFill="1" applyBorder="1" applyAlignment="1">
      <alignment horizontal="center" vertical="center" wrapText="1"/>
    </xf>
    <xf numFmtId="0" fontId="49" fillId="0" borderId="73" xfId="79" applyFont="1" applyBorder="1" applyAlignment="1">
      <alignment horizontal="center" vertical="center"/>
    </xf>
    <xf numFmtId="0" fontId="49" fillId="0" borderId="71" xfId="79" applyFont="1" applyBorder="1" applyAlignment="1">
      <alignment horizontal="center" vertical="center"/>
    </xf>
    <xf numFmtId="0" fontId="49" fillId="0" borderId="69" xfId="79" applyFont="1" applyBorder="1" applyAlignment="1">
      <alignment horizontal="center" vertical="center"/>
    </xf>
    <xf numFmtId="0" fontId="11" fillId="0" borderId="304" xfId="79" applyFont="1" applyFill="1" applyBorder="1" applyAlignment="1">
      <alignment horizontal="center" vertical="center" wrapText="1"/>
    </xf>
    <xf numFmtId="0" fontId="11" fillId="0" borderId="303" xfId="0" applyFont="1" applyBorder="1" applyAlignment="1">
      <alignment horizontal="center" vertical="center" wrapText="1"/>
    </xf>
    <xf numFmtId="0" fontId="11" fillId="0" borderId="298" xfId="79" applyFont="1" applyFill="1" applyBorder="1" applyAlignment="1">
      <alignment horizontal="center" vertical="center" wrapText="1"/>
    </xf>
    <xf numFmtId="4" fontId="11" fillId="0" borderId="339" xfId="79" applyNumberFormat="1" applyFont="1" applyFill="1" applyBorder="1" applyAlignment="1">
      <alignment horizontal="center" vertical="center"/>
    </xf>
    <xf numFmtId="0" fontId="11" fillId="0" borderId="340" xfId="0" applyFont="1" applyFill="1" applyBorder="1" applyAlignment="1">
      <alignment horizontal="center" vertical="center"/>
    </xf>
    <xf numFmtId="0" fontId="46" fillId="29" borderId="301" xfId="79" applyFont="1" applyFill="1" applyBorder="1" applyAlignment="1">
      <alignment horizontal="center" vertical="center" wrapText="1"/>
    </xf>
    <xf numFmtId="0" fontId="11" fillId="29" borderId="248" xfId="0" applyFont="1" applyFill="1" applyBorder="1" applyAlignment="1">
      <alignment horizontal="center" vertical="center" wrapText="1"/>
    </xf>
    <xf numFmtId="0" fontId="0" fillId="29" borderId="190" xfId="0" applyFill="1" applyBorder="1" applyAlignment="1">
      <alignment vertical="center"/>
    </xf>
    <xf numFmtId="0" fontId="11" fillId="29" borderId="35" xfId="0" applyFont="1" applyFill="1" applyBorder="1" applyAlignment="1">
      <alignment horizontal="center" vertical="center" wrapText="1"/>
    </xf>
    <xf numFmtId="0" fontId="11" fillId="29" borderId="36" xfId="0" applyFont="1" applyFill="1" applyBorder="1" applyAlignment="1">
      <alignment horizontal="center" vertical="center" wrapText="1"/>
    </xf>
    <xf numFmtId="0" fontId="0" fillId="29" borderId="68" xfId="0" applyFill="1" applyBorder="1" applyAlignment="1">
      <alignment vertical="center"/>
    </xf>
    <xf numFmtId="0" fontId="19" fillId="0" borderId="0" xfId="0" applyFont="1" applyBorder="1" applyAlignment="1">
      <alignment vertical="top" wrapText="1"/>
    </xf>
    <xf numFmtId="0" fontId="0" fillId="0" borderId="0" xfId="0" applyBorder="1" applyAlignment="1"/>
    <xf numFmtId="0" fontId="128" fillId="0" borderId="52" xfId="0" applyFont="1" applyBorder="1" applyAlignment="1">
      <alignment horizontal="center" vertical="top" wrapText="1"/>
    </xf>
    <xf numFmtId="0" fontId="128" fillId="0" borderId="53" xfId="0" applyFont="1" applyBorder="1" applyAlignment="1">
      <alignment horizontal="center" vertical="top" wrapText="1"/>
    </xf>
    <xf numFmtId="0" fontId="19" fillId="0" borderId="55" xfId="0" applyFont="1" applyBorder="1" applyAlignment="1">
      <alignment vertical="top" wrapText="1"/>
    </xf>
    <xf numFmtId="0" fontId="0" fillId="0" borderId="55" xfId="0" applyBorder="1" applyAlignment="1"/>
    <xf numFmtId="0" fontId="11" fillId="0" borderId="46" xfId="0" applyFont="1" applyBorder="1" applyAlignment="1">
      <alignment wrapText="1"/>
    </xf>
    <xf numFmtId="0" fontId="19" fillId="0" borderId="52" xfId="0" applyFont="1" applyBorder="1" applyAlignment="1">
      <alignment vertical="top" wrapText="1"/>
    </xf>
    <xf numFmtId="0" fontId="19" fillId="0" borderId="53" xfId="0" applyFont="1" applyBorder="1" applyAlignment="1">
      <alignment vertical="top" wrapText="1"/>
    </xf>
    <xf numFmtId="0" fontId="19" fillId="0" borderId="59" xfId="0" applyFont="1" applyBorder="1" applyAlignment="1">
      <alignment vertical="top" wrapText="1"/>
    </xf>
    <xf numFmtId="0" fontId="19" fillId="0" borderId="50" xfId="0" applyFont="1" applyBorder="1" applyAlignment="1">
      <alignment vertical="top" wrapText="1"/>
    </xf>
    <xf numFmtId="0" fontId="19" fillId="0" borderId="47" xfId="0" applyFont="1" applyBorder="1" applyAlignment="1">
      <alignment vertical="top" wrapText="1"/>
    </xf>
    <xf numFmtId="0" fontId="19" fillId="0" borderId="56" xfId="0" applyFont="1" applyBorder="1" applyAlignment="1">
      <alignment vertical="top" wrapText="1"/>
    </xf>
    <xf numFmtId="0" fontId="19" fillId="0" borderId="47" xfId="0" applyFont="1" applyBorder="1" applyAlignment="1">
      <alignment horizontal="right" vertical="top" wrapText="1"/>
    </xf>
    <xf numFmtId="0" fontId="19" fillId="0" borderId="55" xfId="0" applyFont="1" applyBorder="1" applyAlignment="1">
      <alignment horizontal="right" vertical="top" wrapText="1"/>
    </xf>
    <xf numFmtId="0" fontId="19" fillId="0" borderId="51" xfId="0" applyFont="1" applyBorder="1" applyAlignment="1">
      <alignment horizontal="right" vertical="top" wrapText="1"/>
    </xf>
    <xf numFmtId="0" fontId="19" fillId="0" borderId="57" xfId="0" applyFont="1" applyBorder="1" applyAlignment="1">
      <alignment horizontal="right" vertical="top" wrapText="1"/>
    </xf>
    <xf numFmtId="0" fontId="19" fillId="0" borderId="51" xfId="0" applyFont="1" applyBorder="1" applyAlignment="1">
      <alignment vertical="top" wrapText="1"/>
    </xf>
    <xf numFmtId="0" fontId="19" fillId="0" borderId="57" xfId="0" applyFont="1" applyBorder="1" applyAlignment="1">
      <alignment vertical="top" wrapText="1"/>
    </xf>
    <xf numFmtId="0" fontId="19" fillId="0" borderId="46" xfId="0" applyFont="1" applyBorder="1" applyAlignment="1">
      <alignment horizontal="right" vertical="top" wrapText="1"/>
    </xf>
    <xf numFmtId="0" fontId="19" fillId="0" borderId="46" xfId="0" applyFont="1" applyBorder="1" applyAlignment="1">
      <alignment vertical="top" wrapText="1"/>
    </xf>
    <xf numFmtId="0" fontId="11" fillId="0" borderId="51" xfId="0" applyFont="1" applyBorder="1" applyAlignment="1">
      <alignment wrapText="1"/>
    </xf>
    <xf numFmtId="0" fontId="19" fillId="0" borderId="52" xfId="0" applyFont="1" applyBorder="1" applyAlignment="1">
      <alignment horizontal="center" wrapText="1"/>
    </xf>
    <xf numFmtId="0" fontId="19" fillId="0" borderId="59" xfId="0" applyFont="1" applyBorder="1" applyAlignment="1">
      <alignment horizontal="center" wrapText="1"/>
    </xf>
    <xf numFmtId="0" fontId="19" fillId="0" borderId="53" xfId="0" applyFont="1" applyBorder="1" applyAlignment="1">
      <alignment horizontal="center" wrapText="1"/>
    </xf>
    <xf numFmtId="0" fontId="19" fillId="0" borderId="50" xfId="0" applyFont="1" applyBorder="1" applyAlignment="1">
      <alignment horizontal="center" wrapText="1"/>
    </xf>
    <xf numFmtId="0" fontId="19" fillId="0" borderId="48" xfId="0" applyFont="1" applyBorder="1" applyAlignment="1">
      <alignment horizontal="center" wrapText="1"/>
    </xf>
    <xf numFmtId="0" fontId="19" fillId="0" borderId="56" xfId="0" applyFont="1" applyBorder="1" applyAlignment="1">
      <alignment horizontal="center" wrapText="1"/>
    </xf>
    <xf numFmtId="0" fontId="19" fillId="0" borderId="33" xfId="0" applyFont="1" applyBorder="1" applyAlignment="1">
      <alignment horizontal="center" wrapText="1"/>
    </xf>
    <xf numFmtId="0" fontId="94" fillId="0" borderId="52" xfId="0" applyFont="1" applyBorder="1" applyAlignment="1">
      <alignment vertical="top" wrapText="1"/>
    </xf>
    <xf numFmtId="0" fontId="94" fillId="0" borderId="53" xfId="0" applyFont="1" applyBorder="1" applyAlignment="1">
      <alignment vertical="top" wrapText="1"/>
    </xf>
    <xf numFmtId="0" fontId="94" fillId="0" borderId="59" xfId="0" applyFont="1" applyBorder="1" applyAlignment="1">
      <alignment vertical="top" wrapText="1"/>
    </xf>
    <xf numFmtId="0" fontId="12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Font="1" applyBorder="1" applyAlignment="1">
      <alignment vertical="top" wrapText="1"/>
    </xf>
    <xf numFmtId="0" fontId="76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2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2" fillId="0" borderId="0" xfId="0" applyFont="1" applyBorder="1" applyAlignment="1">
      <alignment horizontal="center" vertical="top" wrapText="1"/>
    </xf>
    <xf numFmtId="0" fontId="13" fillId="0" borderId="54" xfId="0" applyFont="1" applyBorder="1" applyAlignment="1">
      <alignment vertical="top" wrapText="1"/>
    </xf>
    <xf numFmtId="0" fontId="10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15" fillId="0" borderId="50" xfId="0" applyFont="1" applyBorder="1" applyAlignment="1">
      <alignment horizontal="center" wrapText="1"/>
    </xf>
    <xf numFmtId="0" fontId="60" fillId="0" borderId="47" xfId="0" applyFont="1" applyBorder="1" applyAlignment="1">
      <alignment horizontal="center"/>
    </xf>
    <xf numFmtId="0" fontId="93" fillId="0" borderId="54" xfId="0" applyFont="1" applyBorder="1" applyAlignment="1">
      <alignment horizontal="center" wrapText="1"/>
    </xf>
    <xf numFmtId="0" fontId="15" fillId="0" borderId="54" xfId="0" applyFont="1" applyBorder="1" applyAlignment="1">
      <alignment horizontal="center"/>
    </xf>
    <xf numFmtId="0" fontId="129" fillId="0" borderId="52" xfId="0" applyFont="1" applyBorder="1" applyAlignment="1">
      <alignment horizontal="center" vertical="top" wrapText="1"/>
    </xf>
    <xf numFmtId="0" fontId="129" fillId="0" borderId="53" xfId="0" applyFont="1" applyBorder="1" applyAlignment="1">
      <alignment horizontal="center" vertical="top" wrapText="1"/>
    </xf>
    <xf numFmtId="0" fontId="60" fillId="0" borderId="48" xfId="0" applyFont="1" applyBorder="1" applyAlignment="1">
      <alignment horizontal="center"/>
    </xf>
    <xf numFmtId="0" fontId="0" fillId="0" borderId="60" xfId="0" applyBorder="1" applyAlignment="1"/>
    <xf numFmtId="0" fontId="12" fillId="0" borderId="54" xfId="0" applyFont="1" applyBorder="1" applyAlignment="1"/>
    <xf numFmtId="0" fontId="9" fillId="29" borderId="47" xfId="0" applyFont="1" applyFill="1" applyBorder="1" applyAlignment="1">
      <alignment horizontal="right"/>
    </xf>
    <xf numFmtId="0" fontId="127" fillId="0" borderId="52" xfId="0" applyFont="1" applyBorder="1" applyAlignment="1">
      <alignment horizontal="center" vertical="top" wrapText="1"/>
    </xf>
    <xf numFmtId="0" fontId="127" fillId="0" borderId="53" xfId="0" applyFont="1" applyBorder="1" applyAlignment="1">
      <alignment horizontal="center" vertical="top" wrapText="1"/>
    </xf>
    <xf numFmtId="0" fontId="60" fillId="0" borderId="169" xfId="0" applyFont="1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75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21" fillId="0" borderId="0" xfId="149" applyFont="1" applyAlignment="1">
      <alignment horizontal="center"/>
    </xf>
    <xf numFmtId="0" fontId="110" fillId="0" borderId="202" xfId="149" applyFont="1" applyBorder="1" applyAlignment="1">
      <alignment horizontal="center" wrapText="1"/>
    </xf>
    <xf numFmtId="0" fontId="3" fillId="29" borderId="207" xfId="149" applyFill="1" applyBorder="1" applyAlignment="1">
      <alignment horizontal="center" wrapText="1"/>
    </xf>
    <xf numFmtId="0" fontId="3" fillId="29" borderId="208" xfId="149" applyFill="1" applyBorder="1" applyAlignment="1">
      <alignment horizontal="center" wrapText="1"/>
    </xf>
    <xf numFmtId="0" fontId="3" fillId="29" borderId="206" xfId="149" applyFill="1" applyBorder="1" applyAlignment="1">
      <alignment horizontal="center" wrapText="1"/>
    </xf>
    <xf numFmtId="0" fontId="3" fillId="29" borderId="208" xfId="149" applyFill="1" applyBorder="1" applyAlignment="1">
      <alignment horizontal="center"/>
    </xf>
    <xf numFmtId="0" fontId="3" fillId="29" borderId="206" xfId="149" applyFill="1" applyBorder="1" applyAlignment="1">
      <alignment horizontal="center"/>
    </xf>
    <xf numFmtId="4" fontId="3" fillId="0" borderId="207" xfId="149" applyNumberFormat="1" applyBorder="1" applyAlignment="1">
      <alignment horizontal="center"/>
    </xf>
    <xf numFmtId="4" fontId="3" fillId="0" borderId="208" xfId="149" applyNumberFormat="1" applyBorder="1" applyAlignment="1">
      <alignment horizontal="center"/>
    </xf>
    <xf numFmtId="4" fontId="3" fillId="0" borderId="206" xfId="149" applyNumberFormat="1" applyBorder="1" applyAlignment="1">
      <alignment horizontal="center"/>
    </xf>
    <xf numFmtId="0" fontId="110" fillId="0" borderId="202" xfId="149" applyFont="1" applyBorder="1" applyAlignment="1">
      <alignment horizontal="center"/>
    </xf>
    <xf numFmtId="0" fontId="110" fillId="0" borderId="207" xfId="149" applyFont="1" applyBorder="1" applyAlignment="1">
      <alignment horizontal="center"/>
    </xf>
    <xf numFmtId="0" fontId="110" fillId="0" borderId="207" xfId="149" applyFont="1" applyBorder="1" applyAlignment="1">
      <alignment horizontal="center" wrapText="1"/>
    </xf>
    <xf numFmtId="0" fontId="120" fillId="0" borderId="207" xfId="149" applyFont="1" applyFill="1" applyBorder="1" applyAlignment="1">
      <alignment horizontal="left" wrapText="1"/>
    </xf>
    <xf numFmtId="0" fontId="120" fillId="0" borderId="208" xfId="149" applyFont="1" applyFill="1" applyBorder="1" applyAlignment="1">
      <alignment horizontal="left" wrapText="1"/>
    </xf>
    <xf numFmtId="0" fontId="120" fillId="0" borderId="206" xfId="149" applyFont="1" applyFill="1" applyBorder="1" applyAlignment="1">
      <alignment horizontal="left" wrapText="1"/>
    </xf>
    <xf numFmtId="0" fontId="45" fillId="0" borderId="212" xfId="0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 wrapText="1"/>
    </xf>
    <xf numFmtId="0" fontId="60" fillId="0" borderId="207" xfId="0" applyFont="1" applyBorder="1" applyAlignment="1">
      <alignment horizontal="center"/>
    </xf>
    <xf numFmtId="0" fontId="60" fillId="0" borderId="208" xfId="0" applyFont="1" applyBorder="1" applyAlignment="1">
      <alignment horizontal="center"/>
    </xf>
    <xf numFmtId="0" fontId="60" fillId="0" borderId="206" xfId="0" applyFont="1" applyBorder="1" applyAlignment="1">
      <alignment horizontal="center"/>
    </xf>
    <xf numFmtId="4" fontId="0" fillId="0" borderId="212" xfId="0" applyNumberFormat="1" applyFont="1" applyBorder="1" applyAlignment="1">
      <alignment horizontal="center" vertical="center"/>
    </xf>
    <xf numFmtId="4" fontId="0" fillId="0" borderId="61" xfId="0" applyNumberFormat="1" applyFont="1" applyBorder="1" applyAlignment="1">
      <alignment horizontal="center" vertical="center"/>
    </xf>
    <xf numFmtId="4" fontId="0" fillId="0" borderId="11" xfId="0" applyNumberFormat="1" applyFont="1" applyBorder="1" applyAlignment="1">
      <alignment horizontal="center" vertical="center"/>
    </xf>
    <xf numFmtId="0" fontId="0" fillId="0" borderId="212" xfId="0" applyBorder="1" applyAlignment="1">
      <alignment horizontal="center" wrapText="1"/>
    </xf>
    <xf numFmtId="0" fontId="60" fillId="0" borderId="212" xfId="0" applyFont="1" applyBorder="1" applyAlignment="1">
      <alignment horizontal="center"/>
    </xf>
    <xf numFmtId="0" fontId="60" fillId="0" borderId="11" xfId="0" applyFont="1" applyBorder="1" applyAlignment="1">
      <alignment horizontal="center"/>
    </xf>
    <xf numFmtId="0" fontId="6" fillId="0" borderId="213" xfId="0" applyFont="1" applyBorder="1" applyAlignment="1">
      <alignment horizontal="center" vertical="center"/>
    </xf>
    <xf numFmtId="0" fontId="6" fillId="0" borderId="214" xfId="0" applyFont="1" applyBorder="1" applyAlignment="1">
      <alignment horizontal="center" vertical="center"/>
    </xf>
    <xf numFmtId="0" fontId="6" fillId="0" borderId="215" xfId="0" applyFont="1" applyBorder="1" applyAlignment="1">
      <alignment horizontal="center" vertical="center"/>
    </xf>
    <xf numFmtId="0" fontId="45" fillId="0" borderId="202" xfId="0" applyFont="1" applyBorder="1" applyAlignment="1">
      <alignment horizontal="center" wrapText="1"/>
    </xf>
    <xf numFmtId="0" fontId="0" fillId="0" borderId="102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2" xfId="0" applyBorder="1" applyAlignment="1">
      <alignment horizontal="left" wrapText="1"/>
    </xf>
    <xf numFmtId="0" fontId="0" fillId="0" borderId="106" xfId="0" applyBorder="1" applyAlignment="1">
      <alignment horizontal="left" wrapText="1"/>
    </xf>
    <xf numFmtId="0" fontId="0" fillId="0" borderId="10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60" fillId="0" borderId="0" xfId="0" applyFont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6" fillId="29" borderId="52" xfId="0" applyFont="1" applyFill="1" applyBorder="1" applyAlignment="1">
      <alignment horizontal="center"/>
    </xf>
    <xf numFmtId="0" fontId="6" fillId="29" borderId="53" xfId="0" applyFont="1" applyFill="1" applyBorder="1" applyAlignment="1">
      <alignment horizontal="center"/>
    </xf>
    <xf numFmtId="0" fontId="0" fillId="0" borderId="102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318" xfId="0" applyBorder="1" applyAlignment="1">
      <alignment horizontal="center" wrapText="1"/>
    </xf>
    <xf numFmtId="0" fontId="0" fillId="0" borderId="319" xfId="0" applyBorder="1" applyAlignment="1">
      <alignment horizontal="center" wrapText="1"/>
    </xf>
    <xf numFmtId="0" fontId="0" fillId="29" borderId="53" xfId="0" applyFill="1" applyBorder="1" applyAlignment="1">
      <alignment horizontal="center"/>
    </xf>
    <xf numFmtId="0" fontId="114" fillId="0" borderId="36" xfId="147" applyFont="1" applyBorder="1" applyAlignment="1">
      <alignment horizontal="center"/>
    </xf>
    <xf numFmtId="0" fontId="4" fillId="0" borderId="36" xfId="147" applyBorder="1" applyAlignment="1">
      <alignment horizontal="center"/>
    </xf>
    <xf numFmtId="0" fontId="116" fillId="0" borderId="193" xfId="147" applyFont="1" applyBorder="1" applyAlignment="1"/>
    <xf numFmtId="0" fontId="4" fillId="0" borderId="193" xfId="147" applyBorder="1" applyAlignment="1"/>
    <xf numFmtId="0" fontId="114" fillId="0" borderId="193" xfId="147" applyFont="1" applyBorder="1" applyAlignment="1">
      <alignment horizontal="center"/>
    </xf>
    <xf numFmtId="0" fontId="4" fillId="0" borderId="193" xfId="147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6" fillId="29" borderId="52" xfId="0" applyFont="1" applyFill="1" applyBorder="1" applyAlignment="1">
      <alignment horizontal="center" vertical="center"/>
    </xf>
    <xf numFmtId="0" fontId="6" fillId="29" borderId="53" xfId="0" applyFont="1" applyFill="1" applyBorder="1" applyAlignment="1">
      <alignment horizontal="center" vertical="center"/>
    </xf>
    <xf numFmtId="0" fontId="6" fillId="29" borderId="59" xfId="0" applyFont="1" applyFill="1" applyBorder="1" applyAlignment="1">
      <alignment horizontal="center" vertical="center"/>
    </xf>
    <xf numFmtId="0" fontId="60" fillId="0" borderId="58" xfId="0" applyFont="1" applyBorder="1" applyAlignment="1">
      <alignment horizontal="center" vertical="center"/>
    </xf>
    <xf numFmtId="0" fontId="80" fillId="0" borderId="58" xfId="0" applyFont="1" applyBorder="1" applyAlignment="1">
      <alignment horizontal="center" vertical="center"/>
    </xf>
    <xf numFmtId="0" fontId="6" fillId="29" borderId="58" xfId="0" applyFont="1" applyFill="1" applyBorder="1" applyAlignment="1">
      <alignment horizontal="center" vertical="center"/>
    </xf>
    <xf numFmtId="0" fontId="0" fillId="29" borderId="58" xfId="0" applyFill="1" applyBorder="1" applyAlignment="1">
      <alignment horizontal="center" vertical="center"/>
    </xf>
    <xf numFmtId="0" fontId="112" fillId="0" borderId="209" xfId="147" applyFont="1" applyBorder="1" applyAlignment="1">
      <alignment horizontal="center" vertical="center" wrapText="1"/>
    </xf>
    <xf numFmtId="0" fontId="112" fillId="0" borderId="11" xfId="147" applyFont="1" applyBorder="1" applyAlignment="1">
      <alignment horizontal="center" vertical="center" wrapText="1"/>
    </xf>
    <xf numFmtId="0" fontId="112" fillId="0" borderId="209" xfId="147" applyFont="1" applyBorder="1" applyAlignment="1">
      <alignment horizontal="center" vertical="center"/>
    </xf>
    <xf numFmtId="0" fontId="112" fillId="0" borderId="11" xfId="147" applyFont="1" applyBorder="1" applyAlignment="1">
      <alignment horizontal="center" vertical="center"/>
    </xf>
    <xf numFmtId="0" fontId="111" fillId="0" borderId="36" xfId="147" applyFont="1" applyBorder="1" applyAlignment="1">
      <alignment horizontal="center" vertical="center" wrapText="1"/>
    </xf>
    <xf numFmtId="0" fontId="111" fillId="0" borderId="36" xfId="147" applyFont="1" applyFill="1" applyBorder="1" applyAlignment="1">
      <alignment horizontal="center" vertical="center" wrapText="1"/>
    </xf>
    <xf numFmtId="0" fontId="112" fillId="0" borderId="209" xfId="147" applyFont="1" applyFill="1" applyBorder="1" applyAlignment="1">
      <alignment horizontal="center" vertical="center" wrapText="1"/>
    </xf>
    <xf numFmtId="0" fontId="112" fillId="0" borderId="11" xfId="147" applyFont="1" applyFill="1" applyBorder="1" applyAlignment="1">
      <alignment horizontal="center" vertical="center" wrapText="1"/>
    </xf>
    <xf numFmtId="0" fontId="112" fillId="0" borderId="209" xfId="147" applyFont="1" applyFill="1" applyBorder="1" applyAlignment="1">
      <alignment horizontal="center" vertical="center"/>
    </xf>
    <xf numFmtId="0" fontId="112" fillId="0" borderId="11" xfId="147" applyFont="1" applyFill="1" applyBorder="1" applyAlignment="1">
      <alignment horizontal="center" vertical="center"/>
    </xf>
    <xf numFmtId="0" fontId="112" fillId="0" borderId="327" xfId="147" applyFont="1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82" fillId="35" borderId="175" xfId="96" applyFont="1" applyFill="1" applyBorder="1" applyAlignment="1">
      <alignment horizontal="center" vertical="center" wrapText="1"/>
    </xf>
    <xf numFmtId="176" fontId="82" fillId="35" borderId="175" xfId="96" applyNumberFormat="1" applyFont="1" applyFill="1" applyBorder="1" applyAlignment="1">
      <alignment horizontal="center" vertical="center" wrapText="1"/>
    </xf>
    <xf numFmtId="0" fontId="15" fillId="24" borderId="0" xfId="96" applyFont="1" applyFill="1" applyAlignment="1">
      <alignment horizontal="center"/>
    </xf>
    <xf numFmtId="0" fontId="82" fillId="27" borderId="169" xfId="96" applyFont="1" applyFill="1" applyBorder="1" applyAlignment="1">
      <alignment horizontal="center" vertical="center" wrapText="1"/>
    </xf>
    <xf numFmtId="0" fontId="82" fillId="27" borderId="170" xfId="96" applyFont="1" applyFill="1" applyBorder="1" applyAlignment="1">
      <alignment horizontal="center" vertical="center" wrapText="1"/>
    </xf>
    <xf numFmtId="0" fontId="82" fillId="27" borderId="172" xfId="96" applyFont="1" applyFill="1" applyBorder="1" applyAlignment="1">
      <alignment horizontal="center" vertical="center" wrapText="1"/>
    </xf>
    <xf numFmtId="0" fontId="82" fillId="27" borderId="171" xfId="96" applyFont="1" applyFill="1" applyBorder="1" applyAlignment="1">
      <alignment horizontal="center" vertical="center" wrapText="1"/>
    </xf>
    <xf numFmtId="0" fontId="82" fillId="27" borderId="174" xfId="96" applyFont="1" applyFill="1" applyBorder="1" applyAlignment="1">
      <alignment horizontal="center" vertical="center" wrapText="1"/>
    </xf>
    <xf numFmtId="0" fontId="82" fillId="27" borderId="36" xfId="96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11" fillId="31" borderId="126" xfId="0" applyFont="1" applyFill="1" applyBorder="1" applyAlignment="1">
      <alignment horizontal="center" vertical="center" wrapText="1"/>
    </xf>
    <xf numFmtId="0" fontId="11" fillId="31" borderId="135" xfId="0" applyFont="1" applyFill="1" applyBorder="1" applyAlignment="1">
      <alignment horizontal="center" vertical="center" wrapText="1"/>
    </xf>
    <xf numFmtId="0" fontId="11" fillId="31" borderId="126" xfId="0" applyFont="1" applyFill="1" applyBorder="1" applyAlignment="1">
      <alignment horizontal="center" vertical="center"/>
    </xf>
    <xf numFmtId="0" fontId="11" fillId="31" borderId="136" xfId="0" applyFont="1" applyFill="1" applyBorder="1" applyAlignment="1">
      <alignment horizontal="center" vertical="center" wrapText="1"/>
    </xf>
    <xf numFmtId="0" fontId="11" fillId="31" borderId="44" xfId="0" applyFont="1" applyFill="1" applyBorder="1" applyAlignment="1">
      <alignment horizontal="center" vertical="center" wrapText="1"/>
    </xf>
    <xf numFmtId="0" fontId="11" fillId="31" borderId="50" xfId="0" applyFont="1" applyFill="1" applyBorder="1" applyAlignment="1">
      <alignment vertical="center" wrapText="1"/>
    </xf>
    <xf numFmtId="0" fontId="0" fillId="31" borderId="47" xfId="0" applyFill="1" applyBorder="1" applyAlignment="1">
      <alignment vertical="center"/>
    </xf>
    <xf numFmtId="0" fontId="0" fillId="31" borderId="48" xfId="0" applyFill="1" applyBorder="1" applyAlignment="1">
      <alignment vertical="center"/>
    </xf>
    <xf numFmtId="0" fontId="15" fillId="31" borderId="13" xfId="0" applyFont="1" applyFill="1" applyBorder="1" applyAlignment="1">
      <alignment horizontal="center" vertical="center" wrapText="1"/>
    </xf>
    <xf numFmtId="0" fontId="15" fillId="31" borderId="131" xfId="0" applyFont="1" applyFill="1" applyBorder="1" applyAlignment="1">
      <alignment horizontal="center" vertical="center" wrapText="1"/>
    </xf>
    <xf numFmtId="0" fontId="15" fillId="31" borderId="115" xfId="0" applyFont="1" applyFill="1" applyBorder="1" applyAlignment="1">
      <alignment horizontal="center" vertical="center" wrapText="1"/>
    </xf>
    <xf numFmtId="0" fontId="98" fillId="31" borderId="47" xfId="0" applyFont="1" applyFill="1" applyBorder="1" applyAlignment="1">
      <alignment horizontal="center" vertical="center"/>
    </xf>
    <xf numFmtId="0" fontId="62" fillId="31" borderId="47" xfId="0" applyFont="1" applyFill="1" applyBorder="1" applyAlignment="1">
      <alignment horizontal="center" vertical="center"/>
    </xf>
    <xf numFmtId="0" fontId="11" fillId="31" borderId="73" xfId="0" applyFont="1" applyFill="1" applyBorder="1" applyAlignment="1">
      <alignment horizontal="center" vertical="center" wrapText="1"/>
    </xf>
    <xf numFmtId="0" fontId="11" fillId="31" borderId="71" xfId="0" applyFont="1" applyFill="1" applyBorder="1" applyAlignment="1">
      <alignment horizontal="center" vertical="center"/>
    </xf>
    <xf numFmtId="0" fontId="11" fillId="31" borderId="69" xfId="0" applyFont="1" applyFill="1" applyBorder="1" applyAlignment="1">
      <alignment horizontal="center" vertical="center"/>
    </xf>
    <xf numFmtId="0" fontId="11" fillId="31" borderId="132" xfId="0" applyFont="1" applyFill="1" applyBorder="1" applyAlignment="1">
      <alignment horizontal="center" vertical="center"/>
    </xf>
    <xf numFmtId="0" fontId="11" fillId="31" borderId="129" xfId="0" applyFont="1" applyFill="1" applyBorder="1" applyAlignment="1">
      <alignment horizontal="center" vertical="center"/>
    </xf>
    <xf numFmtId="0" fontId="11" fillId="31" borderId="133" xfId="0" applyFont="1" applyFill="1" applyBorder="1" applyAlignment="1">
      <alignment horizontal="center" vertical="center"/>
    </xf>
    <xf numFmtId="0" fontId="12" fillId="31" borderId="75" xfId="0" applyFont="1" applyFill="1" applyBorder="1" applyAlignment="1">
      <alignment horizontal="center" vertical="center"/>
    </xf>
    <xf numFmtId="0" fontId="12" fillId="31" borderId="76" xfId="0" applyFont="1" applyFill="1" applyBorder="1" applyAlignment="1">
      <alignment horizontal="center" vertical="center"/>
    </xf>
    <xf numFmtId="0" fontId="11" fillId="31" borderId="77" xfId="0" applyFont="1" applyFill="1" applyBorder="1" applyAlignment="1">
      <alignment horizontal="center" vertical="center"/>
    </xf>
    <xf numFmtId="0" fontId="12" fillId="31" borderId="50" xfId="0" applyFont="1" applyFill="1" applyBorder="1" applyAlignment="1">
      <alignment horizontal="center" vertical="center"/>
    </xf>
    <xf numFmtId="0" fontId="12" fillId="31" borderId="47" xfId="0" applyFont="1" applyFill="1" applyBorder="1" applyAlignment="1">
      <alignment horizontal="center" vertical="center"/>
    </xf>
    <xf numFmtId="0" fontId="11" fillId="31" borderId="48" xfId="0" applyFont="1" applyFill="1" applyBorder="1" applyAlignment="1">
      <alignment horizontal="center" vertical="center"/>
    </xf>
    <xf numFmtId="0" fontId="11" fillId="31" borderId="47" xfId="0" applyFont="1" applyFill="1" applyBorder="1" applyAlignment="1">
      <alignment horizontal="center" vertical="center"/>
    </xf>
    <xf numFmtId="0" fontId="11" fillId="31" borderId="37" xfId="0" applyFont="1" applyFill="1" applyBorder="1" applyAlignment="1">
      <alignment horizontal="center" vertical="center"/>
    </xf>
    <xf numFmtId="0" fontId="11" fillId="31" borderId="130" xfId="0" applyFont="1" applyFill="1" applyBorder="1" applyAlignment="1">
      <alignment horizontal="center" vertical="center"/>
    </xf>
    <xf numFmtId="0" fontId="11" fillId="31" borderId="134" xfId="0" applyFont="1" applyFill="1" applyBorder="1" applyAlignment="1">
      <alignment horizontal="center" vertical="center"/>
    </xf>
    <xf numFmtId="0" fontId="11" fillId="31" borderId="11" xfId="0" applyFont="1" applyFill="1" applyBorder="1" applyAlignment="1">
      <alignment horizontal="center" vertical="center"/>
    </xf>
    <xf numFmtId="0" fontId="11" fillId="31" borderId="38" xfId="0" applyFont="1" applyFill="1" applyBorder="1" applyAlignment="1">
      <alignment horizontal="center" vertical="center"/>
    </xf>
    <xf numFmtId="0" fontId="11" fillId="31" borderId="16" xfId="0" applyFont="1" applyFill="1" applyBorder="1" applyAlignment="1">
      <alignment horizontal="center" vertical="center"/>
    </xf>
    <xf numFmtId="0" fontId="11" fillId="31" borderId="17" xfId="0" applyFont="1" applyFill="1" applyBorder="1" applyAlignment="1">
      <alignment horizontal="center" vertical="center"/>
    </xf>
    <xf numFmtId="0" fontId="11" fillId="31" borderId="18" xfId="0" applyFont="1" applyFill="1" applyBorder="1" applyAlignment="1">
      <alignment horizontal="center" vertical="center"/>
    </xf>
    <xf numFmtId="0" fontId="11" fillId="31" borderId="17" xfId="0" applyFont="1" applyFill="1" applyBorder="1" applyAlignment="1">
      <alignment horizontal="center" vertical="center" wrapText="1"/>
    </xf>
    <xf numFmtId="0" fontId="11" fillId="31" borderId="18" xfId="0" applyFont="1" applyFill="1" applyBorder="1" applyAlignment="1">
      <alignment horizontal="center" vertical="center" wrapText="1"/>
    </xf>
    <xf numFmtId="0" fontId="11" fillId="0" borderId="136" xfId="0" applyFont="1" applyBorder="1" applyAlignment="1">
      <alignment horizontal="center" vertical="center" wrapText="1"/>
    </xf>
    <xf numFmtId="0" fontId="65" fillId="31" borderId="50" xfId="0" applyFont="1" applyFill="1" applyBorder="1" applyAlignment="1">
      <alignment horizontal="center"/>
    </xf>
    <xf numFmtId="0" fontId="65" fillId="31" borderId="47" xfId="0" applyFont="1" applyFill="1" applyBorder="1" applyAlignment="1">
      <alignment horizontal="center"/>
    </xf>
    <xf numFmtId="0" fontId="0" fillId="31" borderId="48" xfId="0" applyFill="1" applyBorder="1" applyAlignment="1">
      <alignment horizontal="center"/>
    </xf>
    <xf numFmtId="0" fontId="11" fillId="0" borderId="126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 wrapText="1"/>
    </xf>
    <xf numFmtId="0" fontId="11" fillId="0" borderId="126" xfId="0" applyFont="1" applyBorder="1" applyAlignment="1">
      <alignment horizontal="center" vertical="center"/>
    </xf>
    <xf numFmtId="0" fontId="11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5" fillId="0" borderId="131" xfId="0" applyFont="1" applyBorder="1" applyAlignment="1">
      <alignment horizontal="center" vertical="center" wrapText="1"/>
    </xf>
    <xf numFmtId="0" fontId="15" fillId="0" borderId="115" xfId="0" applyFont="1" applyBorder="1" applyAlignment="1">
      <alignment horizontal="center" vertical="center" wrapText="1"/>
    </xf>
    <xf numFmtId="0" fontId="98" fillId="0" borderId="47" xfId="0" applyFont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/>
    </xf>
    <xf numFmtId="0" fontId="11" fillId="0" borderId="69" xfId="0" applyFont="1" applyBorder="1" applyAlignment="1">
      <alignment horizontal="center" vertical="center"/>
    </xf>
    <xf numFmtId="0" fontId="11" fillId="0" borderId="132" xfId="0" applyFont="1" applyBorder="1" applyAlignment="1">
      <alignment horizontal="center" vertical="center"/>
    </xf>
    <xf numFmtId="0" fontId="11" fillId="0" borderId="129" xfId="0" applyFont="1" applyBorder="1" applyAlignment="1">
      <alignment horizontal="center" vertical="center"/>
    </xf>
    <xf numFmtId="0" fontId="11" fillId="0" borderId="133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130" xfId="0" applyFont="1" applyBorder="1" applyAlignment="1">
      <alignment horizontal="center" vertical="center"/>
    </xf>
    <xf numFmtId="0" fontId="11" fillId="0" borderId="13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65" fillId="33" borderId="50" xfId="0" applyFont="1" applyFill="1" applyBorder="1" applyAlignment="1">
      <alignment horizontal="center"/>
    </xf>
    <xf numFmtId="0" fontId="65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1" fillId="34" borderId="17" xfId="0" applyFont="1" applyFill="1" applyBorder="1" applyAlignment="1">
      <alignment horizontal="center" vertical="center" wrapText="1"/>
    </xf>
    <xf numFmtId="0" fontId="11" fillId="34" borderId="18" xfId="0" applyFont="1" applyFill="1" applyBorder="1" applyAlignment="1">
      <alignment horizontal="center" vertical="center" wrapText="1"/>
    </xf>
    <xf numFmtId="0" fontId="11" fillId="34" borderId="126" xfId="0" applyFont="1" applyFill="1" applyBorder="1" applyAlignment="1">
      <alignment horizontal="center" vertical="center" wrapText="1"/>
    </xf>
    <xf numFmtId="0" fontId="11" fillId="34" borderId="135" xfId="0" applyFont="1" applyFill="1" applyBorder="1" applyAlignment="1">
      <alignment horizontal="center" vertical="center" wrapText="1"/>
    </xf>
    <xf numFmtId="0" fontId="11" fillId="34" borderId="126" xfId="0" applyFont="1" applyFill="1" applyBorder="1" applyAlignment="1">
      <alignment horizontal="center" vertical="center"/>
    </xf>
    <xf numFmtId="0" fontId="11" fillId="34" borderId="127" xfId="0" applyFont="1" applyFill="1" applyBorder="1" applyAlignment="1">
      <alignment horizontal="center" vertical="center"/>
    </xf>
    <xf numFmtId="0" fontId="11" fillId="34" borderId="136" xfId="0" applyFont="1" applyFill="1" applyBorder="1" applyAlignment="1">
      <alignment horizontal="center" vertical="center"/>
    </xf>
    <xf numFmtId="0" fontId="11" fillId="34" borderId="127" xfId="0" applyFont="1" applyFill="1" applyBorder="1" applyAlignment="1">
      <alignment horizontal="center" vertical="center" wrapText="1"/>
    </xf>
    <xf numFmtId="0" fontId="15" fillId="34" borderId="13" xfId="0" applyFont="1" applyFill="1" applyBorder="1" applyAlignment="1">
      <alignment horizontal="center" vertical="center" wrapText="1"/>
    </xf>
    <xf numFmtId="0" fontId="15" fillId="34" borderId="131" xfId="0" applyFont="1" applyFill="1" applyBorder="1" applyAlignment="1">
      <alignment horizontal="center" vertical="center" wrapText="1"/>
    </xf>
    <xf numFmtId="0" fontId="15" fillId="34" borderId="115" xfId="0" applyFont="1" applyFill="1" applyBorder="1" applyAlignment="1">
      <alignment horizontal="center" vertical="center" wrapText="1"/>
    </xf>
    <xf numFmtId="0" fontId="98" fillId="34" borderId="47" xfId="0" applyFont="1" applyFill="1" applyBorder="1" applyAlignment="1">
      <alignment horizontal="center" vertical="center"/>
    </xf>
    <xf numFmtId="0" fontId="62" fillId="34" borderId="47" xfId="0" applyFont="1" applyFill="1" applyBorder="1" applyAlignment="1">
      <alignment horizontal="center" vertical="center"/>
    </xf>
    <xf numFmtId="0" fontId="11" fillId="34" borderId="73" xfId="0" applyFont="1" applyFill="1" applyBorder="1" applyAlignment="1">
      <alignment horizontal="center" vertical="center" wrapText="1"/>
    </xf>
    <xf numFmtId="0" fontId="11" fillId="34" borderId="71" xfId="0" applyFont="1" applyFill="1" applyBorder="1" applyAlignment="1">
      <alignment horizontal="center" vertical="center"/>
    </xf>
    <xf numFmtId="0" fontId="11" fillId="34" borderId="69" xfId="0" applyFont="1" applyFill="1" applyBorder="1" applyAlignment="1">
      <alignment horizontal="center" vertical="center"/>
    </xf>
    <xf numFmtId="0" fontId="11" fillId="34" borderId="132" xfId="0" applyFont="1" applyFill="1" applyBorder="1" applyAlignment="1">
      <alignment horizontal="center" vertical="center"/>
    </xf>
    <xf numFmtId="0" fontId="11" fillId="34" borderId="129" xfId="0" applyFont="1" applyFill="1" applyBorder="1" applyAlignment="1">
      <alignment horizontal="center" vertical="center"/>
    </xf>
    <xf numFmtId="0" fontId="11" fillId="34" borderId="133" xfId="0" applyFont="1" applyFill="1" applyBorder="1" applyAlignment="1">
      <alignment horizontal="center" vertical="center"/>
    </xf>
    <xf numFmtId="0" fontId="12" fillId="34" borderId="75" xfId="0" applyFont="1" applyFill="1" applyBorder="1" applyAlignment="1">
      <alignment horizontal="center" vertical="center"/>
    </xf>
    <xf numFmtId="0" fontId="12" fillId="34" borderId="76" xfId="0" applyFont="1" applyFill="1" applyBorder="1" applyAlignment="1">
      <alignment horizontal="center" vertical="center"/>
    </xf>
    <xf numFmtId="0" fontId="11" fillId="34" borderId="77" xfId="0" applyFont="1" applyFill="1" applyBorder="1" applyAlignment="1">
      <alignment horizontal="center" vertical="center"/>
    </xf>
    <xf numFmtId="0" fontId="12" fillId="34" borderId="50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1" fillId="34" borderId="48" xfId="0" applyFont="1" applyFill="1" applyBorder="1" applyAlignment="1">
      <alignment horizontal="center" vertical="center"/>
    </xf>
    <xf numFmtId="0" fontId="11" fillId="34" borderId="47" xfId="0" applyFont="1" applyFill="1" applyBorder="1" applyAlignment="1">
      <alignment horizontal="center" vertical="center"/>
    </xf>
    <xf numFmtId="0" fontId="11" fillId="34" borderId="37" xfId="0" applyFont="1" applyFill="1" applyBorder="1" applyAlignment="1">
      <alignment horizontal="center" vertical="center"/>
    </xf>
    <xf numFmtId="0" fontId="11" fillId="34" borderId="130" xfId="0" applyFont="1" applyFill="1" applyBorder="1" applyAlignment="1">
      <alignment horizontal="center" vertical="center"/>
    </xf>
    <xf numFmtId="0" fontId="11" fillId="34" borderId="134" xfId="0" applyFont="1" applyFill="1" applyBorder="1" applyAlignment="1">
      <alignment horizontal="center" vertical="center"/>
    </xf>
    <xf numFmtId="0" fontId="11" fillId="34" borderId="11" xfId="0" applyFont="1" applyFill="1" applyBorder="1" applyAlignment="1">
      <alignment horizontal="center" vertical="center"/>
    </xf>
    <xf numFmtId="0" fontId="11" fillId="34" borderId="38" xfId="0" applyFont="1" applyFill="1" applyBorder="1" applyAlignment="1">
      <alignment horizontal="center" vertical="center"/>
    </xf>
    <xf numFmtId="0" fontId="11" fillId="34" borderId="16" xfId="0" applyFont="1" applyFill="1" applyBorder="1" applyAlignment="1">
      <alignment horizontal="center" vertical="center"/>
    </xf>
    <xf numFmtId="0" fontId="11" fillId="34" borderId="17" xfId="0" applyFont="1" applyFill="1" applyBorder="1" applyAlignment="1">
      <alignment horizontal="center" vertical="center"/>
    </xf>
    <xf numFmtId="0" fontId="11" fillId="34" borderId="18" xfId="0" applyFont="1" applyFill="1" applyBorder="1" applyAlignment="1">
      <alignment horizontal="center" vertical="center"/>
    </xf>
    <xf numFmtId="0" fontId="65" fillId="34" borderId="50" xfId="0" applyFont="1" applyFill="1" applyBorder="1" applyAlignment="1">
      <alignment horizontal="center"/>
    </xf>
    <xf numFmtId="0" fontId="65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1" fillId="0" borderId="127" xfId="0" applyFont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 wrapText="1"/>
    </xf>
    <xf numFmtId="0" fontId="11" fillId="29" borderId="52" xfId="0" applyFont="1" applyFill="1" applyBorder="1" applyAlignment="1">
      <alignment vertical="center" wrapText="1"/>
    </xf>
    <xf numFmtId="0" fontId="0" fillId="29" borderId="53" xfId="0" applyFill="1" applyBorder="1" applyAlignment="1">
      <alignment vertical="center"/>
    </xf>
    <xf numFmtId="0" fontId="0" fillId="29" borderId="59" xfId="0" applyFill="1" applyBorder="1" applyAlignment="1">
      <alignment vertical="center"/>
    </xf>
    <xf numFmtId="0" fontId="0" fillId="29" borderId="47" xfId="0" applyFill="1" applyBorder="1" applyAlignment="1">
      <alignment wrapText="1"/>
    </xf>
    <xf numFmtId="0" fontId="0" fillId="29" borderId="47" xfId="0" applyFill="1" applyBorder="1" applyAlignment="1"/>
    <xf numFmtId="0" fontId="0" fillId="0" borderId="142" xfId="0" applyBorder="1" applyAlignment="1">
      <alignment horizontal="center"/>
    </xf>
    <xf numFmtId="0" fontId="0" fillId="0" borderId="143" xfId="0" applyBorder="1" applyAlignment="1">
      <alignment horizontal="left" wrapText="1"/>
    </xf>
    <xf numFmtId="0" fontId="0" fillId="0" borderId="145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4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52" fillId="0" borderId="16" xfId="81" applyFont="1" applyBorder="1" applyAlignment="1">
      <alignment horizontal="center"/>
    </xf>
    <xf numFmtId="0" fontId="52" fillId="0" borderId="17" xfId="81" applyFont="1" applyBorder="1" applyAlignment="1">
      <alignment horizontal="center"/>
    </xf>
    <xf numFmtId="0" fontId="52" fillId="0" borderId="18" xfId="81" applyFont="1" applyBorder="1" applyAlignment="1">
      <alignment horizontal="center"/>
    </xf>
    <xf numFmtId="0" fontId="53" fillId="0" borderId="73" xfId="81" applyFont="1" applyBorder="1" applyAlignment="1">
      <alignment horizontal="center" vertical="center"/>
    </xf>
    <xf numFmtId="0" fontId="53" fillId="0" borderId="42" xfId="81" applyFont="1" applyBorder="1" applyAlignment="1">
      <alignment horizontal="center" vertical="center"/>
    </xf>
    <xf numFmtId="0" fontId="53" fillId="0" borderId="13" xfId="81" applyFont="1" applyBorder="1" applyAlignment="1">
      <alignment horizontal="center" vertical="center"/>
    </xf>
    <xf numFmtId="0" fontId="53" fillId="0" borderId="15" xfId="81" applyFont="1" applyBorder="1" applyAlignment="1">
      <alignment horizontal="center" vertical="center"/>
    </xf>
    <xf numFmtId="0" fontId="52" fillId="0" borderId="71" xfId="81" applyFont="1" applyBorder="1" applyAlignment="1">
      <alignment horizontal="center"/>
    </xf>
    <xf numFmtId="0" fontId="52" fillId="0" borderId="0" xfId="81" applyFont="1" applyAlignment="1">
      <alignment horizontal="center"/>
    </xf>
  </cellXfs>
  <cellStyles count="151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Хороший 2" xfId="95"/>
  </cellStyles>
  <dxfs count="0"/>
  <tableStyles count="0" defaultTableStyle="TableStyleMedium9" defaultPivotStyle="PivotStyleLight16"/>
  <colors>
    <mruColors>
      <color rgb="FFFF33CC"/>
      <color rgb="FF72024D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8.xml"/><Relationship Id="rId68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externalLink" Target="externalLinks/externalLink11.xml"/><Relationship Id="rId74" Type="http://schemas.openxmlformats.org/officeDocument/2006/relationships/externalLink" Target="externalLinks/externalLink19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externalLink" Target="externalLinks/externalLink10.xml"/><Relationship Id="rId73" Type="http://schemas.openxmlformats.org/officeDocument/2006/relationships/externalLink" Target="externalLinks/externalLink18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externalLink" Target="externalLinks/externalLink9.xml"/><Relationship Id="rId69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2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7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externalLink" Target="externalLinks/externalLink15.xml"/><Relationship Id="rId75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2;&#1086;&#1080;%20&#1076;&#1086;&#1082;&#1091;&#1084;&#1077;&#1085;&#1090;&#1099;/2012/&#1054;&#1057;&#1050;/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73;&#1097;&#1080;&#1077;&#1044;&#1086;&#1082;&#1091;&#1084;&#1077;&#1085;&#1090;&#1099;/&#1058;&#1072;&#1088;&#1080;&#1092;&#1099;%20&#1085;&#1072;%202011&#1075;%20&#1091;&#1090;&#1074;.%20&#1040;&#1075;/&#1058;&#1072;&#1085;&#1103;/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2%20%20&#1091;&#1090;&#1074;.%20&#1040;&#1075;/&#1050;&#1074;&#1072;&#1088;&#1090;&#1072;&#1083;&#1100;&#1085;&#1099;&#1077;%20&#1089;&#1084;&#1077;&#1090;&#1099;/&#1058;&#1072;&#1085;&#1103;/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5;&#1086;%20&#1079;&#1072;&#1087;&#1088;&#1086;&#1089;&#1072;&#1084;%20&#1040;&#1075;&#1077;&#1085;&#1089;&#1090;&#1074;&#1072;%202011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&#1075;%20&#1079;&#1072;&#1103;&#1074;&#1083;.&#1074;%20&#1040;&#1075;/&#1058;&#1072;&#1085;&#1103;/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55;&#1056;&#1054;&#1048;&#1047;&#1042;.%20&#1055;&#1056;&#1054;&#1043;&#1056;.,%20&#1058;&#1040;&#1056;&#1048;&#1060;&#1067;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6%20&#1075;&#1086;&#1076;/&#1060;&#1061;&#1044;/&#1055;&#1051;&#1040;&#1053;,%20&#1060;&#1040;&#1050;&#1058;,%20&#1060;&#1061;&#1044;,%20&#1090;&#1072;&#1088;&#1080;&#1092;&#1099;,%20&#1087;&#1088;&#1086;&#1080;&#1079;&#1074;.%20&#1087;&#1088;&#1086;&#1075;&#1088;.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90;&#1072;&#1088;&#1080;&#1092;&#1099;,%20&#1087;&#1088;&#1086;&#1080;&#1079;&#1074;.%20&#1087;&#1088;&#1086;&#1075;&#1088;.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4;&#1056;&#1042;&#1054;&#1044;&#1054;&#1050;&#1040;&#1053;&#1040;&#1051;%20&#1050;&#1054;&#1058;&#1051;&#1040;&#1057;/&#1052;&#1055;%20&#1043;&#1086;&#1088;&#1074;&#1086;&#1076;&#1086;&#1082;&#1072;&#1085;&#1072;&#1083;%202014/&#1058;&#1072;&#1088;&#1080;&#1092;%20&#1085;&#1072;%20&#1087;&#1088;&#1077;&#1076;&#1077;&#108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RDEN~1/LOCALS~1/Temp/7zO23.tmp/&#1058;&#1072;&#1088;&#1080;&#1092;%20&#1085;&#1072;%202015%20&#1089;&#1090;&#1072;&#1088;%20&#1092;&#1086;&#1088;&#1084;&#1099;%2018.06.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Temp/XPgrpwise/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табл 1"/>
      <sheetName val="Прил. 1 План ФХД стоки табл 2"/>
      <sheetName val="Прил. 1 План ФХД вода табл. 2"/>
      <sheetName val="ФАКТИЧЕСКАЯ СЕБЕСТ. СТОКИ 2016"/>
      <sheetName val="ПОЛНАЯ СЕБЕСТОИМОСТЬ СТОКИ 2016"/>
      <sheetName val="ФАКТИЧЕСКАЯ СЕБЕСТ ВОДА 2016"/>
      <sheetName val="ПОЛНАЯ СЕБЕСТОИМОСТЬ ВОДА 2016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52">
          <cell r="M52">
            <v>0.22499999999999998</v>
          </cell>
        </row>
      </sheetData>
      <sheetData sheetId="2">
        <row r="59">
          <cell r="L59">
            <v>994</v>
          </cell>
        </row>
      </sheetData>
      <sheetData sheetId="3">
        <row r="8">
          <cell r="C8">
            <v>267.07</v>
          </cell>
        </row>
      </sheetData>
      <sheetData sheetId="4"/>
      <sheetData sheetId="5"/>
      <sheetData sheetId="6"/>
      <sheetData sheetId="7">
        <row r="62">
          <cell r="R62">
            <v>0</v>
          </cell>
          <cell r="V62">
            <v>0</v>
          </cell>
          <cell r="AA62">
            <v>0</v>
          </cell>
          <cell r="AF62">
            <v>0</v>
          </cell>
        </row>
      </sheetData>
      <sheetData sheetId="8"/>
      <sheetData sheetId="9">
        <row r="14">
          <cell r="Q14">
            <v>0.11827535406039125</v>
          </cell>
          <cell r="U14">
            <v>0.12264299562170441</v>
          </cell>
          <cell r="Z14">
            <v>0.1251917844897803</v>
          </cell>
          <cell r="AE14">
            <v>0.11793771714126863</v>
          </cell>
        </row>
        <row r="17">
          <cell r="Q17">
            <v>0.19858380826769037</v>
          </cell>
          <cell r="U17">
            <v>0.19459421378169231</v>
          </cell>
          <cell r="Z17">
            <v>0.19224763167855127</v>
          </cell>
          <cell r="AE17">
            <v>0.19889057537378924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BG15">
            <v>0.30099890009404989</v>
          </cell>
          <cell r="BI15">
            <v>0.30099890009404989</v>
          </cell>
          <cell r="BJ15">
            <v>0.30099890009404989</v>
          </cell>
        </row>
        <row r="25">
          <cell r="BG25">
            <v>0.29822890263000695</v>
          </cell>
          <cell r="BI25">
            <v>0.29822890263000695</v>
          </cell>
        </row>
        <row r="33">
          <cell r="BG33">
            <v>0.30029288840622637</v>
          </cell>
          <cell r="BI33">
            <v>0.30029288840622637</v>
          </cell>
          <cell r="BJ33">
            <v>0.30029288840622637</v>
          </cell>
        </row>
        <row r="41">
          <cell r="BG41">
            <v>0.30099999999999999</v>
          </cell>
          <cell r="BI41">
            <v>0.30099999999999999</v>
          </cell>
          <cell r="BJ41">
            <v>0.30099999999999999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2">
          <cell r="B112">
            <v>24.23345303768841</v>
          </cell>
        </row>
      </sheetData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O13">
            <v>311.98680999999999</v>
          </cell>
        </row>
      </sheetData>
      <sheetData sheetId="7"/>
      <sheetData sheetId="8">
        <row r="7">
          <cell r="E7">
            <v>306.66000000000003</v>
          </cell>
        </row>
      </sheetData>
      <sheetData sheetId="9">
        <row r="12">
          <cell r="O12">
            <v>389.98351249999996</v>
          </cell>
        </row>
      </sheetData>
      <sheetData sheetId="10">
        <row r="45">
          <cell r="N45">
            <v>794.60468646203276</v>
          </cell>
        </row>
      </sheetData>
      <sheetData sheetId="11"/>
      <sheetData sheetId="12">
        <row r="174">
          <cell r="C174">
            <v>749.98</v>
          </cell>
        </row>
      </sheetData>
      <sheetData sheetId="13">
        <row r="116">
          <cell r="N116">
            <v>153.80367147034352</v>
          </cell>
        </row>
      </sheetData>
      <sheetData sheetId="14"/>
      <sheetData sheetId="15">
        <row r="143">
          <cell r="AK143">
            <v>30</v>
          </cell>
        </row>
      </sheetData>
      <sheetData sheetId="16">
        <row r="125">
          <cell r="AH125">
            <v>24.29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I7">
            <v>17186.106536940872</v>
          </cell>
        </row>
      </sheetData>
      <sheetData sheetId="16">
        <row r="7">
          <cell r="AF7">
            <v>13487.065850798484</v>
          </cell>
        </row>
      </sheetData>
      <sheetData sheetId="17" refreshError="1"/>
      <sheetData sheetId="18">
        <row r="62">
          <cell r="V62">
            <v>1119.2106875700802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9">
          <cell r="AD9">
            <v>6131.07156006064</v>
          </cell>
        </row>
      </sheetData>
      <sheetData sheetId="28">
        <row r="16">
          <cell r="B16">
            <v>1355.2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ОХР ТЭ"/>
      <sheetName val="вода"/>
      <sheetName val="стоки"/>
      <sheetName val="цеховые вода"/>
      <sheetName val="цеховые стоки"/>
      <sheetName val="общехоз."/>
      <sheetName val="динамика"/>
      <sheetName val="электроэнергия"/>
      <sheetName val="амортизация"/>
      <sheetName val="химикаты"/>
      <sheetName val="ср разряд"/>
      <sheetName val="зарплата"/>
      <sheetName val="прогноз тарифов"/>
      <sheetName val="аморт-отчет"/>
      <sheetName val="КЗ и ДЗ"/>
      <sheetName val="АУП"/>
    </sheetNames>
    <sheetDataSet>
      <sheetData sheetId="0"/>
      <sheetData sheetId="1"/>
      <sheetData sheetId="2">
        <row r="50">
          <cell r="Z50">
            <v>4900</v>
          </cell>
        </row>
      </sheetData>
      <sheetData sheetId="3"/>
      <sheetData sheetId="4"/>
      <sheetData sheetId="5"/>
      <sheetData sheetId="6">
        <row r="45">
          <cell r="G45">
            <v>2983.3866666666668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33CC"/>
  </sheetPr>
  <dimension ref="A1:BV430"/>
  <sheetViews>
    <sheetView tabSelected="1" zoomScale="80" zoomScaleNormal="80" zoomScalePageLayoutView="90" workbookViewId="0">
      <pane xSplit="1" ySplit="7" topLeftCell="AW46" activePane="bottomRight" state="frozen"/>
      <selection pane="topRight" activeCell="B1" sqref="B1"/>
      <selection pane="bottomLeft" activeCell="A8" sqref="A8"/>
      <selection pane="bottomRight" activeCell="BA70" sqref="BA70"/>
    </sheetView>
  </sheetViews>
  <sheetFormatPr defaultRowHeight="12.75"/>
  <cols>
    <col min="1" max="1" width="57" customWidth="1"/>
    <col min="2" max="13" width="12.7109375" hidden="1" customWidth="1"/>
    <col min="14" max="14" width="12.140625" hidden="1" customWidth="1"/>
    <col min="15" max="15" width="11.5703125" hidden="1" customWidth="1"/>
    <col min="16" max="27" width="12.7109375" hidden="1" customWidth="1"/>
    <col min="28" max="28" width="11.140625" hidden="1" customWidth="1"/>
    <col min="29" max="29" width="12" hidden="1" customWidth="1"/>
    <col min="30" max="33" width="12.7109375" hidden="1" customWidth="1"/>
    <col min="34" max="34" width="12" hidden="1" customWidth="1"/>
    <col min="35" max="46" width="12.7109375" hidden="1" customWidth="1"/>
    <col min="47" max="48" width="10.7109375" hidden="1" customWidth="1"/>
    <col min="49" max="49" width="12.7109375" customWidth="1"/>
    <col min="50" max="50" width="13.140625" customWidth="1"/>
    <col min="51" max="52" width="12.7109375" customWidth="1"/>
    <col min="53" max="53" width="12.28515625" customWidth="1"/>
    <col min="54" max="65" width="12.7109375" hidden="1" customWidth="1"/>
    <col min="66" max="66" width="11.140625" hidden="1" customWidth="1"/>
    <col min="67" max="67" width="10.7109375" hidden="1" customWidth="1"/>
    <col min="68" max="69" width="14.28515625" hidden="1" customWidth="1"/>
    <col min="70" max="70" width="12.7109375" hidden="1" customWidth="1"/>
    <col min="71" max="71" width="11.140625" hidden="1" customWidth="1"/>
    <col min="72" max="72" width="10.7109375" hidden="1" customWidth="1"/>
  </cols>
  <sheetData>
    <row r="1" spans="1:72" ht="23.25">
      <c r="A1" s="4133" t="s">
        <v>1916</v>
      </c>
      <c r="T1" s="3778"/>
    </row>
    <row r="2" spans="1:72" ht="23.25">
      <c r="A2" s="4133" t="s">
        <v>1923</v>
      </c>
      <c r="T2" s="3778"/>
    </row>
    <row r="3" spans="1:72" ht="23.25">
      <c r="T3" s="3778"/>
    </row>
    <row r="4" spans="1:72" ht="18.75" customHeight="1">
      <c r="A4" s="4175" t="s">
        <v>1910</v>
      </c>
      <c r="B4" s="4176"/>
      <c r="C4" s="4176"/>
      <c r="D4" s="4176"/>
      <c r="E4" s="4177"/>
      <c r="F4" s="4177"/>
      <c r="G4" s="4177"/>
      <c r="H4" s="4177"/>
      <c r="I4" s="4177"/>
      <c r="J4" s="4177"/>
      <c r="K4" s="4177"/>
      <c r="L4" s="4177"/>
      <c r="M4" s="4177"/>
      <c r="N4" s="4177"/>
      <c r="O4" s="4177"/>
      <c r="P4" s="4177"/>
      <c r="Q4" s="4177"/>
      <c r="R4" s="4177"/>
      <c r="S4" s="4177"/>
      <c r="T4" s="4177"/>
      <c r="U4" s="4177"/>
      <c r="V4" s="4177"/>
      <c r="W4" s="4177"/>
      <c r="X4" s="4177"/>
      <c r="Y4" s="4178"/>
      <c r="Z4" s="4178"/>
      <c r="AA4" s="4178"/>
      <c r="AB4" s="4178"/>
      <c r="AC4" s="4178"/>
      <c r="AD4" s="4178"/>
      <c r="AE4" s="4178"/>
      <c r="AF4" s="4178"/>
      <c r="AG4" s="4178"/>
      <c r="AH4" s="4178"/>
      <c r="AI4" s="4178"/>
      <c r="AJ4" s="4178"/>
      <c r="AK4" s="4178"/>
      <c r="AL4" s="4178"/>
      <c r="AM4" s="4178"/>
      <c r="AN4" s="4178"/>
      <c r="AO4" s="4178"/>
      <c r="AP4" s="4178"/>
      <c r="AQ4" s="4178"/>
      <c r="AR4" s="4178"/>
      <c r="AS4" s="4178"/>
      <c r="AT4" s="4178"/>
      <c r="AU4" s="4178"/>
      <c r="AV4" s="4178"/>
      <c r="AW4" s="4178"/>
      <c r="AX4" s="4178"/>
      <c r="AY4" s="4178"/>
      <c r="AZ4" s="4178"/>
      <c r="BA4" s="4178"/>
      <c r="BB4" s="4178"/>
      <c r="BC4" s="4178"/>
      <c r="BD4" s="4178"/>
      <c r="BE4" s="4178"/>
      <c r="BF4" s="4178"/>
      <c r="BG4" s="4178"/>
      <c r="BH4" s="4178"/>
      <c r="BI4" s="4178"/>
      <c r="BJ4" s="4178"/>
      <c r="BK4" s="4178"/>
      <c r="BL4" s="4178"/>
      <c r="BM4" s="4178"/>
      <c r="BN4" s="4178"/>
      <c r="BO4" s="4178"/>
      <c r="BP4" s="4231"/>
      <c r="BQ4" s="4231"/>
      <c r="BR4" s="4178"/>
      <c r="BS4" s="4178"/>
      <c r="BT4" s="4179"/>
    </row>
    <row r="5" spans="1:72" ht="19.5" customHeight="1">
      <c r="A5" s="4304" t="s">
        <v>546</v>
      </c>
      <c r="B5" s="4305" t="s">
        <v>1894</v>
      </c>
      <c r="C5" s="4306"/>
      <c r="D5" s="4306"/>
      <c r="E5" s="4305" t="s">
        <v>1895</v>
      </c>
      <c r="F5" s="4306"/>
      <c r="G5" s="4306"/>
      <c r="H5" s="4305" t="s">
        <v>1896</v>
      </c>
      <c r="I5" s="4306"/>
      <c r="J5" s="4306"/>
      <c r="K5" s="4307" t="s">
        <v>1869</v>
      </c>
      <c r="L5" s="4308"/>
      <c r="M5" s="4308"/>
      <c r="N5" s="4309"/>
      <c r="O5" s="4310"/>
      <c r="P5" s="4305" t="s">
        <v>1897</v>
      </c>
      <c r="Q5" s="4306"/>
      <c r="R5" s="4306"/>
      <c r="S5" s="4305" t="s">
        <v>1898</v>
      </c>
      <c r="T5" s="4306"/>
      <c r="U5" s="4306"/>
      <c r="V5" s="4305" t="s">
        <v>1899</v>
      </c>
      <c r="W5" s="4306"/>
      <c r="X5" s="4306"/>
      <c r="Y5" s="4307" t="s">
        <v>1870</v>
      </c>
      <c r="Z5" s="4308"/>
      <c r="AA5" s="4308"/>
      <c r="AB5" s="4309"/>
      <c r="AC5" s="4310"/>
      <c r="AD5" s="4307" t="s">
        <v>1871</v>
      </c>
      <c r="AE5" s="4308"/>
      <c r="AF5" s="4308"/>
      <c r="AG5" s="4309"/>
      <c r="AH5" s="4310"/>
      <c r="AI5" s="4305" t="s">
        <v>1377</v>
      </c>
      <c r="AJ5" s="4306"/>
      <c r="AK5" s="4306"/>
      <c r="AL5" s="4305" t="s">
        <v>1900</v>
      </c>
      <c r="AM5" s="4306"/>
      <c r="AN5" s="4306"/>
      <c r="AO5" s="4305" t="s">
        <v>1901</v>
      </c>
      <c r="AP5" s="4306"/>
      <c r="AQ5" s="4306"/>
      <c r="AR5" s="4307" t="s">
        <v>1872</v>
      </c>
      <c r="AS5" s="4308"/>
      <c r="AT5" s="4308"/>
      <c r="AU5" s="4309"/>
      <c r="AV5" s="4310"/>
      <c r="AW5" s="4307" t="s">
        <v>1873</v>
      </c>
      <c r="AX5" s="4308"/>
      <c r="AY5" s="4308"/>
      <c r="AZ5" s="4309"/>
      <c r="BA5" s="4310"/>
      <c r="BB5" s="4305" t="s">
        <v>1902</v>
      </c>
      <c r="BC5" s="4306"/>
      <c r="BD5" s="4306"/>
      <c r="BE5" s="4305" t="s">
        <v>1903</v>
      </c>
      <c r="BF5" s="4306"/>
      <c r="BG5" s="4306"/>
      <c r="BH5" s="4305" t="s">
        <v>1904</v>
      </c>
      <c r="BI5" s="4306"/>
      <c r="BJ5" s="4306"/>
      <c r="BK5" s="4307" t="s">
        <v>1874</v>
      </c>
      <c r="BL5" s="4308"/>
      <c r="BM5" s="4308"/>
      <c r="BN5" s="4309"/>
      <c r="BO5" s="4310"/>
      <c r="BP5" s="4314" t="s">
        <v>887</v>
      </c>
      <c r="BQ5" s="4315"/>
      <c r="BR5" s="4315"/>
      <c r="BS5" s="4316"/>
      <c r="BT5" s="4316"/>
    </row>
    <row r="6" spans="1:72" ht="19.5" customHeight="1">
      <c r="A6" s="4304"/>
      <c r="B6" s="4311" t="s">
        <v>1875</v>
      </c>
      <c r="C6" s="4311" t="s">
        <v>1876</v>
      </c>
      <c r="D6" s="4311" t="s">
        <v>1905</v>
      </c>
      <c r="E6" s="4311" t="s">
        <v>1875</v>
      </c>
      <c r="F6" s="4311" t="s">
        <v>1876</v>
      </c>
      <c r="G6" s="4311" t="s">
        <v>1905</v>
      </c>
      <c r="H6" s="4311" t="s">
        <v>1875</v>
      </c>
      <c r="I6" s="4311" t="s">
        <v>1876</v>
      </c>
      <c r="J6" s="4311" t="s">
        <v>1905</v>
      </c>
      <c r="K6" s="4313" t="s">
        <v>1875</v>
      </c>
      <c r="L6" s="4313" t="s">
        <v>1876</v>
      </c>
      <c r="M6" s="4313" t="s">
        <v>1905</v>
      </c>
      <c r="N6" s="4317" t="s">
        <v>1906</v>
      </c>
      <c r="O6" s="4317"/>
      <c r="P6" s="4311" t="s">
        <v>1875</v>
      </c>
      <c r="Q6" s="4311" t="s">
        <v>1876</v>
      </c>
      <c r="R6" s="4311" t="s">
        <v>1905</v>
      </c>
      <c r="S6" s="4311" t="s">
        <v>1875</v>
      </c>
      <c r="T6" s="4311" t="s">
        <v>1876</v>
      </c>
      <c r="U6" s="4311" t="s">
        <v>1905</v>
      </c>
      <c r="V6" s="4311" t="s">
        <v>1875</v>
      </c>
      <c r="W6" s="4311" t="s">
        <v>1876</v>
      </c>
      <c r="X6" s="4311" t="s">
        <v>1905</v>
      </c>
      <c r="Y6" s="4313" t="s">
        <v>1875</v>
      </c>
      <c r="Z6" s="4313" t="s">
        <v>1876</v>
      </c>
      <c r="AA6" s="4313" t="s">
        <v>1905</v>
      </c>
      <c r="AB6" s="4317" t="s">
        <v>1906</v>
      </c>
      <c r="AC6" s="4317"/>
      <c r="AD6" s="4313" t="s">
        <v>1875</v>
      </c>
      <c r="AE6" s="4313" t="s">
        <v>1876</v>
      </c>
      <c r="AF6" s="4313" t="s">
        <v>1905</v>
      </c>
      <c r="AG6" s="4317" t="s">
        <v>1906</v>
      </c>
      <c r="AH6" s="4317"/>
      <c r="AI6" s="4311" t="s">
        <v>1875</v>
      </c>
      <c r="AJ6" s="4311" t="s">
        <v>1876</v>
      </c>
      <c r="AK6" s="4311" t="s">
        <v>1905</v>
      </c>
      <c r="AL6" s="4311" t="s">
        <v>1875</v>
      </c>
      <c r="AM6" s="4311" t="s">
        <v>1876</v>
      </c>
      <c r="AN6" s="4311" t="s">
        <v>1905</v>
      </c>
      <c r="AO6" s="4311" t="s">
        <v>1875</v>
      </c>
      <c r="AP6" s="4311" t="s">
        <v>1876</v>
      </c>
      <c r="AQ6" s="4311" t="s">
        <v>1905</v>
      </c>
      <c r="AR6" s="4313" t="s">
        <v>1875</v>
      </c>
      <c r="AS6" s="4313" t="s">
        <v>1876</v>
      </c>
      <c r="AT6" s="4313" t="s">
        <v>1905</v>
      </c>
      <c r="AU6" s="4317" t="s">
        <v>1906</v>
      </c>
      <c r="AV6" s="4317"/>
      <c r="AW6" s="4313" t="s">
        <v>1875</v>
      </c>
      <c r="AX6" s="4313" t="s">
        <v>1876</v>
      </c>
      <c r="AY6" s="4313" t="s">
        <v>1905</v>
      </c>
      <c r="AZ6" s="4317" t="s">
        <v>1906</v>
      </c>
      <c r="BA6" s="4317"/>
      <c r="BB6" s="4311" t="s">
        <v>1875</v>
      </c>
      <c r="BC6" s="4311" t="s">
        <v>1876</v>
      </c>
      <c r="BD6" s="4311" t="s">
        <v>1905</v>
      </c>
      <c r="BE6" s="4311" t="s">
        <v>1875</v>
      </c>
      <c r="BF6" s="4311" t="s">
        <v>1876</v>
      </c>
      <c r="BG6" s="4311" t="s">
        <v>1905</v>
      </c>
      <c r="BH6" s="4311" t="s">
        <v>1875</v>
      </c>
      <c r="BI6" s="4311" t="s">
        <v>1876</v>
      </c>
      <c r="BJ6" s="4311" t="s">
        <v>1905</v>
      </c>
      <c r="BK6" s="4313" t="s">
        <v>1875</v>
      </c>
      <c r="BL6" s="4313" t="s">
        <v>1876</v>
      </c>
      <c r="BM6" s="4313" t="s">
        <v>1905</v>
      </c>
      <c r="BN6" s="4317" t="s">
        <v>1906</v>
      </c>
      <c r="BO6" s="4317"/>
      <c r="BP6" s="4321" t="s">
        <v>1875</v>
      </c>
      <c r="BQ6" s="4321" t="s">
        <v>1876</v>
      </c>
      <c r="BR6" s="4321" t="s">
        <v>1905</v>
      </c>
      <c r="BS6" s="4317" t="s">
        <v>1906</v>
      </c>
      <c r="BT6" s="4317"/>
    </row>
    <row r="7" spans="1:72" ht="24.75" customHeight="1">
      <c r="A7" s="4304"/>
      <c r="B7" s="4312"/>
      <c r="C7" s="4312"/>
      <c r="D7" s="4312"/>
      <c r="E7" s="4312"/>
      <c r="F7" s="4312"/>
      <c r="G7" s="4312"/>
      <c r="H7" s="4312"/>
      <c r="I7" s="4312"/>
      <c r="J7" s="4312"/>
      <c r="K7" s="4312"/>
      <c r="L7" s="4312"/>
      <c r="M7" s="4312"/>
      <c r="N7" s="4138" t="s">
        <v>1907</v>
      </c>
      <c r="O7" s="4138" t="s">
        <v>44</v>
      </c>
      <c r="P7" s="4312"/>
      <c r="Q7" s="4312"/>
      <c r="R7" s="4312"/>
      <c r="S7" s="4312"/>
      <c r="T7" s="4312"/>
      <c r="U7" s="4312"/>
      <c r="V7" s="4312"/>
      <c r="W7" s="4312"/>
      <c r="X7" s="4312"/>
      <c r="Y7" s="4312"/>
      <c r="Z7" s="4312"/>
      <c r="AA7" s="4312"/>
      <c r="AB7" s="4138" t="s">
        <v>1907</v>
      </c>
      <c r="AC7" s="4138" t="s">
        <v>44</v>
      </c>
      <c r="AD7" s="4312"/>
      <c r="AE7" s="4312"/>
      <c r="AF7" s="4312"/>
      <c r="AG7" s="4138" t="s">
        <v>1907</v>
      </c>
      <c r="AH7" s="4138" t="s">
        <v>44</v>
      </c>
      <c r="AI7" s="4312"/>
      <c r="AJ7" s="4312"/>
      <c r="AK7" s="4312"/>
      <c r="AL7" s="4312"/>
      <c r="AM7" s="4312"/>
      <c r="AN7" s="4312"/>
      <c r="AO7" s="4312"/>
      <c r="AP7" s="4312"/>
      <c r="AQ7" s="4312"/>
      <c r="AR7" s="4312"/>
      <c r="AS7" s="4312"/>
      <c r="AT7" s="4312"/>
      <c r="AU7" s="4138" t="s">
        <v>1907</v>
      </c>
      <c r="AV7" s="4138" t="s">
        <v>44</v>
      </c>
      <c r="AW7" s="4312"/>
      <c r="AX7" s="4312"/>
      <c r="AY7" s="4312"/>
      <c r="AZ7" s="4138" t="s">
        <v>1907</v>
      </c>
      <c r="BA7" s="4138" t="s">
        <v>44</v>
      </c>
      <c r="BB7" s="4312"/>
      <c r="BC7" s="4312"/>
      <c r="BD7" s="4312"/>
      <c r="BE7" s="4312"/>
      <c r="BF7" s="4312"/>
      <c r="BG7" s="4312"/>
      <c r="BH7" s="4312"/>
      <c r="BI7" s="4312"/>
      <c r="BJ7" s="4312"/>
      <c r="BK7" s="4312"/>
      <c r="BL7" s="4312"/>
      <c r="BM7" s="4312"/>
      <c r="BN7" s="4138" t="s">
        <v>1907</v>
      </c>
      <c r="BO7" s="4138" t="s">
        <v>44</v>
      </c>
      <c r="BP7" s="4312"/>
      <c r="BQ7" s="4312"/>
      <c r="BR7" s="4312"/>
      <c r="BS7" s="4138" t="s">
        <v>1907</v>
      </c>
      <c r="BT7" s="4138" t="s">
        <v>44</v>
      </c>
    </row>
    <row r="8" spans="1:72" ht="18.75" customHeight="1">
      <c r="A8" s="4232" t="s">
        <v>1771</v>
      </c>
      <c r="B8" s="4290">
        <f>SUM('Произв. прогр. Стоки (СВОД)'!E12)</f>
        <v>349.79415625000001</v>
      </c>
      <c r="C8" s="4235">
        <f>SUM('ПОЛНАЯ СЕБЕСТОИМОСТЬ СТОКИ 2017'!C7)</f>
        <v>274.05</v>
      </c>
      <c r="D8" s="4295">
        <f>SUM('[18]ФАКТИЧЕСКАЯ СЕБЕСТ. СТОКИ 2016'!$C$8)</f>
        <v>267.07</v>
      </c>
      <c r="E8" s="4290">
        <f>SUM('Произв. прогр. Стоки (СВОД)'!F12)</f>
        <v>350.78140625000003</v>
      </c>
      <c r="F8" s="4236">
        <f>SUM('ПОЛНАЯ СЕБЕСТОИМОСТЬ СТОКИ 2017'!D7)</f>
        <v>241.64</v>
      </c>
      <c r="G8" s="4296">
        <v>262.26</v>
      </c>
      <c r="H8" s="4290">
        <f>SUM('Произв. прогр. Стоки (СВОД)'!G12)</f>
        <v>352.06450000000007</v>
      </c>
      <c r="I8" s="4236">
        <f>SUM('ПОЛНАЯ СЕБЕСТОИМОСТЬ СТОКИ 2017'!E7)</f>
        <v>365.25</v>
      </c>
      <c r="J8" s="4296">
        <v>308.64</v>
      </c>
      <c r="K8" s="4154">
        <f t="shared" ref="K8:M12" si="0">SUM(B8+E8+H8)</f>
        <v>1052.6400625000001</v>
      </c>
      <c r="L8" s="4292">
        <f t="shared" si="0"/>
        <v>880.94</v>
      </c>
      <c r="M8" s="4292">
        <f t="shared" si="0"/>
        <v>837.96999999999991</v>
      </c>
      <c r="N8" s="4154">
        <f>SUM(L8-K8)</f>
        <v>-171.70006250000006</v>
      </c>
      <c r="O8" s="4154">
        <f>SUM(N8/K8*100)</f>
        <v>-16.311374478016319</v>
      </c>
      <c r="P8" s="4290">
        <f>SUM('Произв. прогр. Стоки (СВОД)'!I12)</f>
        <v>347.16806249999996</v>
      </c>
      <c r="Q8" s="4236">
        <f>SUM('ПОЛНАЯ СЕБЕСТОИМОСТЬ СТОКИ 2017'!H7)</f>
        <v>511.28</v>
      </c>
      <c r="R8" s="4296">
        <v>665.15</v>
      </c>
      <c r="S8" s="4290">
        <f>SUM('Произв. прогр. Стоки (СВОД)'!J12)</f>
        <v>340.61103124999994</v>
      </c>
      <c r="T8" s="4236">
        <f>SUM('ПОЛНАЯ СЕБЕСТОИМОСТЬ СТОКИ 2017'!I7)</f>
        <v>386.87</v>
      </c>
      <c r="U8" s="4296">
        <v>360.4</v>
      </c>
      <c r="V8" s="4290">
        <f>SUM('Произв. прогр. Стоки (СВОД)'!K12)</f>
        <v>328.56956249999996</v>
      </c>
      <c r="W8" s="4236">
        <f>SUM('ПОЛНАЯ СЕБЕСТОИМОСТЬ СТОКИ 2017'!J7)</f>
        <v>422.29</v>
      </c>
      <c r="X8" s="4296">
        <v>294.89999999999998</v>
      </c>
      <c r="Y8" s="4154">
        <f t="shared" ref="Y8:AA12" si="1">SUM(P8+S8+V8)</f>
        <v>1016.3486562499999</v>
      </c>
      <c r="Z8" s="4292">
        <f>SUM(Q8+T8+W8)</f>
        <v>1320.44</v>
      </c>
      <c r="AA8" s="4292">
        <f t="shared" si="1"/>
        <v>1320.4499999999998</v>
      </c>
      <c r="AB8" s="4154">
        <f>SUM(Z8-Y8)</f>
        <v>304.09134375000019</v>
      </c>
      <c r="AC8" s="4154">
        <f>SUM(AB8/Y8*100)</f>
        <v>29.919982860212517</v>
      </c>
      <c r="AD8" s="4293">
        <f t="shared" ref="AD8:AF12" si="2">SUM(K8+Y8)</f>
        <v>2068.9887187499999</v>
      </c>
      <c r="AE8" s="4293">
        <f t="shared" si="2"/>
        <v>2201.38</v>
      </c>
      <c r="AF8" s="4293">
        <f t="shared" si="2"/>
        <v>2158.4199999999996</v>
      </c>
      <c r="AG8" s="4154">
        <f>SUM(AE8-AD8)</f>
        <v>132.39128125000025</v>
      </c>
      <c r="AH8" s="4154">
        <f>SUM(AG8/AD8*100)</f>
        <v>6.398840170089751</v>
      </c>
      <c r="AI8" s="4290">
        <f>SUM('Произв. прогр. Стоки (СВОД)'!N12)</f>
        <v>319.22134374999996</v>
      </c>
      <c r="AJ8" s="4236">
        <f>SUM('ПОЛНАЯ СЕБЕСТОИМОСТЬ СТОКИ 2017'!P7)</f>
        <v>436.89</v>
      </c>
      <c r="AK8" s="4296">
        <v>340.98</v>
      </c>
      <c r="AL8" s="4290">
        <f>SUM('Произв. прогр. Стоки (СВОД)'!O12)</f>
        <v>330.33724999999998</v>
      </c>
      <c r="AM8" s="4236">
        <f>SUM('ПОЛНАЯ СЕБЕСТОИМОСТЬ СТОКИ 2017'!Q7)</f>
        <v>319.39</v>
      </c>
      <c r="AN8" s="4296">
        <v>329.31</v>
      </c>
      <c r="AO8" s="4290">
        <f>SUM('Произв. прогр. Стоки (СВОД)'!P12)</f>
        <v>344.94668750000005</v>
      </c>
      <c r="AP8" s="4236">
        <f>SUM('ПОЛНАЯ СЕБЕСТОИМОСТЬ СТОКИ 2017'!R7)</f>
        <v>342.74</v>
      </c>
      <c r="AQ8" s="4296">
        <v>445.2</v>
      </c>
      <c r="AR8" s="4154">
        <f t="shared" ref="AR8:AT12" si="3">SUM(AI8+AL8+AO8)</f>
        <v>994.50528125000005</v>
      </c>
      <c r="AS8" s="4292">
        <f t="shared" si="3"/>
        <v>1099.02</v>
      </c>
      <c r="AT8" s="4292">
        <f t="shared" si="3"/>
        <v>1115.49</v>
      </c>
      <c r="AU8" s="4154">
        <f>SUM(AS8-AR8)</f>
        <v>104.51471874999993</v>
      </c>
      <c r="AV8" s="4154">
        <f>SUM(AU8/AR8*100)</f>
        <v>10.509217067066221</v>
      </c>
      <c r="AW8" s="4293">
        <f t="shared" ref="AW8:AY9" si="4">SUM(AD8+AR8)</f>
        <v>3063.4939999999997</v>
      </c>
      <c r="AX8" s="4293">
        <f t="shared" si="4"/>
        <v>3300.4</v>
      </c>
      <c r="AY8" s="4293">
        <f t="shared" si="4"/>
        <v>3273.91</v>
      </c>
      <c r="AZ8" s="4154">
        <f>SUM(AX8-AW8)</f>
        <v>236.9060000000004</v>
      </c>
      <c r="BA8" s="4154">
        <f>SUM(AZ8/AW8*100)</f>
        <v>7.7331961479278375</v>
      </c>
      <c r="BB8" s="4290">
        <f>SUM('Произв. прогр. Стоки (СВОД)'!S12)</f>
        <v>352.06450000000007</v>
      </c>
      <c r="BC8" s="4236">
        <f>SUM('ПОЛНАЯ СЕБЕСТОИМОСТЬ СТОКИ 2017'!X7)</f>
        <v>0</v>
      </c>
      <c r="BD8" s="4296">
        <v>411.39</v>
      </c>
      <c r="BE8" s="4290">
        <f>SUM('Произв. прогр. Стоки (СВОД)'!T12)</f>
        <v>352.06450000000007</v>
      </c>
      <c r="BF8" s="4236">
        <f>SUM('ПОЛНАЯ СЕБЕСТОИМОСТЬ СТОКИ 2017'!Y7)</f>
        <v>0</v>
      </c>
      <c r="BG8" s="4296">
        <v>269.77</v>
      </c>
      <c r="BH8" s="4290">
        <f>SUM('Произв. прогр. Стоки (СВОД)'!U12)</f>
        <v>352.06450000000007</v>
      </c>
      <c r="BI8" s="4236">
        <f>SUM('ПОЛНАЯ СЕБЕСТОИМОСТЬ СТОКИ 2017'!Z7)</f>
        <v>0</v>
      </c>
      <c r="BJ8" s="4296">
        <v>257.3</v>
      </c>
      <c r="BK8" s="4154">
        <f t="shared" ref="BK8:BM12" si="5">SUM(BB8+BE8+BH8)</f>
        <v>1056.1935000000003</v>
      </c>
      <c r="BL8" s="4292">
        <f t="shared" si="5"/>
        <v>0</v>
      </c>
      <c r="BM8" s="4292">
        <f t="shared" si="5"/>
        <v>938.46</v>
      </c>
      <c r="BN8" s="4154">
        <f>SUM(BL8-BK8)</f>
        <v>-1056.1935000000003</v>
      </c>
      <c r="BO8" s="4154">
        <f>SUM(BN8/BK8*100)</f>
        <v>-100</v>
      </c>
      <c r="BP8" s="4294">
        <f t="shared" ref="BP8:BR9" si="6">SUM(AW8+BK8)</f>
        <v>4119.6875</v>
      </c>
      <c r="BQ8" s="4294">
        <f t="shared" si="6"/>
        <v>3300.4</v>
      </c>
      <c r="BR8" s="4294">
        <f t="shared" si="6"/>
        <v>4212.37</v>
      </c>
      <c r="BS8" s="4154">
        <f>SUM(BQ8-BP8)</f>
        <v>-819.28749999999991</v>
      </c>
      <c r="BT8" s="4154">
        <f>SUM(BS8/BP8*100)</f>
        <v>-19.887127360995219</v>
      </c>
    </row>
    <row r="9" spans="1:72" ht="18.75" customHeight="1">
      <c r="A9" s="4139" t="s">
        <v>1777</v>
      </c>
      <c r="B9" s="4290">
        <f>SUM('Произв. прогр. Стоки (СВОД)'!E13)</f>
        <v>279.83532500000001</v>
      </c>
      <c r="C9" s="4235">
        <f>SUM('ПОЛНАЯ СЕБЕСТОИМОСТЬ СТОКИ 2017'!C8)</f>
        <v>257.02000000000004</v>
      </c>
      <c r="D9" s="4172">
        <f>SUM(D10:D12)</f>
        <v>271.95</v>
      </c>
      <c r="E9" s="4290">
        <f>SUM('Произв. прогр. Стоки (СВОД)'!F13)</f>
        <v>280.62512500000003</v>
      </c>
      <c r="F9" s="4236">
        <f>SUM('ПОЛНАЯ СЕБЕСТОИМОСТЬ СТОКИ 2017'!D8)</f>
        <v>271.67999999999995</v>
      </c>
      <c r="G9" s="4172">
        <f>SUM(G10:G12)</f>
        <v>268.63</v>
      </c>
      <c r="H9" s="4290">
        <f>SUM('Произв. прогр. Стоки (СВОД)'!G13)</f>
        <v>281.65160000000003</v>
      </c>
      <c r="I9" s="4236">
        <f>SUM('ПОЛНАЯ СЕБЕСТОИМОСТЬ СТОКИ 2017'!E8)</f>
        <v>261.83000000000004</v>
      </c>
      <c r="J9" s="4172">
        <f>SUM(J10:J12)</f>
        <v>268.42</v>
      </c>
      <c r="K9" s="4223">
        <f t="shared" si="0"/>
        <v>842.11205000000007</v>
      </c>
      <c r="L9" s="4223">
        <f t="shared" si="0"/>
        <v>790.53000000000009</v>
      </c>
      <c r="M9" s="4223">
        <f t="shared" si="0"/>
        <v>809</v>
      </c>
      <c r="N9" s="4154">
        <f t="shared" ref="N9:N12" si="7">SUM(L9-K9)</f>
        <v>-51.582049999999981</v>
      </c>
      <c r="O9" s="4154">
        <f t="shared" ref="O9:O12" si="8">SUM(N9/K9*100)</f>
        <v>-6.125319071256607</v>
      </c>
      <c r="P9" s="4290">
        <f>SUM('Произв. прогр. Стоки (СВОД)'!I13)</f>
        <v>277.73444999999998</v>
      </c>
      <c r="Q9" s="4236">
        <f>SUM('ПОЛНАЯ СЕБЕСТОИМОСТЬ СТОКИ 2017'!H8)</f>
        <v>285.02999999999997</v>
      </c>
      <c r="R9" s="4172">
        <f>SUM(R10:R12)</f>
        <v>262.69</v>
      </c>
      <c r="S9" s="4290">
        <f>SUM('Произв. прогр. Стоки (СВОД)'!J13)</f>
        <v>272.48882499999996</v>
      </c>
      <c r="T9" s="4236">
        <f>SUM('ПОЛНАЯ СЕБЕСТОИМОСТЬ СТОКИ 2017'!I8)</f>
        <v>266.5</v>
      </c>
      <c r="U9" s="4172">
        <f>SUM(U10:U12)</f>
        <v>252.23000000000002</v>
      </c>
      <c r="V9" s="4290">
        <f>SUM('Произв. прогр. Стоки (СВОД)'!K13)</f>
        <v>262.85564999999997</v>
      </c>
      <c r="W9" s="4236">
        <f>SUM('ПОЛНАЯ СЕБЕСТОИМОСТЬ СТОКИ 2017'!J8)</f>
        <v>259.78999999999996</v>
      </c>
      <c r="X9" s="4172">
        <f>SUM(X10:X12)</f>
        <v>253.79000000000002</v>
      </c>
      <c r="Y9" s="4223">
        <f t="shared" si="1"/>
        <v>813.07892499999991</v>
      </c>
      <c r="Z9" s="4223">
        <f t="shared" si="1"/>
        <v>811.31999999999994</v>
      </c>
      <c r="AA9" s="4223">
        <f t="shared" si="1"/>
        <v>768.71</v>
      </c>
      <c r="AB9" s="4154">
        <f t="shared" ref="AB9:AB12" si="9">SUM(Z9-Y9)</f>
        <v>-1.7589249999999765</v>
      </c>
      <c r="AC9" s="4154">
        <f t="shared" ref="AC9:AC12" si="10">SUM(AB9/Y9*100)</f>
        <v>-0.21632893756285426</v>
      </c>
      <c r="AD9" s="4223">
        <f t="shared" si="2"/>
        <v>1655.190975</v>
      </c>
      <c r="AE9" s="4223">
        <f t="shared" si="2"/>
        <v>1601.85</v>
      </c>
      <c r="AF9" s="4223">
        <f t="shared" si="2"/>
        <v>1577.71</v>
      </c>
      <c r="AG9" s="4154">
        <f t="shared" ref="AG9:AG12" si="11">SUM(AE9-AD9)</f>
        <v>-53.340975000000071</v>
      </c>
      <c r="AH9" s="4154">
        <f t="shared" ref="AH9:AH12" si="12">SUM(AG9/AD9*100)</f>
        <v>-3.2226477672765261</v>
      </c>
      <c r="AI9" s="4290">
        <f>SUM('Произв. прогр. Стоки (СВОД)'!N13)</f>
        <v>255.37707499999999</v>
      </c>
      <c r="AJ9" s="4236">
        <f>SUM('ПОЛНАЯ СЕБЕСТОИМОСТЬ СТОКИ 2017'!P8)</f>
        <v>232.16</v>
      </c>
      <c r="AK9" s="4172">
        <f>SUM(AK10:AK12)</f>
        <v>223.93</v>
      </c>
      <c r="AL9" s="4290">
        <f>SUM('Произв. прогр. Стоки (СВОД)'!O13)</f>
        <v>264.26979999999998</v>
      </c>
      <c r="AM9" s="4236">
        <f>SUM('ПОЛНАЯ СЕБЕСТОИМОСТЬ СТОКИ 2017'!Q8)</f>
        <v>244.42</v>
      </c>
      <c r="AN9" s="4172">
        <f>SUM(AN10:AN12)</f>
        <v>245.09</v>
      </c>
      <c r="AO9" s="4290">
        <f>SUM('Произв. прогр. Стоки (СВОД)'!P13)</f>
        <v>275.95735000000002</v>
      </c>
      <c r="AP9" s="4236">
        <f>SUM('ПОЛНАЯ СЕБЕСТОИМОСТЬ СТОКИ 2017'!R8)</f>
        <v>260.64999999999998</v>
      </c>
      <c r="AQ9" s="4172">
        <f>SUM(AQ10:AQ12)</f>
        <v>258.13</v>
      </c>
      <c r="AR9" s="4223">
        <f t="shared" si="3"/>
        <v>795.60422499999993</v>
      </c>
      <c r="AS9" s="4223">
        <f t="shared" si="3"/>
        <v>737.23</v>
      </c>
      <c r="AT9" s="4223">
        <f t="shared" si="3"/>
        <v>727.15</v>
      </c>
      <c r="AU9" s="4154">
        <f t="shared" ref="AU9:AU12" si="13">SUM(AS9-AR9)</f>
        <v>-58.37422499999991</v>
      </c>
      <c r="AV9" s="4154">
        <f t="shared" ref="AV9:AV12" si="14">SUM(AU9/AR9*100)</f>
        <v>-7.3370933896184267</v>
      </c>
      <c r="AW9" s="4223">
        <f t="shared" si="4"/>
        <v>2450.7952</v>
      </c>
      <c r="AX9" s="4223">
        <f t="shared" si="4"/>
        <v>2339.08</v>
      </c>
      <c r="AY9" s="4223">
        <f t="shared" si="4"/>
        <v>2304.86</v>
      </c>
      <c r="AZ9" s="4154">
        <f t="shared" ref="AZ9:AZ12" si="15">SUM(AX9-AW9)</f>
        <v>-111.7152000000001</v>
      </c>
      <c r="BA9" s="4154">
        <f t="shared" ref="BA9:BA12" si="16">SUM(AZ9/AW9*100)</f>
        <v>-4.5583245797119272</v>
      </c>
      <c r="BB9" s="4290">
        <f>SUM('Произв. прогр. Стоки (СВОД)'!S13)</f>
        <v>281.65160000000003</v>
      </c>
      <c r="BC9" s="4236">
        <f>SUM('ПОЛНАЯ СЕБЕСТОИМОСТЬ СТОКИ 2017'!X8)</f>
        <v>0</v>
      </c>
      <c r="BD9" s="4172">
        <f>SUM(BD10:BD12)</f>
        <v>247.29000000000002</v>
      </c>
      <c r="BE9" s="4290">
        <f>SUM('Произв. прогр. Стоки (СВОД)'!T13)</f>
        <v>281.65160000000003</v>
      </c>
      <c r="BF9" s="4236">
        <f>SUM('ПОЛНАЯ СЕБЕСТОИМОСТЬ СТОКИ 2017'!Y8)</f>
        <v>0</v>
      </c>
      <c r="BG9" s="4172">
        <f>SUM(BG10:BG12)</f>
        <v>254.73</v>
      </c>
      <c r="BH9" s="4290">
        <f>SUM('Произв. прогр. Стоки (СВОД)'!U13)</f>
        <v>281.65160000000003</v>
      </c>
      <c r="BI9" s="4236">
        <f>SUM('ПОЛНАЯ СЕБЕСТОИМОСТЬ СТОКИ 2017'!Z8)</f>
        <v>0</v>
      </c>
      <c r="BJ9" s="4172">
        <f>SUM(BJ10:BJ12)</f>
        <v>254.61</v>
      </c>
      <c r="BK9" s="4223">
        <f t="shared" si="5"/>
        <v>844.95480000000009</v>
      </c>
      <c r="BL9" s="4223">
        <f t="shared" si="5"/>
        <v>0</v>
      </c>
      <c r="BM9" s="4223">
        <f t="shared" si="5"/>
        <v>756.63</v>
      </c>
      <c r="BN9" s="4154">
        <f t="shared" ref="BN9:BN12" si="17">SUM(BL9-BK9)</f>
        <v>-844.95480000000009</v>
      </c>
      <c r="BO9" s="4154">
        <f t="shared" ref="BO9:BO12" si="18">SUM(BN9/BK9*100)</f>
        <v>-100</v>
      </c>
      <c r="BP9" s="4223">
        <f t="shared" si="6"/>
        <v>3295.75</v>
      </c>
      <c r="BQ9" s="4223">
        <f t="shared" si="6"/>
        <v>2339.08</v>
      </c>
      <c r="BR9" s="4223">
        <f t="shared" si="6"/>
        <v>3061.4900000000002</v>
      </c>
      <c r="BS9" s="4154">
        <f t="shared" ref="BS9:BS12" si="19">SUM(BQ9-BP9)</f>
        <v>-956.67000000000007</v>
      </c>
      <c r="BT9" s="4154">
        <f t="shared" ref="BT9:BT12" si="20">SUM(BS9/BP9*100)</f>
        <v>-29.027383751801565</v>
      </c>
    </row>
    <row r="10" spans="1:72" ht="18.75" customHeight="1">
      <c r="A10" s="4143" t="s">
        <v>264</v>
      </c>
      <c r="B10" s="4291">
        <f>SUM('Произв. прогр. Стоки (СВОД)'!E14)</f>
        <v>197.79999999999998</v>
      </c>
      <c r="C10" s="4233">
        <f>SUM('ПОЛНАЯ СЕБЕСТОИМОСТЬ СТОКИ 2017'!C9)</f>
        <v>194.83</v>
      </c>
      <c r="D10" s="4289">
        <v>205.15</v>
      </c>
      <c r="E10" s="4291">
        <f>SUM('Произв. прогр. Стоки (СВОД)'!F14)</f>
        <v>195.5</v>
      </c>
      <c r="F10" s="4234">
        <f>SUM('ПОЛНАЯ СЕБЕСТОИМОСТЬ СТОКИ 2017'!D9)</f>
        <v>199.7</v>
      </c>
      <c r="G10" s="4206">
        <v>195.49</v>
      </c>
      <c r="H10" s="4291">
        <f>SUM('Произв. прогр. Стоки (СВОД)'!G14)</f>
        <v>196.42</v>
      </c>
      <c r="I10" s="4234">
        <f>SUM('ПОЛНАЯ СЕБЕСТОИМОСТЬ СТОКИ 2017'!E9)</f>
        <v>197.02</v>
      </c>
      <c r="J10" s="4206">
        <v>193.84</v>
      </c>
      <c r="K10" s="4222">
        <f t="shared" si="0"/>
        <v>589.71999999999991</v>
      </c>
      <c r="L10" s="4222">
        <f t="shared" si="0"/>
        <v>591.54999999999995</v>
      </c>
      <c r="M10" s="4222">
        <f t="shared" si="0"/>
        <v>594.48</v>
      </c>
      <c r="N10" s="4142">
        <f t="shared" si="7"/>
        <v>1.8300000000000409</v>
      </c>
      <c r="O10" s="4142">
        <f t="shared" si="8"/>
        <v>0.3103167604965138</v>
      </c>
      <c r="P10" s="4291">
        <f>SUM('Произв. прогр. Стоки (СВОД)'!I14)</f>
        <v>193.89</v>
      </c>
      <c r="Q10" s="4234">
        <f>SUM('ПОЛНАЯ СЕБЕСТОИМОСТЬ СТОКИ 2017'!H9)</f>
        <v>219.04</v>
      </c>
      <c r="R10" s="4206">
        <v>189.49</v>
      </c>
      <c r="S10" s="4291">
        <f>SUM('Произв. прогр. Стоки (СВОД)'!J14)</f>
        <v>188.59999999999997</v>
      </c>
      <c r="T10" s="4234">
        <f>SUM('ПОЛНАЯ СЕБЕСТОИМОСТЬ СТОКИ 2017'!I9)</f>
        <v>201.74</v>
      </c>
      <c r="U10" s="4206">
        <v>183.72</v>
      </c>
      <c r="V10" s="4291">
        <f>SUM('Произв. прогр. Стоки (СВОД)'!K14)</f>
        <v>181.47</v>
      </c>
      <c r="W10" s="4234">
        <f>SUM('ПОЛНАЯ СЕБЕСТОИМОСТЬ СТОКИ 2017'!J9)</f>
        <v>191.13</v>
      </c>
      <c r="X10" s="4206">
        <v>181.27</v>
      </c>
      <c r="Y10" s="4222">
        <f t="shared" si="1"/>
        <v>563.95999999999992</v>
      </c>
      <c r="Z10" s="4222">
        <f t="shared" si="1"/>
        <v>611.91</v>
      </c>
      <c r="AA10" s="4222">
        <f t="shared" si="1"/>
        <v>554.48</v>
      </c>
      <c r="AB10" s="4142">
        <f t="shared" si="9"/>
        <v>47.950000000000045</v>
      </c>
      <c r="AC10" s="4142">
        <f t="shared" si="10"/>
        <v>8.5023760550393739</v>
      </c>
      <c r="AD10" s="4222">
        <f t="shared" si="2"/>
        <v>1153.6799999999998</v>
      </c>
      <c r="AE10" s="4222">
        <f t="shared" si="2"/>
        <v>1203.46</v>
      </c>
      <c r="AF10" s="4222">
        <f t="shared" si="2"/>
        <v>1148.96</v>
      </c>
      <c r="AG10" s="4142">
        <f t="shared" si="11"/>
        <v>49.7800000000002</v>
      </c>
      <c r="AH10" s="4142">
        <f t="shared" si="12"/>
        <v>4.3148880105402023</v>
      </c>
      <c r="AI10" s="4291">
        <f>SUM('Произв. прогр. Стоки (СВОД)'!N14)</f>
        <v>179.17</v>
      </c>
      <c r="AJ10" s="4234">
        <f>SUM('ПОЛНАЯ СЕБЕСТОИМОСТЬ СТОКИ 2017'!P9)</f>
        <v>176.35</v>
      </c>
      <c r="AK10" s="4206">
        <v>166.4</v>
      </c>
      <c r="AL10" s="4291">
        <f>SUM('Произв. прогр. Стоки (СВОД)'!O14)</f>
        <v>186.52999999999997</v>
      </c>
      <c r="AM10" s="4234">
        <f>SUM('ПОЛНАЯ СЕБЕСТОИМОСТЬ СТОКИ 2017'!Q9)</f>
        <v>187.29</v>
      </c>
      <c r="AN10" s="4206">
        <v>184.84</v>
      </c>
      <c r="AO10" s="4291">
        <f>SUM('Произв. прогр. Стоки (СВОД)'!P14)</f>
        <v>191.35999999999999</v>
      </c>
      <c r="AP10" s="4234">
        <f>SUM('ПОЛНАЯ СЕБЕСТОИМОСТЬ СТОКИ 2017'!R9)</f>
        <v>190.12</v>
      </c>
      <c r="AQ10" s="4206">
        <v>186.15</v>
      </c>
      <c r="AR10" s="4222">
        <f t="shared" si="3"/>
        <v>557.05999999999995</v>
      </c>
      <c r="AS10" s="4222">
        <f t="shared" si="3"/>
        <v>553.76</v>
      </c>
      <c r="AT10" s="4222">
        <f t="shared" si="3"/>
        <v>537.39</v>
      </c>
      <c r="AU10" s="4142">
        <f t="shared" si="13"/>
        <v>-3.2999999999999545</v>
      </c>
      <c r="AV10" s="4142">
        <f t="shared" si="14"/>
        <v>-0.5923957921947286</v>
      </c>
      <c r="AW10" s="4222">
        <f t="shared" ref="AW10:AY12" si="21">SUM(AD10+AR10)</f>
        <v>1710.7399999999998</v>
      </c>
      <c r="AX10" s="4222">
        <f t="shared" si="21"/>
        <v>1757.22</v>
      </c>
      <c r="AY10" s="4222">
        <f t="shared" si="21"/>
        <v>1686.35</v>
      </c>
      <c r="AZ10" s="4142">
        <f t="shared" si="15"/>
        <v>46.480000000000246</v>
      </c>
      <c r="BA10" s="4142">
        <f t="shared" si="16"/>
        <v>2.716952897576502</v>
      </c>
      <c r="BB10" s="4291">
        <f>SUM('Произв. прогр. Стоки (СВОД)'!S14)</f>
        <v>196.42</v>
      </c>
      <c r="BC10" s="4234">
        <f>SUM('ПОЛНАЯ СЕБЕСТОИМОСТЬ СТОКИ 2017'!X9)</f>
        <v>0</v>
      </c>
      <c r="BD10" s="4206">
        <v>184.72</v>
      </c>
      <c r="BE10" s="4291">
        <f>SUM('Произв. прогр. Стоки (СВОД)'!T14)</f>
        <v>196.42</v>
      </c>
      <c r="BF10" s="4234">
        <f>SUM('ПОЛНАЯ СЕБЕСТОИМОСТЬ СТОКИ 2017'!Y9)</f>
        <v>0</v>
      </c>
      <c r="BG10" s="4206">
        <v>188.89</v>
      </c>
      <c r="BH10" s="4291">
        <f>SUM('Произв. прогр. Стоки (СВОД)'!U14)</f>
        <v>196.42</v>
      </c>
      <c r="BI10" s="4234">
        <f>SUM('ПОЛНАЯ СЕБЕСТОИМОСТЬ СТОКИ 2017'!Z9)</f>
        <v>0</v>
      </c>
      <c r="BJ10" s="4206">
        <v>179.93</v>
      </c>
      <c r="BK10" s="4222">
        <f t="shared" si="5"/>
        <v>589.26</v>
      </c>
      <c r="BL10" s="4222">
        <f t="shared" si="5"/>
        <v>0</v>
      </c>
      <c r="BM10" s="4222">
        <f t="shared" si="5"/>
        <v>553.54</v>
      </c>
      <c r="BN10" s="4142">
        <f t="shared" si="17"/>
        <v>-589.26</v>
      </c>
      <c r="BO10" s="4142">
        <f t="shared" si="18"/>
        <v>-100</v>
      </c>
      <c r="BP10" s="4222">
        <f t="shared" ref="BP10:BR12" si="22">SUM(AW10+BK10)</f>
        <v>2300</v>
      </c>
      <c r="BQ10" s="4222">
        <f t="shared" si="22"/>
        <v>1757.22</v>
      </c>
      <c r="BR10" s="4222">
        <f t="shared" si="22"/>
        <v>2239.89</v>
      </c>
      <c r="BS10" s="4142">
        <f t="shared" si="19"/>
        <v>-542.78</v>
      </c>
      <c r="BT10" s="4142">
        <f t="shared" si="20"/>
        <v>-23.599130434782609</v>
      </c>
    </row>
    <row r="11" spans="1:72" ht="18.75" customHeight="1">
      <c r="A11" s="4143" t="s">
        <v>1773</v>
      </c>
      <c r="B11" s="4291">
        <f>SUM('Произв. прогр. Стоки (СВОД)'!E15)</f>
        <v>1.9779999999999998</v>
      </c>
      <c r="C11" s="4233">
        <f>SUM('ПОЛНАЯ СЕБЕСТОИМОСТЬ СТОКИ 2017'!C10)</f>
        <v>0.31</v>
      </c>
      <c r="D11" s="4289">
        <v>0.25</v>
      </c>
      <c r="E11" s="4291">
        <f>SUM('Произв. прогр. Стоки (СВОД)'!F15)</f>
        <v>1.9550000000000001</v>
      </c>
      <c r="F11" s="4234">
        <f>SUM('ПОЛНАЯ СЕБЕСТОИМОСТЬ СТОКИ 2017'!D10)</f>
        <v>0.32</v>
      </c>
      <c r="G11" s="4206">
        <v>0.75</v>
      </c>
      <c r="H11" s="4291">
        <f>SUM('Произв. прогр. Стоки (СВОД)'!G15)</f>
        <v>1.9641999999999997</v>
      </c>
      <c r="I11" s="4234">
        <f>SUM('ПОЛНАЯ СЕБЕСТОИМОСТЬ СТОКИ 2017'!E10)</f>
        <v>3.77</v>
      </c>
      <c r="J11" s="4206">
        <v>3.77</v>
      </c>
      <c r="K11" s="4222">
        <f t="shared" si="0"/>
        <v>5.8971999999999998</v>
      </c>
      <c r="L11" s="4222">
        <f t="shared" si="0"/>
        <v>4.4000000000000004</v>
      </c>
      <c r="M11" s="4222">
        <f t="shared" si="0"/>
        <v>4.7699999999999996</v>
      </c>
      <c r="N11" s="4142">
        <f t="shared" si="7"/>
        <v>-1.4971999999999994</v>
      </c>
      <c r="O11" s="4142">
        <f t="shared" si="8"/>
        <v>-25.388319880621303</v>
      </c>
      <c r="P11" s="4291">
        <f>SUM('Произв. прогр. Стоки (СВОД)'!I15)</f>
        <v>1.9389000000000001</v>
      </c>
      <c r="Q11" s="4234">
        <f>SUM('ПОЛНАЯ СЕБЕСТОИМОСТЬ СТОКИ 2017'!H10)</f>
        <v>0.43</v>
      </c>
      <c r="R11" s="4206">
        <v>0.53</v>
      </c>
      <c r="S11" s="4291">
        <f>SUM('Произв. прогр. Стоки (СВОД)'!J15)</f>
        <v>1.8859999999999997</v>
      </c>
      <c r="T11" s="4234">
        <f>SUM('ПОЛНАЯ СЕБЕСТОИМОСТЬ СТОКИ 2017'!I10)</f>
        <v>0.39</v>
      </c>
      <c r="U11" s="4206">
        <v>0.75</v>
      </c>
      <c r="V11" s="4291">
        <f>SUM('Произв. прогр. Стоки (СВОД)'!K15)</f>
        <v>1.8147</v>
      </c>
      <c r="W11" s="4234">
        <f>SUM('ПОЛНАЯ СЕБЕСТОИМОСТЬ СТОКИ 2017'!J10)</f>
        <v>4.07</v>
      </c>
      <c r="X11" s="4206">
        <v>4.18</v>
      </c>
      <c r="Y11" s="4222">
        <f t="shared" si="1"/>
        <v>5.6395999999999997</v>
      </c>
      <c r="Z11" s="4222">
        <f t="shared" si="1"/>
        <v>4.8900000000000006</v>
      </c>
      <c r="AA11" s="4222">
        <f t="shared" si="1"/>
        <v>5.46</v>
      </c>
      <c r="AB11" s="4142">
        <f t="shared" si="9"/>
        <v>-0.74959999999999916</v>
      </c>
      <c r="AC11" s="4142">
        <f t="shared" si="10"/>
        <v>-13.291722817221066</v>
      </c>
      <c r="AD11" s="4222">
        <f t="shared" si="2"/>
        <v>11.536799999999999</v>
      </c>
      <c r="AE11" s="4222">
        <f t="shared" si="2"/>
        <v>9.2900000000000009</v>
      </c>
      <c r="AF11" s="4222">
        <f t="shared" si="2"/>
        <v>10.23</v>
      </c>
      <c r="AG11" s="4142">
        <f t="shared" si="11"/>
        <v>-2.2467999999999986</v>
      </c>
      <c r="AH11" s="4142">
        <f t="shared" si="12"/>
        <v>-19.475071076901727</v>
      </c>
      <c r="AI11" s="4291">
        <f>SUM('Произв. прогр. Стоки (СВОД)'!N15)</f>
        <v>1.7916999999999998</v>
      </c>
      <c r="AJ11" s="4234">
        <f>SUM('ПОЛНАЯ СЕБЕСТОИМОСТЬ СТОКИ 2017'!P10)</f>
        <v>0.46</v>
      </c>
      <c r="AK11" s="4206">
        <v>0.45</v>
      </c>
      <c r="AL11" s="4291">
        <f>SUM('Произв. прогр. Стоки (СВОД)'!O15)</f>
        <v>1.8652999999999997</v>
      </c>
      <c r="AM11" s="4234">
        <f>SUM('ПОЛНАЯ СЕБЕСТОИМОСТЬ СТОКИ 2017'!Q10)</f>
        <v>0.48</v>
      </c>
      <c r="AN11" s="4206">
        <v>0.59</v>
      </c>
      <c r="AO11" s="4291">
        <f>SUM('Произв. прогр. Стоки (СВОД)'!P15)</f>
        <v>1.9136</v>
      </c>
      <c r="AP11" s="4234">
        <f>SUM('ПОЛНАЯ СЕБЕСТОИМОСТЬ СТОКИ 2017'!R10)</f>
        <v>4</v>
      </c>
      <c r="AQ11" s="4206">
        <v>4.07</v>
      </c>
      <c r="AR11" s="4222">
        <f t="shared" si="3"/>
        <v>5.5705999999999998</v>
      </c>
      <c r="AS11" s="4222">
        <f t="shared" si="3"/>
        <v>4.9399999999999995</v>
      </c>
      <c r="AT11" s="4222">
        <f t="shared" si="3"/>
        <v>5.1100000000000003</v>
      </c>
      <c r="AU11" s="4142">
        <f t="shared" si="13"/>
        <v>-0.63060000000000027</v>
      </c>
      <c r="AV11" s="4142">
        <f t="shared" si="14"/>
        <v>-11.320145047212154</v>
      </c>
      <c r="AW11" s="4222">
        <f t="shared" si="21"/>
        <v>17.107399999999998</v>
      </c>
      <c r="AX11" s="4222">
        <f t="shared" si="21"/>
        <v>14.23</v>
      </c>
      <c r="AY11" s="4222">
        <f t="shared" si="21"/>
        <v>15.34</v>
      </c>
      <c r="AZ11" s="4142">
        <f t="shared" si="15"/>
        <v>-2.877399999999998</v>
      </c>
      <c r="BA11" s="4142">
        <f t="shared" si="16"/>
        <v>-16.819621918000387</v>
      </c>
      <c r="BB11" s="4291">
        <f>SUM('Произв. прогр. Стоки (СВОД)'!S15)</f>
        <v>1.9641999999999997</v>
      </c>
      <c r="BC11" s="4234">
        <f>SUM('ПОЛНАЯ СЕБЕСТОИМОСТЬ СТОКИ 2017'!X10)</f>
        <v>0</v>
      </c>
      <c r="BD11" s="4206">
        <v>0.61</v>
      </c>
      <c r="BE11" s="4291">
        <f>SUM('Произв. прогр. Стоки (СВОД)'!T15)</f>
        <v>1.9641999999999997</v>
      </c>
      <c r="BF11" s="4234">
        <f>SUM('ПОЛНАЯ СЕБЕСТОИМОСТЬ СТОКИ 2017'!Y10)</f>
        <v>0</v>
      </c>
      <c r="BG11" s="4206">
        <v>0.81</v>
      </c>
      <c r="BH11" s="4291">
        <f>SUM('Произв. прогр. Стоки (СВОД)'!U15)</f>
        <v>1.9641999999999997</v>
      </c>
      <c r="BI11" s="4234">
        <f>SUM('ПОЛНАЯ СЕБЕСТОИМОСТЬ СТОКИ 2017'!Z10)</f>
        <v>0</v>
      </c>
      <c r="BJ11" s="4206">
        <v>3.89</v>
      </c>
      <c r="BK11" s="4222">
        <f t="shared" si="5"/>
        <v>5.8925999999999989</v>
      </c>
      <c r="BL11" s="4222">
        <f t="shared" si="5"/>
        <v>0</v>
      </c>
      <c r="BM11" s="4222">
        <f t="shared" si="5"/>
        <v>5.3100000000000005</v>
      </c>
      <c r="BN11" s="4142">
        <f t="shared" si="17"/>
        <v>-5.8925999999999989</v>
      </c>
      <c r="BO11" s="4142">
        <f t="shared" si="18"/>
        <v>-100</v>
      </c>
      <c r="BP11" s="4222">
        <f t="shared" si="22"/>
        <v>22.999999999999996</v>
      </c>
      <c r="BQ11" s="4222">
        <f t="shared" si="22"/>
        <v>14.23</v>
      </c>
      <c r="BR11" s="4222">
        <f t="shared" si="22"/>
        <v>20.65</v>
      </c>
      <c r="BS11" s="4142">
        <f t="shared" si="19"/>
        <v>-8.769999999999996</v>
      </c>
      <c r="BT11" s="4142">
        <f t="shared" si="20"/>
        <v>-38.130434782608688</v>
      </c>
    </row>
    <row r="12" spans="1:72" ht="18.75" customHeight="1">
      <c r="A12" s="4143" t="s">
        <v>1774</v>
      </c>
      <c r="B12" s="4291">
        <f>SUM('Произв. прогр. Стоки (СВОД)'!E16)</f>
        <v>80.057324999999992</v>
      </c>
      <c r="C12" s="4233">
        <f>SUM('ПОЛНАЯ СЕБЕСТОИМОСТЬ СТОКИ 2017'!C11)</f>
        <v>61.88</v>
      </c>
      <c r="D12" s="4289">
        <v>66.55</v>
      </c>
      <c r="E12" s="4291">
        <f>SUM('Произв. прогр. Стоки (СВОД)'!F16)</f>
        <v>83.170125000000013</v>
      </c>
      <c r="F12" s="4234">
        <f>SUM('ПОЛНАЯ СЕБЕСТОИМОСТЬ СТОКИ 2017'!D11)</f>
        <v>71.66</v>
      </c>
      <c r="G12" s="4206">
        <v>72.39</v>
      </c>
      <c r="H12" s="4291">
        <f>SUM('Произв. прогр. Стоки (СВОД)'!G16)</f>
        <v>83.267400000000009</v>
      </c>
      <c r="I12" s="4234">
        <f>SUM('ПОЛНАЯ СЕБЕСТОИМОСТЬ СТОКИ 2017'!E11)</f>
        <v>61.04</v>
      </c>
      <c r="J12" s="4206">
        <v>70.81</v>
      </c>
      <c r="K12" s="4222">
        <f t="shared" si="0"/>
        <v>246.49485000000001</v>
      </c>
      <c r="L12" s="4222">
        <f t="shared" si="0"/>
        <v>194.57999999999998</v>
      </c>
      <c r="M12" s="4222">
        <f t="shared" si="0"/>
        <v>209.75</v>
      </c>
      <c r="N12" s="4142">
        <f t="shared" si="7"/>
        <v>-51.91485000000003</v>
      </c>
      <c r="O12" s="4142">
        <f t="shared" si="8"/>
        <v>-21.061231096714607</v>
      </c>
      <c r="P12" s="4291">
        <f>SUM('Произв. прогр. Стоки (СВОД)'!I16)</f>
        <v>81.905549999999991</v>
      </c>
      <c r="Q12" s="4234">
        <f>SUM('ПОЛНАЯ СЕБЕСТОИМОСТЬ СТОКИ 2017'!H11)</f>
        <v>65.56</v>
      </c>
      <c r="R12" s="4206">
        <v>72.67</v>
      </c>
      <c r="S12" s="4291">
        <f>SUM('Произв. прогр. Стоки (СВОД)'!J16)</f>
        <v>82.002825000000001</v>
      </c>
      <c r="T12" s="4234">
        <f>SUM('ПОЛНАЯ СЕБЕСТОИМОСТЬ СТОКИ 2017'!I11)</f>
        <v>64.37</v>
      </c>
      <c r="U12" s="4206">
        <v>67.760000000000005</v>
      </c>
      <c r="V12" s="4291">
        <f>SUM('Произв. прогр. Стоки (СВОД)'!K16)</f>
        <v>79.570949999999996</v>
      </c>
      <c r="W12" s="4234">
        <f>SUM('ПОЛНАЯ СЕБЕСТОИМОСТЬ СТОКИ 2017'!J11)</f>
        <v>64.59</v>
      </c>
      <c r="X12" s="4206">
        <v>68.34</v>
      </c>
      <c r="Y12" s="4222">
        <f t="shared" si="1"/>
        <v>243.47932499999996</v>
      </c>
      <c r="Z12" s="4222">
        <f t="shared" si="1"/>
        <v>194.52</v>
      </c>
      <c r="AA12" s="4222">
        <f t="shared" si="1"/>
        <v>208.77</v>
      </c>
      <c r="AB12" s="4142">
        <f t="shared" si="9"/>
        <v>-48.95932499999995</v>
      </c>
      <c r="AC12" s="4142">
        <f t="shared" si="10"/>
        <v>-20.108206312794714</v>
      </c>
      <c r="AD12" s="4222">
        <f t="shared" si="2"/>
        <v>489.97417499999995</v>
      </c>
      <c r="AE12" s="4222">
        <f t="shared" si="2"/>
        <v>389.1</v>
      </c>
      <c r="AF12" s="4222">
        <f t="shared" si="2"/>
        <v>418.52</v>
      </c>
      <c r="AG12" s="4142">
        <f t="shared" si="11"/>
        <v>-100.87417499999992</v>
      </c>
      <c r="AH12" s="4142">
        <f t="shared" si="12"/>
        <v>-20.587651379789541</v>
      </c>
      <c r="AI12" s="4291">
        <f>SUM('Произв. прогр. Стоки (СВОД)'!N16)</f>
        <v>74.415374999999997</v>
      </c>
      <c r="AJ12" s="4234">
        <f>SUM('ПОЛНАЯ СЕБЕСТОИМОСТЬ СТОКИ 2017'!P11)</f>
        <v>55.35</v>
      </c>
      <c r="AK12" s="4206">
        <v>57.08</v>
      </c>
      <c r="AL12" s="4291">
        <f>SUM('Произв. прогр. Стоки (СВОД)'!O16)</f>
        <v>75.874499999999998</v>
      </c>
      <c r="AM12" s="4234">
        <f>SUM('ПОЛНАЯ СЕБЕСТОИМОСТЬ СТОКИ 2017'!Q11)</f>
        <v>56.65</v>
      </c>
      <c r="AN12" s="4206">
        <v>59.66</v>
      </c>
      <c r="AO12" s="4291">
        <f>SUM('Произв. прогр. Стоки (СВОД)'!P16)</f>
        <v>82.683750000000003</v>
      </c>
      <c r="AP12" s="4234">
        <f>SUM('ПОЛНАЯ СЕБЕСТОИМОСТЬ СТОКИ 2017'!R11)</f>
        <v>66.53</v>
      </c>
      <c r="AQ12" s="4206">
        <v>67.91</v>
      </c>
      <c r="AR12" s="4222">
        <f t="shared" si="3"/>
        <v>232.973625</v>
      </c>
      <c r="AS12" s="4222">
        <f t="shared" si="3"/>
        <v>178.53</v>
      </c>
      <c r="AT12" s="4222">
        <f t="shared" si="3"/>
        <v>184.64999999999998</v>
      </c>
      <c r="AU12" s="4142">
        <f t="shared" si="13"/>
        <v>-54.443624999999997</v>
      </c>
      <c r="AV12" s="4142">
        <f t="shared" si="14"/>
        <v>-23.369007972468985</v>
      </c>
      <c r="AW12" s="4222">
        <f t="shared" si="21"/>
        <v>722.94779999999992</v>
      </c>
      <c r="AX12" s="4222">
        <f t="shared" si="21"/>
        <v>567.63</v>
      </c>
      <c r="AY12" s="4222">
        <f t="shared" si="21"/>
        <v>603.16999999999996</v>
      </c>
      <c r="AZ12" s="4142">
        <f t="shared" si="15"/>
        <v>-155.31779999999992</v>
      </c>
      <c r="BA12" s="4142">
        <f t="shared" si="16"/>
        <v>-21.483957762925613</v>
      </c>
      <c r="BB12" s="4291">
        <f>SUM('Произв. прогр. Стоки (СВОД)'!S16)</f>
        <v>83.267400000000009</v>
      </c>
      <c r="BC12" s="4234">
        <f>SUM('ПОЛНАЯ СЕБЕСТОИМОСТЬ СТОКИ 2017'!X11)</f>
        <v>0</v>
      </c>
      <c r="BD12" s="4206">
        <v>61.96</v>
      </c>
      <c r="BE12" s="4291">
        <f>SUM('Произв. прогр. Стоки (СВОД)'!T16)</f>
        <v>83.267400000000009</v>
      </c>
      <c r="BF12" s="4234">
        <f>SUM('ПОЛНАЯ СЕБЕСТОИМОСТЬ СТОКИ 2017'!Y11)</f>
        <v>0</v>
      </c>
      <c r="BG12" s="4206">
        <v>65.03</v>
      </c>
      <c r="BH12" s="4291">
        <f>SUM('Произв. прогр. Стоки (СВОД)'!U16)</f>
        <v>83.267400000000009</v>
      </c>
      <c r="BI12" s="4234">
        <f>SUM('ПОЛНАЯ СЕБЕСТОИМОСТЬ СТОКИ 2017'!Z11)</f>
        <v>0</v>
      </c>
      <c r="BJ12" s="4206">
        <v>70.790000000000006</v>
      </c>
      <c r="BK12" s="4222">
        <f t="shared" si="5"/>
        <v>249.80220000000003</v>
      </c>
      <c r="BL12" s="4222">
        <f t="shared" si="5"/>
        <v>0</v>
      </c>
      <c r="BM12" s="4222">
        <f t="shared" si="5"/>
        <v>197.78000000000003</v>
      </c>
      <c r="BN12" s="4142">
        <f t="shared" si="17"/>
        <v>-249.80220000000003</v>
      </c>
      <c r="BO12" s="4142">
        <f t="shared" si="18"/>
        <v>-100</v>
      </c>
      <c r="BP12" s="4222">
        <f t="shared" si="22"/>
        <v>972.75</v>
      </c>
      <c r="BQ12" s="4222">
        <f t="shared" si="22"/>
        <v>567.63</v>
      </c>
      <c r="BR12" s="4222">
        <f t="shared" si="22"/>
        <v>800.95</v>
      </c>
      <c r="BS12" s="4142">
        <f t="shared" si="19"/>
        <v>-405.12</v>
      </c>
      <c r="BT12" s="4142">
        <f t="shared" si="20"/>
        <v>-41.646877409406322</v>
      </c>
    </row>
    <row r="13" spans="1:72" ht="18.75" customHeight="1">
      <c r="A13" s="4238" t="s">
        <v>1908</v>
      </c>
      <c r="B13" s="4239"/>
      <c r="C13" s="4239"/>
      <c r="D13" s="4239"/>
      <c r="E13" s="4240"/>
      <c r="F13" s="4240"/>
      <c r="G13" s="4240"/>
      <c r="H13" s="4240"/>
      <c r="I13" s="4240"/>
      <c r="J13" s="4240"/>
      <c r="K13" s="4240"/>
      <c r="L13" s="4240"/>
      <c r="M13" s="4240"/>
      <c r="N13" s="4240"/>
      <c r="O13" s="4240"/>
      <c r="P13" s="4240"/>
      <c r="Q13" s="4240"/>
      <c r="R13" s="4240"/>
      <c r="S13" s="4240"/>
      <c r="T13" s="4240"/>
      <c r="U13" s="4240"/>
      <c r="V13" s="4240"/>
      <c r="W13" s="4240"/>
      <c r="X13" s="4240"/>
      <c r="Y13" s="4240"/>
      <c r="Z13" s="4240"/>
      <c r="AA13" s="4240"/>
      <c r="AB13" s="4240"/>
      <c r="AC13" s="4240"/>
      <c r="AD13" s="4240"/>
      <c r="AE13" s="4240"/>
      <c r="AF13" s="4240"/>
      <c r="AG13" s="4240"/>
      <c r="AH13" s="4240"/>
      <c r="AI13" s="4240"/>
      <c r="AJ13" s="4240"/>
      <c r="AK13" s="4240"/>
      <c r="AL13" s="4240"/>
      <c r="AM13" s="4240"/>
      <c r="AN13" s="4240"/>
      <c r="AO13" s="4240"/>
      <c r="AP13" s="4240"/>
      <c r="AQ13" s="4240"/>
      <c r="AR13" s="4240"/>
      <c r="AS13" s="4240"/>
      <c r="AT13" s="4240"/>
      <c r="AU13" s="4240"/>
      <c r="AV13" s="4240"/>
      <c r="AW13" s="4240"/>
      <c r="AX13" s="4240"/>
      <c r="AY13" s="4240"/>
      <c r="AZ13" s="4240"/>
      <c r="BA13" s="4240"/>
      <c r="BB13" s="4240"/>
      <c r="BC13" s="4240"/>
      <c r="BD13" s="4240"/>
      <c r="BE13" s="4240"/>
      <c r="BF13" s="4240"/>
      <c r="BG13" s="4240"/>
      <c r="BH13" s="4240"/>
      <c r="BI13" s="4240"/>
      <c r="BJ13" s="4240"/>
      <c r="BK13" s="4241"/>
      <c r="BL13" s="4241"/>
      <c r="BM13" s="4241"/>
      <c r="BN13" s="4241"/>
      <c r="BO13" s="4241"/>
      <c r="BP13" s="4241"/>
      <c r="BQ13" s="4241"/>
      <c r="BR13" s="4241"/>
      <c r="BS13" s="4241"/>
      <c r="BT13" s="4179"/>
    </row>
    <row r="14" spans="1:72" ht="18.75" customHeight="1">
      <c r="A14" s="4304" t="s">
        <v>546</v>
      </c>
      <c r="B14" s="4305" t="s">
        <v>1894</v>
      </c>
      <c r="C14" s="4306"/>
      <c r="D14" s="4306"/>
      <c r="E14" s="4305" t="s">
        <v>1895</v>
      </c>
      <c r="F14" s="4306"/>
      <c r="G14" s="4306"/>
      <c r="H14" s="4305" t="s">
        <v>1896</v>
      </c>
      <c r="I14" s="4306"/>
      <c r="J14" s="4306"/>
      <c r="K14" s="4307" t="s">
        <v>1869</v>
      </c>
      <c r="L14" s="4308"/>
      <c r="M14" s="4308"/>
      <c r="N14" s="4309"/>
      <c r="O14" s="4310"/>
      <c r="P14" s="4305" t="s">
        <v>1897</v>
      </c>
      <c r="Q14" s="4306"/>
      <c r="R14" s="4306"/>
      <c r="S14" s="4305" t="s">
        <v>1898</v>
      </c>
      <c r="T14" s="4306"/>
      <c r="U14" s="4306"/>
      <c r="V14" s="4305" t="s">
        <v>1899</v>
      </c>
      <c r="W14" s="4306"/>
      <c r="X14" s="4306"/>
      <c r="Y14" s="4307" t="s">
        <v>1870</v>
      </c>
      <c r="Z14" s="4308"/>
      <c r="AA14" s="4308"/>
      <c r="AB14" s="4309"/>
      <c r="AC14" s="4310"/>
      <c r="AD14" s="4318" t="s">
        <v>1871</v>
      </c>
      <c r="AE14" s="4319"/>
      <c r="AF14" s="4319"/>
      <c r="AG14" s="4319"/>
      <c r="AH14" s="4320"/>
      <c r="AI14" s="4305" t="s">
        <v>1377</v>
      </c>
      <c r="AJ14" s="4306"/>
      <c r="AK14" s="4306"/>
      <c r="AL14" s="4305" t="s">
        <v>1900</v>
      </c>
      <c r="AM14" s="4306"/>
      <c r="AN14" s="4306"/>
      <c r="AO14" s="4305" t="s">
        <v>1901</v>
      </c>
      <c r="AP14" s="4306"/>
      <c r="AQ14" s="4306"/>
      <c r="AR14" s="4307" t="s">
        <v>1872</v>
      </c>
      <c r="AS14" s="4308"/>
      <c r="AT14" s="4308"/>
      <c r="AU14" s="4309"/>
      <c r="AV14" s="4310"/>
      <c r="AW14" s="4307" t="s">
        <v>1873</v>
      </c>
      <c r="AX14" s="4308"/>
      <c r="AY14" s="4308"/>
      <c r="AZ14" s="4309"/>
      <c r="BA14" s="4310"/>
      <c r="BB14" s="4305" t="s">
        <v>1902</v>
      </c>
      <c r="BC14" s="4306"/>
      <c r="BD14" s="4306"/>
      <c r="BE14" s="4305" t="s">
        <v>1903</v>
      </c>
      <c r="BF14" s="4306"/>
      <c r="BG14" s="4306"/>
      <c r="BH14" s="4305" t="s">
        <v>1904</v>
      </c>
      <c r="BI14" s="4306"/>
      <c r="BJ14" s="4306"/>
      <c r="BK14" s="4307" t="s">
        <v>1874</v>
      </c>
      <c r="BL14" s="4308"/>
      <c r="BM14" s="4308"/>
      <c r="BN14" s="4309"/>
      <c r="BO14" s="4310"/>
      <c r="BP14" s="4314" t="s">
        <v>887</v>
      </c>
      <c r="BQ14" s="4315"/>
      <c r="BR14" s="4315"/>
      <c r="BS14" s="4316"/>
      <c r="BT14" s="4316"/>
    </row>
    <row r="15" spans="1:72" ht="18.75" customHeight="1">
      <c r="A15" s="4304"/>
      <c r="B15" s="4311" t="s">
        <v>1875</v>
      </c>
      <c r="C15" s="4311" t="s">
        <v>1876</v>
      </c>
      <c r="D15" s="4311" t="s">
        <v>1905</v>
      </c>
      <c r="E15" s="4311" t="s">
        <v>1875</v>
      </c>
      <c r="F15" s="4311" t="s">
        <v>1876</v>
      </c>
      <c r="G15" s="4311" t="s">
        <v>1905</v>
      </c>
      <c r="H15" s="4311" t="s">
        <v>1875</v>
      </c>
      <c r="I15" s="4311" t="s">
        <v>1876</v>
      </c>
      <c r="J15" s="4311" t="s">
        <v>1905</v>
      </c>
      <c r="K15" s="4313" t="s">
        <v>1875</v>
      </c>
      <c r="L15" s="4313" t="s">
        <v>1876</v>
      </c>
      <c r="M15" s="4313" t="s">
        <v>1905</v>
      </c>
      <c r="N15" s="4317" t="s">
        <v>1906</v>
      </c>
      <c r="O15" s="4317"/>
      <c r="P15" s="4311" t="s">
        <v>1875</v>
      </c>
      <c r="Q15" s="4311" t="s">
        <v>1876</v>
      </c>
      <c r="R15" s="4311" t="s">
        <v>1905</v>
      </c>
      <c r="S15" s="4311" t="s">
        <v>1875</v>
      </c>
      <c r="T15" s="4311" t="s">
        <v>1876</v>
      </c>
      <c r="U15" s="4311" t="s">
        <v>1905</v>
      </c>
      <c r="V15" s="4311" t="s">
        <v>1875</v>
      </c>
      <c r="W15" s="4311" t="s">
        <v>1876</v>
      </c>
      <c r="X15" s="4311" t="s">
        <v>1905</v>
      </c>
      <c r="Y15" s="4313" t="s">
        <v>1875</v>
      </c>
      <c r="Z15" s="4313" t="s">
        <v>1876</v>
      </c>
      <c r="AA15" s="4313" t="s">
        <v>1905</v>
      </c>
      <c r="AB15" s="4317" t="s">
        <v>1906</v>
      </c>
      <c r="AC15" s="4317"/>
      <c r="AD15" s="4313" t="s">
        <v>1875</v>
      </c>
      <c r="AE15" s="4313" t="s">
        <v>1876</v>
      </c>
      <c r="AF15" s="4313" t="s">
        <v>1905</v>
      </c>
      <c r="AG15" s="4317" t="s">
        <v>1906</v>
      </c>
      <c r="AH15" s="4317"/>
      <c r="AI15" s="4311" t="s">
        <v>1875</v>
      </c>
      <c r="AJ15" s="4311" t="s">
        <v>1876</v>
      </c>
      <c r="AK15" s="4311" t="s">
        <v>1905</v>
      </c>
      <c r="AL15" s="4311" t="s">
        <v>1875</v>
      </c>
      <c r="AM15" s="4311" t="s">
        <v>1876</v>
      </c>
      <c r="AN15" s="4311" t="s">
        <v>1905</v>
      </c>
      <c r="AO15" s="4311" t="s">
        <v>1875</v>
      </c>
      <c r="AP15" s="4311" t="s">
        <v>1876</v>
      </c>
      <c r="AQ15" s="4311" t="s">
        <v>1905</v>
      </c>
      <c r="AR15" s="4313" t="s">
        <v>1875</v>
      </c>
      <c r="AS15" s="4313" t="s">
        <v>1876</v>
      </c>
      <c r="AT15" s="4313" t="s">
        <v>1905</v>
      </c>
      <c r="AU15" s="4317" t="s">
        <v>1906</v>
      </c>
      <c r="AV15" s="4317"/>
      <c r="AW15" s="4313" t="s">
        <v>1875</v>
      </c>
      <c r="AX15" s="4313" t="s">
        <v>1876</v>
      </c>
      <c r="AY15" s="4313" t="s">
        <v>1905</v>
      </c>
      <c r="AZ15" s="4317" t="s">
        <v>1906</v>
      </c>
      <c r="BA15" s="4317"/>
      <c r="BB15" s="4311" t="s">
        <v>1875</v>
      </c>
      <c r="BC15" s="4311" t="s">
        <v>1876</v>
      </c>
      <c r="BD15" s="4311" t="s">
        <v>1905</v>
      </c>
      <c r="BE15" s="4311" t="s">
        <v>1875</v>
      </c>
      <c r="BF15" s="4311" t="s">
        <v>1876</v>
      </c>
      <c r="BG15" s="4311" t="s">
        <v>1905</v>
      </c>
      <c r="BH15" s="4311" t="s">
        <v>1875</v>
      </c>
      <c r="BI15" s="4311" t="s">
        <v>1876</v>
      </c>
      <c r="BJ15" s="4311" t="s">
        <v>1905</v>
      </c>
      <c r="BK15" s="4313" t="s">
        <v>1875</v>
      </c>
      <c r="BL15" s="4313" t="s">
        <v>1876</v>
      </c>
      <c r="BM15" s="4313" t="s">
        <v>1905</v>
      </c>
      <c r="BN15" s="4317" t="s">
        <v>1906</v>
      </c>
      <c r="BO15" s="4317"/>
      <c r="BP15" s="4321" t="s">
        <v>1875</v>
      </c>
      <c r="BQ15" s="4321" t="s">
        <v>1876</v>
      </c>
      <c r="BR15" s="4321" t="s">
        <v>1905</v>
      </c>
      <c r="BS15" s="4317" t="s">
        <v>1906</v>
      </c>
      <c r="BT15" s="4317"/>
    </row>
    <row r="16" spans="1:72" ht="24.75" customHeight="1">
      <c r="A16" s="4304"/>
      <c r="B16" s="4312"/>
      <c r="C16" s="4312"/>
      <c r="D16" s="4312"/>
      <c r="E16" s="4312"/>
      <c r="F16" s="4312"/>
      <c r="G16" s="4312"/>
      <c r="H16" s="4312"/>
      <c r="I16" s="4312"/>
      <c r="J16" s="4312"/>
      <c r="K16" s="4312"/>
      <c r="L16" s="4312"/>
      <c r="M16" s="4312"/>
      <c r="N16" s="4138" t="s">
        <v>1907</v>
      </c>
      <c r="O16" s="4138" t="s">
        <v>44</v>
      </c>
      <c r="P16" s="4312"/>
      <c r="Q16" s="4312"/>
      <c r="R16" s="4312"/>
      <c r="S16" s="4312"/>
      <c r="T16" s="4312"/>
      <c r="U16" s="4312"/>
      <c r="V16" s="4312"/>
      <c r="W16" s="4312"/>
      <c r="X16" s="4312"/>
      <c r="Y16" s="4312"/>
      <c r="Z16" s="4312"/>
      <c r="AA16" s="4312"/>
      <c r="AB16" s="4138" t="s">
        <v>1907</v>
      </c>
      <c r="AC16" s="4138" t="s">
        <v>44</v>
      </c>
      <c r="AD16" s="4312"/>
      <c r="AE16" s="4312"/>
      <c r="AF16" s="4312"/>
      <c r="AG16" s="4138" t="s">
        <v>1907</v>
      </c>
      <c r="AH16" s="4138" t="s">
        <v>44</v>
      </c>
      <c r="AI16" s="4312"/>
      <c r="AJ16" s="4312"/>
      <c r="AK16" s="4312"/>
      <c r="AL16" s="4312"/>
      <c r="AM16" s="4312"/>
      <c r="AN16" s="4312"/>
      <c r="AO16" s="4312"/>
      <c r="AP16" s="4312"/>
      <c r="AQ16" s="4312"/>
      <c r="AR16" s="4312"/>
      <c r="AS16" s="4312"/>
      <c r="AT16" s="4312"/>
      <c r="AU16" s="4138" t="s">
        <v>1907</v>
      </c>
      <c r="AV16" s="4138" t="s">
        <v>44</v>
      </c>
      <c r="AW16" s="4312"/>
      <c r="AX16" s="4312"/>
      <c r="AY16" s="4312"/>
      <c r="AZ16" s="4138" t="s">
        <v>1907</v>
      </c>
      <c r="BA16" s="4138" t="s">
        <v>44</v>
      </c>
      <c r="BB16" s="4312"/>
      <c r="BC16" s="4312"/>
      <c r="BD16" s="4312"/>
      <c r="BE16" s="4312"/>
      <c r="BF16" s="4312"/>
      <c r="BG16" s="4312"/>
      <c r="BH16" s="4312"/>
      <c r="BI16" s="4312"/>
      <c r="BJ16" s="4312"/>
      <c r="BK16" s="4312"/>
      <c r="BL16" s="4312"/>
      <c r="BM16" s="4312"/>
      <c r="BN16" s="4138" t="s">
        <v>1907</v>
      </c>
      <c r="BO16" s="4138" t="s">
        <v>44</v>
      </c>
      <c r="BP16" s="4312"/>
      <c r="BQ16" s="4312"/>
      <c r="BR16" s="4312"/>
      <c r="BS16" s="4138" t="s">
        <v>1907</v>
      </c>
      <c r="BT16" s="4138" t="s">
        <v>44</v>
      </c>
    </row>
    <row r="17" spans="1:72" ht="18.75" customHeight="1">
      <c r="A17" s="4143" t="s">
        <v>1732</v>
      </c>
      <c r="B17" s="4218">
        <f>SUM('Произв. прогр. Стоки (СВОД)'!E20)</f>
        <v>4450.5</v>
      </c>
      <c r="C17" s="4237">
        <v>4383.74</v>
      </c>
      <c r="D17" s="4237">
        <v>4309.82</v>
      </c>
      <c r="E17" s="4218">
        <f>SUM('Произв. прогр. Стоки (СВОД)'!F20)</f>
        <v>4398.75</v>
      </c>
      <c r="F17" s="4206">
        <v>4493.32</v>
      </c>
      <c r="G17" s="4206">
        <v>4106.8599999999997</v>
      </c>
      <c r="H17" s="4218">
        <f>SUM('Произв. прогр. Стоки (СВОД)'!G20)</f>
        <v>4419.45</v>
      </c>
      <c r="I17" s="4206">
        <v>4432.95</v>
      </c>
      <c r="J17" s="4206">
        <v>4072.24</v>
      </c>
      <c r="K17" s="4222">
        <f t="shared" ref="K17:M22" si="23">SUM(B17+E17+H17)</f>
        <v>13268.7</v>
      </c>
      <c r="L17" s="4222">
        <f t="shared" si="23"/>
        <v>13310.009999999998</v>
      </c>
      <c r="M17" s="4222">
        <f t="shared" si="23"/>
        <v>12488.92</v>
      </c>
      <c r="N17" s="4142">
        <f t="shared" ref="N17:N23" si="24">SUM(L17-K17)</f>
        <v>41.309999999997672</v>
      </c>
      <c r="O17" s="4142">
        <f t="shared" ref="O17:O23" si="25">SUM(N17/K17*100)</f>
        <v>0.31133419249811717</v>
      </c>
      <c r="P17" s="4218">
        <f>SUM('Произв. прогр. Стоки (СВОД)'!I20)</f>
        <v>4362.5249999999996</v>
      </c>
      <c r="Q17" s="4206">
        <v>4928.5600000000004</v>
      </c>
      <c r="R17" s="4206">
        <v>3980.92</v>
      </c>
      <c r="S17" s="4218">
        <f>SUM('Произв. прогр. Стоки (СВОД)'!J20)</f>
        <v>4243.4999999999991</v>
      </c>
      <c r="T17" s="4206">
        <v>4539.1499999999996</v>
      </c>
      <c r="U17" s="4206">
        <v>3859.78</v>
      </c>
      <c r="V17" s="4218">
        <f>SUM('Произв. прогр. Стоки (СВОД)'!K20)</f>
        <v>4083.0749999999998</v>
      </c>
      <c r="W17" s="4206">
        <v>4300.2299999999996</v>
      </c>
      <c r="X17" s="4206">
        <v>3808.27</v>
      </c>
      <c r="Y17" s="4222">
        <f t="shared" ref="Y17:AA22" si="26">SUM(P17+S17+V17)</f>
        <v>12689.099999999999</v>
      </c>
      <c r="Z17" s="4222">
        <f t="shared" si="26"/>
        <v>13767.939999999999</v>
      </c>
      <c r="AA17" s="4222">
        <f t="shared" si="26"/>
        <v>11648.970000000001</v>
      </c>
      <c r="AB17" s="4142">
        <f t="shared" ref="AB17:AB23" si="27">SUM(Z17-Y17)</f>
        <v>1078.8400000000001</v>
      </c>
      <c r="AC17" s="4142">
        <f t="shared" ref="AC17:AC23" si="28">SUM(AB17/Y17*100)</f>
        <v>8.5021002277545321</v>
      </c>
      <c r="AD17" s="4222">
        <f t="shared" ref="AD17:AD22" si="29">SUM(K17+Y17)</f>
        <v>25957.8</v>
      </c>
      <c r="AE17" s="4222">
        <f t="shared" ref="AE17:AF22" si="30">SUM(L17+Z17)</f>
        <v>27077.949999999997</v>
      </c>
      <c r="AF17" s="4222">
        <f t="shared" si="30"/>
        <v>24137.89</v>
      </c>
      <c r="AG17" s="4142">
        <f t="shared" ref="AG17:AG23" si="31">SUM(AE17-AD17)</f>
        <v>1120.1499999999978</v>
      </c>
      <c r="AH17" s="4142">
        <f t="shared" ref="AH17:AH23" si="32">SUM(AG17/AD17*100)</f>
        <v>4.3152732512000167</v>
      </c>
      <c r="AI17" s="4218">
        <f>SUM('Произв. прогр. Стоки (СВОД)'!N20)</f>
        <v>4205.1198999999997</v>
      </c>
      <c r="AJ17" s="4206">
        <v>4138.2299999999996</v>
      </c>
      <c r="AK17" s="4206">
        <v>3743.95</v>
      </c>
      <c r="AL17" s="4218">
        <f>SUM('Произв. прогр. Стоки (СВОД)'!O20)</f>
        <v>4377.8590999999988</v>
      </c>
      <c r="AM17" s="4206">
        <v>4395.13</v>
      </c>
      <c r="AN17" s="4206">
        <v>4158.87</v>
      </c>
      <c r="AO17" s="4218">
        <f>SUM('Произв. прогр. Стоки (СВОД)'!P20)</f>
        <v>4491.2191999999995</v>
      </c>
      <c r="AP17" s="4206">
        <v>4461.24</v>
      </c>
      <c r="AQ17" s="4206">
        <v>4188.28</v>
      </c>
      <c r="AR17" s="4222">
        <f t="shared" ref="AR17:AT22" si="33">SUM(AI17+AL17+AO17)</f>
        <v>13074.198199999999</v>
      </c>
      <c r="AS17" s="4222">
        <f t="shared" si="33"/>
        <v>12994.6</v>
      </c>
      <c r="AT17" s="4222">
        <f t="shared" si="33"/>
        <v>12091.099999999999</v>
      </c>
      <c r="AU17" s="4142">
        <f t="shared" ref="AU17:AU23" si="34">SUM(AS17-AR17)</f>
        <v>-79.598199999998542</v>
      </c>
      <c r="AV17" s="4142">
        <f t="shared" ref="AV17:AV23" si="35">SUM(AU17/AR17*100)</f>
        <v>-0.60881897904835602</v>
      </c>
      <c r="AW17" s="4222">
        <f t="shared" ref="AW17:AW22" si="36">SUM(AD17+AR17)</f>
        <v>39031.998200000002</v>
      </c>
      <c r="AX17" s="4222">
        <f t="shared" ref="AX17:AY22" si="37">SUM(AE17+AS17)</f>
        <v>40072.549999999996</v>
      </c>
      <c r="AY17" s="4222">
        <f t="shared" si="37"/>
        <v>36228.99</v>
      </c>
      <c r="AZ17" s="4142">
        <f t="shared" ref="AZ17:AZ23" si="38">SUM(AX17-AW17)</f>
        <v>1040.5517999999938</v>
      </c>
      <c r="BA17" s="4142">
        <f t="shared" ref="BA17:BA23" si="39">SUM(AZ17/AW17*100)</f>
        <v>2.6658942610834453</v>
      </c>
      <c r="BB17" s="4218">
        <f>SUM('Произв. прогр. Стоки (СВОД)'!S20)</f>
        <v>4609.9773999999998</v>
      </c>
      <c r="BC17" s="4206"/>
      <c r="BD17" s="4206">
        <v>4156.2</v>
      </c>
      <c r="BE17" s="4218">
        <f>SUM('Произв. прогр. Стоки (СВОД)'!T20)</f>
        <v>4609.9773999999998</v>
      </c>
      <c r="BF17" s="4206"/>
      <c r="BG17" s="4206">
        <v>4250.28</v>
      </c>
      <c r="BH17" s="4218">
        <f>SUM('Произв. прогр. Стоки (СВОД)'!U20)</f>
        <v>4609.9773999999998</v>
      </c>
      <c r="BI17" s="4206"/>
      <c r="BJ17" s="4206">
        <v>4048.37</v>
      </c>
      <c r="BK17" s="4222">
        <f t="shared" ref="BK17:BM22" si="40">SUM(BB17+BE17+BH17)</f>
        <v>13829.932199999999</v>
      </c>
      <c r="BL17" s="4222">
        <f t="shared" si="40"/>
        <v>0</v>
      </c>
      <c r="BM17" s="4222">
        <f t="shared" si="40"/>
        <v>12454.849999999999</v>
      </c>
      <c r="BN17" s="4142">
        <f t="shared" ref="BN17:BN23" si="41">SUM(BL17-BK17)</f>
        <v>-13829.932199999999</v>
      </c>
      <c r="BO17" s="4142">
        <f t="shared" ref="BO17:BO23" si="42">SUM(BN17/BK17*100)</f>
        <v>-100</v>
      </c>
      <c r="BP17" s="4222">
        <f t="shared" ref="BP17:BP22" si="43">SUM(AW17+BK17)</f>
        <v>52861.930399999997</v>
      </c>
      <c r="BQ17" s="4222">
        <f t="shared" ref="BQ17:BR22" si="44">SUM(AX17+BL17)</f>
        <v>40072.549999999996</v>
      </c>
      <c r="BR17" s="4222">
        <f t="shared" si="44"/>
        <v>48683.839999999997</v>
      </c>
      <c r="BS17" s="4142">
        <f t="shared" ref="BS17:BS23" si="45">SUM(BQ17-BP17)</f>
        <v>-12789.380400000002</v>
      </c>
      <c r="BT17" s="4142">
        <f t="shared" ref="BT17:BT23" si="46">SUM(BS17/BP17*100)</f>
        <v>-24.193933712265647</v>
      </c>
    </row>
    <row r="18" spans="1:72" ht="18.75" customHeight="1">
      <c r="A18" s="4143" t="s">
        <v>1733</v>
      </c>
      <c r="B18" s="4218">
        <f>SUM('Произв. прогр. Стоки (СВОД)'!E21)</f>
        <v>520.21399999999971</v>
      </c>
      <c r="C18" s="4237">
        <v>512.41</v>
      </c>
      <c r="D18" s="4237">
        <v>672.88</v>
      </c>
      <c r="E18" s="4218">
        <f>SUM('Произв. прогр. Стоки (СВОД)'!F21)</f>
        <v>514.16499999999985</v>
      </c>
      <c r="F18" s="4206">
        <v>525.22</v>
      </c>
      <c r="G18" s="4206">
        <v>641.19000000000005</v>
      </c>
      <c r="H18" s="4218">
        <f>SUM('Произв. прогр. Стоки (СВОД)'!G21)</f>
        <v>516.5845999999998</v>
      </c>
      <c r="I18" s="4206">
        <v>518.16</v>
      </c>
      <c r="J18" s="4206">
        <v>635.79</v>
      </c>
      <c r="K18" s="4222">
        <f t="shared" si="23"/>
        <v>1550.9635999999991</v>
      </c>
      <c r="L18" s="4222">
        <f t="shared" si="23"/>
        <v>1555.79</v>
      </c>
      <c r="M18" s="4222">
        <f t="shared" si="23"/>
        <v>1949.8600000000001</v>
      </c>
      <c r="N18" s="4142">
        <f t="shared" si="24"/>
        <v>4.8264000000008309</v>
      </c>
      <c r="O18" s="4142">
        <f t="shared" si="25"/>
        <v>0.31118718711392285</v>
      </c>
      <c r="P18" s="4218">
        <f>SUM('Произв. прогр. Стоки (СВОД)'!I21)</f>
        <v>509.93069999999977</v>
      </c>
      <c r="Q18" s="4206">
        <v>576.09</v>
      </c>
      <c r="R18" s="4206">
        <v>621.53</v>
      </c>
      <c r="S18" s="4218">
        <f>SUM('Произв. прогр. Стоки (СВОД)'!J21)</f>
        <v>496.01799999999974</v>
      </c>
      <c r="T18" s="4206">
        <v>530.58000000000004</v>
      </c>
      <c r="U18" s="4206">
        <v>602.62</v>
      </c>
      <c r="V18" s="4218">
        <f>SUM('Произв. прогр. Стоки (СВОД)'!K21)</f>
        <v>477.26609999999982</v>
      </c>
      <c r="W18" s="4206">
        <v>502.65</v>
      </c>
      <c r="X18" s="4206">
        <v>594.58000000000004</v>
      </c>
      <c r="Y18" s="4222">
        <f t="shared" si="26"/>
        <v>1483.2147999999993</v>
      </c>
      <c r="Z18" s="4222">
        <f t="shared" si="26"/>
        <v>1609.3200000000002</v>
      </c>
      <c r="AA18" s="4222">
        <f t="shared" si="26"/>
        <v>1818.73</v>
      </c>
      <c r="AB18" s="4142">
        <f t="shared" si="27"/>
        <v>126.10520000000088</v>
      </c>
      <c r="AC18" s="4142">
        <f t="shared" si="28"/>
        <v>8.5021535653501381</v>
      </c>
      <c r="AD18" s="4222">
        <f t="shared" si="29"/>
        <v>3034.1783999999984</v>
      </c>
      <c r="AE18" s="4222">
        <f t="shared" si="30"/>
        <v>3165.11</v>
      </c>
      <c r="AF18" s="4222">
        <f t="shared" si="30"/>
        <v>3768.59</v>
      </c>
      <c r="AG18" s="4142">
        <f t="shared" si="31"/>
        <v>130.93160000000171</v>
      </c>
      <c r="AH18" s="4142">
        <f t="shared" si="32"/>
        <v>4.3152241806217386</v>
      </c>
      <c r="AI18" s="4218">
        <f>SUM('Произв. прогр. Стоки (СВОД)'!N21)</f>
        <v>567.9689000000003</v>
      </c>
      <c r="AJ18" s="4206">
        <v>559.03</v>
      </c>
      <c r="AK18" s="4206">
        <v>437.62</v>
      </c>
      <c r="AL18" s="4218">
        <f>SUM('Произв. прогр. Стоки (СВОД)'!O21)</f>
        <v>591.30010000000027</v>
      </c>
      <c r="AM18" s="4206">
        <v>593.73</v>
      </c>
      <c r="AN18" s="4206">
        <v>486.12</v>
      </c>
      <c r="AO18" s="4218">
        <f>SUM('Произв. прогр. Стоки (СВОД)'!P21)</f>
        <v>606.61120000000028</v>
      </c>
      <c r="AP18" s="4206">
        <v>602.66</v>
      </c>
      <c r="AQ18" s="4206">
        <v>489.56</v>
      </c>
      <c r="AR18" s="4222">
        <f t="shared" si="33"/>
        <v>1765.880200000001</v>
      </c>
      <c r="AS18" s="4222">
        <f t="shared" si="33"/>
        <v>1755.42</v>
      </c>
      <c r="AT18" s="4222">
        <f t="shared" si="33"/>
        <v>1413.3</v>
      </c>
      <c r="AU18" s="4142">
        <f t="shared" si="34"/>
        <v>-10.460200000000896</v>
      </c>
      <c r="AV18" s="4142">
        <f t="shared" si="35"/>
        <v>-0.59235048900830811</v>
      </c>
      <c r="AW18" s="4222">
        <f t="shared" si="36"/>
        <v>4800.0585999999994</v>
      </c>
      <c r="AX18" s="4222">
        <f t="shared" si="37"/>
        <v>4920.5300000000007</v>
      </c>
      <c r="AY18" s="4222">
        <f t="shared" si="37"/>
        <v>5181.8900000000003</v>
      </c>
      <c r="AZ18" s="4142">
        <f t="shared" si="38"/>
        <v>120.47140000000127</v>
      </c>
      <c r="BA18" s="4142">
        <f t="shared" si="39"/>
        <v>2.5097901929780875</v>
      </c>
      <c r="BB18" s="4218">
        <f>SUM('Произв. прогр. Стоки (СВОД)'!S21)</f>
        <v>622.65140000000031</v>
      </c>
      <c r="BC18" s="4206"/>
      <c r="BD18" s="4206">
        <v>485.81</v>
      </c>
      <c r="BE18" s="4218">
        <f>SUM('Произв. прогр. Стоки (СВОД)'!T21)</f>
        <v>622.65140000000031</v>
      </c>
      <c r="BF18" s="4206"/>
      <c r="BG18" s="4206">
        <v>496.81</v>
      </c>
      <c r="BH18" s="4218">
        <f>SUM('Произв. прогр. Стоки (СВОД)'!U21)</f>
        <v>622.65140000000031</v>
      </c>
      <c r="BI18" s="4206"/>
      <c r="BJ18" s="4206">
        <v>473.23</v>
      </c>
      <c r="BK18" s="4222">
        <f t="shared" si="40"/>
        <v>1867.954200000001</v>
      </c>
      <c r="BL18" s="4222">
        <f t="shared" si="40"/>
        <v>0</v>
      </c>
      <c r="BM18" s="4222">
        <f t="shared" si="40"/>
        <v>1455.85</v>
      </c>
      <c r="BN18" s="4142">
        <f t="shared" si="41"/>
        <v>-1867.954200000001</v>
      </c>
      <c r="BO18" s="4142">
        <f t="shared" si="42"/>
        <v>-100</v>
      </c>
      <c r="BP18" s="4222">
        <f t="shared" si="43"/>
        <v>6668.0128000000004</v>
      </c>
      <c r="BQ18" s="4222">
        <f t="shared" si="44"/>
        <v>4920.5300000000007</v>
      </c>
      <c r="BR18" s="4222">
        <f t="shared" si="44"/>
        <v>6637.74</v>
      </c>
      <c r="BS18" s="4142">
        <f t="shared" si="45"/>
        <v>-1747.4827999999998</v>
      </c>
      <c r="BT18" s="4142">
        <f t="shared" si="46"/>
        <v>-26.206950292596915</v>
      </c>
    </row>
    <row r="19" spans="1:72" ht="18.75" customHeight="1">
      <c r="A19" s="4143" t="s">
        <v>1917</v>
      </c>
      <c r="B19" s="4218">
        <f>SUM('Произв. прогр. Стоки (СВОД)'!E22)</f>
        <v>28.245839999999994</v>
      </c>
      <c r="C19" s="4237">
        <v>4.3899999999999997</v>
      </c>
      <c r="D19" s="4237">
        <v>3.46</v>
      </c>
      <c r="E19" s="4218">
        <f>SUM('Произв. прогр. Стоки (СВОД)'!F22)</f>
        <v>27.917400000000001</v>
      </c>
      <c r="F19" s="4206">
        <v>4.55</v>
      </c>
      <c r="G19" s="4206">
        <v>10.050000000000001</v>
      </c>
      <c r="H19" s="4218">
        <f>SUM('Произв. прогр. Стоки (СВОД)'!G22)</f>
        <v>28.048775999999993</v>
      </c>
      <c r="I19" s="4206">
        <v>53.82</v>
      </c>
      <c r="J19" s="4206">
        <v>52.03</v>
      </c>
      <c r="K19" s="4222">
        <f t="shared" si="23"/>
        <v>84.212015999999991</v>
      </c>
      <c r="L19" s="4222">
        <f t="shared" si="23"/>
        <v>62.76</v>
      </c>
      <c r="M19" s="4222">
        <f t="shared" si="23"/>
        <v>65.540000000000006</v>
      </c>
      <c r="N19" s="4142">
        <f t="shared" si="24"/>
        <v>-21.452015999999993</v>
      </c>
      <c r="O19" s="4142">
        <f t="shared" si="25"/>
        <v>-25.473818368153061</v>
      </c>
      <c r="P19" s="4218">
        <f>SUM('Произв. прогр. Стоки (СВОД)'!I22)</f>
        <v>27.687491999999999</v>
      </c>
      <c r="Q19" s="4206">
        <v>6.1</v>
      </c>
      <c r="R19" s="4206">
        <v>7.23</v>
      </c>
      <c r="S19" s="4218">
        <f>SUM('Произв. прогр. Стоки (СВОД)'!J22)</f>
        <v>26.932079999999996</v>
      </c>
      <c r="T19" s="4206">
        <v>5.49</v>
      </c>
      <c r="U19" s="4206">
        <v>10.39</v>
      </c>
      <c r="V19" s="4218">
        <f>SUM('Произв. прогр. Стоки (СВОД)'!K22)</f>
        <v>25.913915999999997</v>
      </c>
      <c r="W19" s="4206">
        <v>58.24</v>
      </c>
      <c r="X19" s="4206">
        <v>57.59</v>
      </c>
      <c r="Y19" s="4222">
        <f t="shared" si="26"/>
        <v>80.533487999999991</v>
      </c>
      <c r="Z19" s="4222">
        <f t="shared" si="26"/>
        <v>69.83</v>
      </c>
      <c r="AA19" s="4222">
        <f t="shared" si="26"/>
        <v>75.210000000000008</v>
      </c>
      <c r="AB19" s="4142">
        <f t="shared" si="27"/>
        <v>-10.703487999999993</v>
      </c>
      <c r="AC19" s="4142">
        <f t="shared" si="28"/>
        <v>-13.290729441645436</v>
      </c>
      <c r="AD19" s="4222">
        <f t="shared" si="29"/>
        <v>164.74550399999998</v>
      </c>
      <c r="AE19" s="4222">
        <f t="shared" si="30"/>
        <v>132.59</v>
      </c>
      <c r="AF19" s="4222">
        <f t="shared" si="30"/>
        <v>140.75</v>
      </c>
      <c r="AG19" s="4142">
        <f t="shared" si="31"/>
        <v>-32.155503999999979</v>
      </c>
      <c r="AH19" s="4142">
        <f t="shared" si="32"/>
        <v>-19.518289251766156</v>
      </c>
      <c r="AI19" s="4218">
        <f>SUM('Произв. прогр. Стоки (СВОД)'!N22)</f>
        <v>26.642578999999998</v>
      </c>
      <c r="AJ19" s="4206">
        <v>6.86</v>
      </c>
      <c r="AK19" s="4206">
        <v>6.42</v>
      </c>
      <c r="AL19" s="4218">
        <f>SUM('Произв. прогр. Стоки (СВОД)'!O22)</f>
        <v>27.737010999999995</v>
      </c>
      <c r="AM19" s="4206">
        <v>7.14</v>
      </c>
      <c r="AN19" s="4206">
        <v>8.35</v>
      </c>
      <c r="AO19" s="4218">
        <f>SUM('Произв. прогр. Стоки (СВОД)'!P22)</f>
        <v>28.455231999999999</v>
      </c>
      <c r="AP19" s="4206">
        <v>59.47</v>
      </c>
      <c r="AQ19" s="4206">
        <v>58.16</v>
      </c>
      <c r="AR19" s="4222">
        <f t="shared" si="33"/>
        <v>82.834821999999988</v>
      </c>
      <c r="AS19" s="4222">
        <f t="shared" si="33"/>
        <v>73.47</v>
      </c>
      <c r="AT19" s="4222">
        <f t="shared" si="33"/>
        <v>72.929999999999993</v>
      </c>
      <c r="AU19" s="4142">
        <f t="shared" si="34"/>
        <v>-9.3648219999999895</v>
      </c>
      <c r="AV19" s="4142">
        <f t="shared" si="35"/>
        <v>-11.305416941681834</v>
      </c>
      <c r="AW19" s="4222">
        <f t="shared" si="36"/>
        <v>247.58032599999996</v>
      </c>
      <c r="AX19" s="4222">
        <f t="shared" si="37"/>
        <v>206.06</v>
      </c>
      <c r="AY19" s="4222">
        <f t="shared" si="37"/>
        <v>213.68</v>
      </c>
      <c r="AZ19" s="4142">
        <f t="shared" si="38"/>
        <v>-41.520325999999955</v>
      </c>
      <c r="BA19" s="4142">
        <f t="shared" si="39"/>
        <v>-16.770446453002876</v>
      </c>
      <c r="BB19" s="4218">
        <f>SUM('Произв. прогр. Стоки (СВОД)'!S22)</f>
        <v>29.207653999999994</v>
      </c>
      <c r="BC19" s="4206"/>
      <c r="BD19" s="4206">
        <v>8.73</v>
      </c>
      <c r="BE19" s="4218">
        <f>SUM('Произв. прогр. Стоки (СВОД)'!T22)</f>
        <v>29.207653999999994</v>
      </c>
      <c r="BF19" s="4206"/>
      <c r="BG19" s="4206">
        <v>11.57</v>
      </c>
      <c r="BH19" s="4218">
        <f>SUM('Произв. прогр. Стоки (СВОД)'!U22)</f>
        <v>29.207653999999994</v>
      </c>
      <c r="BI19" s="4206"/>
      <c r="BJ19" s="4206">
        <v>55.49</v>
      </c>
      <c r="BK19" s="4222">
        <f t="shared" si="40"/>
        <v>87.622961999999987</v>
      </c>
      <c r="BL19" s="4222">
        <f t="shared" si="40"/>
        <v>0</v>
      </c>
      <c r="BM19" s="4222">
        <f t="shared" si="40"/>
        <v>75.790000000000006</v>
      </c>
      <c r="BN19" s="4142">
        <f t="shared" si="41"/>
        <v>-87.622961999999987</v>
      </c>
      <c r="BO19" s="4142">
        <f t="shared" si="42"/>
        <v>-100</v>
      </c>
      <c r="BP19" s="4222">
        <f t="shared" si="43"/>
        <v>335.20328799999993</v>
      </c>
      <c r="BQ19" s="4222">
        <f t="shared" si="44"/>
        <v>206.06</v>
      </c>
      <c r="BR19" s="4222">
        <f t="shared" si="44"/>
        <v>289.47000000000003</v>
      </c>
      <c r="BS19" s="4142">
        <f t="shared" si="45"/>
        <v>-129.14328799999993</v>
      </c>
      <c r="BT19" s="4142">
        <f t="shared" si="46"/>
        <v>-38.526855977617963</v>
      </c>
    </row>
    <row r="20" spans="1:72" ht="18.75" customHeight="1">
      <c r="A20" s="4143" t="s">
        <v>1734</v>
      </c>
      <c r="B20" s="4218">
        <f>SUM('Произв. прогр. Стоки (СВОД)'!E23)</f>
        <v>2011.8405772499998</v>
      </c>
      <c r="C20" s="4237">
        <v>1555.09</v>
      </c>
      <c r="D20" s="4237">
        <v>1616.42</v>
      </c>
      <c r="E20" s="4218">
        <f>SUM('Произв. прогр. Стоки (СВОД)'!F23)</f>
        <v>2090.0652412500003</v>
      </c>
      <c r="F20" s="4206">
        <v>1800.71</v>
      </c>
      <c r="G20" s="4206">
        <v>1758.47</v>
      </c>
      <c r="H20" s="4218">
        <f>SUM('Произв. прогр. Стоки (СВОД)'!G23)</f>
        <v>2092.5097620000001</v>
      </c>
      <c r="I20" s="4206">
        <v>1534.09</v>
      </c>
      <c r="J20" s="4206">
        <v>1720.08</v>
      </c>
      <c r="K20" s="4222">
        <f t="shared" si="23"/>
        <v>6194.4155805000009</v>
      </c>
      <c r="L20" s="4222">
        <f t="shared" si="23"/>
        <v>4889.8900000000003</v>
      </c>
      <c r="M20" s="4222">
        <f t="shared" si="23"/>
        <v>5094.97</v>
      </c>
      <c r="N20" s="4142">
        <f t="shared" si="24"/>
        <v>-1304.5255805000006</v>
      </c>
      <c r="O20" s="4142">
        <f t="shared" si="25"/>
        <v>-21.059703914710575</v>
      </c>
      <c r="P20" s="4218">
        <f>SUM('Произв. прогр. Стоки (СВОД)'!I23)</f>
        <v>2058.2864714999996</v>
      </c>
      <c r="Q20" s="4206">
        <v>1647.49</v>
      </c>
      <c r="R20" s="4206">
        <v>1765.14</v>
      </c>
      <c r="S20" s="4218">
        <f>SUM('Произв. прогр. Стоки (СВОД)'!J23)</f>
        <v>2060.7309922499999</v>
      </c>
      <c r="T20" s="4206">
        <v>1617.6</v>
      </c>
      <c r="U20" s="4206">
        <v>1646</v>
      </c>
      <c r="V20" s="4218">
        <f>SUM('Произв. прогр. Стоки (СВОД)'!K23)</f>
        <v>1999.6179734999998</v>
      </c>
      <c r="W20" s="4206">
        <v>1623.11</v>
      </c>
      <c r="X20" s="4206">
        <v>1659.94</v>
      </c>
      <c r="Y20" s="4222">
        <f t="shared" si="26"/>
        <v>6118.6354372499991</v>
      </c>
      <c r="Z20" s="4222">
        <f t="shared" si="26"/>
        <v>4888.2</v>
      </c>
      <c r="AA20" s="4222">
        <f t="shared" si="26"/>
        <v>5071.08</v>
      </c>
      <c r="AB20" s="4142">
        <f t="shared" si="27"/>
        <v>-1230.4354372499993</v>
      </c>
      <c r="AC20" s="4142">
        <f t="shared" si="28"/>
        <v>-20.109638004564861</v>
      </c>
      <c r="AD20" s="4222">
        <f t="shared" si="29"/>
        <v>12313.05101775</v>
      </c>
      <c r="AE20" s="4222">
        <f t="shared" si="30"/>
        <v>9778.09</v>
      </c>
      <c r="AF20" s="4222">
        <f t="shared" si="30"/>
        <v>10166.049999999999</v>
      </c>
      <c r="AG20" s="4142">
        <f t="shared" si="31"/>
        <v>-2534.9610177499999</v>
      </c>
      <c r="AH20" s="4142">
        <f t="shared" si="32"/>
        <v>-20.587594529541882</v>
      </c>
      <c r="AI20" s="4218">
        <f>SUM('Произв. прогр. Стоки (СВОД)'!N23)</f>
        <v>1982.4255900000001</v>
      </c>
      <c r="AJ20" s="4206">
        <v>1474.19</v>
      </c>
      <c r="AK20" s="4206">
        <v>1434.06</v>
      </c>
      <c r="AL20" s="4218">
        <f>SUM('Произв. прогр. Стоки (СВОД)'!O23)</f>
        <v>2021.2966799999999</v>
      </c>
      <c r="AM20" s="4206">
        <v>1509.09</v>
      </c>
      <c r="AN20" s="4206">
        <v>1499.34</v>
      </c>
      <c r="AO20" s="4218">
        <f>SUM('Произв. прогр. Стоки (СВОД)'!P23)</f>
        <v>2202.6950999999999</v>
      </c>
      <c r="AP20" s="4206">
        <v>1771.66</v>
      </c>
      <c r="AQ20" s="4206">
        <v>1706.65</v>
      </c>
      <c r="AR20" s="4222">
        <f t="shared" si="33"/>
        <v>6206.4173700000001</v>
      </c>
      <c r="AS20" s="4222">
        <f t="shared" si="33"/>
        <v>4754.9399999999996</v>
      </c>
      <c r="AT20" s="4222">
        <f t="shared" si="33"/>
        <v>4640.0499999999993</v>
      </c>
      <c r="AU20" s="4142">
        <f t="shared" si="34"/>
        <v>-1451.4773700000005</v>
      </c>
      <c r="AV20" s="4142">
        <f t="shared" si="35"/>
        <v>-23.386718673094983</v>
      </c>
      <c r="AW20" s="4222">
        <f t="shared" si="36"/>
        <v>18519.468387749999</v>
      </c>
      <c r="AX20" s="4222">
        <f t="shared" si="37"/>
        <v>14533.029999999999</v>
      </c>
      <c r="AY20" s="4222">
        <f t="shared" si="37"/>
        <v>14806.099999999999</v>
      </c>
      <c r="AZ20" s="4142">
        <f t="shared" si="38"/>
        <v>-3986.4383877500004</v>
      </c>
      <c r="BA20" s="4142">
        <f t="shared" si="39"/>
        <v>-21.525663179332373</v>
      </c>
      <c r="BB20" s="4218">
        <f>SUM('Произв. прогр. Стоки (СВОД)'!S23)</f>
        <v>2218.2435360000004</v>
      </c>
      <c r="BC20" s="4206"/>
      <c r="BD20" s="4206">
        <v>1557.09</v>
      </c>
      <c r="BE20" s="4218">
        <f>SUM('Произв. прогр. Стоки (СВОД)'!T23)</f>
        <v>2218.2435360000004</v>
      </c>
      <c r="BF20" s="4206"/>
      <c r="BG20" s="4206">
        <v>1634.05</v>
      </c>
      <c r="BH20" s="4218">
        <f>SUM('Произв. прогр. Стоки (СВОД)'!U23)</f>
        <v>2218.2435360000004</v>
      </c>
      <c r="BI20" s="4206"/>
      <c r="BJ20" s="4206">
        <v>1778.79</v>
      </c>
      <c r="BK20" s="4222">
        <f t="shared" si="40"/>
        <v>6654.7306080000017</v>
      </c>
      <c r="BL20" s="4222">
        <f t="shared" si="40"/>
        <v>0</v>
      </c>
      <c r="BM20" s="4222">
        <f t="shared" si="40"/>
        <v>4969.93</v>
      </c>
      <c r="BN20" s="4142">
        <f t="shared" si="41"/>
        <v>-6654.7306080000017</v>
      </c>
      <c r="BO20" s="4142">
        <f t="shared" si="42"/>
        <v>-100</v>
      </c>
      <c r="BP20" s="4222">
        <f t="shared" si="43"/>
        <v>25174.198995750001</v>
      </c>
      <c r="BQ20" s="4222">
        <f t="shared" si="44"/>
        <v>14533.029999999999</v>
      </c>
      <c r="BR20" s="4222">
        <f t="shared" si="44"/>
        <v>19776.03</v>
      </c>
      <c r="BS20" s="4142">
        <f t="shared" si="45"/>
        <v>-10641.168995750002</v>
      </c>
      <c r="BT20" s="4142">
        <f t="shared" si="46"/>
        <v>-42.270139350000704</v>
      </c>
    </row>
    <row r="21" spans="1:72" ht="18.75" customHeight="1">
      <c r="A21" s="4139" t="s">
        <v>1737</v>
      </c>
      <c r="B21" s="4217">
        <f>SUM('Произв. прогр. Стоки (СВОД)'!E24)</f>
        <v>7010.8004172499996</v>
      </c>
      <c r="C21" s="4217">
        <f t="shared" ref="C21:J21" si="47">SUM(C17:C20)</f>
        <v>6455.63</v>
      </c>
      <c r="D21" s="4217">
        <f t="shared" si="47"/>
        <v>6602.58</v>
      </c>
      <c r="E21" s="4217">
        <f>SUM('Произв. прогр. Стоки (СВОД)'!F24)</f>
        <v>7030.8976412500006</v>
      </c>
      <c r="F21" s="4217">
        <f t="shared" si="47"/>
        <v>6823.8</v>
      </c>
      <c r="G21" s="4217">
        <f t="shared" si="47"/>
        <v>6516.57</v>
      </c>
      <c r="H21" s="4217">
        <f>SUM('Произв. прогр. Стоки (СВОД)'!G24)</f>
        <v>7056.5931380000002</v>
      </c>
      <c r="I21" s="4217">
        <f t="shared" si="47"/>
        <v>6539.0199999999995</v>
      </c>
      <c r="J21" s="4217">
        <f t="shared" si="47"/>
        <v>6480.1399999999994</v>
      </c>
      <c r="K21" s="4223">
        <f t="shared" si="23"/>
        <v>21098.291196500002</v>
      </c>
      <c r="L21" s="4223">
        <f t="shared" si="23"/>
        <v>19818.45</v>
      </c>
      <c r="M21" s="4223">
        <f t="shared" si="23"/>
        <v>19599.29</v>
      </c>
      <c r="N21" s="4154">
        <f t="shared" si="24"/>
        <v>-1279.8411965000014</v>
      </c>
      <c r="O21" s="4154">
        <f t="shared" si="25"/>
        <v>-6.0660893556740483</v>
      </c>
      <c r="P21" s="4217">
        <f>SUM('Произв. прогр. Стоки (СВОД)'!I24)</f>
        <v>6958.4296634999992</v>
      </c>
      <c r="Q21" s="4217">
        <f t="shared" ref="Q21:X21" si="48">SUM(Q17:Q20)</f>
        <v>7158.2400000000007</v>
      </c>
      <c r="R21" s="4217">
        <f t="shared" si="48"/>
        <v>6374.82</v>
      </c>
      <c r="S21" s="4217">
        <f>SUM('Произв. прогр. Стоки (СВОД)'!J24)</f>
        <v>6827.1810722499986</v>
      </c>
      <c r="T21" s="4217">
        <f t="shared" si="48"/>
        <v>6692.82</v>
      </c>
      <c r="U21" s="4217">
        <f t="shared" si="48"/>
        <v>6118.7900000000009</v>
      </c>
      <c r="V21" s="4217">
        <f>SUM('Произв. прогр. Стоки (СВОД)'!K24)</f>
        <v>6585.8729894999997</v>
      </c>
      <c r="W21" s="4217">
        <f t="shared" si="48"/>
        <v>6484.2299999999987</v>
      </c>
      <c r="X21" s="4217">
        <f t="shared" si="48"/>
        <v>6120.380000000001</v>
      </c>
      <c r="Y21" s="4223">
        <f t="shared" si="26"/>
        <v>20371.483725249996</v>
      </c>
      <c r="Z21" s="4223">
        <f t="shared" si="26"/>
        <v>20335.29</v>
      </c>
      <c r="AA21" s="4223">
        <f t="shared" si="26"/>
        <v>18613.990000000002</v>
      </c>
      <c r="AB21" s="4154">
        <f t="shared" si="27"/>
        <v>-36.193725249995623</v>
      </c>
      <c r="AC21" s="4154">
        <f t="shared" si="28"/>
        <v>-0.17766857700764482</v>
      </c>
      <c r="AD21" s="4223">
        <f t="shared" si="29"/>
        <v>41469.774921749995</v>
      </c>
      <c r="AE21" s="4223">
        <f t="shared" si="30"/>
        <v>40153.740000000005</v>
      </c>
      <c r="AF21" s="4223">
        <f t="shared" si="30"/>
        <v>38213.279999999999</v>
      </c>
      <c r="AG21" s="4154">
        <f t="shared" si="31"/>
        <v>-1316.0349217499897</v>
      </c>
      <c r="AH21" s="4154">
        <f t="shared" si="32"/>
        <v>-3.1734797795098668</v>
      </c>
      <c r="AI21" s="4217">
        <f>SUM('Произв. прогр. Стоки (СВОД)'!N24)</f>
        <v>6782.1569689999997</v>
      </c>
      <c r="AJ21" s="4217">
        <f t="shared" ref="AJ21:AQ21" si="49">SUM(AJ17:AJ20)</f>
        <v>6178.3099999999995</v>
      </c>
      <c r="AK21" s="4217">
        <f t="shared" si="49"/>
        <v>5622.0499999999993</v>
      </c>
      <c r="AL21" s="4217">
        <f>SUM('Произв. прогр. Стоки (СВОД)'!O24)</f>
        <v>7018.1928909999988</v>
      </c>
      <c r="AM21" s="4217">
        <f t="shared" si="49"/>
        <v>6505.0900000000011</v>
      </c>
      <c r="AN21" s="4217">
        <f t="shared" si="49"/>
        <v>6152.68</v>
      </c>
      <c r="AO21" s="4217">
        <f>SUM('Произв. прогр. Стоки (СВОД)'!P24)</f>
        <v>7328.980732</v>
      </c>
      <c r="AP21" s="4217">
        <f t="shared" si="49"/>
        <v>6895.03</v>
      </c>
      <c r="AQ21" s="4217">
        <f t="shared" si="49"/>
        <v>6442.65</v>
      </c>
      <c r="AR21" s="4223">
        <f t="shared" si="33"/>
        <v>21129.330591999998</v>
      </c>
      <c r="AS21" s="4223">
        <f t="shared" si="33"/>
        <v>19578.43</v>
      </c>
      <c r="AT21" s="4223">
        <f t="shared" si="33"/>
        <v>18217.379999999997</v>
      </c>
      <c r="AU21" s="4154">
        <f t="shared" si="34"/>
        <v>-1550.9005919999981</v>
      </c>
      <c r="AV21" s="4154">
        <f t="shared" si="35"/>
        <v>-7.3400365678749955</v>
      </c>
      <c r="AW21" s="4223">
        <f t="shared" si="36"/>
        <v>62599.105513749993</v>
      </c>
      <c r="AX21" s="4223">
        <f t="shared" si="37"/>
        <v>59732.170000000006</v>
      </c>
      <c r="AY21" s="4223">
        <f t="shared" si="37"/>
        <v>56430.659999999996</v>
      </c>
      <c r="AZ21" s="4154">
        <f t="shared" si="38"/>
        <v>-2866.9355137499879</v>
      </c>
      <c r="BA21" s="4154">
        <f t="shared" si="39"/>
        <v>-4.5798346321741938</v>
      </c>
      <c r="BB21" s="4217">
        <f>SUM('Произв. прогр. Стоки (СВОД)'!S24)</f>
        <v>7480.0799900000002</v>
      </c>
      <c r="BC21" s="4217">
        <f t="shared" ref="BC21:BJ21" si="50">SUM(BC17:BC20)</f>
        <v>0</v>
      </c>
      <c r="BD21" s="4217">
        <f t="shared" si="50"/>
        <v>6207.83</v>
      </c>
      <c r="BE21" s="4217">
        <f>SUM('Произв. прогр. Стоки (СВОД)'!T24)</f>
        <v>7480.0799900000002</v>
      </c>
      <c r="BF21" s="4217">
        <f t="shared" si="50"/>
        <v>0</v>
      </c>
      <c r="BG21" s="4217">
        <f t="shared" si="50"/>
        <v>6392.71</v>
      </c>
      <c r="BH21" s="4217">
        <f>SUM('Произв. прогр. Стоки (СВОД)'!U24)</f>
        <v>7480.0799900000002</v>
      </c>
      <c r="BI21" s="4217">
        <f t="shared" si="50"/>
        <v>0</v>
      </c>
      <c r="BJ21" s="4217">
        <f t="shared" si="50"/>
        <v>6355.88</v>
      </c>
      <c r="BK21" s="4223">
        <f t="shared" si="40"/>
        <v>22440.239970000002</v>
      </c>
      <c r="BL21" s="4223">
        <f t="shared" si="40"/>
        <v>0</v>
      </c>
      <c r="BM21" s="4223">
        <f t="shared" si="40"/>
        <v>18956.420000000002</v>
      </c>
      <c r="BN21" s="4154">
        <f t="shared" si="41"/>
        <v>-22440.239970000002</v>
      </c>
      <c r="BO21" s="4154">
        <f t="shared" si="42"/>
        <v>-100</v>
      </c>
      <c r="BP21" s="4223">
        <f t="shared" si="43"/>
        <v>85039.345483749988</v>
      </c>
      <c r="BQ21" s="4223">
        <f t="shared" si="44"/>
        <v>59732.170000000006</v>
      </c>
      <c r="BR21" s="4223">
        <f t="shared" si="44"/>
        <v>75387.08</v>
      </c>
      <c r="BS21" s="4154">
        <f t="shared" si="45"/>
        <v>-25307.175483749983</v>
      </c>
      <c r="BT21" s="4154">
        <f t="shared" si="46"/>
        <v>-29.759372370270516</v>
      </c>
    </row>
    <row r="22" spans="1:72" ht="18.75" customHeight="1">
      <c r="A22" s="4145" t="s">
        <v>1738</v>
      </c>
      <c r="B22" s="4297">
        <f>SUM('Произв. прогр. Стоки (СВОД)'!E25)</f>
        <v>0</v>
      </c>
      <c r="C22" s="4242"/>
      <c r="D22" s="4242"/>
      <c r="E22" s="4297">
        <f>SUM('Произв. прогр. Стоки (СВОД)'!F25)</f>
        <v>0</v>
      </c>
      <c r="F22" s="4209"/>
      <c r="G22" s="4209"/>
      <c r="H22" s="4297">
        <f>SUM('Произв. прогр. Стоки (СВОД)'!G25)</f>
        <v>0</v>
      </c>
      <c r="I22" s="4209"/>
      <c r="J22" s="4209"/>
      <c r="K22" s="4221">
        <f t="shared" si="23"/>
        <v>0</v>
      </c>
      <c r="L22" s="4221">
        <f t="shared" si="23"/>
        <v>0</v>
      </c>
      <c r="M22" s="4221">
        <f t="shared" si="23"/>
        <v>0</v>
      </c>
      <c r="N22" s="4149">
        <f t="shared" si="24"/>
        <v>0</v>
      </c>
      <c r="O22" s="4149" t="e">
        <f t="shared" si="25"/>
        <v>#DIV/0!</v>
      </c>
      <c r="P22" s="4297">
        <f>SUM('Произв. прогр. Стоки (СВОД)'!I25)</f>
        <v>0</v>
      </c>
      <c r="Q22" s="4209"/>
      <c r="R22" s="4209"/>
      <c r="S22" s="4297">
        <f>SUM('Произв. прогр. Стоки (СВОД)'!J25)</f>
        <v>0</v>
      </c>
      <c r="T22" s="4209"/>
      <c r="U22" s="4209"/>
      <c r="V22" s="4297">
        <f>SUM('Произв. прогр. Стоки (СВОД)'!K25)</f>
        <v>0</v>
      </c>
      <c r="W22" s="4209"/>
      <c r="X22" s="4209"/>
      <c r="Y22" s="4221">
        <f t="shared" si="26"/>
        <v>0</v>
      </c>
      <c r="Z22" s="4221">
        <f t="shared" si="26"/>
        <v>0</v>
      </c>
      <c r="AA22" s="4221">
        <f t="shared" si="26"/>
        <v>0</v>
      </c>
      <c r="AB22" s="4149">
        <f t="shared" si="27"/>
        <v>0</v>
      </c>
      <c r="AC22" s="4149" t="e">
        <f t="shared" si="28"/>
        <v>#DIV/0!</v>
      </c>
      <c r="AD22" s="4221">
        <f t="shared" si="29"/>
        <v>0</v>
      </c>
      <c r="AE22" s="4221">
        <f t="shared" si="30"/>
        <v>0</v>
      </c>
      <c r="AF22" s="4221">
        <f t="shared" si="30"/>
        <v>0</v>
      </c>
      <c r="AG22" s="4149">
        <f t="shared" si="31"/>
        <v>0</v>
      </c>
      <c r="AH22" s="4149" t="e">
        <f t="shared" si="32"/>
        <v>#DIV/0!</v>
      </c>
      <c r="AI22" s="4297">
        <f>SUM('Произв. прогр. Стоки (СВОД)'!N25)</f>
        <v>0</v>
      </c>
      <c r="AJ22" s="4209"/>
      <c r="AK22" s="4209"/>
      <c r="AL22" s="4297">
        <f>SUM('Произв. прогр. Стоки (СВОД)'!O25)</f>
        <v>0</v>
      </c>
      <c r="AM22" s="4209"/>
      <c r="AN22" s="4209"/>
      <c r="AO22" s="4297">
        <f>SUM('Произв. прогр. Стоки (СВОД)'!P25)</f>
        <v>0</v>
      </c>
      <c r="AP22" s="4209"/>
      <c r="AQ22" s="4209"/>
      <c r="AR22" s="4221">
        <f t="shared" si="33"/>
        <v>0</v>
      </c>
      <c r="AS22" s="4221">
        <f t="shared" si="33"/>
        <v>0</v>
      </c>
      <c r="AT22" s="4221">
        <f t="shared" si="33"/>
        <v>0</v>
      </c>
      <c r="AU22" s="4149">
        <f t="shared" si="34"/>
        <v>0</v>
      </c>
      <c r="AV22" s="4149" t="e">
        <f t="shared" si="35"/>
        <v>#DIV/0!</v>
      </c>
      <c r="AW22" s="4221">
        <f t="shared" si="36"/>
        <v>0</v>
      </c>
      <c r="AX22" s="4221">
        <f t="shared" si="37"/>
        <v>0</v>
      </c>
      <c r="AY22" s="4221">
        <f t="shared" si="37"/>
        <v>0</v>
      </c>
      <c r="AZ22" s="4149">
        <f t="shared" si="38"/>
        <v>0</v>
      </c>
      <c r="BA22" s="4149" t="e">
        <f t="shared" si="39"/>
        <v>#DIV/0!</v>
      </c>
      <c r="BB22" s="4297">
        <f>SUM('Произв. прогр. Стоки (СВОД)'!S25)</f>
        <v>0</v>
      </c>
      <c r="BC22" s="4209"/>
      <c r="BD22" s="4209"/>
      <c r="BE22" s="4297">
        <f>SUM('Произв. прогр. Стоки (СВОД)'!T25)</f>
        <v>0</v>
      </c>
      <c r="BF22" s="4209"/>
      <c r="BG22" s="4209"/>
      <c r="BH22" s="4297">
        <f>SUM('Произв. прогр. Стоки (СВОД)'!U25)</f>
        <v>0</v>
      </c>
      <c r="BI22" s="4209"/>
      <c r="BJ22" s="4209"/>
      <c r="BK22" s="4221">
        <f t="shared" si="40"/>
        <v>0</v>
      </c>
      <c r="BL22" s="4221">
        <f t="shared" si="40"/>
        <v>0</v>
      </c>
      <c r="BM22" s="4221">
        <f t="shared" si="40"/>
        <v>0</v>
      </c>
      <c r="BN22" s="4149">
        <f t="shared" si="41"/>
        <v>0</v>
      </c>
      <c r="BO22" s="4149" t="e">
        <f t="shared" si="42"/>
        <v>#DIV/0!</v>
      </c>
      <c r="BP22" s="4221">
        <f t="shared" si="43"/>
        <v>0</v>
      </c>
      <c r="BQ22" s="4221">
        <f t="shared" si="44"/>
        <v>0</v>
      </c>
      <c r="BR22" s="4221">
        <f t="shared" si="44"/>
        <v>0</v>
      </c>
      <c r="BS22" s="4149">
        <f t="shared" si="45"/>
        <v>0</v>
      </c>
      <c r="BT22" s="4149" t="e">
        <f t="shared" si="46"/>
        <v>#DIV/0!</v>
      </c>
    </row>
    <row r="23" spans="1:72" ht="18.75" customHeight="1">
      <c r="A23" s="4139" t="s">
        <v>1739</v>
      </c>
      <c r="B23" s="4217">
        <f>SUM('Произв. прогр. Стоки (СВОД)'!E26)</f>
        <v>25.053307395161777</v>
      </c>
      <c r="C23" s="4217">
        <f t="shared" ref="C23:BR23" si="51">SUM(C21/C9)</f>
        <v>25.117228231266047</v>
      </c>
      <c r="D23" s="4217">
        <f t="shared" si="51"/>
        <v>24.278654164368451</v>
      </c>
      <c r="E23" s="4217">
        <f>SUM('Произв. прогр. Стоки (СВОД)'!F26)</f>
        <v>25.054412505829617</v>
      </c>
      <c r="F23" s="4217">
        <f t="shared" si="51"/>
        <v>25.11704946996467</v>
      </c>
      <c r="G23" s="4217">
        <f t="shared" si="51"/>
        <v>24.25853404310762</v>
      </c>
      <c r="H23" s="4217">
        <f>SUM('Произв. прогр. Стоки (СВОД)'!G26)</f>
        <v>25.054333573819569</v>
      </c>
      <c r="I23" s="4217">
        <f t="shared" si="51"/>
        <v>24.974296299125381</v>
      </c>
      <c r="J23" s="4217">
        <f t="shared" si="51"/>
        <v>24.141792712912597</v>
      </c>
      <c r="K23" s="4243">
        <f t="shared" si="51"/>
        <v>25.054018876110369</v>
      </c>
      <c r="L23" s="4243">
        <f t="shared" si="51"/>
        <v>25.069826572046601</v>
      </c>
      <c r="M23" s="4243">
        <f t="shared" si="51"/>
        <v>24.226563658838074</v>
      </c>
      <c r="N23" s="4154">
        <f t="shared" si="24"/>
        <v>1.580769593623188E-2</v>
      </c>
      <c r="O23" s="4154">
        <f t="shared" si="25"/>
        <v>6.3094452089300979E-2</v>
      </c>
      <c r="P23" s="4217">
        <f>SUM('Произв. прогр. Стоки (СВОД)'!I26)</f>
        <v>25.054254751256099</v>
      </c>
      <c r="Q23" s="4217">
        <f t="shared" si="51"/>
        <v>25.113988001263031</v>
      </c>
      <c r="R23" s="4217">
        <f t="shared" si="51"/>
        <v>24.26746355019224</v>
      </c>
      <c r="S23" s="4217">
        <f>SUM('Произв. прогр. Стоки (СВОД)'!J26)</f>
        <v>25.054902975378898</v>
      </c>
      <c r="T23" s="4217">
        <f t="shared" si="51"/>
        <v>25.113771106941837</v>
      </c>
      <c r="U23" s="4217">
        <f t="shared" si="51"/>
        <v>24.258771755937044</v>
      </c>
      <c r="V23" s="4217">
        <f>SUM('Произв. прогр. Стоки (СВОД)'!K26)</f>
        <v>25.055093887082133</v>
      </c>
      <c r="W23" s="4217">
        <f t="shared" si="51"/>
        <v>24.959505754647981</v>
      </c>
      <c r="X23" s="4217">
        <f t="shared" si="51"/>
        <v>24.115922613184132</v>
      </c>
      <c r="Y23" s="4243">
        <f t="shared" si="51"/>
        <v>25.054743271386599</v>
      </c>
      <c r="Z23" s="4243">
        <f t="shared" si="51"/>
        <v>25.06445052507026</v>
      </c>
      <c r="AA23" s="4243">
        <f t="shared" si="51"/>
        <v>24.214580270843364</v>
      </c>
      <c r="AB23" s="4154">
        <f t="shared" si="27"/>
        <v>9.707253683661321E-3</v>
      </c>
      <c r="AC23" s="4154">
        <f t="shared" si="28"/>
        <v>3.8744175418262403E-2</v>
      </c>
      <c r="AD23" s="4243">
        <f t="shared" si="51"/>
        <v>25.054374720566607</v>
      </c>
      <c r="AE23" s="4243">
        <f t="shared" si="51"/>
        <v>25.067103661391521</v>
      </c>
      <c r="AF23" s="4243">
        <f t="shared" si="51"/>
        <v>24.220724974805254</v>
      </c>
      <c r="AG23" s="4154">
        <f t="shared" si="31"/>
        <v>1.2728940824914048E-2</v>
      </c>
      <c r="AH23" s="4154">
        <f t="shared" si="32"/>
        <v>5.0805262421756342E-2</v>
      </c>
      <c r="AI23" s="4217">
        <f>SUM('Произв. прогр. Стоки (СВОД)'!N26)</f>
        <v>26.557422857944474</v>
      </c>
      <c r="AJ23" s="4217">
        <f t="shared" si="51"/>
        <v>26.612293246037215</v>
      </c>
      <c r="AK23" s="4217">
        <f t="shared" si="51"/>
        <v>25.106283213504216</v>
      </c>
      <c r="AL23" s="4217">
        <f>SUM('Произв. прогр. Стоки (СВОД)'!O26)</f>
        <v>26.55692360988656</v>
      </c>
      <c r="AM23" s="4217">
        <f t="shared" si="51"/>
        <v>26.614393257507576</v>
      </c>
      <c r="AN23" s="4217">
        <f t="shared" si="51"/>
        <v>25.103757803255949</v>
      </c>
      <c r="AO23" s="4217">
        <f>SUM('Произв. прогр. Стоки (СВОД)'!P26)</f>
        <v>26.55838205432832</v>
      </c>
      <c r="AP23" s="4217">
        <f t="shared" si="51"/>
        <v>26.453213121043547</v>
      </c>
      <c r="AQ23" s="4217">
        <f t="shared" si="51"/>
        <v>24.958935420137138</v>
      </c>
      <c r="AR23" s="4243">
        <f t="shared" si="51"/>
        <v>26.557589726223487</v>
      </c>
      <c r="AS23" s="4243">
        <f t="shared" si="51"/>
        <v>26.556746198608305</v>
      </c>
      <c r="AT23" s="4243">
        <f t="shared" si="51"/>
        <v>25.053125214880009</v>
      </c>
      <c r="AU23" s="4154">
        <f t="shared" si="34"/>
        <v>-8.435276151814719E-4</v>
      </c>
      <c r="AV23" s="4154">
        <f t="shared" si="35"/>
        <v>-3.1762205225595304E-3</v>
      </c>
      <c r="AW23" s="4243">
        <f t="shared" si="51"/>
        <v>25.542364989840845</v>
      </c>
      <c r="AX23" s="4243">
        <f t="shared" si="51"/>
        <v>25.536608410144161</v>
      </c>
      <c r="AY23" s="4243">
        <f t="shared" si="51"/>
        <v>24.483335213418599</v>
      </c>
      <c r="AZ23" s="4154">
        <f t="shared" si="38"/>
        <v>-5.7565796966834171E-3</v>
      </c>
      <c r="BA23" s="4154">
        <f t="shared" si="39"/>
        <v>-2.2537379365509123E-2</v>
      </c>
      <c r="BB23" s="4217">
        <f>SUM('Произв. прогр. Стоки (СВОД)'!S26)</f>
        <v>26.557917618788601</v>
      </c>
      <c r="BC23" s="4217" t="e">
        <f t="shared" si="51"/>
        <v>#DIV/0!</v>
      </c>
      <c r="BD23" s="4217">
        <f t="shared" si="51"/>
        <v>25.103441303732456</v>
      </c>
      <c r="BE23" s="4217">
        <f>SUM('Произв. прогр. Стоки (СВОД)'!T26)</f>
        <v>26.557917618788601</v>
      </c>
      <c r="BF23" s="4217" t="e">
        <f t="shared" si="51"/>
        <v>#DIV/0!</v>
      </c>
      <c r="BG23" s="4217">
        <f t="shared" si="51"/>
        <v>25.096023240293647</v>
      </c>
      <c r="BH23" s="4217">
        <f>SUM('Произв. прогр. Стоки (СВОД)'!U26)</f>
        <v>26.557917618788601</v>
      </c>
      <c r="BI23" s="4217" t="e">
        <f t="shared" si="51"/>
        <v>#DIV/0!</v>
      </c>
      <c r="BJ23" s="4217">
        <f t="shared" si="51"/>
        <v>24.963198617493422</v>
      </c>
      <c r="BK23" s="4243">
        <f t="shared" si="51"/>
        <v>26.557917618788604</v>
      </c>
      <c r="BL23" s="4243" t="e">
        <f t="shared" si="51"/>
        <v>#DIV/0!</v>
      </c>
      <c r="BM23" s="4243">
        <f t="shared" si="51"/>
        <v>25.053751503376819</v>
      </c>
      <c r="BN23" s="4154" t="e">
        <f t="shared" si="41"/>
        <v>#DIV/0!</v>
      </c>
      <c r="BO23" s="4154" t="e">
        <f t="shared" si="42"/>
        <v>#DIV/0!</v>
      </c>
      <c r="BP23" s="4243">
        <f t="shared" si="51"/>
        <v>25.802729419327918</v>
      </c>
      <c r="BQ23" s="4243">
        <f t="shared" si="51"/>
        <v>25.536608410144161</v>
      </c>
      <c r="BR23" s="4243">
        <f t="shared" si="51"/>
        <v>24.624310384812624</v>
      </c>
      <c r="BS23" s="4154">
        <f t="shared" si="45"/>
        <v>-0.26612100918375603</v>
      </c>
      <c r="BT23" s="4154">
        <f t="shared" si="46"/>
        <v>-1.0313676699039991</v>
      </c>
    </row>
    <row r="24" spans="1:72" ht="18.75" customHeight="1">
      <c r="A24" s="4135" t="s">
        <v>1741</v>
      </c>
      <c r="B24" s="4244"/>
      <c r="C24" s="4244"/>
      <c r="D24" s="4244"/>
      <c r="E24" s="4244"/>
      <c r="F24" s="4244"/>
      <c r="G24" s="4244"/>
      <c r="H24" s="4244"/>
      <c r="I24" s="4244"/>
      <c r="J24" s="4244"/>
      <c r="K24" s="4244"/>
      <c r="L24" s="4244"/>
      <c r="M24" s="4244"/>
      <c r="N24" s="4244"/>
      <c r="O24" s="4244"/>
      <c r="P24" s="4245"/>
      <c r="Q24" s="4245"/>
      <c r="R24" s="4245"/>
      <c r="S24" s="4245"/>
      <c r="T24" s="4245"/>
      <c r="U24" s="4245"/>
      <c r="V24" s="4245"/>
      <c r="W24" s="4245"/>
      <c r="X24" s="4246"/>
      <c r="Y24" s="4240"/>
      <c r="Z24" s="4240"/>
      <c r="AA24" s="4240"/>
      <c r="AB24" s="4240"/>
      <c r="AC24" s="4240"/>
      <c r="AD24" s="4240"/>
      <c r="AE24" s="4240"/>
      <c r="AF24" s="4240"/>
      <c r="AG24" s="4240"/>
      <c r="AH24" s="4240"/>
      <c r="AI24" s="4240"/>
      <c r="AJ24" s="4240"/>
      <c r="AK24" s="4240"/>
      <c r="AL24" s="4240"/>
      <c r="AM24" s="4240"/>
      <c r="AN24" s="4240"/>
      <c r="AO24" s="4240"/>
      <c r="AP24" s="4240"/>
      <c r="AQ24" s="4240"/>
      <c r="AR24" s="4240"/>
      <c r="AS24" s="4240"/>
      <c r="AT24" s="4240"/>
      <c r="AU24" s="4240"/>
      <c r="AV24" s="4240"/>
      <c r="AW24" s="4240"/>
      <c r="AX24" s="4240"/>
      <c r="AY24" s="4240"/>
      <c r="AZ24" s="4240"/>
      <c r="BA24" s="4240"/>
      <c r="BB24" s="4240"/>
      <c r="BC24" s="4240"/>
      <c r="BD24" s="4240"/>
      <c r="BE24" s="4240"/>
      <c r="BF24" s="4240"/>
      <c r="BG24" s="4240"/>
      <c r="BH24" s="4240"/>
      <c r="BI24" s="4240"/>
      <c r="BJ24" s="4240"/>
      <c r="BK24" s="4241"/>
      <c r="BL24" s="4241"/>
      <c r="BM24" s="4241"/>
      <c r="BN24" s="4241"/>
      <c r="BO24" s="4241"/>
      <c r="BP24" s="4241"/>
      <c r="BQ24" s="4241"/>
      <c r="BR24" s="4241"/>
      <c r="BS24" s="4241"/>
      <c r="BT24" s="4179"/>
    </row>
    <row r="25" spans="1:72" ht="19.5" customHeight="1">
      <c r="A25" s="4304" t="s">
        <v>546</v>
      </c>
      <c r="B25" s="4305" t="s">
        <v>1894</v>
      </c>
      <c r="C25" s="4306"/>
      <c r="D25" s="4306"/>
      <c r="E25" s="4305" t="s">
        <v>1895</v>
      </c>
      <c r="F25" s="4306"/>
      <c r="G25" s="4306"/>
      <c r="H25" s="4305" t="s">
        <v>1896</v>
      </c>
      <c r="I25" s="4306"/>
      <c r="J25" s="4306"/>
      <c r="K25" s="4307" t="s">
        <v>1869</v>
      </c>
      <c r="L25" s="4308"/>
      <c r="M25" s="4308"/>
      <c r="N25" s="4309"/>
      <c r="O25" s="4310"/>
      <c r="P25" s="4305" t="s">
        <v>1897</v>
      </c>
      <c r="Q25" s="4306"/>
      <c r="R25" s="4306"/>
      <c r="S25" s="4305" t="s">
        <v>1898</v>
      </c>
      <c r="T25" s="4306"/>
      <c r="U25" s="4306"/>
      <c r="V25" s="4305" t="s">
        <v>1899</v>
      </c>
      <c r="W25" s="4306"/>
      <c r="X25" s="4306"/>
      <c r="Y25" s="4307" t="s">
        <v>1870</v>
      </c>
      <c r="Z25" s="4308"/>
      <c r="AA25" s="4308"/>
      <c r="AB25" s="4309"/>
      <c r="AC25" s="4310"/>
      <c r="AD25" s="4318" t="s">
        <v>1871</v>
      </c>
      <c r="AE25" s="4319"/>
      <c r="AF25" s="4319"/>
      <c r="AG25" s="4319"/>
      <c r="AH25" s="4320"/>
      <c r="AI25" s="4305" t="s">
        <v>1377</v>
      </c>
      <c r="AJ25" s="4306"/>
      <c r="AK25" s="4306"/>
      <c r="AL25" s="4305" t="s">
        <v>1900</v>
      </c>
      <c r="AM25" s="4306"/>
      <c r="AN25" s="4306"/>
      <c r="AO25" s="4305" t="s">
        <v>1901</v>
      </c>
      <c r="AP25" s="4306"/>
      <c r="AQ25" s="4306"/>
      <c r="AR25" s="4307" t="s">
        <v>1872</v>
      </c>
      <c r="AS25" s="4308"/>
      <c r="AT25" s="4308"/>
      <c r="AU25" s="4309"/>
      <c r="AV25" s="4310"/>
      <c r="AW25" s="4307" t="s">
        <v>1873</v>
      </c>
      <c r="AX25" s="4308"/>
      <c r="AY25" s="4308"/>
      <c r="AZ25" s="4309"/>
      <c r="BA25" s="4310"/>
      <c r="BB25" s="4305" t="s">
        <v>1902</v>
      </c>
      <c r="BC25" s="4306"/>
      <c r="BD25" s="4306"/>
      <c r="BE25" s="4305" t="s">
        <v>1903</v>
      </c>
      <c r="BF25" s="4306"/>
      <c r="BG25" s="4306"/>
      <c r="BH25" s="4305" t="s">
        <v>1904</v>
      </c>
      <c r="BI25" s="4306"/>
      <c r="BJ25" s="4306"/>
      <c r="BK25" s="4307" t="s">
        <v>1874</v>
      </c>
      <c r="BL25" s="4308"/>
      <c r="BM25" s="4308"/>
      <c r="BN25" s="4309"/>
      <c r="BO25" s="4310"/>
      <c r="BP25" s="4314" t="s">
        <v>887</v>
      </c>
      <c r="BQ25" s="4315"/>
      <c r="BR25" s="4315"/>
      <c r="BS25" s="4316"/>
      <c r="BT25" s="4316"/>
    </row>
    <row r="26" spans="1:72" ht="19.5" customHeight="1">
      <c r="A26" s="4304"/>
      <c r="B26" s="4311" t="s">
        <v>1875</v>
      </c>
      <c r="C26" s="4311" t="s">
        <v>1876</v>
      </c>
      <c r="D26" s="4311" t="s">
        <v>1905</v>
      </c>
      <c r="E26" s="4311" t="s">
        <v>1875</v>
      </c>
      <c r="F26" s="4311" t="s">
        <v>1876</v>
      </c>
      <c r="G26" s="4311" t="s">
        <v>1905</v>
      </c>
      <c r="H26" s="4311" t="s">
        <v>1875</v>
      </c>
      <c r="I26" s="4311" t="s">
        <v>1876</v>
      </c>
      <c r="J26" s="4311" t="s">
        <v>1905</v>
      </c>
      <c r="K26" s="4313" t="s">
        <v>1875</v>
      </c>
      <c r="L26" s="4313" t="s">
        <v>1876</v>
      </c>
      <c r="M26" s="4313" t="s">
        <v>1905</v>
      </c>
      <c r="N26" s="4317" t="s">
        <v>1906</v>
      </c>
      <c r="O26" s="4317"/>
      <c r="P26" s="4311" t="s">
        <v>1875</v>
      </c>
      <c r="Q26" s="4311" t="s">
        <v>1876</v>
      </c>
      <c r="R26" s="4311" t="s">
        <v>1905</v>
      </c>
      <c r="S26" s="4311" t="s">
        <v>1875</v>
      </c>
      <c r="T26" s="4311" t="s">
        <v>1876</v>
      </c>
      <c r="U26" s="4311" t="s">
        <v>1905</v>
      </c>
      <c r="V26" s="4311" t="s">
        <v>1875</v>
      </c>
      <c r="W26" s="4311" t="s">
        <v>1876</v>
      </c>
      <c r="X26" s="4311" t="s">
        <v>1905</v>
      </c>
      <c r="Y26" s="4313" t="s">
        <v>1875</v>
      </c>
      <c r="Z26" s="4313" t="s">
        <v>1876</v>
      </c>
      <c r="AA26" s="4313" t="s">
        <v>1905</v>
      </c>
      <c r="AB26" s="4317" t="s">
        <v>1906</v>
      </c>
      <c r="AC26" s="4317"/>
      <c r="AD26" s="4313" t="s">
        <v>1875</v>
      </c>
      <c r="AE26" s="4313" t="s">
        <v>1876</v>
      </c>
      <c r="AF26" s="4313" t="s">
        <v>1905</v>
      </c>
      <c r="AG26" s="4317" t="s">
        <v>1906</v>
      </c>
      <c r="AH26" s="4317"/>
      <c r="AI26" s="4311" t="s">
        <v>1875</v>
      </c>
      <c r="AJ26" s="4311" t="s">
        <v>1876</v>
      </c>
      <c r="AK26" s="4311" t="s">
        <v>1905</v>
      </c>
      <c r="AL26" s="4311" t="s">
        <v>1875</v>
      </c>
      <c r="AM26" s="4311" t="s">
        <v>1876</v>
      </c>
      <c r="AN26" s="4311" t="s">
        <v>1905</v>
      </c>
      <c r="AO26" s="4311" t="s">
        <v>1875</v>
      </c>
      <c r="AP26" s="4311" t="s">
        <v>1876</v>
      </c>
      <c r="AQ26" s="4311" t="s">
        <v>1905</v>
      </c>
      <c r="AR26" s="4313" t="s">
        <v>1875</v>
      </c>
      <c r="AS26" s="4313" t="s">
        <v>1876</v>
      </c>
      <c r="AT26" s="4313" t="s">
        <v>1905</v>
      </c>
      <c r="AU26" s="4317" t="s">
        <v>1906</v>
      </c>
      <c r="AV26" s="4317"/>
      <c r="AW26" s="4313" t="s">
        <v>1875</v>
      </c>
      <c r="AX26" s="4313" t="s">
        <v>1876</v>
      </c>
      <c r="AY26" s="4313" t="s">
        <v>1905</v>
      </c>
      <c r="AZ26" s="4317" t="s">
        <v>1906</v>
      </c>
      <c r="BA26" s="4317"/>
      <c r="BB26" s="4311" t="s">
        <v>1875</v>
      </c>
      <c r="BC26" s="4311" t="s">
        <v>1876</v>
      </c>
      <c r="BD26" s="4311" t="s">
        <v>1905</v>
      </c>
      <c r="BE26" s="4311" t="s">
        <v>1875</v>
      </c>
      <c r="BF26" s="4311" t="s">
        <v>1876</v>
      </c>
      <c r="BG26" s="4311" t="s">
        <v>1905</v>
      </c>
      <c r="BH26" s="4311" t="s">
        <v>1875</v>
      </c>
      <c r="BI26" s="4311" t="s">
        <v>1876</v>
      </c>
      <c r="BJ26" s="4311" t="s">
        <v>1905</v>
      </c>
      <c r="BK26" s="4313" t="s">
        <v>1875</v>
      </c>
      <c r="BL26" s="4313" t="s">
        <v>1876</v>
      </c>
      <c r="BM26" s="4313" t="s">
        <v>1905</v>
      </c>
      <c r="BN26" s="4317" t="s">
        <v>1906</v>
      </c>
      <c r="BO26" s="4317"/>
      <c r="BP26" s="4321" t="s">
        <v>1875</v>
      </c>
      <c r="BQ26" s="4321" t="s">
        <v>1876</v>
      </c>
      <c r="BR26" s="4321" t="s">
        <v>1905</v>
      </c>
      <c r="BS26" s="4317" t="s">
        <v>1906</v>
      </c>
      <c r="BT26" s="4317"/>
    </row>
    <row r="27" spans="1:72" ht="24.75" customHeight="1">
      <c r="A27" s="4304"/>
      <c r="B27" s="4312"/>
      <c r="C27" s="4312"/>
      <c r="D27" s="4312"/>
      <c r="E27" s="4312"/>
      <c r="F27" s="4312"/>
      <c r="G27" s="4312"/>
      <c r="H27" s="4312"/>
      <c r="I27" s="4312"/>
      <c r="J27" s="4312"/>
      <c r="K27" s="4312"/>
      <c r="L27" s="4312"/>
      <c r="M27" s="4312"/>
      <c r="N27" s="4138" t="s">
        <v>1907</v>
      </c>
      <c r="O27" s="4138" t="s">
        <v>44</v>
      </c>
      <c r="P27" s="4312"/>
      <c r="Q27" s="4312"/>
      <c r="R27" s="4312"/>
      <c r="S27" s="4312"/>
      <c r="T27" s="4312"/>
      <c r="U27" s="4312"/>
      <c r="V27" s="4312"/>
      <c r="W27" s="4312"/>
      <c r="X27" s="4312"/>
      <c r="Y27" s="4312"/>
      <c r="Z27" s="4312"/>
      <c r="AA27" s="4312"/>
      <c r="AB27" s="4138" t="s">
        <v>1907</v>
      </c>
      <c r="AC27" s="4138" t="s">
        <v>44</v>
      </c>
      <c r="AD27" s="4312"/>
      <c r="AE27" s="4312"/>
      <c r="AF27" s="4312"/>
      <c r="AG27" s="4138" t="s">
        <v>1907</v>
      </c>
      <c r="AH27" s="4138" t="s">
        <v>44</v>
      </c>
      <c r="AI27" s="4312"/>
      <c r="AJ27" s="4312"/>
      <c r="AK27" s="4312"/>
      <c r="AL27" s="4312"/>
      <c r="AM27" s="4312"/>
      <c r="AN27" s="4312"/>
      <c r="AO27" s="4312"/>
      <c r="AP27" s="4312"/>
      <c r="AQ27" s="4312"/>
      <c r="AR27" s="4312"/>
      <c r="AS27" s="4312"/>
      <c r="AT27" s="4312"/>
      <c r="AU27" s="4138" t="s">
        <v>1907</v>
      </c>
      <c r="AV27" s="4138" t="s">
        <v>44</v>
      </c>
      <c r="AW27" s="4312"/>
      <c r="AX27" s="4312"/>
      <c r="AY27" s="4312"/>
      <c r="AZ27" s="4138" t="s">
        <v>1907</v>
      </c>
      <c r="BA27" s="4138" t="s">
        <v>44</v>
      </c>
      <c r="BB27" s="4312"/>
      <c r="BC27" s="4312"/>
      <c r="BD27" s="4312"/>
      <c r="BE27" s="4312"/>
      <c r="BF27" s="4312"/>
      <c r="BG27" s="4312"/>
      <c r="BH27" s="4312"/>
      <c r="BI27" s="4312"/>
      <c r="BJ27" s="4312"/>
      <c r="BK27" s="4312"/>
      <c r="BL27" s="4312"/>
      <c r="BM27" s="4312"/>
      <c r="BN27" s="4138" t="s">
        <v>1907</v>
      </c>
      <c r="BO27" s="4138" t="s">
        <v>44</v>
      </c>
      <c r="BP27" s="4312"/>
      <c r="BQ27" s="4312"/>
      <c r="BR27" s="4312"/>
      <c r="BS27" s="4138" t="s">
        <v>1907</v>
      </c>
      <c r="BT27" s="4138" t="s">
        <v>44</v>
      </c>
    </row>
    <row r="28" spans="1:72" ht="18.75" customHeight="1">
      <c r="A28" s="4166" t="s">
        <v>1</v>
      </c>
      <c r="B28" s="4205">
        <f>SUM('Произв. прогр. Стоки (СВОД)'!E34)</f>
        <v>618.45494198187612</v>
      </c>
      <c r="C28" s="4205">
        <f>SUM('ПОЛНАЯ СЕБЕСТОИМОСТЬ СТОКИ 2017'!C144)</f>
        <v>927.85</v>
      </c>
      <c r="D28" s="4206">
        <v>958.36</v>
      </c>
      <c r="E28" s="4205">
        <f>SUM('Произв. прогр. Стоки (СВОД)'!F34)</f>
        <v>620.20045325061005</v>
      </c>
      <c r="F28" s="4205">
        <f>SUM('ПОЛНАЯ СЕБЕСТОИМОСТЬ СТОКИ 2017'!D144)</f>
        <v>811.47</v>
      </c>
      <c r="G28" s="4206">
        <v>857.51</v>
      </c>
      <c r="H28" s="4205">
        <f>SUM('Произв. прогр. Стоки (СВОД)'!G34)</f>
        <v>622.46903223209074</v>
      </c>
      <c r="I28" s="4205">
        <f>SUM('ПОЛНАЯ СЕБЕСТОИМОСТЬ СТОКИ 2017'!E144)</f>
        <v>932.88</v>
      </c>
      <c r="J28" s="4206">
        <v>923.15</v>
      </c>
      <c r="K28" s="4222">
        <f t="shared" ref="K28:M34" si="52">SUM(B28+E28+H28)</f>
        <v>1861.1244274645769</v>
      </c>
      <c r="L28" s="4222">
        <f t="shared" si="52"/>
        <v>2672.2000000000003</v>
      </c>
      <c r="M28" s="4222">
        <f t="shared" si="52"/>
        <v>2739.02</v>
      </c>
      <c r="N28" s="4142">
        <f t="shared" ref="N28:N69" si="53">SUM(L28-K28)</f>
        <v>811.07557253542336</v>
      </c>
      <c r="O28" s="4142">
        <f t="shared" ref="O28:O69" si="54">SUM(N28/K28*100)</f>
        <v>43.579868200448985</v>
      </c>
      <c r="P28" s="4205">
        <f>SUM('Произв. прогр. Стоки (СВОД)'!I34)</f>
        <v>613.8118665365721</v>
      </c>
      <c r="Q28" s="4205">
        <f>SUM('ПОЛНАЯ СЕБЕСТОИМОСТЬ СТОКИ 2017'!H144)</f>
        <v>937.9</v>
      </c>
      <c r="R28" s="4206">
        <v>906.48</v>
      </c>
      <c r="S28" s="4205">
        <f>SUM('Произв. прогр. Стоки (СВОД)'!J34)</f>
        <v>602.21868149092541</v>
      </c>
      <c r="T28" s="4205">
        <f>SUM('ПОЛНАЯ СЕБЕСТОИМОСТЬ СТОКИ 2017'!I144)</f>
        <v>906.31999999999994</v>
      </c>
      <c r="U28" s="4206">
        <v>794.36</v>
      </c>
      <c r="V28" s="4205">
        <f>SUM('Произв. прогр. Стоки (СВОД)'!K34)</f>
        <v>580.92871502323135</v>
      </c>
      <c r="W28" s="4205">
        <f>SUM('ПОЛНАЯ СЕБЕСТОИМОСТЬ СТОКИ 2017'!J144)</f>
        <v>792.14</v>
      </c>
      <c r="X28" s="4206">
        <v>665.35</v>
      </c>
      <c r="Y28" s="4222">
        <f t="shared" ref="Y28:AA34" si="55">SUM(P28+S28+V28)</f>
        <v>1796.9592630507286</v>
      </c>
      <c r="Z28" s="4222">
        <f t="shared" si="55"/>
        <v>2636.3599999999997</v>
      </c>
      <c r="AA28" s="4222">
        <f t="shared" si="55"/>
        <v>2366.19</v>
      </c>
      <c r="AB28" s="4142">
        <f t="shared" ref="AB28:AB63" si="56">SUM(Z28-Y28)</f>
        <v>839.40073694927105</v>
      </c>
      <c r="AC28" s="4142">
        <f t="shared" ref="AC28:AC63" si="57">SUM(AB28/Y28*100)</f>
        <v>46.712285259277721</v>
      </c>
      <c r="AD28" s="4222">
        <f t="shared" ref="AD28:AD34" si="58">SUM(K28+Y28)</f>
        <v>3658.0836905153055</v>
      </c>
      <c r="AE28" s="4222">
        <f t="shared" ref="AE28:AF34" si="59">SUM(L28+Z28)</f>
        <v>5308.5599999999995</v>
      </c>
      <c r="AF28" s="4247">
        <f t="shared" si="59"/>
        <v>5105.21</v>
      </c>
      <c r="AG28" s="4142">
        <f t="shared" ref="AG28:AG63" si="60">SUM(AE28-AD28)</f>
        <v>1650.476309484694</v>
      </c>
      <c r="AH28" s="4142">
        <f t="shared" ref="AH28:AH69" si="61">SUM(AG28/AD28*100)</f>
        <v>45.118604414766558</v>
      </c>
      <c r="AI28" s="4205">
        <f>SUM('Произв. прогр. Стоки (СВОД)'!N34)</f>
        <v>603.72148793483666</v>
      </c>
      <c r="AJ28" s="4205">
        <f>SUM('ПОЛНАЯ СЕБЕСТОИМОСТЬ СТОКИ 2017'!P144)</f>
        <v>916.07</v>
      </c>
      <c r="AK28" s="4206">
        <v>693.79</v>
      </c>
      <c r="AL28" s="4205">
        <f>SUM('Произв. прогр. Стоки (СВОД)'!O34)</f>
        <v>624.74424093173468</v>
      </c>
      <c r="AM28" s="4205">
        <f>SUM('ПОЛНАЯ СЕБЕСТОИМОСТЬ СТОКИ 2017'!Q144)</f>
        <v>873.70999999999992</v>
      </c>
      <c r="AN28" s="4206">
        <v>694.54</v>
      </c>
      <c r="AO28" s="4205">
        <f>SUM('Произв. прогр. Стоки (СВОД)'!P34)</f>
        <v>652.37407057213147</v>
      </c>
      <c r="AP28" s="4205">
        <f>SUM('ПОЛНАЯ СЕБЕСТОИМОСТЬ СТОКИ 2017'!R144)</f>
        <v>920.17</v>
      </c>
      <c r="AQ28" s="4206">
        <v>755.05</v>
      </c>
      <c r="AR28" s="4222">
        <f t="shared" ref="AR28:AT34" si="62">SUM(AI28+AL28+AO28)</f>
        <v>1880.8397994387028</v>
      </c>
      <c r="AS28" s="4222">
        <f t="shared" si="62"/>
        <v>2709.95</v>
      </c>
      <c r="AT28" s="4222">
        <f t="shared" si="62"/>
        <v>2143.38</v>
      </c>
      <c r="AU28" s="4142">
        <f t="shared" ref="AU28:AU63" si="63">SUM(AS28-AR28)</f>
        <v>829.11020056129701</v>
      </c>
      <c r="AV28" s="4142">
        <f t="shared" ref="AV28:AV63" si="64">SUM(AU28/AR28*100)</f>
        <v>44.081914940800779</v>
      </c>
      <c r="AW28" s="4222">
        <f t="shared" ref="AW28:AW34" si="65">SUM(AD28+AR28)</f>
        <v>5538.9234899540079</v>
      </c>
      <c r="AX28" s="4222">
        <f t="shared" ref="AX28:AY34" si="66">SUM(AE28+AS28)</f>
        <v>8018.5099999999993</v>
      </c>
      <c r="AY28" s="4222">
        <f t="shared" si="66"/>
        <v>7248.59</v>
      </c>
      <c r="AZ28" s="4142">
        <f t="shared" ref="AZ28:AZ63" si="67">SUM(AX28-AW28)</f>
        <v>2479.5865100459914</v>
      </c>
      <c r="BA28" s="4142">
        <f t="shared" ref="BA28:BA65" si="68">SUM(AZ28/AW28*100)</f>
        <v>44.766578100297615</v>
      </c>
      <c r="BB28" s="4205">
        <f>SUM('Произв. прогр. Стоки (СВОД)'!S34)</f>
        <v>665.83550238887904</v>
      </c>
      <c r="BC28" s="4205">
        <f>SUM('ПОЛНАЯ СЕБЕСТОИМОСТЬ СТОКИ 2017'!X144)</f>
        <v>0</v>
      </c>
      <c r="BD28" s="4206">
        <v>929.23</v>
      </c>
      <c r="BE28" s="4205">
        <f>SUM('Произв. прогр. Стоки (СВОД)'!T34)</f>
        <v>665.83550238887904</v>
      </c>
      <c r="BF28" s="4205">
        <f>SUM('ПОЛНАЯ СЕБЕСТОИМОСТЬ СТОКИ 2017'!Y144)</f>
        <v>0</v>
      </c>
      <c r="BG28" s="4206">
        <v>871.03</v>
      </c>
      <c r="BH28" s="4205">
        <f>SUM('Произв. прогр. Стоки (СВОД)'!U34)</f>
        <v>665.83550238887904</v>
      </c>
      <c r="BI28" s="4205">
        <f>SUM('ПОЛНАЯ СЕБЕСТОИМОСТЬ СТОКИ 2017'!Z144)</f>
        <v>0</v>
      </c>
      <c r="BJ28" s="4206">
        <v>946.38</v>
      </c>
      <c r="BK28" s="4222">
        <f t="shared" ref="BK28:BM34" si="69">SUM(BB28+BE28+BH28)</f>
        <v>1997.5065071666372</v>
      </c>
      <c r="BL28" s="4222">
        <f t="shared" si="69"/>
        <v>0</v>
      </c>
      <c r="BM28" s="4222">
        <f t="shared" si="69"/>
        <v>2746.64</v>
      </c>
      <c r="BN28" s="4142">
        <f t="shared" ref="BN28:BN63" si="70">SUM(BL28-BK28)</f>
        <v>-1997.5065071666372</v>
      </c>
      <c r="BO28" s="4142">
        <f t="shared" ref="BO28:BO63" si="71">SUM(BN28/BK28*100)</f>
        <v>-100</v>
      </c>
      <c r="BP28" s="4222">
        <f t="shared" ref="BP28:BP34" si="72">SUM(AW28+BK28)</f>
        <v>7536.4299971206456</v>
      </c>
      <c r="BQ28" s="4222">
        <f t="shared" ref="BQ28:BR34" si="73">SUM(AX28+BL28)</f>
        <v>8018.5099999999993</v>
      </c>
      <c r="BR28" s="4222">
        <f t="shared" si="73"/>
        <v>9995.23</v>
      </c>
      <c r="BS28" s="4142">
        <f t="shared" ref="BS28:BS63" si="74">SUM(BQ28-BP28)</f>
        <v>482.08000287935374</v>
      </c>
      <c r="BT28" s="4142">
        <f t="shared" ref="BT28:BT63" si="75">SUM(BS28/BP28*100)</f>
        <v>6.3966626514614529</v>
      </c>
    </row>
    <row r="29" spans="1:72" ht="18.75" customHeight="1">
      <c r="A29" s="4166" t="s">
        <v>2</v>
      </c>
      <c r="B29" s="4205">
        <f>SUM('Произв. прогр. Стоки (СВОД)'!E35)</f>
        <v>431.7258333333333</v>
      </c>
      <c r="C29" s="4205">
        <f>SUM('ПОЛНАЯ СЕБЕСТОИМОСТЬ СТОКИ 2017'!C145)</f>
        <v>420.93</v>
      </c>
      <c r="D29" s="4206">
        <v>415.57</v>
      </c>
      <c r="E29" s="4205">
        <f>SUM('Произв. прогр. Стоки (СВОД)'!F35)</f>
        <v>431.7258333333333</v>
      </c>
      <c r="F29" s="4205">
        <f>SUM('ПОЛНАЯ СЕБЕСТОИМОСТЬ СТОКИ 2017'!D145)</f>
        <v>420.93</v>
      </c>
      <c r="G29" s="4206">
        <v>412.38</v>
      </c>
      <c r="H29" s="4205">
        <f>SUM('Произв. прогр. Стоки (СВОД)'!G35)</f>
        <v>431.7258333333333</v>
      </c>
      <c r="I29" s="4205">
        <f>SUM('ПОЛНАЯ СЕБЕСТОИМОСТЬ СТОКИ 2017'!E145)</f>
        <v>420.93</v>
      </c>
      <c r="J29" s="4206">
        <v>421.01</v>
      </c>
      <c r="K29" s="4222">
        <f t="shared" si="52"/>
        <v>1295.1774999999998</v>
      </c>
      <c r="L29" s="4222">
        <f t="shared" si="52"/>
        <v>1262.79</v>
      </c>
      <c r="M29" s="4222">
        <f t="shared" si="52"/>
        <v>1248.96</v>
      </c>
      <c r="N29" s="4142">
        <f t="shared" si="53"/>
        <v>-32.387499999999818</v>
      </c>
      <c r="O29" s="4142">
        <f t="shared" si="54"/>
        <v>-2.5006225015490018</v>
      </c>
      <c r="P29" s="4205">
        <f>SUM('Произв. прогр. Стоки (СВОД)'!I35)</f>
        <v>431.7258333333333</v>
      </c>
      <c r="Q29" s="4205">
        <f>SUM('ПОЛНАЯ СЕБЕСТОИМОСТЬ СТОКИ 2017'!H145)</f>
        <v>420.95</v>
      </c>
      <c r="R29" s="4206">
        <v>418.6</v>
      </c>
      <c r="S29" s="4205">
        <f>SUM('Произв. прогр. Стоки (СВОД)'!J35)</f>
        <v>431.7258333333333</v>
      </c>
      <c r="T29" s="4205">
        <f>SUM('ПОЛНАЯ СЕБЕСТОИМОСТЬ СТОКИ 2017'!I145)</f>
        <v>421.39</v>
      </c>
      <c r="U29" s="4206">
        <v>418.6</v>
      </c>
      <c r="V29" s="4205">
        <f>SUM('Произв. прогр. Стоки (СВОД)'!K35)</f>
        <v>431.7258333333333</v>
      </c>
      <c r="W29" s="4205">
        <f>SUM('ПОЛНАЯ СЕБЕСТОИМОСТЬ СТОКИ 2017'!J145)</f>
        <v>421.39</v>
      </c>
      <c r="X29" s="4206">
        <v>418.6</v>
      </c>
      <c r="Y29" s="4222">
        <f t="shared" si="55"/>
        <v>1295.1774999999998</v>
      </c>
      <c r="Z29" s="4222">
        <f t="shared" si="55"/>
        <v>1263.73</v>
      </c>
      <c r="AA29" s="4222">
        <f t="shared" si="55"/>
        <v>1255.8000000000002</v>
      </c>
      <c r="AB29" s="4142">
        <f t="shared" si="56"/>
        <v>-31.447499999999764</v>
      </c>
      <c r="AC29" s="4142">
        <f t="shared" si="57"/>
        <v>-2.428045576764557</v>
      </c>
      <c r="AD29" s="4222">
        <f t="shared" si="58"/>
        <v>2590.3549999999996</v>
      </c>
      <c r="AE29" s="4222">
        <f t="shared" si="59"/>
        <v>2526.52</v>
      </c>
      <c r="AF29" s="4247">
        <f t="shared" si="59"/>
        <v>2504.7600000000002</v>
      </c>
      <c r="AG29" s="4142">
        <f t="shared" si="60"/>
        <v>-63.834999999999582</v>
      </c>
      <c r="AH29" s="4142">
        <f t="shared" si="61"/>
        <v>-2.4643340391567796</v>
      </c>
      <c r="AI29" s="4205">
        <f>SUM('Произв. прогр. Стоки (СВОД)'!N35)</f>
        <v>431.7258333333333</v>
      </c>
      <c r="AJ29" s="4205">
        <f>SUM('ПОЛНАЯ СЕБЕСТОИМОСТЬ СТОКИ 2017'!P145)</f>
        <v>418.76</v>
      </c>
      <c r="AK29" s="4206">
        <v>418.6</v>
      </c>
      <c r="AL29" s="4205">
        <f>SUM('Произв. прогр. Стоки (СВОД)'!O35)</f>
        <v>431.7258333333333</v>
      </c>
      <c r="AM29" s="4205">
        <f>SUM('ПОЛНАЯ СЕБЕСТОИМОСТЬ СТОКИ 2017'!Q145)</f>
        <v>418.12</v>
      </c>
      <c r="AN29" s="4206">
        <v>418.1</v>
      </c>
      <c r="AO29" s="4205">
        <f>SUM('Произв. прогр. Стоки (СВОД)'!P35)</f>
        <v>431.7258333333333</v>
      </c>
      <c r="AP29" s="4205">
        <f>SUM('ПОЛНАЯ СЕБЕСТОИМОСТЬ СТОКИ 2017'!R145)</f>
        <v>410.72</v>
      </c>
      <c r="AQ29" s="4206">
        <v>418.1</v>
      </c>
      <c r="AR29" s="4222">
        <f t="shared" si="62"/>
        <v>1295.1774999999998</v>
      </c>
      <c r="AS29" s="4222">
        <f t="shared" si="62"/>
        <v>1247.5999999999999</v>
      </c>
      <c r="AT29" s="4222">
        <f t="shared" si="62"/>
        <v>1254.8000000000002</v>
      </c>
      <c r="AU29" s="4142">
        <f t="shared" si="63"/>
        <v>-47.577499999999873</v>
      </c>
      <c r="AV29" s="4142">
        <f t="shared" si="64"/>
        <v>-3.6734347222677886</v>
      </c>
      <c r="AW29" s="4222">
        <f t="shared" si="65"/>
        <v>3885.5324999999993</v>
      </c>
      <c r="AX29" s="4222">
        <f t="shared" si="66"/>
        <v>3774.12</v>
      </c>
      <c r="AY29" s="4222">
        <f t="shared" si="66"/>
        <v>3759.5600000000004</v>
      </c>
      <c r="AZ29" s="4142">
        <f t="shared" si="67"/>
        <v>-111.41249999999945</v>
      </c>
      <c r="BA29" s="4142">
        <f t="shared" si="68"/>
        <v>-2.8673676001937825</v>
      </c>
      <c r="BB29" s="4205">
        <f>SUM('Произв. прогр. Стоки (СВОД)'!S35)</f>
        <v>431.7258333333333</v>
      </c>
      <c r="BC29" s="4205">
        <f>SUM('ПОЛНАЯ СЕБЕСТОИМОСТЬ СТОКИ 2017'!X145)</f>
        <v>0</v>
      </c>
      <c r="BD29" s="4206">
        <v>421.92</v>
      </c>
      <c r="BE29" s="4205">
        <f>SUM('Произв. прогр. Стоки (СВОД)'!T35)</f>
        <v>431.7258333333333</v>
      </c>
      <c r="BF29" s="4205">
        <f>SUM('ПОЛНАЯ СЕБЕСТОИМОСТЬ СТОКИ 2017'!Y145)</f>
        <v>0</v>
      </c>
      <c r="BG29" s="4206">
        <v>427.63</v>
      </c>
      <c r="BH29" s="4205">
        <f>SUM('Произв. прогр. Стоки (СВОД)'!U35)</f>
        <v>431.7258333333333</v>
      </c>
      <c r="BI29" s="4205">
        <f>SUM('ПОЛНАЯ СЕБЕСТОИМОСТЬ СТОКИ 2017'!Z145)</f>
        <v>0</v>
      </c>
      <c r="BJ29" s="4206">
        <v>427.77</v>
      </c>
      <c r="BK29" s="4222">
        <f t="shared" si="69"/>
        <v>1295.1774999999998</v>
      </c>
      <c r="BL29" s="4222">
        <f t="shared" si="69"/>
        <v>0</v>
      </c>
      <c r="BM29" s="4222">
        <f t="shared" si="69"/>
        <v>1277.32</v>
      </c>
      <c r="BN29" s="4142">
        <f t="shared" si="70"/>
        <v>-1295.1774999999998</v>
      </c>
      <c r="BO29" s="4142">
        <f t="shared" si="71"/>
        <v>-100</v>
      </c>
      <c r="BP29" s="4222">
        <f t="shared" si="72"/>
        <v>5180.7099999999991</v>
      </c>
      <c r="BQ29" s="4222">
        <f t="shared" si="73"/>
        <v>3774.12</v>
      </c>
      <c r="BR29" s="4222">
        <f t="shared" si="73"/>
        <v>5036.88</v>
      </c>
      <c r="BS29" s="4142">
        <f t="shared" si="74"/>
        <v>-1406.5899999999992</v>
      </c>
      <c r="BT29" s="4142">
        <f t="shared" si="75"/>
        <v>-27.150525700145341</v>
      </c>
    </row>
    <row r="30" spans="1:72" ht="18.75" customHeight="1">
      <c r="A30" s="4166" t="s">
        <v>219</v>
      </c>
      <c r="B30" s="4205">
        <f>SUM('Произв. прогр. Стоки (СВОД)'!E36)</f>
        <v>0</v>
      </c>
      <c r="C30" s="4205">
        <f>SUM('ПОЛНАЯ СЕБЕСТОИМОСТЬ СТОКИ 2017'!C146)</f>
        <v>0</v>
      </c>
      <c r="D30" s="4206">
        <v>0</v>
      </c>
      <c r="E30" s="4205">
        <f>SUM('Произв. прогр. Стоки (СВОД)'!F36)</f>
        <v>0</v>
      </c>
      <c r="F30" s="4205">
        <f>SUM('ПОЛНАЯ СЕБЕСТОИМОСТЬ СТОКИ 2017'!D146)</f>
        <v>0</v>
      </c>
      <c r="G30" s="4206">
        <v>0</v>
      </c>
      <c r="H30" s="4205">
        <f>SUM('Произв. прогр. Стоки (СВОД)'!G36)</f>
        <v>0</v>
      </c>
      <c r="I30" s="4205">
        <f>SUM('ПОЛНАЯ СЕБЕСТОИМОСТЬ СТОКИ 2017'!E146)</f>
        <v>0</v>
      </c>
      <c r="J30" s="4206">
        <v>0</v>
      </c>
      <c r="K30" s="4222">
        <f t="shared" si="52"/>
        <v>0</v>
      </c>
      <c r="L30" s="4222">
        <f t="shared" si="52"/>
        <v>0</v>
      </c>
      <c r="M30" s="4222">
        <f t="shared" si="52"/>
        <v>0</v>
      </c>
      <c r="N30" s="4142">
        <f t="shared" si="53"/>
        <v>0</v>
      </c>
      <c r="O30" s="4142" t="e">
        <f t="shared" si="54"/>
        <v>#DIV/0!</v>
      </c>
      <c r="P30" s="4205">
        <f>SUM('Произв. прогр. Стоки (СВОД)'!I36)</f>
        <v>0</v>
      </c>
      <c r="Q30" s="4205">
        <f>SUM('ПОЛНАЯ СЕБЕСТОИМОСТЬ СТОКИ 2017'!H146)</f>
        <v>0</v>
      </c>
      <c r="R30" s="4206">
        <v>0</v>
      </c>
      <c r="S30" s="4205">
        <f>SUM('Произв. прогр. Стоки (СВОД)'!J36)</f>
        <v>0</v>
      </c>
      <c r="T30" s="4205">
        <f>SUM('ПОЛНАЯ СЕБЕСТОИМОСТЬ СТОКИ 2017'!I146)</f>
        <v>0</v>
      </c>
      <c r="U30" s="4206">
        <v>0</v>
      </c>
      <c r="V30" s="4205">
        <f>SUM('Произв. прогр. Стоки (СВОД)'!K36)</f>
        <v>0</v>
      </c>
      <c r="W30" s="4205">
        <f>SUM('ПОЛНАЯ СЕБЕСТОИМОСТЬ СТОКИ 2017'!J146)</f>
        <v>0</v>
      </c>
      <c r="X30" s="4206">
        <v>0</v>
      </c>
      <c r="Y30" s="4222">
        <f t="shared" si="55"/>
        <v>0</v>
      </c>
      <c r="Z30" s="4222">
        <f t="shared" si="55"/>
        <v>0</v>
      </c>
      <c r="AA30" s="4222">
        <f t="shared" si="55"/>
        <v>0</v>
      </c>
      <c r="AB30" s="4142">
        <f t="shared" si="56"/>
        <v>0</v>
      </c>
      <c r="AC30" s="4142" t="e">
        <f t="shared" si="57"/>
        <v>#DIV/0!</v>
      </c>
      <c r="AD30" s="4222">
        <f t="shared" si="58"/>
        <v>0</v>
      </c>
      <c r="AE30" s="4222">
        <f t="shared" si="59"/>
        <v>0</v>
      </c>
      <c r="AF30" s="4247">
        <f t="shared" si="59"/>
        <v>0</v>
      </c>
      <c r="AG30" s="4142">
        <f t="shared" si="60"/>
        <v>0</v>
      </c>
      <c r="AH30" s="4142" t="e">
        <f t="shared" si="61"/>
        <v>#DIV/0!</v>
      </c>
      <c r="AI30" s="4205">
        <f>SUM('Произв. прогр. Стоки (СВОД)'!N36)</f>
        <v>0</v>
      </c>
      <c r="AJ30" s="4205">
        <f>SUM('ПОЛНАЯ СЕБЕСТОИМОСТЬ СТОКИ 2017'!P146)</f>
        <v>0</v>
      </c>
      <c r="AK30" s="4206">
        <v>0</v>
      </c>
      <c r="AL30" s="4205">
        <f>SUM('Произв. прогр. Стоки (СВОД)'!O36)</f>
        <v>0</v>
      </c>
      <c r="AM30" s="4205">
        <f>SUM('ПОЛНАЯ СЕБЕСТОИМОСТЬ СТОКИ 2017'!Q146)</f>
        <v>0</v>
      </c>
      <c r="AN30" s="4206">
        <v>0</v>
      </c>
      <c r="AO30" s="4205">
        <f>SUM('Произв. прогр. Стоки (СВОД)'!P36)</f>
        <v>0</v>
      </c>
      <c r="AP30" s="4205">
        <f>SUM('ПОЛНАЯ СЕБЕСТОИМОСТЬ СТОКИ 2017'!R146)</f>
        <v>0</v>
      </c>
      <c r="AQ30" s="4206">
        <v>0</v>
      </c>
      <c r="AR30" s="4222">
        <f t="shared" si="62"/>
        <v>0</v>
      </c>
      <c r="AS30" s="4222">
        <f t="shared" si="62"/>
        <v>0</v>
      </c>
      <c r="AT30" s="4222">
        <f t="shared" si="62"/>
        <v>0</v>
      </c>
      <c r="AU30" s="4142">
        <f t="shared" si="63"/>
        <v>0</v>
      </c>
      <c r="AV30" s="4142" t="e">
        <f t="shared" si="64"/>
        <v>#DIV/0!</v>
      </c>
      <c r="AW30" s="4222">
        <f t="shared" si="65"/>
        <v>0</v>
      </c>
      <c r="AX30" s="4222">
        <f t="shared" si="66"/>
        <v>0</v>
      </c>
      <c r="AY30" s="4222">
        <f t="shared" si="66"/>
        <v>0</v>
      </c>
      <c r="AZ30" s="4142">
        <f t="shared" si="67"/>
        <v>0</v>
      </c>
      <c r="BA30" s="4142" t="e">
        <f t="shared" si="68"/>
        <v>#DIV/0!</v>
      </c>
      <c r="BB30" s="4205">
        <f>SUM('Произв. прогр. Стоки (СВОД)'!S36)</f>
        <v>0</v>
      </c>
      <c r="BC30" s="4205">
        <f>SUM('ПОЛНАЯ СЕБЕСТОИМОСТЬ СТОКИ 2017'!X146)</f>
        <v>0</v>
      </c>
      <c r="BD30" s="4206">
        <v>0</v>
      </c>
      <c r="BE30" s="4205">
        <f>SUM('Произв. прогр. Стоки (СВОД)'!T36)</f>
        <v>0</v>
      </c>
      <c r="BF30" s="4205">
        <f>SUM('ПОЛНАЯ СЕБЕСТОИМОСТЬ СТОКИ 2017'!Y146)</f>
        <v>0</v>
      </c>
      <c r="BG30" s="4206">
        <v>0</v>
      </c>
      <c r="BH30" s="4205">
        <f>SUM('Произв. прогр. Стоки (СВОД)'!U36)</f>
        <v>0</v>
      </c>
      <c r="BI30" s="4205">
        <f>SUM('ПОЛНАЯ СЕБЕСТОИМОСТЬ СТОКИ 2017'!Z146)</f>
        <v>0</v>
      </c>
      <c r="BJ30" s="4206">
        <v>0</v>
      </c>
      <c r="BK30" s="4222">
        <f t="shared" si="69"/>
        <v>0</v>
      </c>
      <c r="BL30" s="4222">
        <f t="shared" si="69"/>
        <v>0</v>
      </c>
      <c r="BM30" s="4222">
        <f t="shared" si="69"/>
        <v>0</v>
      </c>
      <c r="BN30" s="4142">
        <f t="shared" si="70"/>
        <v>0</v>
      </c>
      <c r="BO30" s="4142" t="e">
        <f t="shared" si="71"/>
        <v>#DIV/0!</v>
      </c>
      <c r="BP30" s="4222">
        <f t="shared" si="72"/>
        <v>0</v>
      </c>
      <c r="BQ30" s="4222">
        <f t="shared" si="73"/>
        <v>0</v>
      </c>
      <c r="BR30" s="4222">
        <f t="shared" si="73"/>
        <v>0</v>
      </c>
      <c r="BS30" s="4142">
        <f t="shared" si="74"/>
        <v>0</v>
      </c>
      <c r="BT30" s="4142" t="e">
        <f t="shared" si="75"/>
        <v>#DIV/0!</v>
      </c>
    </row>
    <row r="31" spans="1:72" ht="18.75" customHeight="1">
      <c r="A31" s="4143" t="s">
        <v>8</v>
      </c>
      <c r="B31" s="4205">
        <f>SUM('Произв. прогр. Стоки (СВОД)'!E37)</f>
        <v>25.834104082146791</v>
      </c>
      <c r="C31" s="4205">
        <f>SUM('ПОЛНАЯ СЕБЕСТОИМОСТЬ СТОКИ 2017'!C147)</f>
        <v>31.4</v>
      </c>
      <c r="D31" s="4206">
        <v>48.59</v>
      </c>
      <c r="E31" s="4205">
        <f>SUM('Произв. прогр. Стоки (СВОД)'!F37)</f>
        <v>25.834104082146791</v>
      </c>
      <c r="F31" s="4205">
        <f>SUM('ПОЛНАЯ СЕБЕСТОИМОСТЬ СТОКИ 2017'!D147)</f>
        <v>28.26</v>
      </c>
      <c r="G31" s="4206">
        <v>52.92</v>
      </c>
      <c r="H31" s="4205">
        <f>SUM('Произв. прогр. Стоки (СВОД)'!G37)</f>
        <v>25.834104082146791</v>
      </c>
      <c r="I31" s="4205">
        <f>SUM('ПОЛНАЯ СЕБЕСТОИМОСТЬ СТОКИ 2017'!E147)</f>
        <v>20.149999999999999</v>
      </c>
      <c r="J31" s="4206">
        <v>55.61</v>
      </c>
      <c r="K31" s="4222">
        <f t="shared" si="52"/>
        <v>77.502312246440368</v>
      </c>
      <c r="L31" s="4222">
        <f t="shared" si="52"/>
        <v>79.81</v>
      </c>
      <c r="M31" s="4222">
        <f t="shared" si="52"/>
        <v>157.12</v>
      </c>
      <c r="N31" s="4142">
        <f t="shared" si="53"/>
        <v>2.3076877535596338</v>
      </c>
      <c r="O31" s="4142">
        <f t="shared" si="54"/>
        <v>2.9775727803084027</v>
      </c>
      <c r="P31" s="4205">
        <f>SUM('Произв. прогр. Стоки (СВОД)'!I37)</f>
        <v>25.834104082146791</v>
      </c>
      <c r="Q31" s="4205">
        <f>SUM('ПОЛНАЯ СЕБЕСТОИМОСТЬ СТОКИ 2017'!H147)</f>
        <v>20.67</v>
      </c>
      <c r="R31" s="4206">
        <v>95.26</v>
      </c>
      <c r="S31" s="4205">
        <f>SUM('Произв. прогр. Стоки (СВОД)'!J37)</f>
        <v>25.834104082146791</v>
      </c>
      <c r="T31" s="4205">
        <f>SUM('ПОЛНАЯ СЕБЕСТОИМОСТЬ СТОКИ 2017'!I147)</f>
        <v>89.68</v>
      </c>
      <c r="U31" s="4206">
        <v>15.88</v>
      </c>
      <c r="V31" s="4205">
        <f>SUM('Произв. прогр. Стоки (СВОД)'!K37)</f>
        <v>25.834104082146791</v>
      </c>
      <c r="W31" s="4205">
        <f>SUM('ПОЛНАЯ СЕБЕСТОИМОСТЬ СТОКИ 2017'!J147)</f>
        <v>70.900000000000006</v>
      </c>
      <c r="X31" s="4206">
        <v>0</v>
      </c>
      <c r="Y31" s="4222">
        <f t="shared" si="55"/>
        <v>77.502312246440368</v>
      </c>
      <c r="Z31" s="4222">
        <f t="shared" si="55"/>
        <v>181.25</v>
      </c>
      <c r="AA31" s="4222">
        <f t="shared" si="55"/>
        <v>111.14</v>
      </c>
      <c r="AB31" s="4142">
        <f t="shared" si="56"/>
        <v>103.74768775355963</v>
      </c>
      <c r="AC31" s="4142">
        <f t="shared" si="57"/>
        <v>133.86399030736621</v>
      </c>
      <c r="AD31" s="4222">
        <f t="shared" si="58"/>
        <v>155.00462449288074</v>
      </c>
      <c r="AE31" s="4222">
        <f t="shared" si="59"/>
        <v>261.06</v>
      </c>
      <c r="AF31" s="4247">
        <f t="shared" si="59"/>
        <v>268.26</v>
      </c>
      <c r="AG31" s="4142">
        <f t="shared" si="60"/>
        <v>106.05537550711927</v>
      </c>
      <c r="AH31" s="4142">
        <f t="shared" si="61"/>
        <v>68.420781543837307</v>
      </c>
      <c r="AI31" s="4205">
        <f>SUM('Произв. прогр. Стоки (СВОД)'!N37)</f>
        <v>25.834104082146791</v>
      </c>
      <c r="AJ31" s="4205">
        <f>SUM('ПОЛНАЯ СЕБЕСТОИМОСТЬ СТОКИ 2017'!P147)</f>
        <v>39.31</v>
      </c>
      <c r="AK31" s="4206">
        <v>9.57</v>
      </c>
      <c r="AL31" s="4205">
        <f>SUM('Произв. прогр. Стоки (СВОД)'!O37)</f>
        <v>25.834104082146791</v>
      </c>
      <c r="AM31" s="4205">
        <f>SUM('ПОЛНАЯ СЕБЕСТОИМОСТЬ СТОКИ 2017'!Q147)</f>
        <v>31.65</v>
      </c>
      <c r="AN31" s="4206">
        <v>61.24</v>
      </c>
      <c r="AO31" s="4205">
        <f>SUM('Произв. прогр. Стоки (СВОД)'!P37)</f>
        <v>25.834104082146791</v>
      </c>
      <c r="AP31" s="4205">
        <f>SUM('ПОЛНАЯ СЕБЕСТОИМОСТЬ СТОКИ 2017'!R147)</f>
        <v>83.66</v>
      </c>
      <c r="AQ31" s="4206">
        <v>104.1</v>
      </c>
      <c r="AR31" s="4222">
        <f t="shared" si="62"/>
        <v>77.502312246440368</v>
      </c>
      <c r="AS31" s="4222">
        <f t="shared" si="62"/>
        <v>154.62</v>
      </c>
      <c r="AT31" s="4222">
        <f t="shared" si="62"/>
        <v>174.91</v>
      </c>
      <c r="AU31" s="4142">
        <f t="shared" si="63"/>
        <v>77.117687753559636</v>
      </c>
      <c r="AV31" s="4142">
        <f t="shared" si="64"/>
        <v>99.503725138344635</v>
      </c>
      <c r="AW31" s="4222">
        <f t="shared" si="65"/>
        <v>232.50693673932111</v>
      </c>
      <c r="AX31" s="4222">
        <f t="shared" si="66"/>
        <v>415.68</v>
      </c>
      <c r="AY31" s="4222">
        <f t="shared" si="66"/>
        <v>443.16999999999996</v>
      </c>
      <c r="AZ31" s="4142">
        <f t="shared" si="67"/>
        <v>183.1730632606789</v>
      </c>
      <c r="BA31" s="4142">
        <f t="shared" si="68"/>
        <v>78.781762742006407</v>
      </c>
      <c r="BB31" s="4205">
        <f>SUM('Произв. прогр. Стоки (СВОД)'!S37)</f>
        <v>25.834104082146791</v>
      </c>
      <c r="BC31" s="4205">
        <f>SUM('ПОЛНАЯ СЕБЕСТОИМОСТЬ СТОКИ 2017'!X147)</f>
        <v>0</v>
      </c>
      <c r="BD31" s="4206">
        <v>64.44</v>
      </c>
      <c r="BE31" s="4205">
        <f>SUM('Произв. прогр. Стоки (СВОД)'!T37)</f>
        <v>25.834104082146791</v>
      </c>
      <c r="BF31" s="4205">
        <f>SUM('ПОЛНАЯ СЕБЕСТОИМОСТЬ СТОКИ 2017'!Y147)</f>
        <v>0</v>
      </c>
      <c r="BG31" s="4206">
        <v>62.8</v>
      </c>
      <c r="BH31" s="4205">
        <f>SUM('Произв. прогр. Стоки (СВОД)'!U37)</f>
        <v>25.834104082146791</v>
      </c>
      <c r="BI31" s="4205">
        <f>SUM('ПОЛНАЯ СЕБЕСТОИМОСТЬ СТОКИ 2017'!Z147)</f>
        <v>0</v>
      </c>
      <c r="BJ31" s="4206">
        <v>81.650000000000006</v>
      </c>
      <c r="BK31" s="4222">
        <f t="shared" si="69"/>
        <v>77.502312246440368</v>
      </c>
      <c r="BL31" s="4222">
        <f t="shared" si="69"/>
        <v>0</v>
      </c>
      <c r="BM31" s="4222">
        <f t="shared" si="69"/>
        <v>208.89</v>
      </c>
      <c r="BN31" s="4142">
        <f t="shared" si="70"/>
        <v>-77.502312246440368</v>
      </c>
      <c r="BO31" s="4142">
        <f t="shared" si="71"/>
        <v>-100</v>
      </c>
      <c r="BP31" s="4222">
        <f t="shared" si="72"/>
        <v>310.00924898576147</v>
      </c>
      <c r="BQ31" s="4222">
        <f t="shared" si="73"/>
        <v>415.68</v>
      </c>
      <c r="BR31" s="4222">
        <f t="shared" si="73"/>
        <v>652.05999999999995</v>
      </c>
      <c r="BS31" s="4142">
        <f t="shared" si="74"/>
        <v>105.67075101423853</v>
      </c>
      <c r="BT31" s="4142">
        <f t="shared" si="75"/>
        <v>34.086322056504812</v>
      </c>
    </row>
    <row r="32" spans="1:72" ht="18.75" customHeight="1">
      <c r="A32" s="4143" t="s">
        <v>3</v>
      </c>
      <c r="B32" s="4205">
        <f>SUM('Произв. прогр. Стоки (СВОД)'!E38)</f>
        <v>26.619955232796606</v>
      </c>
      <c r="C32" s="4205">
        <f>SUM('ПОЛНАЯ СЕБЕСТОИМОСТЬ СТОКИ 2017'!C148)</f>
        <v>62.97</v>
      </c>
      <c r="D32" s="4206">
        <v>26.31</v>
      </c>
      <c r="E32" s="4205">
        <f>SUM('Произв. прогр. Стоки (СВОД)'!F38)</f>
        <v>26.619955232796606</v>
      </c>
      <c r="F32" s="4205">
        <f>SUM('ПОЛНАЯ СЕБЕСТОИМОСТЬ СТОКИ 2017'!D148)</f>
        <v>43.569999999999993</v>
      </c>
      <c r="G32" s="4206">
        <v>111.45</v>
      </c>
      <c r="H32" s="4205">
        <f>SUM('Произв. прогр. Стоки (СВОД)'!G38)</f>
        <v>26.619955232796606</v>
      </c>
      <c r="I32" s="4205">
        <f>SUM('ПОЛНАЯ СЕБЕСТОИМОСТЬ СТОКИ 2017'!E148)</f>
        <v>65.55</v>
      </c>
      <c r="J32" s="4206">
        <v>60.42</v>
      </c>
      <c r="K32" s="4222">
        <f t="shared" si="52"/>
        <v>79.859865698389825</v>
      </c>
      <c r="L32" s="4222">
        <f t="shared" si="52"/>
        <v>172.08999999999997</v>
      </c>
      <c r="M32" s="4222">
        <f t="shared" si="52"/>
        <v>198.18</v>
      </c>
      <c r="N32" s="4142">
        <f t="shared" si="53"/>
        <v>92.23013430161015</v>
      </c>
      <c r="O32" s="4142">
        <f t="shared" si="54"/>
        <v>115.48996920423038</v>
      </c>
      <c r="P32" s="4205">
        <f>SUM('Произв. прогр. Стоки (СВОД)'!I38)</f>
        <v>26.619955232796606</v>
      </c>
      <c r="Q32" s="4205">
        <f>SUM('ПОЛНАЯ СЕБЕСТОИМОСТЬ СТОКИ 2017'!H148)</f>
        <v>725.17</v>
      </c>
      <c r="R32" s="4206">
        <v>50.02</v>
      </c>
      <c r="S32" s="4205">
        <f>SUM('Произв. прогр. Стоки (СВОД)'!J38)</f>
        <v>26.619955232796606</v>
      </c>
      <c r="T32" s="4205">
        <f>SUM('ПОЛНАЯ СЕБЕСТОИМОСТЬ СТОКИ 2017'!I148)</f>
        <v>135.47</v>
      </c>
      <c r="U32" s="4206">
        <v>223.52</v>
      </c>
      <c r="V32" s="4205">
        <f>SUM('Произв. прогр. Стоки (СВОД)'!K38)</f>
        <v>26.619955232796606</v>
      </c>
      <c r="W32" s="4205">
        <f>SUM('ПОЛНАЯ СЕБЕСТОИМОСТЬ СТОКИ 2017'!J148)</f>
        <v>112</v>
      </c>
      <c r="X32" s="4206">
        <v>304.62</v>
      </c>
      <c r="Y32" s="4222">
        <f t="shared" si="55"/>
        <v>79.859865698389825</v>
      </c>
      <c r="Z32" s="4222">
        <f t="shared" si="55"/>
        <v>972.64</v>
      </c>
      <c r="AA32" s="4222">
        <f t="shared" si="55"/>
        <v>578.16000000000008</v>
      </c>
      <c r="AB32" s="4142">
        <f t="shared" si="56"/>
        <v>892.78013430161013</v>
      </c>
      <c r="AC32" s="4142">
        <f t="shared" si="57"/>
        <v>1117.9334281294825</v>
      </c>
      <c r="AD32" s="4222">
        <f t="shared" si="58"/>
        <v>159.71973139677965</v>
      </c>
      <c r="AE32" s="4222">
        <f t="shared" si="59"/>
        <v>1144.73</v>
      </c>
      <c r="AF32" s="4247">
        <f t="shared" si="59"/>
        <v>776.34000000000015</v>
      </c>
      <c r="AG32" s="4142">
        <f t="shared" si="60"/>
        <v>985.01026860322031</v>
      </c>
      <c r="AH32" s="4142">
        <f t="shared" si="61"/>
        <v>616.71169866685648</v>
      </c>
      <c r="AI32" s="4205">
        <f>SUM('Произв. прогр. Стоки (СВОД)'!N38)</f>
        <v>26.619955232796606</v>
      </c>
      <c r="AJ32" s="4205">
        <f>SUM('ПОЛНАЯ СЕБЕСТОИМОСТЬ СТОКИ 2017'!P148)</f>
        <v>53.689999999999991</v>
      </c>
      <c r="AK32" s="4206">
        <v>192.03</v>
      </c>
      <c r="AL32" s="4205">
        <f>SUM('Произв. прогр. Стоки (СВОД)'!O38)</f>
        <v>26.619955232796606</v>
      </c>
      <c r="AM32" s="4205">
        <f>SUM('ПОЛНАЯ СЕБЕСТОИМОСТЬ СТОКИ 2017'!Q148)</f>
        <v>192.29</v>
      </c>
      <c r="AN32" s="4206">
        <v>39.93</v>
      </c>
      <c r="AO32" s="4205">
        <f>SUM('Произв. прогр. Стоки (СВОД)'!P38)</f>
        <v>26.619955232796606</v>
      </c>
      <c r="AP32" s="4205">
        <f>SUM('ПОЛНАЯ СЕБЕСТОИМОСТЬ СТОКИ 2017'!R148)</f>
        <v>63.180000000000007</v>
      </c>
      <c r="AQ32" s="4206">
        <v>96.91</v>
      </c>
      <c r="AR32" s="4222">
        <f t="shared" si="62"/>
        <v>79.859865698389825</v>
      </c>
      <c r="AS32" s="4222">
        <f t="shared" si="62"/>
        <v>309.15999999999997</v>
      </c>
      <c r="AT32" s="4222">
        <f t="shared" si="62"/>
        <v>328.87</v>
      </c>
      <c r="AU32" s="4142">
        <f t="shared" si="63"/>
        <v>229.30013430161014</v>
      </c>
      <c r="AV32" s="4142">
        <f t="shared" si="64"/>
        <v>287.12812411633371</v>
      </c>
      <c r="AW32" s="4222">
        <f t="shared" si="65"/>
        <v>239.57959709516948</v>
      </c>
      <c r="AX32" s="4222">
        <f t="shared" si="66"/>
        <v>1453.8899999999999</v>
      </c>
      <c r="AY32" s="4222">
        <f t="shared" si="66"/>
        <v>1105.21</v>
      </c>
      <c r="AZ32" s="4142">
        <f t="shared" si="67"/>
        <v>1214.3104029048304</v>
      </c>
      <c r="BA32" s="4142">
        <f t="shared" si="68"/>
        <v>506.85050715001552</v>
      </c>
      <c r="BB32" s="4205">
        <f>SUM('Произв. прогр. Стоки (СВОД)'!S38)</f>
        <v>26.619955232796606</v>
      </c>
      <c r="BC32" s="4205">
        <f>SUM('ПОЛНАЯ СЕБЕСТОИМОСТЬ СТОКИ 2017'!X148)</f>
        <v>0</v>
      </c>
      <c r="BD32" s="4206">
        <v>50.12</v>
      </c>
      <c r="BE32" s="4205">
        <f>SUM('Произв. прогр. Стоки (СВОД)'!T38)</f>
        <v>26.619955232796606</v>
      </c>
      <c r="BF32" s="4205">
        <f>SUM('ПОЛНАЯ СЕБЕСТОИМОСТЬ СТОКИ 2017'!Y148)</f>
        <v>0</v>
      </c>
      <c r="BG32" s="4206">
        <v>48.25</v>
      </c>
      <c r="BH32" s="4205">
        <f>SUM('Произв. прогр. Стоки (СВОД)'!U38)</f>
        <v>26.619955232796606</v>
      </c>
      <c r="BI32" s="4205">
        <f>SUM('ПОЛНАЯ СЕБЕСТОИМОСТЬ СТОКИ 2017'!Z148)</f>
        <v>0</v>
      </c>
      <c r="BJ32" s="4206">
        <v>43.48</v>
      </c>
      <c r="BK32" s="4222">
        <f t="shared" si="69"/>
        <v>79.859865698389825</v>
      </c>
      <c r="BL32" s="4222">
        <f t="shared" si="69"/>
        <v>0</v>
      </c>
      <c r="BM32" s="4222">
        <f t="shared" si="69"/>
        <v>141.85</v>
      </c>
      <c r="BN32" s="4142">
        <f t="shared" si="70"/>
        <v>-79.859865698389825</v>
      </c>
      <c r="BO32" s="4142">
        <f t="shared" si="71"/>
        <v>-100</v>
      </c>
      <c r="BP32" s="4222">
        <f t="shared" si="72"/>
        <v>319.4394627935593</v>
      </c>
      <c r="BQ32" s="4222">
        <f t="shared" si="73"/>
        <v>1453.8899999999999</v>
      </c>
      <c r="BR32" s="4222">
        <f t="shared" si="73"/>
        <v>1247.06</v>
      </c>
      <c r="BS32" s="4142">
        <f t="shared" si="74"/>
        <v>1134.4505372064405</v>
      </c>
      <c r="BT32" s="4142">
        <f t="shared" si="75"/>
        <v>355.13788036251162</v>
      </c>
    </row>
    <row r="33" spans="1:72" ht="18.75" customHeight="1">
      <c r="A33" s="4143" t="s">
        <v>4</v>
      </c>
      <c r="B33" s="4205">
        <f>SUM('Произв. прогр. Стоки (СВОД)'!E39)</f>
        <v>2767.7018721933068</v>
      </c>
      <c r="C33" s="4205">
        <f>SUM('ПОЛНАЯ СЕБЕСТОИМОСТЬ СТОКИ 2017'!C149)</f>
        <v>2616.17</v>
      </c>
      <c r="D33" s="4206">
        <v>2197.41</v>
      </c>
      <c r="E33" s="4205">
        <f>SUM('Произв. прогр. Стоки (СВОД)'!F39)</f>
        <v>2767.7018721933068</v>
      </c>
      <c r="F33" s="4205">
        <f>SUM('ПОЛНАЯ СЕБЕСТОИМОСТЬ СТОКИ 2017'!D149)</f>
        <v>2191.8900000000003</v>
      </c>
      <c r="G33" s="4206">
        <v>2110.4299999999998</v>
      </c>
      <c r="H33" s="4205">
        <f>SUM('Произв. прогр. Стоки (СВОД)'!G39)</f>
        <v>2767.7018721933068</v>
      </c>
      <c r="I33" s="4205">
        <f>SUM('ПОЛНАЯ СЕБЕСТОИМОСТЬ СТОКИ 2017'!E149)</f>
        <v>2835.7299999999996</v>
      </c>
      <c r="J33" s="4206">
        <v>2577.5</v>
      </c>
      <c r="K33" s="4222">
        <f t="shared" si="52"/>
        <v>8303.10561657992</v>
      </c>
      <c r="L33" s="4222">
        <f t="shared" si="52"/>
        <v>7643.79</v>
      </c>
      <c r="M33" s="4222">
        <f t="shared" si="52"/>
        <v>6885.34</v>
      </c>
      <c r="N33" s="4142">
        <f t="shared" si="53"/>
        <v>-659.31561657992006</v>
      </c>
      <c r="O33" s="4142">
        <f t="shared" si="54"/>
        <v>-7.9405905094519875</v>
      </c>
      <c r="P33" s="4205">
        <f>SUM('Произв. прогр. Стоки (СВОД)'!I39)</f>
        <v>2767.7018721933068</v>
      </c>
      <c r="Q33" s="4205">
        <f>SUM('ПОЛНАЯ СЕБЕСТОИМОСТЬ СТОКИ 2017'!H149)</f>
        <v>2431.2599999999998</v>
      </c>
      <c r="R33" s="4206">
        <v>2477.92</v>
      </c>
      <c r="S33" s="4205">
        <f>SUM('Произв. прогр. Стоки (СВОД)'!J39)</f>
        <v>2767.7018721933068</v>
      </c>
      <c r="T33" s="4205">
        <f>SUM('ПОЛНАЯ СЕБЕСТОИМОСТЬ СТОКИ 2017'!I149)</f>
        <v>2673</v>
      </c>
      <c r="U33" s="4206">
        <v>2478.27</v>
      </c>
      <c r="V33" s="4205">
        <f>SUM('Произв. прогр. Стоки (СВОД)'!K39)</f>
        <v>2767.7018721933068</v>
      </c>
      <c r="W33" s="4205">
        <f>SUM('ПОЛНАЯ СЕБЕСТОИМОСТЬ СТОКИ 2017'!J149)</f>
        <v>2620.11</v>
      </c>
      <c r="X33" s="4206">
        <v>2487.81</v>
      </c>
      <c r="Y33" s="4222">
        <f t="shared" si="55"/>
        <v>8303.10561657992</v>
      </c>
      <c r="Z33" s="4222">
        <f t="shared" si="55"/>
        <v>7724.3700000000008</v>
      </c>
      <c r="AA33" s="4222">
        <f t="shared" si="55"/>
        <v>7444</v>
      </c>
      <c r="AB33" s="4142">
        <f t="shared" si="56"/>
        <v>-578.73561657991922</v>
      </c>
      <c r="AC33" s="4142">
        <f t="shared" si="57"/>
        <v>-6.9701102612049217</v>
      </c>
      <c r="AD33" s="4222">
        <f t="shared" si="58"/>
        <v>16606.21123315984</v>
      </c>
      <c r="AE33" s="4222">
        <f t="shared" si="59"/>
        <v>15368.16</v>
      </c>
      <c r="AF33" s="4247">
        <f t="shared" si="59"/>
        <v>14329.34</v>
      </c>
      <c r="AG33" s="4142">
        <f t="shared" si="60"/>
        <v>-1238.0512331598402</v>
      </c>
      <c r="AH33" s="4142">
        <f t="shared" si="61"/>
        <v>-7.45535038532846</v>
      </c>
      <c r="AI33" s="4205">
        <f>SUM('Произв. прогр. Стоки (СВОД)'!N39)</f>
        <v>2934.5942950865629</v>
      </c>
      <c r="AJ33" s="4205">
        <f>SUM('ПОЛНАЯ СЕБЕСТОИМОСТЬ СТОКИ 2017'!P149)</f>
        <v>2608.71</v>
      </c>
      <c r="AK33" s="4206">
        <v>2828.42</v>
      </c>
      <c r="AL33" s="4205">
        <f>SUM('Произв. прогр. Стоки (СВОД)'!O39)</f>
        <v>2934.5942950865629</v>
      </c>
      <c r="AM33" s="4205">
        <f>SUM('ПОЛНАЯ СЕБЕСТОИМОСТЬ СТОКИ 2017'!Q149)</f>
        <v>2953.54</v>
      </c>
      <c r="AN33" s="4206">
        <v>2538.2199999999998</v>
      </c>
      <c r="AO33" s="4205">
        <f>SUM('Произв. прогр. Стоки (СВОД)'!P39)</f>
        <v>2934.5942950865629</v>
      </c>
      <c r="AP33" s="4205">
        <f>SUM('ПОЛНАЯ СЕБЕСТОИМОСТЬ СТОКИ 2017'!R149)</f>
        <v>2375.83</v>
      </c>
      <c r="AQ33" s="4206">
        <v>2907.98</v>
      </c>
      <c r="AR33" s="4222">
        <f t="shared" si="62"/>
        <v>8803.7828852596886</v>
      </c>
      <c r="AS33" s="4222">
        <f t="shared" si="62"/>
        <v>7938.08</v>
      </c>
      <c r="AT33" s="4222">
        <f t="shared" si="62"/>
        <v>8274.619999999999</v>
      </c>
      <c r="AU33" s="4142">
        <f t="shared" si="63"/>
        <v>-865.70288525968863</v>
      </c>
      <c r="AV33" s="4142">
        <f t="shared" si="64"/>
        <v>-9.8333057112204401</v>
      </c>
      <c r="AW33" s="4222">
        <f t="shared" si="65"/>
        <v>25409.994118419527</v>
      </c>
      <c r="AX33" s="4222">
        <f t="shared" si="66"/>
        <v>23306.239999999998</v>
      </c>
      <c r="AY33" s="4222">
        <f t="shared" si="66"/>
        <v>22603.96</v>
      </c>
      <c r="AZ33" s="4142">
        <f t="shared" si="67"/>
        <v>-2103.7541184195288</v>
      </c>
      <c r="BA33" s="4142">
        <f t="shared" si="68"/>
        <v>-8.2792389034617369</v>
      </c>
      <c r="BB33" s="4205">
        <f>SUM('Произв. прогр. Стоки (СВОД)'!S39)</f>
        <v>2934.5942950865629</v>
      </c>
      <c r="BC33" s="4205">
        <f>SUM('ПОЛНАЯ СЕБЕСТОИМОСТЬ СТОКИ 2017'!X149)</f>
        <v>0</v>
      </c>
      <c r="BD33" s="4206">
        <v>2433.25</v>
      </c>
      <c r="BE33" s="4205">
        <f>SUM('Произв. прогр. Стоки (СВОД)'!T39)</f>
        <v>2934.5942950865629</v>
      </c>
      <c r="BF33" s="4205">
        <f>SUM('ПОЛНАЯ СЕБЕСТОИМОСТЬ СТОКИ 2017'!Y149)</f>
        <v>0</v>
      </c>
      <c r="BG33" s="4206">
        <v>2592.2399999999998</v>
      </c>
      <c r="BH33" s="4205">
        <f>SUM('Произв. прогр. Стоки (СВОД)'!U39)</f>
        <v>2934.5942950865629</v>
      </c>
      <c r="BI33" s="4205">
        <f>SUM('ПОЛНАЯ СЕБЕСТОИМОСТЬ СТОКИ 2017'!Z149)</f>
        <v>0</v>
      </c>
      <c r="BJ33" s="4206">
        <v>2642.8</v>
      </c>
      <c r="BK33" s="4222">
        <f t="shared" si="69"/>
        <v>8803.7828852596886</v>
      </c>
      <c r="BL33" s="4222">
        <f t="shared" si="69"/>
        <v>0</v>
      </c>
      <c r="BM33" s="4222">
        <f t="shared" si="69"/>
        <v>7668.29</v>
      </c>
      <c r="BN33" s="4142">
        <f t="shared" si="70"/>
        <v>-8803.7828852596886</v>
      </c>
      <c r="BO33" s="4142">
        <f t="shared" si="71"/>
        <v>-100</v>
      </c>
      <c r="BP33" s="4222">
        <f t="shared" si="72"/>
        <v>34213.777003679214</v>
      </c>
      <c r="BQ33" s="4222">
        <f t="shared" si="73"/>
        <v>23306.239999999998</v>
      </c>
      <c r="BR33" s="4222">
        <f t="shared" si="73"/>
        <v>30272.25</v>
      </c>
      <c r="BS33" s="4142">
        <f t="shared" si="74"/>
        <v>-10907.537003679216</v>
      </c>
      <c r="BT33" s="4142">
        <f t="shared" si="75"/>
        <v>-31.880540410683867</v>
      </c>
    </row>
    <row r="34" spans="1:72" ht="18.75" customHeight="1">
      <c r="A34" s="4143" t="s">
        <v>121</v>
      </c>
      <c r="B34" s="4205">
        <f>SUM('Произв. прогр. Стоки (СВОД)'!E40)</f>
        <v>830.81009028010146</v>
      </c>
      <c r="C34" s="4205">
        <f>SUM('ПОЛНАЯ СЕБЕСТОИМОСТЬ СТОКИ 2017'!C150)</f>
        <v>788.68</v>
      </c>
      <c r="D34" s="4206">
        <v>666.4</v>
      </c>
      <c r="E34" s="4205">
        <f>SUM('Произв. прогр. Стоки (СВОД)'!F40)</f>
        <v>830.81009028010146</v>
      </c>
      <c r="F34" s="4205">
        <f>SUM('ПОЛНАЯ СЕБЕСТОИМОСТЬ СТОКИ 2017'!D150)</f>
        <v>659.08999999999992</v>
      </c>
      <c r="G34" s="4206">
        <v>637.55999999999995</v>
      </c>
      <c r="H34" s="4205">
        <f>SUM('Произв. прогр. Стоки (СВОД)'!G40)</f>
        <v>830.81009028010146</v>
      </c>
      <c r="I34" s="4205">
        <f>SUM('ПОЛНАЯ СЕБЕСТОИМОСТЬ СТОКИ 2017'!E150)</f>
        <v>847.37</v>
      </c>
      <c r="J34" s="4206">
        <v>774.04</v>
      </c>
      <c r="K34" s="4222">
        <f t="shared" si="52"/>
        <v>2492.4302708403043</v>
      </c>
      <c r="L34" s="4222">
        <f t="shared" si="52"/>
        <v>2295.14</v>
      </c>
      <c r="M34" s="4222">
        <f t="shared" si="52"/>
        <v>2078</v>
      </c>
      <c r="N34" s="4142">
        <f t="shared" si="53"/>
        <v>-197.2902708403044</v>
      </c>
      <c r="O34" s="4142">
        <f t="shared" si="54"/>
        <v>-7.9155783473047556</v>
      </c>
      <c r="P34" s="4205">
        <f>SUM('Произв. прогр. Стоки (СВОД)'!I40)</f>
        <v>830.81009028010146</v>
      </c>
      <c r="Q34" s="4205">
        <f>SUM('ПОЛНАЯ СЕБЕСТОИМОСТЬ СТОКИ 2017'!H150)</f>
        <v>730.81</v>
      </c>
      <c r="R34" s="4206">
        <v>746.54</v>
      </c>
      <c r="S34" s="4205">
        <f>SUM('Произв. прогр. Стоки (СВОД)'!J40)</f>
        <v>830.81009028010146</v>
      </c>
      <c r="T34" s="4205">
        <f>SUM('ПОЛНАЯ СЕБЕСТОИМОСТЬ СТОКИ 2017'!I150)</f>
        <v>808.53</v>
      </c>
      <c r="U34" s="4206">
        <v>749.51</v>
      </c>
      <c r="V34" s="4205">
        <f>SUM('Произв. прогр. Стоки (СВОД)'!K40)</f>
        <v>830.81009028010146</v>
      </c>
      <c r="W34" s="4205">
        <f>SUM('ПОЛНАЯ СЕБЕСТОИМОСТЬ СТОКИ 2017'!J150)</f>
        <v>795.17</v>
      </c>
      <c r="X34" s="4206">
        <v>754.7</v>
      </c>
      <c r="Y34" s="4222">
        <f t="shared" si="55"/>
        <v>2492.4302708403043</v>
      </c>
      <c r="Z34" s="4222">
        <f t="shared" si="55"/>
        <v>2334.5099999999998</v>
      </c>
      <c r="AA34" s="4222">
        <f t="shared" si="55"/>
        <v>2250.75</v>
      </c>
      <c r="AB34" s="4142">
        <f t="shared" si="56"/>
        <v>-157.92027084030451</v>
      </c>
      <c r="AC34" s="4142">
        <f t="shared" si="57"/>
        <v>-6.3359955416952491</v>
      </c>
      <c r="AD34" s="4222">
        <f t="shared" si="58"/>
        <v>4984.8605416806085</v>
      </c>
      <c r="AE34" s="4222">
        <f t="shared" si="59"/>
        <v>4629.6499999999996</v>
      </c>
      <c r="AF34" s="4247">
        <f t="shared" si="59"/>
        <v>4328.75</v>
      </c>
      <c r="AG34" s="4142">
        <f t="shared" si="60"/>
        <v>-355.21054168060891</v>
      </c>
      <c r="AH34" s="4142">
        <f t="shared" si="61"/>
        <v>-7.1257869445000024</v>
      </c>
      <c r="AI34" s="4205">
        <f>SUM('Произв. прогр. Стоки (СВОД)'!N40)</f>
        <v>880.90793872399172</v>
      </c>
      <c r="AJ34" s="4205">
        <f>SUM('ПОЛНАЯ СЕБЕСТОИМОСТЬ СТОКИ 2017'!P150)</f>
        <v>787.6</v>
      </c>
      <c r="AK34" s="4206">
        <v>854.34</v>
      </c>
      <c r="AL34" s="4205">
        <f>SUM('Произв. прогр. Стоки (СВОД)'!O40)</f>
        <v>880.90793872399172</v>
      </c>
      <c r="AM34" s="4205">
        <f>SUM('ПОЛНАЯ СЕБЕСТОИМОСТЬ СТОКИ 2017'!Q150)</f>
        <v>893.18000000000006</v>
      </c>
      <c r="AN34" s="4206">
        <v>769.06</v>
      </c>
      <c r="AO34" s="4205">
        <f>SUM('Произв. прогр. Стоки (СВОД)'!P40)</f>
        <v>880.90793872399172</v>
      </c>
      <c r="AP34" s="4205">
        <f>SUM('ПОЛНАЯ СЕБЕСТОИМОСТЬ СТОКИ 2017'!R150)</f>
        <v>718.28</v>
      </c>
      <c r="AQ34" s="4206">
        <v>881.24</v>
      </c>
      <c r="AR34" s="4222">
        <f t="shared" si="62"/>
        <v>2642.7238161719752</v>
      </c>
      <c r="AS34" s="4222">
        <f t="shared" si="62"/>
        <v>2399.0600000000004</v>
      </c>
      <c r="AT34" s="4222">
        <f t="shared" si="62"/>
        <v>2504.6400000000003</v>
      </c>
      <c r="AU34" s="4142">
        <f t="shared" si="63"/>
        <v>-243.66381617197476</v>
      </c>
      <c r="AV34" s="4142">
        <f t="shared" si="64"/>
        <v>-9.220177102158388</v>
      </c>
      <c r="AW34" s="4222">
        <f t="shared" si="65"/>
        <v>7627.5843578525837</v>
      </c>
      <c r="AX34" s="4222">
        <f t="shared" si="66"/>
        <v>7028.71</v>
      </c>
      <c r="AY34" s="4222">
        <f t="shared" si="66"/>
        <v>6833.39</v>
      </c>
      <c r="AZ34" s="4142">
        <f t="shared" si="67"/>
        <v>-598.87435785258367</v>
      </c>
      <c r="BA34" s="4142">
        <f t="shared" si="68"/>
        <v>-7.8514288371788847</v>
      </c>
      <c r="BB34" s="4205">
        <f>SUM('Произв. прогр. Стоки (СВОД)'!S40)</f>
        <v>880.90793872399172</v>
      </c>
      <c r="BC34" s="4205">
        <f>SUM('ПОЛНАЯ СЕБЕСТОИМОСТЬ СТОКИ 2017'!X150)</f>
        <v>0</v>
      </c>
      <c r="BD34" s="4206">
        <v>734.02</v>
      </c>
      <c r="BE34" s="4205">
        <f>SUM('Произв. прогр. Стоки (СВОД)'!T40)</f>
        <v>880.90793872399172</v>
      </c>
      <c r="BF34" s="4205">
        <f>SUM('ПОЛНАЯ СЕБЕСТОИМОСТЬ СТОКИ 2017'!Y150)</f>
        <v>0</v>
      </c>
      <c r="BG34" s="4206">
        <v>783.52</v>
      </c>
      <c r="BH34" s="4205">
        <f>SUM('Произв. прогр. Стоки (СВОД)'!U40)</f>
        <v>880.90793872399172</v>
      </c>
      <c r="BI34" s="4205">
        <f>SUM('ПОЛНАЯ СЕБЕСТОИМОСТЬ СТОКИ 2017'!Z150)</f>
        <v>0</v>
      </c>
      <c r="BJ34" s="4206">
        <v>798.34</v>
      </c>
      <c r="BK34" s="4222">
        <f t="shared" si="69"/>
        <v>2642.7238161719752</v>
      </c>
      <c r="BL34" s="4222">
        <f t="shared" si="69"/>
        <v>0</v>
      </c>
      <c r="BM34" s="4222">
        <f t="shared" si="69"/>
        <v>2315.88</v>
      </c>
      <c r="BN34" s="4142">
        <f t="shared" si="70"/>
        <v>-2642.7238161719752</v>
      </c>
      <c r="BO34" s="4142">
        <f t="shared" si="71"/>
        <v>-100</v>
      </c>
      <c r="BP34" s="4222">
        <f t="shared" si="72"/>
        <v>10270.308174024558</v>
      </c>
      <c r="BQ34" s="4222">
        <f t="shared" si="73"/>
        <v>7028.71</v>
      </c>
      <c r="BR34" s="4222">
        <f t="shared" si="73"/>
        <v>9149.27</v>
      </c>
      <c r="BS34" s="4142">
        <f t="shared" si="74"/>
        <v>-3241.5981740245579</v>
      </c>
      <c r="BT34" s="4142">
        <f t="shared" si="75"/>
        <v>-31.562813102562377</v>
      </c>
    </row>
    <row r="35" spans="1:72" ht="18.75" customHeight="1">
      <c r="A35" s="4145" t="s">
        <v>322</v>
      </c>
      <c r="B35" s="4160">
        <f>SUM('Произв. прогр. Стоки (СВОД)'!E41)</f>
        <v>0.30018048498182848</v>
      </c>
      <c r="C35" s="4160">
        <f>SUM('ПОЛНАЯ СЕБЕСТОИМОСТЬ СТОКИ 2017'!C151)</f>
        <v>0.30146358990432576</v>
      </c>
      <c r="D35" s="4160">
        <f t="shared" ref="D35:X35" si="76">SUM(D34/D33)</f>
        <v>0.30326611783872831</v>
      </c>
      <c r="E35" s="4160">
        <f>SUM('Произв. прогр. Стоки (СВОД)'!F41)</f>
        <v>0.30018048498182848</v>
      </c>
      <c r="F35" s="4160">
        <f>SUM('ПОЛНАЯ СЕБЕСТОИМОСТЬ СТОКИ 2017'!D151)</f>
        <v>0.3006948341385744</v>
      </c>
      <c r="G35" s="4160">
        <f t="shared" si="76"/>
        <v>0.30209957212511196</v>
      </c>
      <c r="H35" s="4160">
        <f>SUM('Произв. прогр. Стоки (СВОД)'!G41)</f>
        <v>0.30018048498182848</v>
      </c>
      <c r="I35" s="4160">
        <f>SUM('ПОЛНАЯ СЕБЕСТОИМОСТЬ СТОКИ 2017'!E151)</f>
        <v>0.29881899898791497</v>
      </c>
      <c r="J35" s="4160">
        <f t="shared" si="76"/>
        <v>0.30030649854510183</v>
      </c>
      <c r="K35" s="4161">
        <f t="shared" si="76"/>
        <v>0.30018048498182848</v>
      </c>
      <c r="L35" s="4161">
        <f t="shared" si="76"/>
        <v>0.30026204278244167</v>
      </c>
      <c r="M35" s="4161">
        <f t="shared" si="76"/>
        <v>0.30180063729605217</v>
      </c>
      <c r="N35" s="4162">
        <f t="shared" si="53"/>
        <v>8.1557800613196729E-5</v>
      </c>
      <c r="O35" s="4162">
        <f t="shared" si="54"/>
        <v>2.7169587862493412E-2</v>
      </c>
      <c r="P35" s="4160">
        <f>SUM('Произв. прогр. Стоки (СВОД)'!I41)</f>
        <v>0.30018048498182848</v>
      </c>
      <c r="Q35" s="4160">
        <f>SUM('ПОЛНАЯ СЕБЕСТОИМОСТЬ СТОКИ 2017'!H151)</f>
        <v>0.30058899500670433</v>
      </c>
      <c r="R35" s="4160">
        <f t="shared" si="76"/>
        <v>0.30127687738102921</v>
      </c>
      <c r="S35" s="4160">
        <f>SUM('Произв. прогр. Стоки (СВОД)'!J41)</f>
        <v>0.30018048498182848</v>
      </c>
      <c r="T35" s="4160">
        <f>SUM('ПОЛНАЯ СЕБЕСТОИМОСТЬ СТОКИ 2017'!I151)</f>
        <v>0.30248035914702581</v>
      </c>
      <c r="U35" s="4160">
        <f t="shared" si="76"/>
        <v>0.30243274542321863</v>
      </c>
      <c r="V35" s="4160">
        <f>SUM('Произв. прогр. Стоки (СВОД)'!K41)</f>
        <v>0.30018048498182848</v>
      </c>
      <c r="W35" s="4160">
        <f>SUM('ПОЛНАЯ СЕБЕСТОИМОСТЬ СТОКИ 2017'!J151)</f>
        <v>0.30348725816855016</v>
      </c>
      <c r="X35" s="4160">
        <f t="shared" si="76"/>
        <v>0.30335917935855233</v>
      </c>
      <c r="Y35" s="4161">
        <f t="shared" ref="Y35:BR35" si="77">SUM(Y34/Y33)</f>
        <v>0.30018048498182848</v>
      </c>
      <c r="Z35" s="4161">
        <f t="shared" si="77"/>
        <v>0.30222658935291802</v>
      </c>
      <c r="AA35" s="4161">
        <f t="shared" si="77"/>
        <v>0.3023576034390113</v>
      </c>
      <c r="AB35" s="4162">
        <f t="shared" si="56"/>
        <v>2.046104371089541E-3</v>
      </c>
      <c r="AC35" s="4162">
        <f t="shared" si="57"/>
        <v>0.68162471361634414</v>
      </c>
      <c r="AD35" s="4161">
        <f t="shared" si="77"/>
        <v>0.30018048498182848</v>
      </c>
      <c r="AE35" s="4161">
        <f t="shared" si="77"/>
        <v>0.30124946642929273</v>
      </c>
      <c r="AF35" s="4248">
        <f t="shared" si="77"/>
        <v>0.30208997762632472</v>
      </c>
      <c r="AG35" s="4162">
        <f t="shared" si="60"/>
        <v>1.0689814474642567E-3</v>
      </c>
      <c r="AH35" s="4162">
        <f t="shared" si="61"/>
        <v>0.35611290571702814</v>
      </c>
      <c r="AI35" s="4160">
        <f>SUM('Произв. прогр. Стоки (СВОД)'!N41)</f>
        <v>0.30018048498182853</v>
      </c>
      <c r="AJ35" s="4160">
        <f>SUM('ПОЛНАЯ СЕБЕСТОИМОСТЬ СТОКИ 2017'!P151)</f>
        <v>0.30191167281913284</v>
      </c>
      <c r="AK35" s="4160">
        <f t="shared" si="77"/>
        <v>0.30205556459083166</v>
      </c>
      <c r="AL35" s="4160">
        <f>SUM('Произв. прогр. Стоки (СВОД)'!O41)</f>
        <v>0.30018048498182853</v>
      </c>
      <c r="AM35" s="4160">
        <f>SUM('ПОЛНАЯ СЕБЕСТОИМОСТЬ СТОКИ 2017'!Q151)</f>
        <v>0.30240998936868979</v>
      </c>
      <c r="AN35" s="4160">
        <f t="shared" si="77"/>
        <v>0.30299186043762955</v>
      </c>
      <c r="AO35" s="4160">
        <f>SUM('Произв. прогр. Стоки (СВОД)'!P41)</f>
        <v>0.30018048498182853</v>
      </c>
      <c r="AP35" s="4160">
        <f>SUM('ПОЛНАЯ СЕБЕСТОИМОСТЬ СТОКИ 2017'!R151)</f>
        <v>0.30232802852055912</v>
      </c>
      <c r="AQ35" s="4160">
        <f t="shared" si="77"/>
        <v>0.30304197415388001</v>
      </c>
      <c r="AR35" s="4161">
        <f t="shared" si="77"/>
        <v>0.30018048498182853</v>
      </c>
      <c r="AS35" s="4161">
        <f t="shared" si="77"/>
        <v>0.30222169592647091</v>
      </c>
      <c r="AT35" s="4161">
        <f t="shared" si="77"/>
        <v>0.30268942863841491</v>
      </c>
      <c r="AU35" s="4162">
        <f t="shared" si="63"/>
        <v>2.0412109446423798E-3</v>
      </c>
      <c r="AV35" s="4162">
        <f t="shared" si="64"/>
        <v>0.67999455219946925</v>
      </c>
      <c r="AW35" s="4161">
        <f t="shared" si="77"/>
        <v>0.30018048498182853</v>
      </c>
      <c r="AX35" s="4161">
        <f t="shared" si="77"/>
        <v>0.30158060673879616</v>
      </c>
      <c r="AY35" s="4161">
        <f t="shared" si="77"/>
        <v>0.30230941834970509</v>
      </c>
      <c r="AZ35" s="4162">
        <f t="shared" si="67"/>
        <v>1.4001217569676316E-3</v>
      </c>
      <c r="BA35" s="4162">
        <f t="shared" si="68"/>
        <v>0.46642664230900566</v>
      </c>
      <c r="BB35" s="4160">
        <f>SUM('Произв. прогр. Стоки (СВОД)'!S41)</f>
        <v>0.30018048498182853</v>
      </c>
      <c r="BC35" s="4160" t="e">
        <f>SUM('ПОЛНАЯ СЕБЕСТОИМОСТЬ СТОКИ 2017'!X151)</f>
        <v>#DIV/0!</v>
      </c>
      <c r="BD35" s="4160">
        <f t="shared" si="77"/>
        <v>0.30166238569814036</v>
      </c>
      <c r="BE35" s="4160">
        <f>SUM('Произв. прогр. Стоки (СВОД)'!T41)</f>
        <v>0.30018048498182853</v>
      </c>
      <c r="BF35" s="4160" t="e">
        <f>SUM('ПОЛНАЯ СЕБЕСТОИМОСТЬ СТОКИ 2017'!Y151)</f>
        <v>#DIV/0!</v>
      </c>
      <c r="BG35" s="4160">
        <f t="shared" si="77"/>
        <v>0.30225596395395488</v>
      </c>
      <c r="BH35" s="4160">
        <f>SUM('Произв. прогр. Стоки (СВОД)'!U41)</f>
        <v>0.30018048498182853</v>
      </c>
      <c r="BI35" s="4160" t="e">
        <f>SUM('ПОЛНАЯ СЕБЕСТОИМОСТЬ СТОКИ 2017'!Z151)</f>
        <v>#DIV/0!</v>
      </c>
      <c r="BJ35" s="4160">
        <f t="shared" si="77"/>
        <v>0.30208112607840171</v>
      </c>
      <c r="BK35" s="4161">
        <f t="shared" si="77"/>
        <v>0.30018048498182853</v>
      </c>
      <c r="BL35" s="4161" t="e">
        <f t="shared" si="77"/>
        <v>#DIV/0!</v>
      </c>
      <c r="BM35" s="4161">
        <f t="shared" si="77"/>
        <v>0.30200735757254876</v>
      </c>
      <c r="BN35" s="4162" t="e">
        <f t="shared" si="70"/>
        <v>#DIV/0!</v>
      </c>
      <c r="BO35" s="4162" t="e">
        <f t="shared" si="71"/>
        <v>#DIV/0!</v>
      </c>
      <c r="BP35" s="4161">
        <f t="shared" si="77"/>
        <v>0.30018048498182853</v>
      </c>
      <c r="BQ35" s="4161">
        <f t="shared" si="77"/>
        <v>0.30158060673879616</v>
      </c>
      <c r="BR35" s="4161">
        <f t="shared" si="77"/>
        <v>0.30223290307129469</v>
      </c>
      <c r="BS35" s="4162">
        <f t="shared" si="74"/>
        <v>1.4001217569676316E-3</v>
      </c>
      <c r="BT35" s="4162">
        <f t="shared" si="75"/>
        <v>0.46642664230900566</v>
      </c>
    </row>
    <row r="36" spans="1:72" ht="18.75" customHeight="1">
      <c r="A36" s="4208" t="s">
        <v>1765</v>
      </c>
      <c r="B36" s="4205">
        <f>SUM('Произв. прогр. Стоки (СВОД)'!E42)</f>
        <v>932.81796737054208</v>
      </c>
      <c r="C36" s="4205">
        <f>SUM('ПОЛНАЯ СЕБЕСТОИМОСТЬ СТОКИ 2017'!C152)</f>
        <v>943.18000000000006</v>
      </c>
      <c r="D36" s="4249">
        <f>SUM(D37:D40)</f>
        <v>789.50999999999988</v>
      </c>
      <c r="E36" s="4205">
        <f>SUM('Произв. прогр. Стоки (СВОД)'!F42)</f>
        <v>923.64433880422916</v>
      </c>
      <c r="F36" s="4205">
        <f>SUM('ПОЛНАЯ СЕБЕСТОИМОСТЬ СТОКИ 2017'!D152)</f>
        <v>788.71</v>
      </c>
      <c r="G36" s="4249">
        <f>SUM(G37:G40)</f>
        <v>810.12000000000012</v>
      </c>
      <c r="H36" s="4205">
        <f>SUM('Произв. прогр. Стоки (СВОД)'!G42)</f>
        <v>919.67146562048163</v>
      </c>
      <c r="I36" s="4205">
        <f>SUM('ПОЛНАЯ СЕБЕСТОИМОСТЬ СТОКИ 2017'!E152)</f>
        <v>855.27</v>
      </c>
      <c r="J36" s="4249">
        <f>SUM(J37:J40)</f>
        <v>1326.06</v>
      </c>
      <c r="K36" s="4222">
        <f t="shared" ref="K36:M57" si="78">SUM(B36+E36+H36)</f>
        <v>2776.1337717952529</v>
      </c>
      <c r="L36" s="4222">
        <f t="shared" si="78"/>
        <v>2587.16</v>
      </c>
      <c r="M36" s="4222">
        <f t="shared" si="78"/>
        <v>2925.69</v>
      </c>
      <c r="N36" s="4142">
        <f t="shared" si="53"/>
        <v>-188.97377179525301</v>
      </c>
      <c r="O36" s="4142">
        <f t="shared" si="54"/>
        <v>-6.8070845041825425</v>
      </c>
      <c r="P36" s="4205">
        <f>SUM('Произв. прогр. Стоки (СВОД)'!I42)</f>
        <v>906.00433515744317</v>
      </c>
      <c r="Q36" s="4205">
        <f>SUM('ПОЛНАЯ СЕБЕСТОИМОСТЬ СТОКИ 2017'!H152)</f>
        <v>848.00999999999988</v>
      </c>
      <c r="R36" s="4249">
        <f>SUM(R37:R40)</f>
        <v>943.18</v>
      </c>
      <c r="S36" s="4205">
        <f>SUM('Произв. прогр. Стоки (СВОД)'!J42)</f>
        <v>881.14458024685257</v>
      </c>
      <c r="T36" s="4205">
        <f>SUM('ПОЛНАЯ СЕБЕСТОИМОСТЬ СТОКИ 2017'!I152)</f>
        <v>782.62999999999988</v>
      </c>
      <c r="U36" s="4249">
        <f>SUM(U37:U40)</f>
        <v>640.51</v>
      </c>
      <c r="V36" s="4205">
        <f>SUM('Произв. прогр. Стоки (СВОД)'!K42)</f>
        <v>875.29350312348947</v>
      </c>
      <c r="W36" s="4205">
        <f>SUM('ПОЛНАЯ СЕБЕСТОИМОСТЬ СТОКИ 2017'!J152)</f>
        <v>1065.5800000000002</v>
      </c>
      <c r="X36" s="4249">
        <v>1205.77</v>
      </c>
      <c r="Y36" s="4222">
        <f t="shared" ref="Y36:AA57" si="79">SUM(P36+S36+V36)</f>
        <v>2662.4424185277849</v>
      </c>
      <c r="Z36" s="4222">
        <f t="shared" si="79"/>
        <v>2696.2200000000003</v>
      </c>
      <c r="AA36" s="4222">
        <f t="shared" si="79"/>
        <v>2789.46</v>
      </c>
      <c r="AB36" s="4142">
        <f t="shared" si="56"/>
        <v>33.777581472215388</v>
      </c>
      <c r="AC36" s="4142">
        <f t="shared" si="57"/>
        <v>1.2686689949483649</v>
      </c>
      <c r="AD36" s="4222">
        <f t="shared" ref="AD36:AF57" si="80">SUM(K36+Y36)</f>
        <v>5438.5761903230377</v>
      </c>
      <c r="AE36" s="4222">
        <f t="shared" si="80"/>
        <v>5283.38</v>
      </c>
      <c r="AF36" s="4247">
        <f t="shared" si="80"/>
        <v>5715.15</v>
      </c>
      <c r="AG36" s="4142">
        <f t="shared" si="60"/>
        <v>-155.19619032303763</v>
      </c>
      <c r="AH36" s="4142">
        <f t="shared" si="61"/>
        <v>-2.8536180222901204</v>
      </c>
      <c r="AI36" s="4205">
        <f>SUM('Произв. прогр. Стоки (СВОД)'!N42)</f>
        <v>910.22968826503791</v>
      </c>
      <c r="AJ36" s="4205">
        <f>SUM('ПОЛНАЯ СЕБЕСТОИМОСТЬ СТОКИ 2017'!P152)</f>
        <v>692.73</v>
      </c>
      <c r="AK36" s="4249">
        <f>SUM(AK37:AK40)</f>
        <v>1209.98</v>
      </c>
      <c r="AL36" s="4205">
        <f>SUM('Произв. прогр. Стоки (СВОД)'!O42)</f>
        <v>909.39474776933832</v>
      </c>
      <c r="AM36" s="4205">
        <f>SUM('ПОЛНАЯ СЕБЕСТОИМОСТЬ СТОКИ 2017'!Q152)</f>
        <v>879.81</v>
      </c>
      <c r="AN36" s="4249">
        <f>SUM(AN37:AN40)</f>
        <v>1105.05</v>
      </c>
      <c r="AO36" s="4205">
        <f>SUM('Произв. прогр. Стоки (СВОД)'!P42)</f>
        <v>922.43383308941145</v>
      </c>
      <c r="AP36" s="4205">
        <f>SUM('ПОЛНАЯ СЕБЕСТОИМОСТЬ СТОКИ 2017'!R152)</f>
        <v>1160.6799999999998</v>
      </c>
      <c r="AQ36" s="4249">
        <f>SUM(AQ37:AQ40)</f>
        <v>1062.8200000000002</v>
      </c>
      <c r="AR36" s="4222">
        <f t="shared" ref="AR36:AT57" si="81">SUM(AI36+AL36+AO36)</f>
        <v>2742.0582691237878</v>
      </c>
      <c r="AS36" s="4222">
        <f t="shared" si="81"/>
        <v>2733.22</v>
      </c>
      <c r="AT36" s="4222">
        <f t="shared" si="81"/>
        <v>3377.85</v>
      </c>
      <c r="AU36" s="4142">
        <f t="shared" si="63"/>
        <v>-8.8382691237879953</v>
      </c>
      <c r="AV36" s="4142">
        <f t="shared" si="64"/>
        <v>-0.32232244016507439</v>
      </c>
      <c r="AW36" s="4222">
        <f t="shared" ref="AW36:AY57" si="82">SUM(AD36+AR36)</f>
        <v>8180.6344594468255</v>
      </c>
      <c r="AX36" s="4222">
        <f t="shared" si="82"/>
        <v>8016.6</v>
      </c>
      <c r="AY36" s="4222">
        <f t="shared" si="82"/>
        <v>9093</v>
      </c>
      <c r="AZ36" s="4142">
        <f t="shared" si="67"/>
        <v>-164.03445944682517</v>
      </c>
      <c r="BA36" s="4142">
        <f t="shared" si="68"/>
        <v>-2.0051557157330455</v>
      </c>
      <c r="BB36" s="4205">
        <f>SUM('Произв. прогр. Стоки (СВОД)'!S42)</f>
        <v>942.12209552333854</v>
      </c>
      <c r="BC36" s="4205">
        <f>SUM('ПОЛНАЯ СЕБЕСТОИМОСТЬ СТОКИ 2017'!X152)</f>
        <v>0</v>
      </c>
      <c r="BD36" s="4249">
        <f>SUM(BD37:BD40)</f>
        <v>842.57999999999993</v>
      </c>
      <c r="BE36" s="4205">
        <f>SUM('Произв. прогр. Стоки (СВОД)'!T42)</f>
        <v>952.13508448752555</v>
      </c>
      <c r="BF36" s="4205">
        <f>SUM('ПОЛНАЯ СЕБЕСТОИМОСТЬ СТОКИ 2017'!Y152)</f>
        <v>0</v>
      </c>
      <c r="BG36" s="4249">
        <f>SUM(BG37:BG40)</f>
        <v>883.18999999999994</v>
      </c>
      <c r="BH36" s="4205">
        <f>SUM('Произв. прогр. Стоки (СВОД)'!U42)</f>
        <v>964.62669207293322</v>
      </c>
      <c r="BI36" s="4205">
        <f>SUM('ПОЛНАЯ СЕБЕСТОИМОСТЬ СТОКИ 2017'!Z152)</f>
        <v>0</v>
      </c>
      <c r="BJ36" s="4249">
        <f>SUM(BJ37:BJ40)</f>
        <v>1462.1</v>
      </c>
      <c r="BK36" s="4222">
        <f t="shared" ref="BK36:BM57" si="83">SUM(BB36+BE36+BH36)</f>
        <v>2858.8838720837971</v>
      </c>
      <c r="BL36" s="4222">
        <f t="shared" si="83"/>
        <v>0</v>
      </c>
      <c r="BM36" s="4222">
        <f t="shared" si="83"/>
        <v>3187.87</v>
      </c>
      <c r="BN36" s="4142">
        <f t="shared" si="70"/>
        <v>-2858.8838720837971</v>
      </c>
      <c r="BO36" s="4142">
        <f t="shared" si="71"/>
        <v>-100</v>
      </c>
      <c r="BP36" s="4222">
        <f t="shared" ref="BP36:BR57" si="84">SUM(AW36+BK36)</f>
        <v>11039.518331530622</v>
      </c>
      <c r="BQ36" s="4222">
        <f t="shared" si="84"/>
        <v>8016.6</v>
      </c>
      <c r="BR36" s="4222">
        <f t="shared" si="84"/>
        <v>12280.869999999999</v>
      </c>
      <c r="BS36" s="4142">
        <f t="shared" si="74"/>
        <v>-3022.9183315306218</v>
      </c>
      <c r="BT36" s="4142">
        <f t="shared" si="75"/>
        <v>-27.382701316747543</v>
      </c>
    </row>
    <row r="37" spans="1:72" ht="18.75" customHeight="1">
      <c r="A37" s="4125" t="s">
        <v>1766</v>
      </c>
      <c r="B37" s="4165">
        <f>SUM('Произв. прогр. Стоки (СВОД)'!E43)</f>
        <v>435.00781863512259</v>
      </c>
      <c r="C37" s="4165">
        <f>SUM('ПОЛНАЯ СЕБЕСТОИМОСТЬ СТОКИ 2017'!C153)</f>
        <v>527.91999999999996</v>
      </c>
      <c r="D37" s="4209">
        <v>424.82</v>
      </c>
      <c r="E37" s="4165">
        <f>SUM('Произв. прогр. Стоки (СВОД)'!F43)</f>
        <v>435.00781863512259</v>
      </c>
      <c r="F37" s="4165">
        <f>SUM('ПОЛНАЯ СЕБЕСТОИМОСТЬ СТОКИ 2017'!D153)</f>
        <v>402.18</v>
      </c>
      <c r="G37" s="4209">
        <v>446.61</v>
      </c>
      <c r="H37" s="4165">
        <f>SUM('Произв. прогр. Стоки (СВОД)'!G43)</f>
        <v>435.00781863512259</v>
      </c>
      <c r="I37" s="4165">
        <f>SUM('ПОЛНАЯ СЕБЕСТОИМОСТЬ СТОКИ 2017'!E153)</f>
        <v>361.42999999999995</v>
      </c>
      <c r="J37" s="4209">
        <v>446.39</v>
      </c>
      <c r="K37" s="4221">
        <f t="shared" si="78"/>
        <v>1305.0234559053679</v>
      </c>
      <c r="L37" s="4221">
        <f t="shared" si="78"/>
        <v>1291.5299999999997</v>
      </c>
      <c r="M37" s="4221">
        <f t="shared" si="78"/>
        <v>1317.8200000000002</v>
      </c>
      <c r="N37" s="4149">
        <f t="shared" si="53"/>
        <v>-13.493455905368137</v>
      </c>
      <c r="O37" s="4149">
        <f t="shared" si="54"/>
        <v>-1.0339627111151783</v>
      </c>
      <c r="P37" s="4165">
        <f>SUM('Произв. прогр. Стоки (СВОД)'!I43)</f>
        <v>435.00781863512259</v>
      </c>
      <c r="Q37" s="4165">
        <f>SUM('ПОЛНАЯ СЕБЕСТОИМОСТЬ СТОКИ 2017'!H153)</f>
        <v>468.34</v>
      </c>
      <c r="R37" s="4209">
        <v>528.54999999999995</v>
      </c>
      <c r="S37" s="4165">
        <f>SUM('Произв. прогр. Стоки (СВОД)'!J43)</f>
        <v>435.00781863512259</v>
      </c>
      <c r="T37" s="4165">
        <f>SUM('ПОЛНАЯ СЕБЕСТОИМОСТЬ СТОКИ 2017'!I153)</f>
        <v>311.79999999999995</v>
      </c>
      <c r="U37" s="4209">
        <v>329.31</v>
      </c>
      <c r="V37" s="4165">
        <f>SUM('Произв. прогр. Стоки (СВОД)'!K43)</f>
        <v>435.00781863512259</v>
      </c>
      <c r="W37" s="4165">
        <f>SUM('ПОЛНАЯ СЕБЕСТОИМОСТЬ СТОКИ 2017'!J153)</f>
        <v>452.14</v>
      </c>
      <c r="X37" s="4209">
        <v>463.3</v>
      </c>
      <c r="Y37" s="4221">
        <f t="shared" si="79"/>
        <v>1305.0234559053679</v>
      </c>
      <c r="Z37" s="4221">
        <f t="shared" si="79"/>
        <v>1232.2799999999997</v>
      </c>
      <c r="AA37" s="4221">
        <f t="shared" si="79"/>
        <v>1321.1599999999999</v>
      </c>
      <c r="AB37" s="4149">
        <f t="shared" si="56"/>
        <v>-72.743455905368137</v>
      </c>
      <c r="AC37" s="4149">
        <f t="shared" si="57"/>
        <v>-5.5741109921202092</v>
      </c>
      <c r="AD37" s="4221">
        <f t="shared" si="80"/>
        <v>2610.0469118107358</v>
      </c>
      <c r="AE37" s="4221">
        <f t="shared" si="80"/>
        <v>2523.8099999999995</v>
      </c>
      <c r="AF37" s="4250">
        <f t="shared" si="80"/>
        <v>2638.98</v>
      </c>
      <c r="AG37" s="4149">
        <f t="shared" si="60"/>
        <v>-86.236911810736274</v>
      </c>
      <c r="AH37" s="4149">
        <f t="shared" si="61"/>
        <v>-3.3040368516176937</v>
      </c>
      <c r="AI37" s="4165">
        <f>SUM('Произв. прогр. Стоки (СВОД)'!N43)</f>
        <v>461.23879009882046</v>
      </c>
      <c r="AJ37" s="4165">
        <f>SUM('ПОЛНАЯ СЕБЕСТОИМОСТЬ СТОКИ 2017'!P153)</f>
        <v>317.58000000000004</v>
      </c>
      <c r="AK37" s="4209">
        <v>494.77</v>
      </c>
      <c r="AL37" s="4165">
        <f>SUM('Произв. прогр. Стоки (СВОД)'!O43)</f>
        <v>461.23879009882046</v>
      </c>
      <c r="AM37" s="4165">
        <f>SUM('ПОЛНАЯ СЕБЕСТОИМОСТЬ СТОКИ 2017'!Q153)</f>
        <v>472.88</v>
      </c>
      <c r="AN37" s="4209">
        <v>520.88</v>
      </c>
      <c r="AO37" s="4165">
        <f>SUM('Произв. прогр. Стоки (СВОД)'!P43)</f>
        <v>461.23879009882046</v>
      </c>
      <c r="AP37" s="4165">
        <f>SUM('ПОЛНАЯ СЕБЕСТОИМОСТЬ СТОКИ 2017'!R153)</f>
        <v>446.46000000000004</v>
      </c>
      <c r="AQ37" s="4209">
        <v>456.07</v>
      </c>
      <c r="AR37" s="4221">
        <f t="shared" si="81"/>
        <v>1383.7163702964613</v>
      </c>
      <c r="AS37" s="4221">
        <f t="shared" si="81"/>
        <v>1236.92</v>
      </c>
      <c r="AT37" s="4221">
        <f t="shared" si="81"/>
        <v>1471.72</v>
      </c>
      <c r="AU37" s="4149">
        <f t="shared" si="63"/>
        <v>-146.79637029646119</v>
      </c>
      <c r="AV37" s="4149">
        <f t="shared" si="64"/>
        <v>-10.608848276110953</v>
      </c>
      <c r="AW37" s="4221">
        <f t="shared" si="82"/>
        <v>3993.763282107197</v>
      </c>
      <c r="AX37" s="4221">
        <f t="shared" si="82"/>
        <v>3760.7299999999996</v>
      </c>
      <c r="AY37" s="4221">
        <f t="shared" si="82"/>
        <v>4110.7</v>
      </c>
      <c r="AZ37" s="4149">
        <f t="shared" si="67"/>
        <v>-233.03328210719746</v>
      </c>
      <c r="BA37" s="4149">
        <f t="shared" si="68"/>
        <v>-5.8349297553820971</v>
      </c>
      <c r="BB37" s="4165">
        <f>SUM('Произв. прогр. Стоки (СВОД)'!S43)</f>
        <v>461.23879009882046</v>
      </c>
      <c r="BC37" s="4165">
        <f>SUM('ПОЛНАЯ СЕБЕСТОИМОСТЬ СТОКИ 2017'!X153)</f>
        <v>0</v>
      </c>
      <c r="BD37" s="4209">
        <v>446.49</v>
      </c>
      <c r="BE37" s="4165">
        <f>SUM('Произв. прогр. Стоки (СВОД)'!T43)</f>
        <v>461.23879009882046</v>
      </c>
      <c r="BF37" s="4165">
        <f>SUM('ПОЛНАЯ СЕБЕСТОИМОСТЬ СТОКИ 2017'!Y153)</f>
        <v>0</v>
      </c>
      <c r="BG37" s="4209">
        <v>440.94</v>
      </c>
      <c r="BH37" s="4165">
        <f>SUM('Произв. прогр. Стоки (СВОД)'!U43)</f>
        <v>461.23879009882046</v>
      </c>
      <c r="BI37" s="4165">
        <f>SUM('ПОЛНАЯ СЕБЕСТОИМОСТЬ СТОКИ 2017'!Z153)</f>
        <v>0</v>
      </c>
      <c r="BJ37" s="4209">
        <v>467.82</v>
      </c>
      <c r="BK37" s="4221">
        <f t="shared" si="83"/>
        <v>1383.7163702964613</v>
      </c>
      <c r="BL37" s="4221">
        <f t="shared" si="83"/>
        <v>0</v>
      </c>
      <c r="BM37" s="4221">
        <f t="shared" si="83"/>
        <v>1355.25</v>
      </c>
      <c r="BN37" s="4149">
        <f t="shared" si="70"/>
        <v>-1383.7163702964613</v>
      </c>
      <c r="BO37" s="4149">
        <f t="shared" si="71"/>
        <v>-100</v>
      </c>
      <c r="BP37" s="4221">
        <f t="shared" si="84"/>
        <v>5377.4796524036583</v>
      </c>
      <c r="BQ37" s="4221">
        <f t="shared" si="84"/>
        <v>3760.7299999999996</v>
      </c>
      <c r="BR37" s="4221">
        <f t="shared" si="84"/>
        <v>5465.95</v>
      </c>
      <c r="BS37" s="4149">
        <f t="shared" si="74"/>
        <v>-1616.7496524036587</v>
      </c>
      <c r="BT37" s="4149">
        <f t="shared" si="75"/>
        <v>-30.065193304469208</v>
      </c>
    </row>
    <row r="38" spans="1:72" ht="18.75" customHeight="1">
      <c r="A38" s="4125" t="s">
        <v>1767</v>
      </c>
      <c r="B38" s="4165">
        <f>SUM('Произв. прогр. Стоки (СВОД)'!E44)</f>
        <v>130.51862656966458</v>
      </c>
      <c r="C38" s="4165">
        <f>SUM('ПОЛНАЯ СЕБЕСТОИМОСТЬ СТОКИ 2017'!C154)</f>
        <v>159.41</v>
      </c>
      <c r="D38" s="4209">
        <v>128.24</v>
      </c>
      <c r="E38" s="4165">
        <f>SUM('Произв. прогр. Стоки (СВОД)'!F44)</f>
        <v>130.51862656966458</v>
      </c>
      <c r="F38" s="4165">
        <f>SUM('ПОЛНАЯ СЕБЕСТОИМОСТЬ СТОКИ 2017'!D154)</f>
        <v>121.42</v>
      </c>
      <c r="G38" s="4209">
        <v>134.81</v>
      </c>
      <c r="H38" s="4165">
        <f>SUM('Произв. прогр. Стоки (СВОД)'!G44)</f>
        <v>130.51862656966458</v>
      </c>
      <c r="I38" s="4165">
        <f>SUM('ПОЛНАЯ СЕБЕСТОИМОСТЬ СТОКИ 2017'!E154)</f>
        <v>109.11000000000001</v>
      </c>
      <c r="J38" s="4209">
        <v>134.75</v>
      </c>
      <c r="K38" s="4221">
        <f t="shared" si="78"/>
        <v>391.55587970899376</v>
      </c>
      <c r="L38" s="4221">
        <f t="shared" si="78"/>
        <v>389.94</v>
      </c>
      <c r="M38" s="4221">
        <f t="shared" si="78"/>
        <v>397.8</v>
      </c>
      <c r="N38" s="4149">
        <f t="shared" si="53"/>
        <v>-1.6158797089937593</v>
      </c>
      <c r="O38" s="4149">
        <f t="shared" si="54"/>
        <v>-0.41268176337811324</v>
      </c>
      <c r="P38" s="4165">
        <f>SUM('Произв. прогр. Стоки (СВОД)'!I44)</f>
        <v>130.51862656966458</v>
      </c>
      <c r="Q38" s="4165">
        <f>SUM('ПОЛНАЯ СЕБЕСТОИМОСТЬ СТОКИ 2017'!H154)</f>
        <v>140.01999999999998</v>
      </c>
      <c r="R38" s="4209">
        <v>159.53</v>
      </c>
      <c r="S38" s="4165">
        <f>SUM('Произв. прогр. Стоки (СВОД)'!J44)</f>
        <v>130.51862656966458</v>
      </c>
      <c r="T38" s="4165">
        <f>SUM('ПОЛНАЯ СЕБЕСТОИМОСТЬ СТОКИ 2017'!I154)</f>
        <v>94.149999999999991</v>
      </c>
      <c r="U38" s="4209">
        <v>98.12</v>
      </c>
      <c r="V38" s="4165">
        <f>SUM('Произв. прогр. Стоки (СВОД)'!K44)</f>
        <v>130.51862656966458</v>
      </c>
      <c r="W38" s="4165">
        <f>SUM('ПОЛНАЯ СЕБЕСТОИМОСТЬ СТОКИ 2017'!J154)</f>
        <v>136.51</v>
      </c>
      <c r="X38" s="4209">
        <v>139.85</v>
      </c>
      <c r="Y38" s="4221">
        <f t="shared" si="79"/>
        <v>391.55587970899376</v>
      </c>
      <c r="Z38" s="4221">
        <f t="shared" si="79"/>
        <v>370.67999999999995</v>
      </c>
      <c r="AA38" s="4221">
        <f t="shared" si="79"/>
        <v>397.5</v>
      </c>
      <c r="AB38" s="4149">
        <f t="shared" si="56"/>
        <v>-20.875879708993807</v>
      </c>
      <c r="AC38" s="4149">
        <f t="shared" si="57"/>
        <v>-5.3315199160101647</v>
      </c>
      <c r="AD38" s="4221">
        <f t="shared" si="80"/>
        <v>783.11175941798751</v>
      </c>
      <c r="AE38" s="4221">
        <f t="shared" si="80"/>
        <v>760.61999999999989</v>
      </c>
      <c r="AF38" s="4250">
        <f t="shared" si="80"/>
        <v>795.3</v>
      </c>
      <c r="AG38" s="4149">
        <f t="shared" si="60"/>
        <v>-22.491759417987623</v>
      </c>
      <c r="AH38" s="4149">
        <f t="shared" si="61"/>
        <v>-2.8721008396941463</v>
      </c>
      <c r="AI38" s="4165">
        <f>SUM('Произв. прогр. Стоки (СВОД)'!N44)</f>
        <v>138.38889975181536</v>
      </c>
      <c r="AJ38" s="4165">
        <f>SUM('ПОЛНАЯ СЕБЕСТОИМОСТЬ СТОКИ 2017'!P154)</f>
        <v>94.52</v>
      </c>
      <c r="AK38" s="4209">
        <v>148.6</v>
      </c>
      <c r="AL38" s="4165">
        <f>SUM('Произв. прогр. Стоки (СВОД)'!O44)</f>
        <v>138.38889975181536</v>
      </c>
      <c r="AM38" s="4165">
        <f>SUM('ПОЛНАЯ СЕБЕСТОИМОСТЬ СТОКИ 2017'!Q154)</f>
        <v>141.41999999999999</v>
      </c>
      <c r="AN38" s="4209">
        <v>157.26</v>
      </c>
      <c r="AO38" s="4165">
        <f>SUM('Произв. прогр. Стоки (СВОД)'!P44)</f>
        <v>138.38889975181536</v>
      </c>
      <c r="AP38" s="4165">
        <f>SUM('ПОЛНАЯ СЕБЕСТОИМОСТЬ СТОКИ 2017'!R154)</f>
        <v>134.79</v>
      </c>
      <c r="AQ38" s="4209">
        <v>137.69999999999999</v>
      </c>
      <c r="AR38" s="4221">
        <f t="shared" si="81"/>
        <v>415.16669925544608</v>
      </c>
      <c r="AS38" s="4221">
        <f t="shared" si="81"/>
        <v>370.73</v>
      </c>
      <c r="AT38" s="4221">
        <f t="shared" si="81"/>
        <v>443.56</v>
      </c>
      <c r="AU38" s="4149">
        <f t="shared" si="63"/>
        <v>-44.436699255446058</v>
      </c>
      <c r="AV38" s="4149">
        <f t="shared" si="64"/>
        <v>-10.703339004582542</v>
      </c>
      <c r="AW38" s="4221">
        <f t="shared" si="82"/>
        <v>1198.2784586734335</v>
      </c>
      <c r="AX38" s="4221">
        <f t="shared" si="82"/>
        <v>1131.3499999999999</v>
      </c>
      <c r="AY38" s="4221">
        <f t="shared" si="82"/>
        <v>1238.8599999999999</v>
      </c>
      <c r="AZ38" s="4149">
        <f t="shared" si="67"/>
        <v>-66.928458673433624</v>
      </c>
      <c r="BA38" s="4149">
        <f t="shared" si="68"/>
        <v>-5.5853844479126717</v>
      </c>
      <c r="BB38" s="4165">
        <f>SUM('Произв. прогр. Стоки (СВОД)'!S44)</f>
        <v>138.38889975181536</v>
      </c>
      <c r="BC38" s="4165">
        <f>SUM('ПОЛНАЯ СЕБЕСТОИМОСТЬ СТОКИ 2017'!X154)</f>
        <v>0</v>
      </c>
      <c r="BD38" s="4209">
        <v>134.80000000000001</v>
      </c>
      <c r="BE38" s="4165">
        <f>SUM('Произв. прогр. Стоки (СВОД)'!T44)</f>
        <v>138.38889975181536</v>
      </c>
      <c r="BF38" s="4165">
        <f>SUM('ПОЛНАЯ СЕБЕСТОИМОСТЬ СТОКИ 2017'!Y154)</f>
        <v>0</v>
      </c>
      <c r="BG38" s="4209">
        <v>133.12</v>
      </c>
      <c r="BH38" s="4165">
        <f>SUM('Произв. прогр. Стоки (СВОД)'!U44)</f>
        <v>138.38889975181536</v>
      </c>
      <c r="BI38" s="4165">
        <f>SUM('ПОЛНАЯ СЕБЕСТОИМОСТЬ СТОКИ 2017'!Z154)</f>
        <v>0</v>
      </c>
      <c r="BJ38" s="4209">
        <v>139</v>
      </c>
      <c r="BK38" s="4221">
        <f t="shared" si="83"/>
        <v>415.16669925544608</v>
      </c>
      <c r="BL38" s="4221">
        <f t="shared" si="83"/>
        <v>0</v>
      </c>
      <c r="BM38" s="4221">
        <f t="shared" si="83"/>
        <v>406.92</v>
      </c>
      <c r="BN38" s="4149">
        <f t="shared" si="70"/>
        <v>-415.16669925544608</v>
      </c>
      <c r="BO38" s="4149">
        <f t="shared" si="71"/>
        <v>-100</v>
      </c>
      <c r="BP38" s="4221">
        <f t="shared" si="84"/>
        <v>1613.4451579288796</v>
      </c>
      <c r="BQ38" s="4221">
        <f t="shared" si="84"/>
        <v>1131.3499999999999</v>
      </c>
      <c r="BR38" s="4221">
        <f t="shared" si="84"/>
        <v>1645.78</v>
      </c>
      <c r="BS38" s="4149">
        <f t="shared" si="74"/>
        <v>-482.09515792887964</v>
      </c>
      <c r="BT38" s="4149">
        <f t="shared" si="75"/>
        <v>-29.879860220828796</v>
      </c>
    </row>
    <row r="39" spans="1:72" ht="18.75" customHeight="1">
      <c r="A39" s="4125" t="s">
        <v>31</v>
      </c>
      <c r="B39" s="4165">
        <f>SUM('Произв. прогр. Стоки'!E98)</f>
        <v>59.630796885082304</v>
      </c>
      <c r="C39" s="4165">
        <f>SUM('ПОЛНАЯ СЕБЕСТОИМОСТЬ СТОКИ 2017'!C155)</f>
        <v>57.09</v>
      </c>
      <c r="D39" s="4209">
        <v>53.43</v>
      </c>
      <c r="E39" s="4165">
        <f>SUM('Произв. прогр. Стоки'!F98)</f>
        <v>59.630796885082304</v>
      </c>
      <c r="F39" s="4165">
        <f>SUM('ПОЛНАЯ СЕБЕСТОИМОСТЬ СТОКИ 2017'!D155)</f>
        <v>52.58</v>
      </c>
      <c r="G39" s="4209">
        <v>66.27</v>
      </c>
      <c r="H39" s="4165">
        <f>SUM('Произв. прогр. Стоки'!G98)</f>
        <v>59.630796885082304</v>
      </c>
      <c r="I39" s="4165">
        <f>SUM('ПОЛНАЯ СЕБЕСТОИМОСТЬ СТОКИ 2017'!E155)</f>
        <v>63</v>
      </c>
      <c r="J39" s="4209">
        <v>63.15</v>
      </c>
      <c r="K39" s="4221">
        <f t="shared" si="78"/>
        <v>178.89239065524691</v>
      </c>
      <c r="L39" s="4221">
        <f t="shared" si="78"/>
        <v>172.67000000000002</v>
      </c>
      <c r="M39" s="4221">
        <f t="shared" si="78"/>
        <v>182.85</v>
      </c>
      <c r="N39" s="4149">
        <f t="shared" si="53"/>
        <v>-6.2223906552468975</v>
      </c>
      <c r="O39" s="4149">
        <f t="shared" si="54"/>
        <v>-3.4782869368873266</v>
      </c>
      <c r="P39" s="4165">
        <f>SUM('Произв. прогр. Стоки'!I98)</f>
        <v>59.630796885082304</v>
      </c>
      <c r="Q39" s="4165">
        <f>SUM('ПОЛНАЯ СЕБЕСТОИМОСТЬ СТОКИ 2017'!H155)</f>
        <v>61.5</v>
      </c>
      <c r="R39" s="4209">
        <v>69.680000000000007</v>
      </c>
      <c r="S39" s="4165">
        <f>SUM('Произв. прогр. Стоки'!J98)</f>
        <v>59.630796885082304</v>
      </c>
      <c r="T39" s="4165">
        <f>SUM('ПОЛНАЯ СЕБЕСТОИМОСТЬ СТОКИ 2017'!I155)</f>
        <v>88.54</v>
      </c>
      <c r="U39" s="4209">
        <v>57.51</v>
      </c>
      <c r="V39" s="4165">
        <f>SUM('Произв. прогр. Стоки'!K98)</f>
        <v>59.630796885082304</v>
      </c>
      <c r="W39" s="4165">
        <f>SUM('ПОЛНАЯ СЕБЕСТОИМОСТЬ СТОКИ 2017'!J155)</f>
        <v>59.98</v>
      </c>
      <c r="X39" s="4209">
        <v>58.56</v>
      </c>
      <c r="Y39" s="4221">
        <f t="shared" si="79"/>
        <v>178.89239065524691</v>
      </c>
      <c r="Z39" s="4221">
        <f t="shared" si="79"/>
        <v>210.02</v>
      </c>
      <c r="AA39" s="4221">
        <f t="shared" si="79"/>
        <v>185.75</v>
      </c>
      <c r="AB39" s="4149">
        <f t="shared" si="56"/>
        <v>31.127609344753097</v>
      </c>
      <c r="AC39" s="4149">
        <f t="shared" si="57"/>
        <v>17.400186352666491</v>
      </c>
      <c r="AD39" s="4221">
        <f t="shared" si="80"/>
        <v>357.78478131049383</v>
      </c>
      <c r="AE39" s="4221">
        <f t="shared" si="80"/>
        <v>382.69000000000005</v>
      </c>
      <c r="AF39" s="4250">
        <f t="shared" si="80"/>
        <v>368.6</v>
      </c>
      <c r="AG39" s="4149">
        <f t="shared" si="60"/>
        <v>24.905218689506228</v>
      </c>
      <c r="AH39" s="4149">
        <f t="shared" si="61"/>
        <v>6.9609497078895899</v>
      </c>
      <c r="AI39" s="4165">
        <f>SUM('Произв. прогр. Стоки'!N98)</f>
        <v>59.630796885082304</v>
      </c>
      <c r="AJ39" s="4165">
        <f>SUM('ПОЛНАЯ СЕБЕСТОИМОСТЬ СТОКИ 2017'!P155)</f>
        <v>74.210000000000008</v>
      </c>
      <c r="AK39" s="4209">
        <v>61.18</v>
      </c>
      <c r="AL39" s="4165">
        <f>SUM('Произв. прогр. Стоки'!O98)</f>
        <v>59.630796885082304</v>
      </c>
      <c r="AM39" s="4165">
        <f>SUM('ПОЛНАЯ СЕБЕСТОИМОСТЬ СТОКИ 2017'!Q155)</f>
        <v>79.180000000000007</v>
      </c>
      <c r="AN39" s="4209">
        <v>70.599999999999994</v>
      </c>
      <c r="AO39" s="4165">
        <f>SUM('Произв. прогр. Стоки'!P98)</f>
        <v>59.630796885082304</v>
      </c>
      <c r="AP39" s="4165">
        <f>SUM('ПОЛНАЯ СЕБЕСТОИМОСТЬ СТОКИ 2017'!R155)</f>
        <v>64.319999999999993</v>
      </c>
      <c r="AQ39" s="4209">
        <v>50.58</v>
      </c>
      <c r="AR39" s="4221">
        <f t="shared" si="81"/>
        <v>178.89239065524691</v>
      </c>
      <c r="AS39" s="4221">
        <f t="shared" si="81"/>
        <v>217.71</v>
      </c>
      <c r="AT39" s="4221">
        <f t="shared" si="81"/>
        <v>182.36</v>
      </c>
      <c r="AU39" s="4149">
        <f t="shared" si="63"/>
        <v>38.817609344753095</v>
      </c>
      <c r="AV39" s="4149">
        <f t="shared" si="64"/>
        <v>21.698859969712508</v>
      </c>
      <c r="AW39" s="4221">
        <f t="shared" si="82"/>
        <v>536.67717196574074</v>
      </c>
      <c r="AX39" s="4221">
        <f t="shared" si="82"/>
        <v>600.40000000000009</v>
      </c>
      <c r="AY39" s="4221">
        <f t="shared" si="82"/>
        <v>550.96</v>
      </c>
      <c r="AZ39" s="4149">
        <f t="shared" si="67"/>
        <v>63.722828034259351</v>
      </c>
      <c r="BA39" s="4149">
        <f t="shared" si="68"/>
        <v>11.873586461830568</v>
      </c>
      <c r="BB39" s="4165">
        <f>SUM('Произв. прогр. Стоки'!S98)</f>
        <v>59.630796885082304</v>
      </c>
      <c r="BC39" s="4165">
        <f>SUM('ПОЛНАЯ СЕБЕСТОИМОСТЬ СТОКИ 2017'!X155)</f>
        <v>0</v>
      </c>
      <c r="BD39" s="4209">
        <v>52.62</v>
      </c>
      <c r="BE39" s="4165">
        <f>SUM('Произв. прогр. Стоки'!T98)</f>
        <v>59.630796885082304</v>
      </c>
      <c r="BF39" s="4165">
        <f>SUM('ПОЛНАЯ СЕБЕСТОИМОСТЬ СТОКИ 2017'!Y155)</f>
        <v>0</v>
      </c>
      <c r="BG39" s="4209">
        <v>43.78</v>
      </c>
      <c r="BH39" s="4165">
        <f>SUM('Произв. прогр. Стоки'!U98)</f>
        <v>59.630796885082304</v>
      </c>
      <c r="BI39" s="4165">
        <f>SUM('ПОЛНАЯ СЕБЕСТОИМОСТЬ СТОКИ 2017'!Z155)</f>
        <v>0</v>
      </c>
      <c r="BJ39" s="4209">
        <v>60.14</v>
      </c>
      <c r="BK39" s="4221">
        <f t="shared" si="83"/>
        <v>178.89239065524691</v>
      </c>
      <c r="BL39" s="4221">
        <f t="shared" si="83"/>
        <v>0</v>
      </c>
      <c r="BM39" s="4221">
        <f t="shared" si="83"/>
        <v>156.54000000000002</v>
      </c>
      <c r="BN39" s="4149">
        <f t="shared" si="70"/>
        <v>-178.89239065524691</v>
      </c>
      <c r="BO39" s="4149">
        <f t="shared" si="71"/>
        <v>-100</v>
      </c>
      <c r="BP39" s="4221">
        <f t="shared" si="84"/>
        <v>715.56956262098765</v>
      </c>
      <c r="BQ39" s="4221">
        <f t="shared" si="84"/>
        <v>600.40000000000009</v>
      </c>
      <c r="BR39" s="4221">
        <f t="shared" si="84"/>
        <v>707.5</v>
      </c>
      <c r="BS39" s="4149">
        <f t="shared" si="74"/>
        <v>-115.16956262098756</v>
      </c>
      <c r="BT39" s="4149">
        <f t="shared" si="75"/>
        <v>-16.094810153627073</v>
      </c>
    </row>
    <row r="40" spans="1:72" ht="18.75" customHeight="1">
      <c r="A40" s="4125" t="s">
        <v>300</v>
      </c>
      <c r="B40" s="4165">
        <f>SUM(B36-B37-B38-B39)</f>
        <v>307.66072528067264</v>
      </c>
      <c r="C40" s="4165">
        <f>SUM('ПОЛНАЯ СЕБЕСТОИМОСТЬ СТОКИ 2017'!C156)</f>
        <v>198.7600000000001</v>
      </c>
      <c r="D40" s="4209">
        <v>183.02</v>
      </c>
      <c r="E40" s="4165">
        <f>SUM(E36-E37-E38-E39)</f>
        <v>298.48709671435972</v>
      </c>
      <c r="F40" s="4165">
        <f>SUM('ПОЛНАЯ СЕБЕСТОИМОСТЬ СТОКИ 2017'!D156)</f>
        <v>212.53000000000003</v>
      </c>
      <c r="G40" s="4209">
        <v>162.43</v>
      </c>
      <c r="H40" s="4165">
        <f>SUM(H36-H37-H38-H39)</f>
        <v>294.51422353061218</v>
      </c>
      <c r="I40" s="4165">
        <f>SUM('ПОЛНАЯ СЕБЕСТОИМОСТЬ СТОКИ 2017'!E156)</f>
        <v>321.73</v>
      </c>
      <c r="J40" s="4209">
        <v>681.77</v>
      </c>
      <c r="K40" s="4221">
        <f t="shared" si="78"/>
        <v>900.66204552564454</v>
      </c>
      <c r="L40" s="4221">
        <f t="shared" si="78"/>
        <v>733.02000000000021</v>
      </c>
      <c r="M40" s="4221">
        <f t="shared" si="78"/>
        <v>1027.22</v>
      </c>
      <c r="N40" s="4149">
        <f t="shared" si="53"/>
        <v>-167.64204552564433</v>
      </c>
      <c r="O40" s="4149">
        <f t="shared" si="54"/>
        <v>-18.613201961653115</v>
      </c>
      <c r="P40" s="4165">
        <f>SUM(P36-P37-P38-P39)</f>
        <v>280.84709306757372</v>
      </c>
      <c r="Q40" s="4165">
        <f>SUM('ПОЛНАЯ СЕБЕСТОИМОСТЬ СТОКИ 2017'!H156)</f>
        <v>178.14999999999992</v>
      </c>
      <c r="R40" s="4209">
        <v>185.42</v>
      </c>
      <c r="S40" s="4165">
        <f>SUM(S36-S37-S38-S39)</f>
        <v>255.98733815698313</v>
      </c>
      <c r="T40" s="4165">
        <f>SUM('ПОЛНАЯ СЕБЕСТОИМОСТЬ СТОКИ 2017'!I156)</f>
        <v>288.13999999999993</v>
      </c>
      <c r="U40" s="4209">
        <v>155.57</v>
      </c>
      <c r="V40" s="4165">
        <f>SUM(V36-V37-V38-V39)</f>
        <v>250.13626103362003</v>
      </c>
      <c r="W40" s="4165">
        <f>SUM('ПОЛНАЯ СЕБЕСТОИМОСТЬ СТОКИ 2017'!J156)</f>
        <v>416.95000000000016</v>
      </c>
      <c r="X40" s="4209">
        <v>544.05999999999995</v>
      </c>
      <c r="Y40" s="4221">
        <f t="shared" si="79"/>
        <v>786.97069225817688</v>
      </c>
      <c r="Z40" s="4221">
        <f t="shared" si="79"/>
        <v>883.24</v>
      </c>
      <c r="AA40" s="4221">
        <f t="shared" si="79"/>
        <v>885.05</v>
      </c>
      <c r="AB40" s="4149">
        <f t="shared" si="56"/>
        <v>96.269307741823127</v>
      </c>
      <c r="AC40" s="4149">
        <f t="shared" si="57"/>
        <v>12.232896178837702</v>
      </c>
      <c r="AD40" s="4221">
        <f t="shared" si="80"/>
        <v>1687.6327377838215</v>
      </c>
      <c r="AE40" s="4221">
        <f t="shared" si="80"/>
        <v>1616.2600000000002</v>
      </c>
      <c r="AF40" s="4250">
        <f t="shared" si="80"/>
        <v>1912.27</v>
      </c>
      <c r="AG40" s="4149">
        <f t="shared" si="60"/>
        <v>-71.372737783821321</v>
      </c>
      <c r="AH40" s="4149">
        <f t="shared" si="61"/>
        <v>-4.2291629088415954</v>
      </c>
      <c r="AI40" s="4165">
        <f>SUM(AI36-AI37-AI38-AI39)</f>
        <v>250.97120152931979</v>
      </c>
      <c r="AJ40" s="4165">
        <f>SUM('ПОЛНАЯ СЕБЕСТОИМОСТЬ СТОКИ 2017'!P156)</f>
        <v>206.42</v>
      </c>
      <c r="AK40" s="4209">
        <v>505.43</v>
      </c>
      <c r="AL40" s="4165">
        <f>SUM(AL36-AL37-AL38-AL39)</f>
        <v>250.1362610336202</v>
      </c>
      <c r="AM40" s="4165">
        <f>SUM('ПОЛНАЯ СЕБЕСТОИМОСТЬ СТОКИ 2017'!Q156)</f>
        <v>186.32999999999998</v>
      </c>
      <c r="AN40" s="4209">
        <v>356.31</v>
      </c>
      <c r="AO40" s="4165">
        <f>SUM(AO36-AO37-AO38-AO39)</f>
        <v>263.17534635369333</v>
      </c>
      <c r="AP40" s="4165">
        <f>SUM('ПОЛНАЯ СЕБЕСТОИМОСТЬ СТОКИ 2017'!R156)</f>
        <v>515.1099999999999</v>
      </c>
      <c r="AQ40" s="4209">
        <v>418.47</v>
      </c>
      <c r="AR40" s="4221">
        <f t="shared" si="81"/>
        <v>764.28280891663326</v>
      </c>
      <c r="AS40" s="4221">
        <f t="shared" si="81"/>
        <v>907.8599999999999</v>
      </c>
      <c r="AT40" s="4221">
        <f t="shared" si="81"/>
        <v>1280.21</v>
      </c>
      <c r="AU40" s="4149">
        <f t="shared" si="63"/>
        <v>143.57719108336664</v>
      </c>
      <c r="AV40" s="4149">
        <f t="shared" si="64"/>
        <v>18.785872115439378</v>
      </c>
      <c r="AW40" s="4221">
        <f t="shared" si="82"/>
        <v>2451.9155467004548</v>
      </c>
      <c r="AX40" s="4221">
        <f t="shared" si="82"/>
        <v>2524.12</v>
      </c>
      <c r="AY40" s="4221">
        <f t="shared" si="82"/>
        <v>3192.48</v>
      </c>
      <c r="AZ40" s="4149">
        <f t="shared" si="67"/>
        <v>72.204453299545094</v>
      </c>
      <c r="BA40" s="4149">
        <f t="shared" si="68"/>
        <v>2.9448181197231973</v>
      </c>
      <c r="BB40" s="4165">
        <f>SUM(BB36-BB37-BB38-BB39)</f>
        <v>282.86360878762042</v>
      </c>
      <c r="BC40" s="4165">
        <f>SUM('ПОЛНАЯ СЕБЕСТОИМОСТЬ СТОКИ 2017'!X156)</f>
        <v>0</v>
      </c>
      <c r="BD40" s="4209">
        <v>208.67</v>
      </c>
      <c r="BE40" s="4165">
        <f>SUM(BE36-BE37-BE38-BE39)</f>
        <v>292.87659775180742</v>
      </c>
      <c r="BF40" s="4165">
        <f>SUM('ПОЛНАЯ СЕБЕСТОИМОСТЬ СТОКИ 2017'!Y156)</f>
        <v>0</v>
      </c>
      <c r="BG40" s="4209">
        <v>265.35000000000002</v>
      </c>
      <c r="BH40" s="4165">
        <f>SUM(BH36-BH37-BH38-BH39)</f>
        <v>305.3682053372151</v>
      </c>
      <c r="BI40" s="4165">
        <f>SUM('ПОЛНАЯ СЕБЕСТОИМОСТЬ СТОКИ 2017'!Z156)</f>
        <v>0</v>
      </c>
      <c r="BJ40" s="4209">
        <v>795.14</v>
      </c>
      <c r="BK40" s="4221">
        <f t="shared" si="83"/>
        <v>881.108411876643</v>
      </c>
      <c r="BL40" s="4221">
        <f t="shared" si="83"/>
        <v>0</v>
      </c>
      <c r="BM40" s="4221">
        <f t="shared" si="83"/>
        <v>1269.1599999999999</v>
      </c>
      <c r="BN40" s="4149">
        <f t="shared" si="70"/>
        <v>-881.108411876643</v>
      </c>
      <c r="BO40" s="4149">
        <f t="shared" si="71"/>
        <v>-100</v>
      </c>
      <c r="BP40" s="4221">
        <f t="shared" si="84"/>
        <v>3333.0239585770978</v>
      </c>
      <c r="BQ40" s="4221">
        <f t="shared" si="84"/>
        <v>2524.12</v>
      </c>
      <c r="BR40" s="4221">
        <f t="shared" si="84"/>
        <v>4461.6399999999994</v>
      </c>
      <c r="BS40" s="4149">
        <f t="shared" si="74"/>
        <v>-808.90395857709791</v>
      </c>
      <c r="BT40" s="4149">
        <f t="shared" si="75"/>
        <v>-24.269371256557886</v>
      </c>
    </row>
    <row r="41" spans="1:72" ht="18.75" customHeight="1">
      <c r="A41" s="4208" t="s">
        <v>1744</v>
      </c>
      <c r="B41" s="4205">
        <f>SUM('Произв. прогр. Стоки (СВОД)'!E46)</f>
        <v>0</v>
      </c>
      <c r="C41" s="4205">
        <f>SUM('ПОЛНАЯ СЕБЕСТОИМОСТЬ СТОКИ 2017'!C157)</f>
        <v>0</v>
      </c>
      <c r="D41" s="4249">
        <f>SUM(D42:D44)</f>
        <v>0</v>
      </c>
      <c r="E41" s="4205">
        <f>SUM('Произв. прогр. Стоки (СВОД)'!F46)</f>
        <v>0</v>
      </c>
      <c r="F41" s="4205">
        <f>SUM('ПОЛНАЯ СЕБЕСТОИМОСТЬ СТОКИ 2017'!D157)</f>
        <v>0</v>
      </c>
      <c r="G41" s="4249">
        <f>SUM(G42:G44)</f>
        <v>0</v>
      </c>
      <c r="H41" s="4205">
        <f>SUM('Произв. прогр. Стоки (СВОД)'!G46)</f>
        <v>448.51</v>
      </c>
      <c r="I41" s="4205">
        <f>SUM('ПОЛНАЯ СЕБЕСТОИМОСТЬ СТОКИ 2017'!E157)</f>
        <v>10.78</v>
      </c>
      <c r="J41" s="4249">
        <f>SUM(J42:J44)</f>
        <v>59.18</v>
      </c>
      <c r="K41" s="4222">
        <f t="shared" si="78"/>
        <v>448.51</v>
      </c>
      <c r="L41" s="4222">
        <f t="shared" si="78"/>
        <v>10.78</v>
      </c>
      <c r="M41" s="4222">
        <f t="shared" si="78"/>
        <v>59.18</v>
      </c>
      <c r="N41" s="4142">
        <f t="shared" si="53"/>
        <v>-437.73</v>
      </c>
      <c r="O41" s="4142">
        <f t="shared" si="54"/>
        <v>-97.596486143006857</v>
      </c>
      <c r="P41" s="4205">
        <f>SUM('Произв. прогр. Стоки (СВОД)'!I46)</f>
        <v>0</v>
      </c>
      <c r="Q41" s="4205">
        <f>SUM('ПОЛНАЯ СЕБЕСТОИМОСТЬ СТОКИ 2017'!H157)</f>
        <v>0</v>
      </c>
      <c r="R41" s="4249">
        <f>SUM(R42:R44)</f>
        <v>0</v>
      </c>
      <c r="S41" s="4205">
        <f>SUM('Произв. прогр. Стоки (СВОД)'!J46)</f>
        <v>0</v>
      </c>
      <c r="T41" s="4205">
        <f>SUM('ПОЛНАЯ СЕБЕСТОИМОСТЬ СТОКИ 2017'!I157)</f>
        <v>0</v>
      </c>
      <c r="U41" s="4249">
        <f>SUM(U42:U44)</f>
        <v>0</v>
      </c>
      <c r="V41" s="4205">
        <f>SUM('Произв. прогр. Стоки (СВОД)'!K46)</f>
        <v>448.51</v>
      </c>
      <c r="W41" s="4205">
        <f>SUM('ПОЛНАЯ СЕБЕСТОИМОСТЬ СТОКИ 2017'!J157)</f>
        <v>10.79</v>
      </c>
      <c r="X41" s="4249">
        <f>SUM(X42:X44)</f>
        <v>268.45999999999998</v>
      </c>
      <c r="Y41" s="4222">
        <f t="shared" si="79"/>
        <v>448.51</v>
      </c>
      <c r="Z41" s="4222">
        <f t="shared" si="79"/>
        <v>10.79</v>
      </c>
      <c r="AA41" s="4222">
        <f t="shared" si="79"/>
        <v>268.45999999999998</v>
      </c>
      <c r="AB41" s="4142">
        <f t="shared" si="56"/>
        <v>-437.71999999999997</v>
      </c>
      <c r="AC41" s="4142">
        <f t="shared" si="57"/>
        <v>-97.594256538315747</v>
      </c>
      <c r="AD41" s="4222">
        <f t="shared" si="80"/>
        <v>897.02</v>
      </c>
      <c r="AE41" s="4222">
        <f t="shared" si="80"/>
        <v>21.57</v>
      </c>
      <c r="AF41" s="4247">
        <f t="shared" si="80"/>
        <v>327.64</v>
      </c>
      <c r="AG41" s="4142">
        <f t="shared" si="60"/>
        <v>-875.44999999999993</v>
      </c>
      <c r="AH41" s="4142">
        <f t="shared" si="61"/>
        <v>-97.595371340661302</v>
      </c>
      <c r="AI41" s="4205">
        <f>SUM('Произв. прогр. Стоки (СВОД)'!N46)</f>
        <v>0</v>
      </c>
      <c r="AJ41" s="4205">
        <f>SUM('ПОЛНАЯ СЕБЕСТОИМОСТЬ СТОКИ 2017'!P157)</f>
        <v>0</v>
      </c>
      <c r="AK41" s="4249">
        <f>SUM(AK42:AK44)</f>
        <v>0</v>
      </c>
      <c r="AL41" s="4205">
        <f>SUM('Произв. прогр. Стоки (СВОД)'!O46)</f>
        <v>0</v>
      </c>
      <c r="AM41" s="4205">
        <f>SUM('ПОЛНАЯ СЕБЕСТОИМОСТЬ СТОКИ 2017'!Q157)</f>
        <v>0</v>
      </c>
      <c r="AN41" s="4249">
        <f>SUM(AN42:AN44)</f>
        <v>0</v>
      </c>
      <c r="AO41" s="4205">
        <f>SUM('Произв. прогр. Стоки (СВОД)'!P46)</f>
        <v>448.51</v>
      </c>
      <c r="AP41" s="4205">
        <f>SUM('ПОЛНАЯ СЕБЕСТОИМОСТЬ СТОКИ 2017'!R157)</f>
        <v>10.79</v>
      </c>
      <c r="AQ41" s="4249">
        <f>SUM(AQ42:AQ44)</f>
        <v>208.51999999999998</v>
      </c>
      <c r="AR41" s="4222">
        <f t="shared" si="81"/>
        <v>448.51</v>
      </c>
      <c r="AS41" s="4222">
        <f t="shared" si="81"/>
        <v>10.79</v>
      </c>
      <c r="AT41" s="4222">
        <f t="shared" si="81"/>
        <v>208.51999999999998</v>
      </c>
      <c r="AU41" s="4142">
        <f t="shared" si="63"/>
        <v>-437.71999999999997</v>
      </c>
      <c r="AV41" s="4142">
        <f t="shared" si="64"/>
        <v>-97.594256538315747</v>
      </c>
      <c r="AW41" s="4222">
        <f t="shared" si="82"/>
        <v>1345.53</v>
      </c>
      <c r="AX41" s="4222">
        <f t="shared" si="82"/>
        <v>32.36</v>
      </c>
      <c r="AY41" s="4222">
        <f t="shared" si="82"/>
        <v>536.16</v>
      </c>
      <c r="AZ41" s="4142">
        <f t="shared" si="67"/>
        <v>-1313.17</v>
      </c>
      <c r="BA41" s="4142">
        <f t="shared" si="68"/>
        <v>-97.594999739879455</v>
      </c>
      <c r="BB41" s="4205">
        <f>SUM('Произв. прогр. Стоки (СВОД)'!S46)</f>
        <v>0</v>
      </c>
      <c r="BC41" s="4205">
        <f>SUM('ПОЛНАЯ СЕБЕСТОИМОСТЬ СТОКИ 2017'!X157)</f>
        <v>0</v>
      </c>
      <c r="BD41" s="4249">
        <f>SUM(BD42:BD44)</f>
        <v>0</v>
      </c>
      <c r="BE41" s="4205">
        <f>SUM('Произв. прогр. Стоки (СВОД)'!T46)</f>
        <v>0</v>
      </c>
      <c r="BF41" s="4205">
        <f>SUM('ПОЛНАЯ СЕБЕСТОИМОСТЬ СТОКИ 2017'!Y157)</f>
        <v>0</v>
      </c>
      <c r="BG41" s="4249">
        <f>SUM(BG42:BG44)</f>
        <v>0</v>
      </c>
      <c r="BH41" s="4205">
        <f>SUM('Произв. прогр. Стоки (СВОД)'!U46)</f>
        <v>448.51</v>
      </c>
      <c r="BI41" s="4205">
        <f>SUM('ПОЛНАЯ СЕБЕСТОИМОСТЬ СТОКИ 2017'!Z157)</f>
        <v>0</v>
      </c>
      <c r="BJ41" s="4249">
        <f>SUM(BJ42:BJ44)</f>
        <v>-489.53</v>
      </c>
      <c r="BK41" s="4222">
        <f t="shared" si="83"/>
        <v>448.51</v>
      </c>
      <c r="BL41" s="4222">
        <f t="shared" si="83"/>
        <v>0</v>
      </c>
      <c r="BM41" s="4222">
        <f t="shared" si="83"/>
        <v>-489.53</v>
      </c>
      <c r="BN41" s="4142">
        <f t="shared" si="70"/>
        <v>-448.51</v>
      </c>
      <c r="BO41" s="4142">
        <f t="shared" si="71"/>
        <v>-100</v>
      </c>
      <c r="BP41" s="4222">
        <f t="shared" si="84"/>
        <v>1794.04</v>
      </c>
      <c r="BQ41" s="4222">
        <f t="shared" si="84"/>
        <v>32.36</v>
      </c>
      <c r="BR41" s="4222">
        <f t="shared" si="84"/>
        <v>46.629999999999995</v>
      </c>
      <c r="BS41" s="4142">
        <f t="shared" si="74"/>
        <v>-1761.68</v>
      </c>
      <c r="BT41" s="4142">
        <f t="shared" si="75"/>
        <v>-98.196249804909598</v>
      </c>
    </row>
    <row r="42" spans="1:72" ht="18.75" customHeight="1">
      <c r="A42" s="4145" t="s">
        <v>1776</v>
      </c>
      <c r="B42" s="4165">
        <f>SUM('Произв. прогр. Стоки (СВОД)'!E47)</f>
        <v>0</v>
      </c>
      <c r="C42" s="4165">
        <f>SUM('ПОЛНАЯ СЕБЕСТОИМОСТЬ СТОКИ 2017'!C158)</f>
        <v>0</v>
      </c>
      <c r="D42" s="4209"/>
      <c r="E42" s="4165">
        <f>SUM('Произв. прогр. Стоки (СВОД)'!F47)</f>
        <v>0</v>
      </c>
      <c r="F42" s="4165">
        <f>SUM('ПОЛНАЯ СЕБЕСТОИМОСТЬ СТОКИ 2017'!D158)</f>
        <v>0</v>
      </c>
      <c r="G42" s="4209"/>
      <c r="H42" s="4165">
        <f>SUM('Произв. прогр. Стоки (СВОД)'!G47)</f>
        <v>87.077500000000001</v>
      </c>
      <c r="I42" s="4165">
        <f>SUM('ПОЛНАЯ СЕБЕСТОИМОСТЬ СТОКИ 2017'!E158)</f>
        <v>0</v>
      </c>
      <c r="J42" s="4209">
        <v>50.67</v>
      </c>
      <c r="K42" s="4221">
        <f t="shared" si="78"/>
        <v>87.077500000000001</v>
      </c>
      <c r="L42" s="4221">
        <f t="shared" si="78"/>
        <v>0</v>
      </c>
      <c r="M42" s="4221">
        <f t="shared" si="78"/>
        <v>50.67</v>
      </c>
      <c r="N42" s="4149">
        <f t="shared" si="53"/>
        <v>-87.077500000000001</v>
      </c>
      <c r="O42" s="4149">
        <f t="shared" si="54"/>
        <v>-100</v>
      </c>
      <c r="P42" s="4165">
        <f>SUM('Произв. прогр. Стоки (СВОД)'!I47)</f>
        <v>0</v>
      </c>
      <c r="Q42" s="4165">
        <f>SUM('ПОЛНАЯ СЕБЕСТОИМОСТЬ СТОКИ 2017'!H158)</f>
        <v>0</v>
      </c>
      <c r="R42" s="4209">
        <v>0</v>
      </c>
      <c r="S42" s="4165">
        <f>SUM('Произв. прогр. Стоки (СВОД)'!J47)</f>
        <v>0</v>
      </c>
      <c r="T42" s="4165">
        <f>SUM('ПОЛНАЯ СЕБЕСТОИМОСТЬ СТОКИ 2017'!I158)</f>
        <v>0</v>
      </c>
      <c r="U42" s="4209">
        <v>0</v>
      </c>
      <c r="V42" s="4165">
        <f>SUM('Произв. прогр. Стоки (СВОД)'!K47)</f>
        <v>87.077500000000001</v>
      </c>
      <c r="W42" s="4165">
        <f>SUM('ПОЛНАЯ СЕБЕСТОИМОСТЬ СТОКИ 2017'!J158)</f>
        <v>0.01</v>
      </c>
      <c r="X42" s="4209">
        <v>261.08</v>
      </c>
      <c r="Y42" s="4221">
        <f t="shared" si="79"/>
        <v>87.077500000000001</v>
      </c>
      <c r="Z42" s="4221">
        <f t="shared" si="79"/>
        <v>0.01</v>
      </c>
      <c r="AA42" s="4221">
        <f t="shared" si="79"/>
        <v>261.08</v>
      </c>
      <c r="AB42" s="4149">
        <f t="shared" si="56"/>
        <v>-87.067499999999995</v>
      </c>
      <c r="AC42" s="4149">
        <f t="shared" si="57"/>
        <v>-99.98851597714679</v>
      </c>
      <c r="AD42" s="4221">
        <f t="shared" si="80"/>
        <v>174.155</v>
      </c>
      <c r="AE42" s="4221">
        <f t="shared" si="80"/>
        <v>0.01</v>
      </c>
      <c r="AF42" s="4250">
        <f t="shared" si="80"/>
        <v>311.75</v>
      </c>
      <c r="AG42" s="4149">
        <f t="shared" si="60"/>
        <v>-174.14500000000001</v>
      </c>
      <c r="AH42" s="4149">
        <f t="shared" si="61"/>
        <v>-99.994257988573395</v>
      </c>
      <c r="AI42" s="4165">
        <f>SUM('Произв. прогр. Стоки (СВОД)'!N47)</f>
        <v>0</v>
      </c>
      <c r="AJ42" s="4165">
        <f>SUM('ПОЛНАЯ СЕБЕСТОИМОСТЬ СТОКИ 2017'!P158)</f>
        <v>0</v>
      </c>
      <c r="AK42" s="4209">
        <v>0</v>
      </c>
      <c r="AL42" s="4165">
        <f>SUM('Произв. прогр. Стоки (СВОД)'!O47)</f>
        <v>0</v>
      </c>
      <c r="AM42" s="4165">
        <f>SUM('ПОЛНАЯ СЕБЕСТОИМОСТЬ СТОКИ 2017'!Q158)</f>
        <v>0</v>
      </c>
      <c r="AN42" s="4209">
        <v>0</v>
      </c>
      <c r="AO42" s="4165">
        <f>SUM('Произв. прогр. Стоки (СВОД)'!P47)</f>
        <v>87.077500000000001</v>
      </c>
      <c r="AP42" s="4165">
        <f>SUM('ПОЛНАЯ СЕБЕСТОИМОСТЬ СТОКИ 2017'!R158)</f>
        <v>0.01</v>
      </c>
      <c r="AQ42" s="4209">
        <v>201.14</v>
      </c>
      <c r="AR42" s="4221">
        <f t="shared" si="81"/>
        <v>87.077500000000001</v>
      </c>
      <c r="AS42" s="4221">
        <f t="shared" si="81"/>
        <v>0.01</v>
      </c>
      <c r="AT42" s="4221">
        <f t="shared" si="81"/>
        <v>201.14</v>
      </c>
      <c r="AU42" s="4149">
        <f t="shared" si="63"/>
        <v>-87.067499999999995</v>
      </c>
      <c r="AV42" s="4149">
        <f t="shared" si="64"/>
        <v>-99.98851597714679</v>
      </c>
      <c r="AW42" s="4221">
        <f t="shared" si="82"/>
        <v>261.23250000000002</v>
      </c>
      <c r="AX42" s="4221">
        <f t="shared" si="82"/>
        <v>0.02</v>
      </c>
      <c r="AY42" s="4221">
        <f t="shared" si="82"/>
        <v>512.89</v>
      </c>
      <c r="AZ42" s="4149">
        <f t="shared" si="67"/>
        <v>-261.21250000000003</v>
      </c>
      <c r="BA42" s="4149">
        <f t="shared" si="68"/>
        <v>-99.992343984764531</v>
      </c>
      <c r="BB42" s="4165">
        <f>SUM('Произв. прогр. Стоки (СВОД)'!S47)</f>
        <v>0</v>
      </c>
      <c r="BC42" s="4165">
        <f>SUM('ПОЛНАЯ СЕБЕСТОИМОСТЬ СТОКИ 2017'!X158)</f>
        <v>0</v>
      </c>
      <c r="BD42" s="4209">
        <v>0</v>
      </c>
      <c r="BE42" s="4165">
        <f>SUM('Произв. прогр. Стоки (СВОД)'!T47)</f>
        <v>0</v>
      </c>
      <c r="BF42" s="4165">
        <f>SUM('ПОЛНАЯ СЕБЕСТОИМОСТЬ СТОКИ 2017'!Y158)</f>
        <v>0</v>
      </c>
      <c r="BG42" s="4209">
        <v>0</v>
      </c>
      <c r="BH42" s="4165">
        <f>SUM('Произв. прогр. Стоки (СВОД)'!U47)</f>
        <v>87.077500000000001</v>
      </c>
      <c r="BI42" s="4165">
        <f>SUM('ПОЛНАЯ СЕБЕСТОИМОСТЬ СТОКИ 2017'!Z158)</f>
        <v>0</v>
      </c>
      <c r="BJ42" s="4209">
        <v>-495.95</v>
      </c>
      <c r="BK42" s="4221">
        <f t="shared" si="83"/>
        <v>87.077500000000001</v>
      </c>
      <c r="BL42" s="4221">
        <f t="shared" si="83"/>
        <v>0</v>
      </c>
      <c r="BM42" s="4221">
        <f t="shared" si="83"/>
        <v>-495.95</v>
      </c>
      <c r="BN42" s="4149">
        <f t="shared" si="70"/>
        <v>-87.077500000000001</v>
      </c>
      <c r="BO42" s="4149">
        <f t="shared" si="71"/>
        <v>-100</v>
      </c>
      <c r="BP42" s="4221">
        <f t="shared" si="84"/>
        <v>348.31</v>
      </c>
      <c r="BQ42" s="4221">
        <f t="shared" si="84"/>
        <v>0.02</v>
      </c>
      <c r="BR42" s="4221">
        <f t="shared" si="84"/>
        <v>16.939999999999998</v>
      </c>
      <c r="BS42" s="4149">
        <f t="shared" si="74"/>
        <v>-348.29</v>
      </c>
      <c r="BT42" s="4149">
        <f t="shared" si="75"/>
        <v>-99.994257988573395</v>
      </c>
    </row>
    <row r="43" spans="1:72" ht="18.75" customHeight="1">
      <c r="A43" s="4145" t="s">
        <v>543</v>
      </c>
      <c r="B43" s="4165">
        <f>SUM('Произв. прогр. Стоки (СВОД)'!E48)</f>
        <v>0</v>
      </c>
      <c r="C43" s="4165">
        <f>SUM('ПОЛНАЯ СЕБЕСТОИМОСТЬ СТОКИ 2017'!C159)</f>
        <v>0</v>
      </c>
      <c r="D43" s="4209"/>
      <c r="E43" s="4165">
        <f>SUM('Произв. прогр. Стоки (СВОД)'!F48)</f>
        <v>0</v>
      </c>
      <c r="F43" s="4165">
        <f>SUM('ПОЛНАЯ СЕБЕСТОИМОСТЬ СТОКИ 2017'!D159)</f>
        <v>0</v>
      </c>
      <c r="G43" s="4209"/>
      <c r="H43" s="4165">
        <f>SUM('Произв. прогр. Стоки (СВОД)'!G48)</f>
        <v>6.5125000000000002</v>
      </c>
      <c r="I43" s="4165">
        <f>SUM('ПОЛНАЯ СЕБЕСТОИМОСТЬ СТОКИ 2017'!E159)</f>
        <v>10.78</v>
      </c>
      <c r="J43" s="4209">
        <v>8.51</v>
      </c>
      <c r="K43" s="4221">
        <f t="shared" si="78"/>
        <v>6.5125000000000002</v>
      </c>
      <c r="L43" s="4221">
        <f t="shared" si="78"/>
        <v>10.78</v>
      </c>
      <c r="M43" s="4221">
        <f t="shared" si="78"/>
        <v>8.51</v>
      </c>
      <c r="N43" s="4149">
        <f t="shared" si="53"/>
        <v>4.2674999999999992</v>
      </c>
      <c r="O43" s="4149">
        <f t="shared" si="54"/>
        <v>65.527831094049887</v>
      </c>
      <c r="P43" s="4165">
        <f>SUM('Произв. прогр. Стоки (СВОД)'!I48)</f>
        <v>0</v>
      </c>
      <c r="Q43" s="4165">
        <f>SUM('ПОЛНАЯ СЕБЕСТОИМОСТЬ СТОКИ 2017'!H159)</f>
        <v>0</v>
      </c>
      <c r="R43" s="4209">
        <v>0</v>
      </c>
      <c r="S43" s="4165">
        <f>SUM('Произв. прогр. Стоки (СВОД)'!J48)</f>
        <v>0</v>
      </c>
      <c r="T43" s="4165">
        <f>SUM('ПОЛНАЯ СЕБЕСТОИМОСТЬ СТОКИ 2017'!I159)</f>
        <v>0</v>
      </c>
      <c r="U43" s="4209">
        <v>0</v>
      </c>
      <c r="V43" s="4165">
        <f>SUM('Произв. прогр. Стоки (СВОД)'!K48)</f>
        <v>6.5125000000000002</v>
      </c>
      <c r="W43" s="4165">
        <f>SUM('ПОЛНАЯ СЕБЕСТОИМОСТЬ СТОКИ 2017'!J159)</f>
        <v>10.78</v>
      </c>
      <c r="X43" s="4209">
        <v>7.38</v>
      </c>
      <c r="Y43" s="4221">
        <f t="shared" si="79"/>
        <v>6.5125000000000002</v>
      </c>
      <c r="Z43" s="4221">
        <f t="shared" si="79"/>
        <v>10.78</v>
      </c>
      <c r="AA43" s="4221">
        <f t="shared" si="79"/>
        <v>7.38</v>
      </c>
      <c r="AB43" s="4149">
        <f t="shared" si="56"/>
        <v>4.2674999999999992</v>
      </c>
      <c r="AC43" s="4149">
        <f t="shared" si="57"/>
        <v>65.527831094049887</v>
      </c>
      <c r="AD43" s="4221">
        <f t="shared" si="80"/>
        <v>13.025</v>
      </c>
      <c r="AE43" s="4221">
        <f t="shared" si="80"/>
        <v>21.56</v>
      </c>
      <c r="AF43" s="4250">
        <f t="shared" si="80"/>
        <v>15.89</v>
      </c>
      <c r="AG43" s="4149">
        <f t="shared" si="60"/>
        <v>8.5349999999999984</v>
      </c>
      <c r="AH43" s="4149">
        <f t="shared" si="61"/>
        <v>65.527831094049887</v>
      </c>
      <c r="AI43" s="4165">
        <f>SUM('Произв. прогр. Стоки (СВОД)'!N48)</f>
        <v>0</v>
      </c>
      <c r="AJ43" s="4165">
        <f>SUM('ПОЛНАЯ СЕБЕСТОИМОСТЬ СТОКИ 2017'!P159)</f>
        <v>0</v>
      </c>
      <c r="AK43" s="4209">
        <v>0</v>
      </c>
      <c r="AL43" s="4165">
        <f>SUM('Произв. прогр. Стоки (СВОД)'!O48)</f>
        <v>0</v>
      </c>
      <c r="AM43" s="4165">
        <f>SUM('ПОЛНАЯ СЕБЕСТОИМОСТЬ СТОКИ 2017'!Q159)</f>
        <v>0</v>
      </c>
      <c r="AN43" s="4209">
        <v>0</v>
      </c>
      <c r="AO43" s="4165">
        <f>SUM('Произв. прогр. Стоки (СВОД)'!P48)</f>
        <v>6.5125000000000002</v>
      </c>
      <c r="AP43" s="4165">
        <f>SUM('ПОЛНАЯ СЕБЕСТОИМОСТЬ СТОКИ 2017'!R159)</f>
        <v>10.78</v>
      </c>
      <c r="AQ43" s="4209">
        <v>7.38</v>
      </c>
      <c r="AR43" s="4221">
        <f t="shared" si="81"/>
        <v>6.5125000000000002</v>
      </c>
      <c r="AS43" s="4221">
        <f t="shared" si="81"/>
        <v>10.78</v>
      </c>
      <c r="AT43" s="4221">
        <f t="shared" si="81"/>
        <v>7.38</v>
      </c>
      <c r="AU43" s="4149">
        <f t="shared" si="63"/>
        <v>4.2674999999999992</v>
      </c>
      <c r="AV43" s="4149">
        <f t="shared" si="64"/>
        <v>65.527831094049887</v>
      </c>
      <c r="AW43" s="4221">
        <f t="shared" si="82"/>
        <v>19.537500000000001</v>
      </c>
      <c r="AX43" s="4221">
        <f t="shared" si="82"/>
        <v>32.339999999999996</v>
      </c>
      <c r="AY43" s="4221">
        <f t="shared" si="82"/>
        <v>23.27</v>
      </c>
      <c r="AZ43" s="4149">
        <f t="shared" si="67"/>
        <v>12.802499999999995</v>
      </c>
      <c r="BA43" s="4149">
        <f t="shared" si="68"/>
        <v>65.527831094049873</v>
      </c>
      <c r="BB43" s="4165">
        <f>SUM('Произв. прогр. Стоки (СВОД)'!S48)</f>
        <v>0</v>
      </c>
      <c r="BC43" s="4165">
        <f>SUM('ПОЛНАЯ СЕБЕСТОИМОСТЬ СТОКИ 2017'!X159)</f>
        <v>0</v>
      </c>
      <c r="BD43" s="4209">
        <v>0</v>
      </c>
      <c r="BE43" s="4165">
        <f>SUM('Произв. прогр. Стоки (СВОД)'!T48)</f>
        <v>0</v>
      </c>
      <c r="BF43" s="4165">
        <f>SUM('ПОЛНАЯ СЕБЕСТОИМОСТЬ СТОКИ 2017'!Y159)</f>
        <v>0</v>
      </c>
      <c r="BG43" s="4209">
        <v>0</v>
      </c>
      <c r="BH43" s="4165">
        <f>SUM('Произв. прогр. Стоки (СВОД)'!U48)</f>
        <v>6.5125000000000002</v>
      </c>
      <c r="BI43" s="4165">
        <f>SUM('ПОЛНАЯ СЕБЕСТОИМОСТЬ СТОКИ 2017'!Z159)</f>
        <v>0</v>
      </c>
      <c r="BJ43" s="4209">
        <v>6.42</v>
      </c>
      <c r="BK43" s="4221">
        <f t="shared" si="83"/>
        <v>6.5125000000000002</v>
      </c>
      <c r="BL43" s="4221">
        <f t="shared" si="83"/>
        <v>0</v>
      </c>
      <c r="BM43" s="4221">
        <f t="shared" si="83"/>
        <v>6.42</v>
      </c>
      <c r="BN43" s="4149">
        <f t="shared" si="70"/>
        <v>-6.5125000000000002</v>
      </c>
      <c r="BO43" s="4149">
        <f t="shared" si="71"/>
        <v>-100</v>
      </c>
      <c r="BP43" s="4221">
        <f t="shared" si="84"/>
        <v>26.05</v>
      </c>
      <c r="BQ43" s="4221">
        <f t="shared" si="84"/>
        <v>32.339999999999996</v>
      </c>
      <c r="BR43" s="4221">
        <f t="shared" si="84"/>
        <v>29.689999999999998</v>
      </c>
      <c r="BS43" s="4149">
        <f t="shared" si="74"/>
        <v>6.2899999999999956</v>
      </c>
      <c r="BT43" s="4149">
        <f t="shared" si="75"/>
        <v>24.145873320537412</v>
      </c>
    </row>
    <row r="44" spans="1:72" ht="18.75" customHeight="1">
      <c r="A44" s="4145" t="s">
        <v>545</v>
      </c>
      <c r="B44" s="4165">
        <f>SUM('Произв. прогр. Стоки (СВОД)'!E49)</f>
        <v>0</v>
      </c>
      <c r="C44" s="4165">
        <f>SUM('ПОЛНАЯ СЕБЕСТОИМОСТЬ СТОКИ 2017'!C160)</f>
        <v>0</v>
      </c>
      <c r="D44" s="4209"/>
      <c r="E44" s="4165">
        <f>SUM('Произв. прогр. Стоки (СВОД)'!F49)</f>
        <v>0</v>
      </c>
      <c r="F44" s="4165">
        <f>SUM('ПОЛНАЯ СЕБЕСТОИМОСТЬ СТОКИ 2017'!D160)</f>
        <v>0</v>
      </c>
      <c r="G44" s="4209"/>
      <c r="H44" s="4165">
        <f>SUM('Произв. прогр. Стоки (СВОД)'!G49)</f>
        <v>354.92</v>
      </c>
      <c r="I44" s="4165">
        <f>SUM('ПОЛНАЯ СЕБЕСТОИМОСТЬ СТОКИ 2017'!E160)</f>
        <v>0</v>
      </c>
      <c r="J44" s="4209">
        <v>0</v>
      </c>
      <c r="K44" s="4221">
        <f t="shared" si="78"/>
        <v>354.92</v>
      </c>
      <c r="L44" s="4221">
        <f t="shared" si="78"/>
        <v>0</v>
      </c>
      <c r="M44" s="4221">
        <f t="shared" si="78"/>
        <v>0</v>
      </c>
      <c r="N44" s="4149">
        <f t="shared" si="53"/>
        <v>-354.92</v>
      </c>
      <c r="O44" s="4149">
        <f t="shared" si="54"/>
        <v>-100</v>
      </c>
      <c r="P44" s="4165">
        <f>SUM('Произв. прогр. Стоки (СВОД)'!I49)</f>
        <v>0</v>
      </c>
      <c r="Q44" s="4165">
        <f>SUM('ПОЛНАЯ СЕБЕСТОИМОСТЬ СТОКИ 2017'!H160)</f>
        <v>0</v>
      </c>
      <c r="R44" s="4209">
        <v>0</v>
      </c>
      <c r="S44" s="4165">
        <f>SUM('Произв. прогр. Стоки (СВОД)'!J49)</f>
        <v>0</v>
      </c>
      <c r="T44" s="4165">
        <f>SUM('ПОЛНАЯ СЕБЕСТОИМОСТЬ СТОКИ 2017'!I160)</f>
        <v>0</v>
      </c>
      <c r="U44" s="4209">
        <v>0</v>
      </c>
      <c r="V44" s="4165">
        <f>SUM('Произв. прогр. Стоки (СВОД)'!K49)</f>
        <v>354.92</v>
      </c>
      <c r="W44" s="4165">
        <f>SUM('ПОЛНАЯ СЕБЕСТОИМОСТЬ СТОКИ 2017'!J160)</f>
        <v>0</v>
      </c>
      <c r="X44" s="4209">
        <v>0</v>
      </c>
      <c r="Y44" s="4221">
        <f t="shared" si="79"/>
        <v>354.92</v>
      </c>
      <c r="Z44" s="4221">
        <f t="shared" si="79"/>
        <v>0</v>
      </c>
      <c r="AA44" s="4221">
        <f t="shared" si="79"/>
        <v>0</v>
      </c>
      <c r="AB44" s="4149">
        <f t="shared" si="56"/>
        <v>-354.92</v>
      </c>
      <c r="AC44" s="4149">
        <f t="shared" si="57"/>
        <v>-100</v>
      </c>
      <c r="AD44" s="4221">
        <f t="shared" si="80"/>
        <v>709.84</v>
      </c>
      <c r="AE44" s="4221">
        <f t="shared" si="80"/>
        <v>0</v>
      </c>
      <c r="AF44" s="4250">
        <f t="shared" si="80"/>
        <v>0</v>
      </c>
      <c r="AG44" s="4149">
        <f t="shared" si="60"/>
        <v>-709.84</v>
      </c>
      <c r="AH44" s="4149">
        <f t="shared" si="61"/>
        <v>-100</v>
      </c>
      <c r="AI44" s="4165">
        <f>SUM('Произв. прогр. Стоки (СВОД)'!N49)</f>
        <v>0</v>
      </c>
      <c r="AJ44" s="4165">
        <f>SUM('ПОЛНАЯ СЕБЕСТОИМОСТЬ СТОКИ 2017'!P160)</f>
        <v>0</v>
      </c>
      <c r="AK44" s="4209">
        <v>0</v>
      </c>
      <c r="AL44" s="4165">
        <f>SUM('Произв. прогр. Стоки (СВОД)'!O49)</f>
        <v>0</v>
      </c>
      <c r="AM44" s="4165">
        <f>SUM('ПОЛНАЯ СЕБЕСТОИМОСТЬ СТОКИ 2017'!Q160)</f>
        <v>0</v>
      </c>
      <c r="AN44" s="4209">
        <v>0</v>
      </c>
      <c r="AO44" s="4165">
        <f>SUM('Произв. прогр. Стоки (СВОД)'!P49)</f>
        <v>354.92</v>
      </c>
      <c r="AP44" s="4165">
        <f>SUM('ПОЛНАЯ СЕБЕСТОИМОСТЬ СТОКИ 2017'!R160)</f>
        <v>0</v>
      </c>
      <c r="AQ44" s="4209">
        <v>0</v>
      </c>
      <c r="AR44" s="4221">
        <f t="shared" si="81"/>
        <v>354.92</v>
      </c>
      <c r="AS44" s="4221">
        <f t="shared" si="81"/>
        <v>0</v>
      </c>
      <c r="AT44" s="4221">
        <f t="shared" si="81"/>
        <v>0</v>
      </c>
      <c r="AU44" s="4149">
        <f t="shared" si="63"/>
        <v>-354.92</v>
      </c>
      <c r="AV44" s="4149">
        <f t="shared" si="64"/>
        <v>-100</v>
      </c>
      <c r="AW44" s="4221">
        <f t="shared" si="82"/>
        <v>1064.76</v>
      </c>
      <c r="AX44" s="4221">
        <f t="shared" si="82"/>
        <v>0</v>
      </c>
      <c r="AY44" s="4221">
        <f t="shared" si="82"/>
        <v>0</v>
      </c>
      <c r="AZ44" s="4149">
        <f t="shared" si="67"/>
        <v>-1064.76</v>
      </c>
      <c r="BA44" s="4149">
        <f t="shared" si="68"/>
        <v>-100</v>
      </c>
      <c r="BB44" s="4165">
        <f>SUM('Произв. прогр. Стоки (СВОД)'!S49)</f>
        <v>0</v>
      </c>
      <c r="BC44" s="4165">
        <f>SUM('ПОЛНАЯ СЕБЕСТОИМОСТЬ СТОКИ 2017'!X160)</f>
        <v>0</v>
      </c>
      <c r="BD44" s="4209">
        <v>0</v>
      </c>
      <c r="BE44" s="4165">
        <f>SUM('Произв. прогр. Стоки (СВОД)'!T49)</f>
        <v>0</v>
      </c>
      <c r="BF44" s="4165">
        <f>SUM('ПОЛНАЯ СЕБЕСТОИМОСТЬ СТОКИ 2017'!Y160)</f>
        <v>0</v>
      </c>
      <c r="BG44" s="4209">
        <v>0</v>
      </c>
      <c r="BH44" s="4165">
        <f>SUM('Произв. прогр. Стоки (СВОД)'!U49)</f>
        <v>354.92</v>
      </c>
      <c r="BI44" s="4165">
        <f>SUM('ПОЛНАЯ СЕБЕСТОИМОСТЬ СТОКИ 2017'!Z160)</f>
        <v>0</v>
      </c>
      <c r="BJ44" s="4209">
        <v>0</v>
      </c>
      <c r="BK44" s="4221">
        <f t="shared" si="83"/>
        <v>354.92</v>
      </c>
      <c r="BL44" s="4221">
        <f t="shared" si="83"/>
        <v>0</v>
      </c>
      <c r="BM44" s="4221">
        <f t="shared" si="83"/>
        <v>0</v>
      </c>
      <c r="BN44" s="4149">
        <f t="shared" si="70"/>
        <v>-354.92</v>
      </c>
      <c r="BO44" s="4149">
        <f t="shared" si="71"/>
        <v>-100</v>
      </c>
      <c r="BP44" s="4221">
        <f t="shared" si="84"/>
        <v>1419.68</v>
      </c>
      <c r="BQ44" s="4221">
        <f t="shared" si="84"/>
        <v>0</v>
      </c>
      <c r="BR44" s="4221">
        <f t="shared" si="84"/>
        <v>0</v>
      </c>
      <c r="BS44" s="4149">
        <f t="shared" si="74"/>
        <v>-1419.68</v>
      </c>
      <c r="BT44" s="4149">
        <f t="shared" si="75"/>
        <v>-100</v>
      </c>
    </row>
    <row r="45" spans="1:72" ht="18.75" customHeight="1">
      <c r="A45" s="4208" t="s">
        <v>1768</v>
      </c>
      <c r="B45" s="4205">
        <f>SUM('Произв. прогр. Стоки (СВОД)'!E50)</f>
        <v>1190.9632808539122</v>
      </c>
      <c r="C45" s="4205">
        <f>SUM('ПОЛНАЯ СЕБЕСТОИМОСТЬ СТОКИ 2017'!C161)</f>
        <v>816.62999999999988</v>
      </c>
      <c r="D45" s="4249">
        <f>SUM(D46:D51)</f>
        <v>663.31999999999994</v>
      </c>
      <c r="E45" s="4205">
        <f>SUM('Произв. прогр. Стоки (СВОД)'!F50)</f>
        <v>1190.9632808539122</v>
      </c>
      <c r="F45" s="4205">
        <f>SUM('ПОЛНАЯ СЕБЕСТОИМОСТЬ СТОКИ 2017'!D161)</f>
        <v>784.6400000000001</v>
      </c>
      <c r="G45" s="4249">
        <f>SUM(G46:G51)</f>
        <v>690.72</v>
      </c>
      <c r="H45" s="4205">
        <f>SUM('Произв. прогр. Стоки (СВОД)'!G50)</f>
        <v>1190.9632808539122</v>
      </c>
      <c r="I45" s="4205">
        <f>SUM('ПОЛНАЯ СЕБЕСТОИМОСТЬ СТОКИ 2017'!E161)</f>
        <v>816.0200000000001</v>
      </c>
      <c r="J45" s="4249">
        <f>SUM(J46:J51)</f>
        <v>774.15000000000009</v>
      </c>
      <c r="K45" s="4222">
        <f t="shared" si="78"/>
        <v>3572.8898425617367</v>
      </c>
      <c r="L45" s="4222">
        <f t="shared" si="78"/>
        <v>2417.29</v>
      </c>
      <c r="M45" s="4222">
        <f t="shared" si="78"/>
        <v>2128.19</v>
      </c>
      <c r="N45" s="4142">
        <f t="shared" si="53"/>
        <v>-1155.5998425617368</v>
      </c>
      <c r="O45" s="4142">
        <f t="shared" si="54"/>
        <v>-32.343562031937147</v>
      </c>
      <c r="P45" s="4205">
        <f>SUM('Произв. прогр. Стоки (СВОД)'!I50)</f>
        <v>1190.9632808539122</v>
      </c>
      <c r="Q45" s="4205">
        <f>SUM('ПОЛНАЯ СЕБЕСТОИМОСТЬ СТОКИ 2017'!H161)</f>
        <v>750.71</v>
      </c>
      <c r="R45" s="4249">
        <f>SUM(R46:R51)</f>
        <v>850.3</v>
      </c>
      <c r="S45" s="4205">
        <f>SUM('Произв. прогр. Стоки (СВОД)'!J50)</f>
        <v>1190.9632808539122</v>
      </c>
      <c r="T45" s="4205">
        <f>SUM('ПОЛНАЯ СЕБЕСТОИМОСТЬ СТОКИ 2017'!I161)</f>
        <v>762.30000000000007</v>
      </c>
      <c r="U45" s="4249">
        <f>SUM(U46:U51)</f>
        <v>866.16</v>
      </c>
      <c r="V45" s="4205">
        <f>SUM('Произв. прогр. Стоки (СВОД)'!K50)</f>
        <v>1190.9632808539122</v>
      </c>
      <c r="W45" s="4205">
        <f>SUM('ПОЛНАЯ СЕБЕСТОИМОСТЬ СТОКИ 2017'!J161)</f>
        <v>888.58</v>
      </c>
      <c r="X45" s="4249">
        <f>SUM(X46:X51)</f>
        <v>701.30000000000007</v>
      </c>
      <c r="Y45" s="4222">
        <f t="shared" si="79"/>
        <v>3572.8898425617367</v>
      </c>
      <c r="Z45" s="4222">
        <f t="shared" si="79"/>
        <v>2401.59</v>
      </c>
      <c r="AA45" s="4222">
        <f t="shared" si="79"/>
        <v>2417.7600000000002</v>
      </c>
      <c r="AB45" s="4142">
        <f t="shared" si="56"/>
        <v>-1171.2998425617366</v>
      </c>
      <c r="AC45" s="4142">
        <f t="shared" si="57"/>
        <v>-32.782982240558603</v>
      </c>
      <c r="AD45" s="4222">
        <f t="shared" si="80"/>
        <v>7145.7796851234734</v>
      </c>
      <c r="AE45" s="4222">
        <f t="shared" si="80"/>
        <v>4818.88</v>
      </c>
      <c r="AF45" s="4247">
        <f t="shared" si="80"/>
        <v>4545.9500000000007</v>
      </c>
      <c r="AG45" s="4142">
        <f t="shared" si="60"/>
        <v>-2326.8996851234733</v>
      </c>
      <c r="AH45" s="4142">
        <f t="shared" si="61"/>
        <v>-32.563272136247875</v>
      </c>
      <c r="AI45" s="4205">
        <f>SUM('Произв. прогр. Стоки (СВОД)'!N50)</f>
        <v>1256.0350524794212</v>
      </c>
      <c r="AJ45" s="4205">
        <f>SUM('ПОЛНАЯ СЕБЕСТОИМОСТЬ СТОКИ 2017'!P161)</f>
        <v>784.13</v>
      </c>
      <c r="AK45" s="4249">
        <f>SUM(AK46:AK51)</f>
        <v>735.43</v>
      </c>
      <c r="AL45" s="4205">
        <f>SUM('Произв. прогр. Стоки (СВОД)'!O50)</f>
        <v>1256.0350524794212</v>
      </c>
      <c r="AM45" s="4205">
        <f>SUM('ПОЛНАЯ СЕБЕСТОИМОСТЬ СТОКИ 2017'!Q161)</f>
        <v>937.63</v>
      </c>
      <c r="AN45" s="4249">
        <f>SUM(AN46:AN51)</f>
        <v>745.15000000000009</v>
      </c>
      <c r="AO45" s="4205">
        <f>SUM('Произв. прогр. Стоки (СВОД)'!P50)</f>
        <v>1256.0350524794212</v>
      </c>
      <c r="AP45" s="4205">
        <f>SUM('ПОЛНАЯ СЕБЕСТОИМОСТЬ СТОКИ 2017'!R161)</f>
        <v>842.19</v>
      </c>
      <c r="AQ45" s="4249">
        <f>SUM(AQ46:AQ51)</f>
        <v>893.33</v>
      </c>
      <c r="AR45" s="4222">
        <f t="shared" si="81"/>
        <v>3768.1051574382636</v>
      </c>
      <c r="AS45" s="4222">
        <f t="shared" si="81"/>
        <v>2563.9499999999998</v>
      </c>
      <c r="AT45" s="4222">
        <f t="shared" si="81"/>
        <v>2373.91</v>
      </c>
      <c r="AU45" s="4142">
        <f t="shared" si="63"/>
        <v>-1204.1551574382638</v>
      </c>
      <c r="AV45" s="4142">
        <f t="shared" si="64"/>
        <v>-31.95651679362647</v>
      </c>
      <c r="AW45" s="4222">
        <f t="shared" si="82"/>
        <v>10913.884842561736</v>
      </c>
      <c r="AX45" s="4222">
        <f t="shared" si="82"/>
        <v>7382.83</v>
      </c>
      <c r="AY45" s="4222">
        <f t="shared" si="82"/>
        <v>6919.8600000000006</v>
      </c>
      <c r="AZ45" s="4142">
        <f t="shared" si="67"/>
        <v>-3531.0548425617362</v>
      </c>
      <c r="BA45" s="4142">
        <f t="shared" si="68"/>
        <v>-32.35378504995218</v>
      </c>
      <c r="BB45" s="4205">
        <f>SUM('Произв. прогр. Стоки (СВОД)'!S50)</f>
        <v>1256.0350524794212</v>
      </c>
      <c r="BC45" s="4205">
        <f>SUM('ПОЛНАЯ СЕБЕСТОИМОСТЬ СТОКИ 2017'!X161)</f>
        <v>0</v>
      </c>
      <c r="BD45" s="4249">
        <f>SUM(BD46:BD51)</f>
        <v>816.04</v>
      </c>
      <c r="BE45" s="4205">
        <f>SUM('Произв. прогр. Стоки (СВОД)'!T50)</f>
        <v>1256.0350524794212</v>
      </c>
      <c r="BF45" s="4205">
        <f>SUM('ПОЛНАЯ СЕБЕСТОИМОСТЬ СТОКИ 2017'!Y161)</f>
        <v>0</v>
      </c>
      <c r="BG45" s="4249">
        <f>SUM(BG46:BG51)</f>
        <v>830.75</v>
      </c>
      <c r="BH45" s="4205">
        <f>SUM('Произв. прогр. Стоки (СВОД)'!U50)</f>
        <v>1256.0350524794212</v>
      </c>
      <c r="BI45" s="4205">
        <f>SUM('ПОЛНАЯ СЕБЕСТОИМОСТЬ СТОКИ 2017'!Z161)</f>
        <v>0</v>
      </c>
      <c r="BJ45" s="4249">
        <f>SUM(BJ46:BJ51)</f>
        <v>741.12</v>
      </c>
      <c r="BK45" s="4222">
        <f t="shared" si="83"/>
        <v>3768.1051574382636</v>
      </c>
      <c r="BL45" s="4222">
        <f t="shared" si="83"/>
        <v>0</v>
      </c>
      <c r="BM45" s="4222">
        <f t="shared" si="83"/>
        <v>2387.91</v>
      </c>
      <c r="BN45" s="4142">
        <f t="shared" si="70"/>
        <v>-3768.1051574382636</v>
      </c>
      <c r="BO45" s="4142">
        <f t="shared" si="71"/>
        <v>-100</v>
      </c>
      <c r="BP45" s="4222">
        <f t="shared" si="84"/>
        <v>14681.99</v>
      </c>
      <c r="BQ45" s="4222">
        <f t="shared" si="84"/>
        <v>7382.83</v>
      </c>
      <c r="BR45" s="4222">
        <f t="shared" si="84"/>
        <v>9307.77</v>
      </c>
      <c r="BS45" s="4142">
        <f t="shared" si="74"/>
        <v>-7299.16</v>
      </c>
      <c r="BT45" s="4142">
        <f t="shared" si="75"/>
        <v>-49.71505906215711</v>
      </c>
    </row>
    <row r="46" spans="1:72" ht="18.75" customHeight="1">
      <c r="A46" s="4125" t="s">
        <v>1747</v>
      </c>
      <c r="B46" s="4165">
        <f>SUM('Произв. прогр. Стоки (СВОД)'!E51)</f>
        <v>843.18593871552127</v>
      </c>
      <c r="C46" s="4165">
        <f>SUM('ПОЛНАЯ СЕБЕСТОИМОСТЬ СТОКИ 2017'!C162)</f>
        <v>549.51</v>
      </c>
      <c r="D46" s="4209">
        <v>424.4</v>
      </c>
      <c r="E46" s="4165">
        <f>SUM('Произв. прогр. Стоки (СВОД)'!F51)</f>
        <v>843.18593871552127</v>
      </c>
      <c r="F46" s="4165">
        <f>SUM('ПОЛНАЯ СЕБЕСТОИМОСТЬ СТОКИ 2017'!D162)</f>
        <v>528.70000000000005</v>
      </c>
      <c r="G46" s="4209">
        <v>451.63</v>
      </c>
      <c r="H46" s="4165">
        <f>SUM('Произв. прогр. Стоки (СВОД)'!G51)</f>
        <v>843.18593871552127</v>
      </c>
      <c r="I46" s="4165">
        <f>SUM('ПОЛНАЯ СЕБЕСТОИМОСТЬ СТОКИ 2017'!E162)</f>
        <v>542.70000000000005</v>
      </c>
      <c r="J46" s="4209">
        <v>511.37</v>
      </c>
      <c r="K46" s="4221">
        <f t="shared" si="78"/>
        <v>2529.5578161465637</v>
      </c>
      <c r="L46" s="4221">
        <f t="shared" si="78"/>
        <v>1620.91</v>
      </c>
      <c r="M46" s="4221">
        <f t="shared" si="78"/>
        <v>1387.4</v>
      </c>
      <c r="N46" s="4149">
        <f t="shared" si="53"/>
        <v>-908.64781614656363</v>
      </c>
      <c r="O46" s="4149">
        <f t="shared" si="54"/>
        <v>-35.921211618351727</v>
      </c>
      <c r="P46" s="4165">
        <f>SUM('Произв. прогр. Стоки (СВОД)'!I51)</f>
        <v>843.18593871552127</v>
      </c>
      <c r="Q46" s="4165">
        <f>SUM('ПОЛНАЯ СЕБЕСТОИМОСТЬ СТОКИ 2017'!H162)</f>
        <v>487.54</v>
      </c>
      <c r="R46" s="4209">
        <v>449.13</v>
      </c>
      <c r="S46" s="4165">
        <f>SUM('Произв. прогр. Стоки (СВОД)'!J51)</f>
        <v>843.18593871552127</v>
      </c>
      <c r="T46" s="4165">
        <f>SUM('ПОЛНАЯ СЕБЕСТОИМОСТЬ СТОКИ 2017'!I162)</f>
        <v>528.74</v>
      </c>
      <c r="U46" s="4209">
        <v>503.31</v>
      </c>
      <c r="V46" s="4165">
        <f>SUM('Произв. прогр. Стоки (СВОД)'!K51)</f>
        <v>843.18593871552127</v>
      </c>
      <c r="W46" s="4165">
        <f>SUM('ПОЛНАЯ СЕБЕСТОИМОСТЬ СТОКИ 2017'!J162)</f>
        <v>605.82000000000005</v>
      </c>
      <c r="X46" s="4209">
        <v>499.05</v>
      </c>
      <c r="Y46" s="4221">
        <f t="shared" si="79"/>
        <v>2529.5578161465637</v>
      </c>
      <c r="Z46" s="4221">
        <f t="shared" si="79"/>
        <v>1622.1</v>
      </c>
      <c r="AA46" s="4221">
        <f t="shared" si="79"/>
        <v>1451.49</v>
      </c>
      <c r="AB46" s="4149">
        <f t="shared" si="56"/>
        <v>-907.4578161465638</v>
      </c>
      <c r="AC46" s="4149">
        <f t="shared" si="57"/>
        <v>-35.874167823092179</v>
      </c>
      <c r="AD46" s="4221">
        <f t="shared" si="80"/>
        <v>5059.1156322931274</v>
      </c>
      <c r="AE46" s="4221">
        <f t="shared" si="80"/>
        <v>3243.01</v>
      </c>
      <c r="AF46" s="4250">
        <f t="shared" si="80"/>
        <v>2838.8900000000003</v>
      </c>
      <c r="AG46" s="4149">
        <f t="shared" si="60"/>
        <v>-1816.1056322931272</v>
      </c>
      <c r="AH46" s="4149">
        <f t="shared" si="61"/>
        <v>-35.897689720721949</v>
      </c>
      <c r="AI46" s="4165">
        <f>SUM('Произв. прогр. Стоки (СВОД)'!N51)</f>
        <v>894.03005082006712</v>
      </c>
      <c r="AJ46" s="4165">
        <f>SUM('ПОЛНАЯ СЕБЕСТОИМОСТЬ СТОКИ 2017'!P162)</f>
        <v>507.46</v>
      </c>
      <c r="AK46" s="4209">
        <v>477.21</v>
      </c>
      <c r="AL46" s="4165">
        <f>SUM('Произв. прогр. Стоки (СВОД)'!O51)</f>
        <v>894.03005082006712</v>
      </c>
      <c r="AM46" s="4165">
        <f>SUM('ПОЛНАЯ СЕБЕСТОИМОСТЬ СТОКИ 2017'!Q162)</f>
        <v>607.24</v>
      </c>
      <c r="AN46" s="4209">
        <v>527.94000000000005</v>
      </c>
      <c r="AO46" s="4165">
        <f>SUM('Произв. прогр. Стоки (СВОД)'!P51)</f>
        <v>894.03005082006712</v>
      </c>
      <c r="AP46" s="4165">
        <f>SUM('ПОЛНАЯ СЕБЕСТОИМОСТЬ СТОКИ 2017'!R162)</f>
        <v>500.91</v>
      </c>
      <c r="AQ46" s="4209">
        <v>536.41</v>
      </c>
      <c r="AR46" s="4221">
        <f t="shared" si="81"/>
        <v>2682.0901524602014</v>
      </c>
      <c r="AS46" s="4221">
        <f t="shared" si="81"/>
        <v>1615.6100000000001</v>
      </c>
      <c r="AT46" s="4221">
        <f t="shared" si="81"/>
        <v>1541.56</v>
      </c>
      <c r="AU46" s="4149">
        <f t="shared" si="63"/>
        <v>-1066.4801524602012</v>
      </c>
      <c r="AV46" s="4149">
        <f t="shared" si="64"/>
        <v>-39.763024053533428</v>
      </c>
      <c r="AW46" s="4221">
        <f t="shared" si="82"/>
        <v>7741.2057847533288</v>
      </c>
      <c r="AX46" s="4221">
        <f t="shared" si="82"/>
        <v>4858.6200000000008</v>
      </c>
      <c r="AY46" s="4221">
        <f t="shared" si="82"/>
        <v>4380.4500000000007</v>
      </c>
      <c r="AZ46" s="4149">
        <f t="shared" si="67"/>
        <v>-2882.585784753328</v>
      </c>
      <c r="BA46" s="4149">
        <f t="shared" si="68"/>
        <v>-37.236909402805402</v>
      </c>
      <c r="BB46" s="4165">
        <f>SUM('Произв. прогр. Стоки (СВОД)'!S51)</f>
        <v>894.03005082006712</v>
      </c>
      <c r="BC46" s="4165">
        <f>SUM('ПОЛНАЯ СЕБЕСТОИМОСТЬ СТОКИ 2017'!X162)</f>
        <v>0</v>
      </c>
      <c r="BD46" s="4209">
        <v>526.15</v>
      </c>
      <c r="BE46" s="4165">
        <f>SUM('Произв. прогр. Стоки (СВОД)'!T51)</f>
        <v>894.03005082006712</v>
      </c>
      <c r="BF46" s="4165">
        <f>SUM('ПОЛНАЯ СЕБЕСТОИМОСТЬ СТОКИ 2017'!Y162)</f>
        <v>0</v>
      </c>
      <c r="BG46" s="4209">
        <v>531.99</v>
      </c>
      <c r="BH46" s="4165">
        <f>SUM('Произв. прогр. Стоки (СВОД)'!U51)</f>
        <v>894.03005082006712</v>
      </c>
      <c r="BI46" s="4165">
        <f>SUM('ПОЛНАЯ СЕБЕСТОИМОСТЬ СТОКИ 2017'!Z162)</f>
        <v>0</v>
      </c>
      <c r="BJ46" s="4209">
        <v>439.73</v>
      </c>
      <c r="BK46" s="4221">
        <f t="shared" si="83"/>
        <v>2682.0901524602014</v>
      </c>
      <c r="BL46" s="4221">
        <f t="shared" si="83"/>
        <v>0</v>
      </c>
      <c r="BM46" s="4221">
        <f t="shared" si="83"/>
        <v>1497.87</v>
      </c>
      <c r="BN46" s="4149">
        <f t="shared" si="70"/>
        <v>-2682.0901524602014</v>
      </c>
      <c r="BO46" s="4149">
        <f t="shared" si="71"/>
        <v>-100</v>
      </c>
      <c r="BP46" s="4221">
        <f t="shared" si="84"/>
        <v>10423.29593721353</v>
      </c>
      <c r="BQ46" s="4221">
        <f t="shared" si="84"/>
        <v>4858.6200000000008</v>
      </c>
      <c r="BR46" s="4221">
        <f t="shared" si="84"/>
        <v>5878.3200000000006</v>
      </c>
      <c r="BS46" s="4149">
        <f t="shared" si="74"/>
        <v>-5564.6759372135293</v>
      </c>
      <c r="BT46" s="4149">
        <f t="shared" si="75"/>
        <v>-53.386913033394499</v>
      </c>
    </row>
    <row r="47" spans="1:72" ht="18.75" customHeight="1">
      <c r="A47" s="4125" t="s">
        <v>1748</v>
      </c>
      <c r="B47" s="4165">
        <f>SUM('Произв. прогр. Стоки (СВОД)'!E52)</f>
        <v>235.94791908728359</v>
      </c>
      <c r="C47" s="4165">
        <f>SUM('ПОЛНАЯ СЕБЕСТОИМОСТЬ СТОКИ 2017'!C163)</f>
        <v>165.46</v>
      </c>
      <c r="D47" s="4209">
        <v>127.41</v>
      </c>
      <c r="E47" s="4165">
        <f>SUM('Произв. прогр. Стоки (СВОД)'!F52)</f>
        <v>235.94791908728359</v>
      </c>
      <c r="F47" s="4165">
        <f>SUM('ПОЛНАЯ СЕБЕСТОИМОСТЬ СТОКИ 2017'!D163)</f>
        <v>158.62</v>
      </c>
      <c r="G47" s="4209">
        <v>135.47</v>
      </c>
      <c r="H47" s="4165">
        <f>SUM('Произв. прогр. Стоки (СВОД)'!G52)</f>
        <v>235.94791908728359</v>
      </c>
      <c r="I47" s="4165">
        <f>SUM('ПОЛНАЯ СЕБЕСТОИМОСТЬ СТОКИ 2017'!E163)</f>
        <v>163.37</v>
      </c>
      <c r="J47" s="4209">
        <v>154.08000000000001</v>
      </c>
      <c r="K47" s="4221">
        <f t="shared" si="78"/>
        <v>707.84375726185078</v>
      </c>
      <c r="L47" s="4221">
        <f t="shared" si="78"/>
        <v>487.45000000000005</v>
      </c>
      <c r="M47" s="4221">
        <f t="shared" si="78"/>
        <v>416.96000000000004</v>
      </c>
      <c r="N47" s="4149">
        <f t="shared" si="53"/>
        <v>-220.39375726185074</v>
      </c>
      <c r="O47" s="4149">
        <f t="shared" si="54"/>
        <v>-31.135932894908763</v>
      </c>
      <c r="P47" s="4165">
        <f>SUM('Произв. прогр. Стоки (СВОД)'!I52)</f>
        <v>235.94791908728359</v>
      </c>
      <c r="Q47" s="4165">
        <f>SUM('ПОЛНАЯ СЕБЕСТОИМОСТЬ СТОКИ 2017'!H163)</f>
        <v>147.22999999999999</v>
      </c>
      <c r="R47" s="4209">
        <v>134.47</v>
      </c>
      <c r="S47" s="4165">
        <f>SUM('Произв. прогр. Стоки (СВОД)'!J52)</f>
        <v>235.94791908728359</v>
      </c>
      <c r="T47" s="4165">
        <f>SUM('ПОЛНАЯ СЕБЕСТОИМОСТЬ СТОКИ 2017'!I163)</f>
        <v>159.63</v>
      </c>
      <c r="U47" s="4209">
        <v>151.09</v>
      </c>
      <c r="V47" s="4165">
        <f>SUM('Произв. прогр. Стоки (СВОД)'!K52)</f>
        <v>235.94791908728359</v>
      </c>
      <c r="W47" s="4165">
        <f>SUM('ПОЛНАЯ СЕБЕСТОИМОСТЬ СТОКИ 2017'!J163)</f>
        <v>180.73</v>
      </c>
      <c r="X47" s="4209">
        <v>149.99</v>
      </c>
      <c r="Y47" s="4221">
        <f t="shared" si="79"/>
        <v>707.84375726185078</v>
      </c>
      <c r="Z47" s="4221">
        <f t="shared" si="79"/>
        <v>487.59000000000003</v>
      </c>
      <c r="AA47" s="4221">
        <f t="shared" si="79"/>
        <v>435.55</v>
      </c>
      <c r="AB47" s="4149">
        <f t="shared" si="56"/>
        <v>-220.25375726185075</v>
      </c>
      <c r="AC47" s="4149">
        <f t="shared" si="57"/>
        <v>-31.116154518881046</v>
      </c>
      <c r="AD47" s="4221">
        <f t="shared" si="80"/>
        <v>1415.6875145237016</v>
      </c>
      <c r="AE47" s="4221">
        <f t="shared" si="80"/>
        <v>975.04000000000008</v>
      </c>
      <c r="AF47" s="4250">
        <f t="shared" si="80"/>
        <v>852.51</v>
      </c>
      <c r="AG47" s="4149">
        <f t="shared" si="60"/>
        <v>-440.64751452370149</v>
      </c>
      <c r="AH47" s="4149">
        <f t="shared" si="61"/>
        <v>-31.126043706894901</v>
      </c>
      <c r="AI47" s="4165">
        <f>SUM('Произв. прогр. Стоки (СВОД)'!N52)</f>
        <v>250.17557860824675</v>
      </c>
      <c r="AJ47" s="4165">
        <f>SUM('ПОЛНАЯ СЕБЕСТОИМОСТЬ СТОКИ 2017'!P163)</f>
        <v>151.19999999999999</v>
      </c>
      <c r="AK47" s="4209">
        <v>144.1</v>
      </c>
      <c r="AL47" s="4165">
        <f>SUM('Произв. прогр. Стоки (СВОД)'!O52)</f>
        <v>250.17557860824675</v>
      </c>
      <c r="AM47" s="4165">
        <f>SUM('ПОЛНАЯ СЕБЕСТОИМОСТЬ СТОКИ 2017'!Q163)</f>
        <v>177.68</v>
      </c>
      <c r="AN47" s="4209">
        <v>157.87</v>
      </c>
      <c r="AO47" s="4165">
        <f>SUM('Произв. прогр. Стоки (СВОД)'!P52)</f>
        <v>250.17557860824675</v>
      </c>
      <c r="AP47" s="4165">
        <f>SUM('ПОЛНАЯ СЕБЕСТОИМОСТЬ СТОКИ 2017'!R163)</f>
        <v>161.21</v>
      </c>
      <c r="AQ47" s="4209">
        <v>156.21</v>
      </c>
      <c r="AR47" s="4221">
        <f t="shared" si="81"/>
        <v>750.52673582474029</v>
      </c>
      <c r="AS47" s="4221">
        <f t="shared" si="81"/>
        <v>490.09000000000003</v>
      </c>
      <c r="AT47" s="4221">
        <f t="shared" si="81"/>
        <v>458.18000000000006</v>
      </c>
      <c r="AU47" s="4149">
        <f t="shared" si="63"/>
        <v>-260.43673582474025</v>
      </c>
      <c r="AV47" s="4149">
        <f t="shared" si="64"/>
        <v>-34.700527428719916</v>
      </c>
      <c r="AW47" s="4221">
        <f t="shared" si="82"/>
        <v>2166.214250348442</v>
      </c>
      <c r="AX47" s="4221">
        <f t="shared" si="82"/>
        <v>1465.13</v>
      </c>
      <c r="AY47" s="4221">
        <f t="shared" si="82"/>
        <v>1310.69</v>
      </c>
      <c r="AZ47" s="4149">
        <f t="shared" si="67"/>
        <v>-701.08425034844186</v>
      </c>
      <c r="BA47" s="4149">
        <f t="shared" si="68"/>
        <v>-32.364492581270312</v>
      </c>
      <c r="BB47" s="4165">
        <f>SUM('Произв. прогр. Стоки (СВОД)'!S52)</f>
        <v>250.17557860824675</v>
      </c>
      <c r="BC47" s="4165">
        <f>SUM('ПОЛНАЯ СЕБЕСТОИМОСТЬ СТОКИ 2017'!X163)</f>
        <v>0</v>
      </c>
      <c r="BD47" s="4209">
        <v>147.38</v>
      </c>
      <c r="BE47" s="4165">
        <f>SUM('Произв. прогр. Стоки (СВОД)'!T52)</f>
        <v>250.17557860824675</v>
      </c>
      <c r="BF47" s="4165">
        <f>SUM('ПОЛНАЯ СЕБЕСТОИМОСТЬ СТОКИ 2017'!Y163)</f>
        <v>0</v>
      </c>
      <c r="BG47" s="4209">
        <v>143.38</v>
      </c>
      <c r="BH47" s="4165">
        <f>SUM('Произв. прогр. Стоки (СВОД)'!U52)</f>
        <v>250.17557860824675</v>
      </c>
      <c r="BI47" s="4165">
        <f>SUM('ПОЛНАЯ СЕБЕСТОИМОСТЬ СТОКИ 2017'!Z163)</f>
        <v>0</v>
      </c>
      <c r="BJ47" s="4209">
        <v>156.36000000000001</v>
      </c>
      <c r="BK47" s="4221">
        <f t="shared" si="83"/>
        <v>750.52673582474029</v>
      </c>
      <c r="BL47" s="4221">
        <f t="shared" si="83"/>
        <v>0</v>
      </c>
      <c r="BM47" s="4221">
        <f t="shared" si="83"/>
        <v>447.12</v>
      </c>
      <c r="BN47" s="4149">
        <f t="shared" si="70"/>
        <v>-750.52673582474029</v>
      </c>
      <c r="BO47" s="4149">
        <f t="shared" si="71"/>
        <v>-100</v>
      </c>
      <c r="BP47" s="4221">
        <f t="shared" si="84"/>
        <v>2916.7409861731821</v>
      </c>
      <c r="BQ47" s="4221">
        <f t="shared" si="84"/>
        <v>1465.13</v>
      </c>
      <c r="BR47" s="4221">
        <f t="shared" si="84"/>
        <v>1757.81</v>
      </c>
      <c r="BS47" s="4149">
        <f t="shared" si="74"/>
        <v>-1451.610986173182</v>
      </c>
      <c r="BT47" s="4149">
        <f t="shared" si="75"/>
        <v>-49.768251382434968</v>
      </c>
    </row>
    <row r="48" spans="1:72" ht="18.75" customHeight="1">
      <c r="A48" s="4125" t="s">
        <v>285</v>
      </c>
      <c r="B48" s="4165"/>
      <c r="C48" s="4165">
        <f>SUM('ПОЛНАЯ СЕБЕСТОИМОСТЬ СТОКИ 2017'!C164)</f>
        <v>0.01</v>
      </c>
      <c r="D48" s="4209">
        <v>2.79</v>
      </c>
      <c r="E48" s="4165"/>
      <c r="F48" s="4165">
        <f>SUM('ПОЛНАЯ СЕБЕСТОИМОСТЬ СТОКИ 2017'!D164)</f>
        <v>0.01</v>
      </c>
      <c r="G48" s="4209">
        <v>2.58</v>
      </c>
      <c r="H48" s="4165"/>
      <c r="I48" s="4165">
        <f>SUM('ПОЛНАЯ СЕБЕСТОИМОСТЬ СТОКИ 2017'!E164)</f>
        <v>0.02</v>
      </c>
      <c r="J48" s="4209">
        <v>2.5</v>
      </c>
      <c r="K48" s="4221"/>
      <c r="L48" s="4221">
        <f t="shared" si="78"/>
        <v>0.04</v>
      </c>
      <c r="M48" s="4221">
        <f t="shared" si="78"/>
        <v>7.87</v>
      </c>
      <c r="N48" s="4149"/>
      <c r="O48" s="4149"/>
      <c r="P48" s="4165"/>
      <c r="Q48" s="4165">
        <f>SUM('ПОЛНАЯ СЕБЕСТОИМОСТЬ СТОКИ 2017'!H164)</f>
        <v>0.01</v>
      </c>
      <c r="R48" s="4209">
        <v>1.98</v>
      </c>
      <c r="S48" s="4165"/>
      <c r="T48" s="4165">
        <f>SUM('ПОЛНАЯ СЕБЕСТОИМОСТЬ СТОКИ 2017'!I164)</f>
        <v>0.01</v>
      </c>
      <c r="U48" s="4209">
        <v>1.89</v>
      </c>
      <c r="V48" s="4165"/>
      <c r="W48" s="4165">
        <f>SUM('ПОЛНАЯ СЕБЕСТОИМОСТЬ СТОКИ 2017'!J164)</f>
        <v>0.01</v>
      </c>
      <c r="X48" s="4209">
        <v>1.61</v>
      </c>
      <c r="Y48" s="4221"/>
      <c r="Z48" s="4221">
        <f t="shared" si="79"/>
        <v>0.03</v>
      </c>
      <c r="AA48" s="4221">
        <f t="shared" si="79"/>
        <v>5.48</v>
      </c>
      <c r="AB48" s="4149"/>
      <c r="AC48" s="4149"/>
      <c r="AD48" s="4221"/>
      <c r="AE48" s="4221">
        <f t="shared" si="80"/>
        <v>7.0000000000000007E-2</v>
      </c>
      <c r="AF48" s="4250">
        <f t="shared" si="80"/>
        <v>13.350000000000001</v>
      </c>
      <c r="AG48" s="4149"/>
      <c r="AH48" s="4149"/>
      <c r="AI48" s="4165"/>
      <c r="AJ48" s="4165">
        <f>SUM('ПОЛНАЯ СЕБЕСТОИМОСТЬ СТОКИ 2017'!P164)</f>
        <v>0.4</v>
      </c>
      <c r="AK48" s="4209">
        <v>1.61</v>
      </c>
      <c r="AL48" s="4165"/>
      <c r="AM48" s="4165">
        <f>SUM('ПОЛНАЯ СЕБЕСТОИМОСТЬ СТОКИ 2017'!Q164)</f>
        <v>0.01</v>
      </c>
      <c r="AN48" s="4209">
        <v>1.45</v>
      </c>
      <c r="AO48" s="4165"/>
      <c r="AP48" s="4165">
        <f>SUM('ПОЛНАЯ СЕБЕСТОИМОСТЬ СТОКИ 2017'!R164)</f>
        <v>0.02</v>
      </c>
      <c r="AQ48" s="4209">
        <v>0.38</v>
      </c>
      <c r="AR48" s="4221"/>
      <c r="AS48" s="4221">
        <f t="shared" si="81"/>
        <v>0.43000000000000005</v>
      </c>
      <c r="AT48" s="4221">
        <f t="shared" si="81"/>
        <v>3.44</v>
      </c>
      <c r="AU48" s="4149"/>
      <c r="AV48" s="4149"/>
      <c r="AW48" s="4221"/>
      <c r="AX48" s="4221">
        <f t="shared" si="82"/>
        <v>0.5</v>
      </c>
      <c r="AY48" s="4221">
        <f>SUM(AF48+AT48)</f>
        <v>16.790000000000003</v>
      </c>
      <c r="AZ48" s="4149"/>
      <c r="BA48" s="4149"/>
      <c r="BB48" s="4165"/>
      <c r="BC48" s="4165">
        <f>SUM('ПОЛНАЯ СЕБЕСТОИМОСТЬ СТОКИ 2017'!X164)</f>
        <v>0</v>
      </c>
      <c r="BD48" s="4209"/>
      <c r="BE48" s="4165"/>
      <c r="BF48" s="4165">
        <f>SUM('ПОЛНАЯ СЕБЕСТОИМОСТЬ СТОКИ 2017'!Y164)</f>
        <v>0</v>
      </c>
      <c r="BG48" s="4209"/>
      <c r="BH48" s="4165"/>
      <c r="BI48" s="4165">
        <f>SUM('ПОЛНАЯ СЕБЕСТОИМОСТЬ СТОКИ 2017'!Z164)</f>
        <v>0</v>
      </c>
      <c r="BJ48" s="4209">
        <v>0.02</v>
      </c>
      <c r="BK48" s="4221"/>
      <c r="BL48" s="4221">
        <f t="shared" si="83"/>
        <v>0</v>
      </c>
      <c r="BM48" s="4221"/>
      <c r="BN48" s="4149"/>
      <c r="BO48" s="4149"/>
      <c r="BP48" s="4221"/>
      <c r="BQ48" s="4221">
        <f t="shared" si="84"/>
        <v>0.5</v>
      </c>
      <c r="BR48" s="4221"/>
      <c r="BS48" s="4149"/>
      <c r="BT48" s="4149"/>
    </row>
    <row r="49" spans="1:72" ht="18.75" customHeight="1">
      <c r="A49" s="4125" t="s">
        <v>1882</v>
      </c>
      <c r="B49" s="4165"/>
      <c r="C49" s="4165">
        <f>SUM('ПОЛНАЯ СЕБЕСТОИМОСТЬ СТОКИ 2017'!C165)</f>
        <v>7.8</v>
      </c>
      <c r="D49" s="4209">
        <v>8.11</v>
      </c>
      <c r="E49" s="4165"/>
      <c r="F49" s="4165">
        <f>SUM('ПОЛНАЯ СЕБЕСТОИМОСТЬ СТОКИ 2017'!D165)</f>
        <v>6.35</v>
      </c>
      <c r="G49" s="4209">
        <v>6.51</v>
      </c>
      <c r="H49" s="4165"/>
      <c r="I49" s="4165">
        <f>SUM('ПОЛНАЯ СЕБЕСТОИМОСТЬ СТОКИ 2017'!E165)</f>
        <v>6.08</v>
      </c>
      <c r="J49" s="4209">
        <v>5.28</v>
      </c>
      <c r="K49" s="4221"/>
      <c r="L49" s="4221">
        <f t="shared" si="78"/>
        <v>20.229999999999997</v>
      </c>
      <c r="M49" s="4221">
        <f t="shared" si="78"/>
        <v>19.899999999999999</v>
      </c>
      <c r="N49" s="4149"/>
      <c r="O49" s="4149"/>
      <c r="P49" s="4165"/>
      <c r="Q49" s="4165">
        <f>SUM('ПОЛНАЯ СЕБЕСТОИМОСТЬ СТОКИ 2017'!H165)</f>
        <v>4.45</v>
      </c>
      <c r="R49" s="4209">
        <v>3.54</v>
      </c>
      <c r="S49" s="4165"/>
      <c r="T49" s="4165">
        <f>SUM('ПОЛНАЯ СЕБЕСТОИМОСТЬ СТОКИ 2017'!I165)</f>
        <v>3.11</v>
      </c>
      <c r="U49" s="4209">
        <v>0.72</v>
      </c>
      <c r="V49" s="4165"/>
      <c r="W49" s="4165">
        <f>SUM('ПОЛНАЯ СЕБЕСТОИМОСТЬ СТОКИ 2017'!J165)</f>
        <v>0</v>
      </c>
      <c r="X49" s="4209"/>
      <c r="Y49" s="4221"/>
      <c r="Z49" s="4221">
        <f t="shared" si="79"/>
        <v>7.5600000000000005</v>
      </c>
      <c r="AA49" s="4221">
        <f>SUM(R49+U49+X49)</f>
        <v>4.26</v>
      </c>
      <c r="AB49" s="4149"/>
      <c r="AC49" s="4149"/>
      <c r="AD49" s="4221"/>
      <c r="AE49" s="4221">
        <f t="shared" si="80"/>
        <v>27.79</v>
      </c>
      <c r="AF49" s="4250">
        <f t="shared" si="80"/>
        <v>24.159999999999997</v>
      </c>
      <c r="AG49" s="4149"/>
      <c r="AH49" s="4149"/>
      <c r="AI49" s="4165"/>
      <c r="AJ49" s="4165">
        <f>SUM('ПОЛНАЯ СЕБЕСТОИМОСТЬ СТОКИ 2017'!P165)</f>
        <v>0</v>
      </c>
      <c r="AK49" s="4209"/>
      <c r="AL49" s="4165"/>
      <c r="AM49" s="4165">
        <f>SUM('ПОЛНАЯ СЕБЕСТОИМОСТЬ СТОКИ 2017'!Q165)</f>
        <v>0</v>
      </c>
      <c r="AN49" s="4209"/>
      <c r="AO49" s="4165"/>
      <c r="AP49" s="4165">
        <f>SUM('ПОЛНАЯ СЕБЕСТОИМОСТЬ СТОКИ 2017'!R165)</f>
        <v>1.47</v>
      </c>
      <c r="AQ49" s="4209">
        <v>1.51</v>
      </c>
      <c r="AR49" s="4221"/>
      <c r="AS49" s="4221">
        <f t="shared" si="81"/>
        <v>1.47</v>
      </c>
      <c r="AT49" s="4221">
        <f t="shared" si="81"/>
        <v>1.51</v>
      </c>
      <c r="AU49" s="4149"/>
      <c r="AV49" s="4149"/>
      <c r="AW49" s="4221"/>
      <c r="AX49" s="4221">
        <f t="shared" si="82"/>
        <v>29.259999999999998</v>
      </c>
      <c r="AY49" s="4221">
        <f t="shared" ref="AY49:AY50" si="85">SUM(AF49+AT49)</f>
        <v>25.669999999999998</v>
      </c>
      <c r="AZ49" s="4149"/>
      <c r="BA49" s="4149"/>
      <c r="BB49" s="4165"/>
      <c r="BC49" s="4165">
        <f>SUM('ПОЛНАЯ СЕБЕСТОИМОСТЬ СТОКИ 2017'!X165)</f>
        <v>0</v>
      </c>
      <c r="BD49" s="4209">
        <v>4.1500000000000004</v>
      </c>
      <c r="BE49" s="4165"/>
      <c r="BF49" s="4165">
        <f>SUM('ПОЛНАЯ СЕБЕСТОИМОСТЬ СТОКИ 2017'!Y165)</f>
        <v>0</v>
      </c>
      <c r="BG49" s="4209">
        <v>6.13</v>
      </c>
      <c r="BH49" s="4165"/>
      <c r="BI49" s="4165">
        <f>SUM('ПОЛНАЯ СЕБЕСТОИМОСТЬ СТОКИ 2017'!Z165)</f>
        <v>0</v>
      </c>
      <c r="BJ49" s="4209">
        <v>8.5</v>
      </c>
      <c r="BK49" s="4221"/>
      <c r="BL49" s="4221">
        <f t="shared" si="83"/>
        <v>0</v>
      </c>
      <c r="BM49" s="4221"/>
      <c r="BN49" s="4149"/>
      <c r="BO49" s="4149"/>
      <c r="BP49" s="4221"/>
      <c r="BQ49" s="4221">
        <f t="shared" si="84"/>
        <v>29.259999999999998</v>
      </c>
      <c r="BR49" s="4221"/>
      <c r="BS49" s="4149"/>
      <c r="BT49" s="4149"/>
    </row>
    <row r="50" spans="1:72" ht="18.75" customHeight="1">
      <c r="A50" s="4125" t="s">
        <v>286</v>
      </c>
      <c r="B50" s="4165"/>
      <c r="C50" s="4165">
        <f>SUM('ПОЛНАЯ СЕБЕСТОИМОСТЬ СТОКИ 2017'!C166)</f>
        <v>4.8099999999999996</v>
      </c>
      <c r="D50" s="4209">
        <v>4.49</v>
      </c>
      <c r="E50" s="4165"/>
      <c r="F50" s="4165">
        <f>SUM('ПОЛНАЯ СЕБЕСТОИМОСТЬ СТОКИ 2017'!D166)</f>
        <v>4.45</v>
      </c>
      <c r="G50" s="4209">
        <v>4.6399999999999997</v>
      </c>
      <c r="H50" s="4165"/>
      <c r="I50" s="4165">
        <f>SUM('ПОЛНАЯ СЕБЕСТОИМОСТЬ СТОКИ 2017'!E166)</f>
        <v>4.76</v>
      </c>
      <c r="J50" s="4209">
        <v>4.72</v>
      </c>
      <c r="K50" s="4221"/>
      <c r="L50" s="4221">
        <f t="shared" si="78"/>
        <v>14.02</v>
      </c>
      <c r="M50" s="4221">
        <f t="shared" si="78"/>
        <v>13.849999999999998</v>
      </c>
      <c r="N50" s="4149"/>
      <c r="O50" s="4149"/>
      <c r="P50" s="4165"/>
      <c r="Q50" s="4165">
        <f>SUM('ПОЛНАЯ СЕБЕСТОИМОСТЬ СТОКИ 2017'!H166)</f>
        <v>4.57</v>
      </c>
      <c r="R50" s="4209">
        <v>4.6100000000000003</v>
      </c>
      <c r="S50" s="4165"/>
      <c r="T50" s="4165">
        <f>SUM('ПОЛНАЯ СЕБЕСТОИМОСТЬ СТОКИ 2017'!I166)</f>
        <v>4.34</v>
      </c>
      <c r="U50" s="4209">
        <v>4.63</v>
      </c>
      <c r="V50" s="4165"/>
      <c r="W50" s="4165">
        <f>SUM('ПОЛНАЯ СЕБЕСТОИМОСТЬ СТОКИ 2017'!J166)</f>
        <v>4.47</v>
      </c>
      <c r="X50" s="4209">
        <v>4.4400000000000004</v>
      </c>
      <c r="Y50" s="4221"/>
      <c r="Z50" s="4221">
        <f t="shared" si="79"/>
        <v>13.379999999999999</v>
      </c>
      <c r="AA50" s="4221">
        <f>SUM(R50+U50+X50)</f>
        <v>13.68</v>
      </c>
      <c r="AB50" s="4149"/>
      <c r="AC50" s="4149"/>
      <c r="AD50" s="4221"/>
      <c r="AE50" s="4221">
        <f t="shared" si="80"/>
        <v>27.4</v>
      </c>
      <c r="AF50" s="4250">
        <f t="shared" si="80"/>
        <v>27.529999999999998</v>
      </c>
      <c r="AG50" s="4149"/>
      <c r="AH50" s="4149"/>
      <c r="AI50" s="4165"/>
      <c r="AJ50" s="4165">
        <f>SUM('ПОЛНАЯ СЕБЕСТОИМОСТЬ СТОКИ 2017'!P166)</f>
        <v>4.57</v>
      </c>
      <c r="AK50" s="4209">
        <v>4.75</v>
      </c>
      <c r="AL50" s="4165"/>
      <c r="AM50" s="4165">
        <f>SUM('ПОЛНАЯ СЕБЕСТОИМОСТЬ СТОКИ 2017'!Q166)</f>
        <v>4.78</v>
      </c>
      <c r="AN50" s="4209">
        <v>4.46</v>
      </c>
      <c r="AO50" s="4165"/>
      <c r="AP50" s="4165">
        <f>SUM('ПОЛНАЯ СЕБЕСТОИМОСТЬ СТОКИ 2017'!R166)</f>
        <v>4.45</v>
      </c>
      <c r="AQ50" s="4209">
        <v>4.95</v>
      </c>
      <c r="AR50" s="4221"/>
      <c r="AS50" s="4221">
        <f t="shared" si="81"/>
        <v>13.8</v>
      </c>
      <c r="AT50" s="4221">
        <f t="shared" si="81"/>
        <v>14.16</v>
      </c>
      <c r="AU50" s="4149"/>
      <c r="AV50" s="4149"/>
      <c r="AW50" s="4221"/>
      <c r="AX50" s="4221">
        <f t="shared" si="82"/>
        <v>41.2</v>
      </c>
      <c r="AY50" s="4221">
        <f t="shared" si="85"/>
        <v>41.69</v>
      </c>
      <c r="AZ50" s="4149"/>
      <c r="BA50" s="4149"/>
      <c r="BB50" s="4165"/>
      <c r="BC50" s="4165">
        <f>SUM('ПОЛНАЯ СЕБЕСТОИМОСТЬ СТОКИ 2017'!X166)</f>
        <v>0</v>
      </c>
      <c r="BD50" s="4209">
        <v>4.74</v>
      </c>
      <c r="BE50" s="4165"/>
      <c r="BF50" s="4165">
        <f>SUM('ПОЛНАЯ СЕБЕСТОИМОСТЬ СТОКИ 2017'!Y166)</f>
        <v>0</v>
      </c>
      <c r="BG50" s="4209">
        <v>4.7</v>
      </c>
      <c r="BH50" s="4165"/>
      <c r="BI50" s="4165">
        <f>SUM('ПОЛНАЯ СЕБЕСТОИМОСТЬ СТОКИ 2017'!Z166)</f>
        <v>0</v>
      </c>
      <c r="BJ50" s="4209">
        <v>4.8600000000000003</v>
      </c>
      <c r="BK50" s="4221"/>
      <c r="BL50" s="4221">
        <f t="shared" si="83"/>
        <v>0</v>
      </c>
      <c r="BM50" s="4221"/>
      <c r="BN50" s="4149"/>
      <c r="BO50" s="4149"/>
      <c r="BP50" s="4221"/>
      <c r="BQ50" s="4221">
        <f t="shared" si="84"/>
        <v>41.2</v>
      </c>
      <c r="BR50" s="4221"/>
      <c r="BS50" s="4149"/>
      <c r="BT50" s="4149"/>
    </row>
    <row r="51" spans="1:72" ht="18.75" customHeight="1">
      <c r="A51" s="4125" t="s">
        <v>1749</v>
      </c>
      <c r="B51" s="4165">
        <f>SUM('Произв. прогр. Стоки (СВОД)'!E53)</f>
        <v>111.82942305110737</v>
      </c>
      <c r="C51" s="4165">
        <f>SUM('ПОЛНАЯ СЕБЕСТОИМОСТЬ СТОКИ 2017'!C167)</f>
        <v>89.04</v>
      </c>
      <c r="D51" s="4209">
        <v>96.12</v>
      </c>
      <c r="E51" s="4165">
        <f>SUM('Произв. прогр. Стоки (СВОД)'!F53)</f>
        <v>111.82942305110737</v>
      </c>
      <c r="F51" s="4165">
        <f>SUM('ПОЛНАЯ СЕБЕСТОИМОСТЬ СТОКИ 2017'!D167)</f>
        <v>86.51</v>
      </c>
      <c r="G51" s="4209">
        <v>89.89</v>
      </c>
      <c r="H51" s="4165">
        <f>SUM('Произв. прогр. Стоки (СВОД)'!G53)</f>
        <v>111.82942305110737</v>
      </c>
      <c r="I51" s="4165">
        <f>SUM('ПОЛНАЯ СЕБЕСТОИМОСТЬ СТОКИ 2017'!E167)</f>
        <v>99.09</v>
      </c>
      <c r="J51" s="4209">
        <v>96.2</v>
      </c>
      <c r="K51" s="4221">
        <f t="shared" si="78"/>
        <v>335.48826915332211</v>
      </c>
      <c r="L51" s="4221">
        <f t="shared" si="78"/>
        <v>274.64</v>
      </c>
      <c r="M51" s="4221">
        <f t="shared" si="78"/>
        <v>282.20999999999998</v>
      </c>
      <c r="N51" s="4149">
        <f t="shared" si="53"/>
        <v>-60.848269153322121</v>
      </c>
      <c r="O51" s="4149">
        <f t="shared" si="54"/>
        <v>-18.137227065162669</v>
      </c>
      <c r="P51" s="4165">
        <f>SUM('Произв. прогр. Стоки (СВОД)'!I53)</f>
        <v>111.82942305110737</v>
      </c>
      <c r="Q51" s="4165">
        <f>SUM('ПОЛНАЯ СЕБЕСТОИМОСТЬ СТОКИ 2017'!H167)</f>
        <v>106.91</v>
      </c>
      <c r="R51" s="4209">
        <v>256.57</v>
      </c>
      <c r="S51" s="4165">
        <f>SUM('Произв. прогр. Стоки (СВОД)'!J53)</f>
        <v>111.82942305110737</v>
      </c>
      <c r="T51" s="4165">
        <f>SUM('ПОЛНАЯ СЕБЕСТОИМОСТЬ СТОКИ 2017'!I167)</f>
        <v>66.47</v>
      </c>
      <c r="U51" s="4209">
        <v>204.52</v>
      </c>
      <c r="V51" s="4165">
        <f>SUM('Произв. прогр. Стоки (СВОД)'!K53)</f>
        <v>111.82942305110737</v>
      </c>
      <c r="W51" s="4165">
        <f>SUM('ПОЛНАЯ СЕБЕСТОИМОСТЬ СТОКИ 2017'!J167)</f>
        <v>97.55</v>
      </c>
      <c r="X51" s="4209">
        <v>46.21</v>
      </c>
      <c r="Y51" s="4221">
        <f t="shared" si="79"/>
        <v>335.48826915332211</v>
      </c>
      <c r="Z51" s="4221">
        <f t="shared" si="79"/>
        <v>270.93</v>
      </c>
      <c r="AA51" s="4221">
        <f t="shared" si="79"/>
        <v>507.3</v>
      </c>
      <c r="AB51" s="4149">
        <f t="shared" si="56"/>
        <v>-64.558269153322101</v>
      </c>
      <c r="AC51" s="4149">
        <f t="shared" si="57"/>
        <v>-19.243077952099185</v>
      </c>
      <c r="AD51" s="4221">
        <f t="shared" si="80"/>
        <v>670.97653830664422</v>
      </c>
      <c r="AE51" s="4221">
        <f t="shared" si="80"/>
        <v>545.56999999999994</v>
      </c>
      <c r="AF51" s="4250">
        <f t="shared" si="80"/>
        <v>789.51</v>
      </c>
      <c r="AG51" s="4149">
        <f t="shared" si="60"/>
        <v>-125.40653830664428</v>
      </c>
      <c r="AH51" s="4149">
        <f t="shared" si="61"/>
        <v>-18.690152508630938</v>
      </c>
      <c r="AI51" s="4165">
        <f>SUM('Произв. прогр. Стоки (СВОД)'!N53)</f>
        <v>111.82942305110734</v>
      </c>
      <c r="AJ51" s="4165">
        <f>SUM('ПОЛНАЯ СЕБЕСТОИМОСТЬ СТОКИ 2017'!P167)</f>
        <v>120.5</v>
      </c>
      <c r="AK51" s="4209">
        <v>107.76</v>
      </c>
      <c r="AL51" s="4165">
        <f>SUM('Произв. прогр. Стоки (СВОД)'!O53)</f>
        <v>111.82942305110734</v>
      </c>
      <c r="AM51" s="4165">
        <f>SUM('ПОЛНАЯ СЕБЕСТОИМОСТЬ СТОКИ 2017'!Q167)</f>
        <v>147.91999999999999</v>
      </c>
      <c r="AN51" s="4209">
        <v>53.43</v>
      </c>
      <c r="AO51" s="4165">
        <f>SUM('Произв. прогр. Стоки (СВОД)'!P53)</f>
        <v>111.82942305110734</v>
      </c>
      <c r="AP51" s="4165">
        <f>SUM('ПОЛНАЯ СЕБЕСТОИМОСТЬ СТОКИ 2017'!R167)</f>
        <v>174.13</v>
      </c>
      <c r="AQ51" s="4209">
        <v>193.87</v>
      </c>
      <c r="AR51" s="4221">
        <f t="shared" si="81"/>
        <v>335.48826915332199</v>
      </c>
      <c r="AS51" s="4221">
        <f t="shared" si="81"/>
        <v>442.54999999999995</v>
      </c>
      <c r="AT51" s="4221">
        <f t="shared" si="81"/>
        <v>355.06</v>
      </c>
      <c r="AU51" s="4149">
        <f t="shared" si="63"/>
        <v>107.06173084667796</v>
      </c>
      <c r="AV51" s="4149">
        <f t="shared" si="64"/>
        <v>31.912212941713776</v>
      </c>
      <c r="AW51" s="4221">
        <f t="shared" si="82"/>
        <v>1006.4648074599662</v>
      </c>
      <c r="AX51" s="4221">
        <f t="shared" si="82"/>
        <v>988.11999999999989</v>
      </c>
      <c r="AY51" s="4221">
        <f t="shared" si="82"/>
        <v>1144.57</v>
      </c>
      <c r="AZ51" s="4149">
        <f t="shared" si="67"/>
        <v>-18.344807459966319</v>
      </c>
      <c r="BA51" s="4149">
        <f t="shared" si="68"/>
        <v>-1.8226973585160369</v>
      </c>
      <c r="BB51" s="4165">
        <f>SUM('Произв. прогр. Стоки (СВОД)'!S53)</f>
        <v>111.82942305110734</v>
      </c>
      <c r="BC51" s="4165">
        <f>SUM('ПОЛНАЯ СЕБЕСТОИМОСТЬ СТОКИ 2017'!X167)</f>
        <v>0</v>
      </c>
      <c r="BD51" s="4209">
        <v>133.62</v>
      </c>
      <c r="BE51" s="4165">
        <f>SUM('Произв. прогр. Стоки (СВОД)'!T53)</f>
        <v>111.82942305110734</v>
      </c>
      <c r="BF51" s="4165">
        <f>SUM('ПОЛНАЯ СЕБЕСТОИМОСТЬ СТОКИ 2017'!Y167)</f>
        <v>0</v>
      </c>
      <c r="BG51" s="4209">
        <v>144.55000000000001</v>
      </c>
      <c r="BH51" s="4165">
        <f>SUM('Произв. прогр. Стоки (СВОД)'!U53)</f>
        <v>111.82942305110734</v>
      </c>
      <c r="BI51" s="4165">
        <f>SUM('ПОЛНАЯ СЕБЕСТОИМОСТЬ СТОКИ 2017'!Z167)</f>
        <v>0</v>
      </c>
      <c r="BJ51" s="4209">
        <v>131.65</v>
      </c>
      <c r="BK51" s="4221">
        <f t="shared" si="83"/>
        <v>335.48826915332199</v>
      </c>
      <c r="BL51" s="4221">
        <f t="shared" si="83"/>
        <v>0</v>
      </c>
      <c r="BM51" s="4221">
        <f t="shared" si="83"/>
        <v>409.82000000000005</v>
      </c>
      <c r="BN51" s="4149">
        <f t="shared" si="70"/>
        <v>-335.48826915332199</v>
      </c>
      <c r="BO51" s="4149">
        <f t="shared" si="71"/>
        <v>-100</v>
      </c>
      <c r="BP51" s="4221">
        <f t="shared" si="84"/>
        <v>1341.9530766132882</v>
      </c>
      <c r="BQ51" s="4221">
        <f t="shared" si="84"/>
        <v>988.11999999999989</v>
      </c>
      <c r="BR51" s="4221">
        <f t="shared" si="84"/>
        <v>1554.3899999999999</v>
      </c>
      <c r="BS51" s="4149">
        <f t="shared" si="74"/>
        <v>-353.83307661328831</v>
      </c>
      <c r="BT51" s="4149">
        <f t="shared" si="75"/>
        <v>-26.367023018887025</v>
      </c>
    </row>
    <row r="52" spans="1:72" ht="18.75" customHeight="1">
      <c r="A52" s="4143" t="s">
        <v>1778</v>
      </c>
      <c r="B52" s="4205">
        <f>SUM('Произв. прогр. Стоки (СВОД)'!E54)</f>
        <v>30.131666666666661</v>
      </c>
      <c r="C52" s="4205">
        <f>SUM('ПОЛНАЯ СЕБЕСТОИМОСТЬ СТОКИ 2017'!C168)</f>
        <v>0</v>
      </c>
      <c r="D52" s="4206"/>
      <c r="E52" s="4205">
        <f>SUM('Произв. прогр. Стоки (СВОД)'!F54)</f>
        <v>30.131666666666661</v>
      </c>
      <c r="F52" s="4205">
        <f>SUM('ПОЛНАЯ СЕБЕСТОИМОСТЬ СТОКИ 2017'!D168)</f>
        <v>0</v>
      </c>
      <c r="G52" s="4206"/>
      <c r="H52" s="4205">
        <f>SUM('Произв. прогр. Стоки (СВОД)'!G54)</f>
        <v>30.131666666666661</v>
      </c>
      <c r="I52" s="4205">
        <f>SUM('ПОЛНАЯ СЕБЕСТОИМОСТЬ СТОКИ 2017'!E168)</f>
        <v>0</v>
      </c>
      <c r="J52" s="4206"/>
      <c r="K52" s="4222">
        <f t="shared" si="78"/>
        <v>90.394999999999982</v>
      </c>
      <c r="L52" s="4222">
        <f t="shared" si="78"/>
        <v>0</v>
      </c>
      <c r="M52" s="4222">
        <f t="shared" si="78"/>
        <v>0</v>
      </c>
      <c r="N52" s="4142">
        <f t="shared" si="53"/>
        <v>-90.394999999999982</v>
      </c>
      <c r="O52" s="4142">
        <f t="shared" si="54"/>
        <v>-100</v>
      </c>
      <c r="P52" s="4205">
        <f>SUM('Произв. прогр. Стоки (СВОД)'!I54)</f>
        <v>30.131666666666661</v>
      </c>
      <c r="Q52" s="4205">
        <f>SUM('ПОЛНАЯ СЕБЕСТОИМОСТЬ СТОКИ 2017'!H168)</f>
        <v>0</v>
      </c>
      <c r="R52" s="4206">
        <v>0</v>
      </c>
      <c r="S52" s="4205">
        <f>SUM('Произв. прогр. Стоки (СВОД)'!J54)</f>
        <v>30.131666666666661</v>
      </c>
      <c r="T52" s="4205">
        <f>SUM('ПОЛНАЯ СЕБЕСТОИМОСТЬ СТОКИ 2017'!I168)</f>
        <v>0</v>
      </c>
      <c r="U52" s="4206">
        <v>0</v>
      </c>
      <c r="V52" s="4205">
        <f>SUM('Произв. прогр. Стоки (СВОД)'!K54)</f>
        <v>30.131666666666661</v>
      </c>
      <c r="W52" s="4205">
        <f>SUM('ПОЛНАЯ СЕБЕСТОИМОСТЬ СТОКИ 2017'!J168)</f>
        <v>0</v>
      </c>
      <c r="X52" s="4206">
        <v>0</v>
      </c>
      <c r="Y52" s="4222">
        <f t="shared" si="79"/>
        <v>90.394999999999982</v>
      </c>
      <c r="Z52" s="4222">
        <f t="shared" si="79"/>
        <v>0</v>
      </c>
      <c r="AA52" s="4222">
        <f t="shared" si="79"/>
        <v>0</v>
      </c>
      <c r="AB52" s="4142">
        <f t="shared" si="56"/>
        <v>-90.394999999999982</v>
      </c>
      <c r="AC52" s="4142">
        <f t="shared" si="57"/>
        <v>-100</v>
      </c>
      <c r="AD52" s="4222">
        <f t="shared" si="80"/>
        <v>180.78999999999996</v>
      </c>
      <c r="AE52" s="4222">
        <f t="shared" si="80"/>
        <v>0</v>
      </c>
      <c r="AF52" s="4247">
        <f t="shared" si="80"/>
        <v>0</v>
      </c>
      <c r="AG52" s="4142">
        <f t="shared" si="60"/>
        <v>-180.78999999999996</v>
      </c>
      <c r="AH52" s="4142">
        <f t="shared" si="61"/>
        <v>-100</v>
      </c>
      <c r="AI52" s="4205">
        <f>SUM('Произв. прогр. Стоки (СВОД)'!N54)</f>
        <v>30.131666666666661</v>
      </c>
      <c r="AJ52" s="4205">
        <f>SUM('ПОЛНАЯ СЕБЕСТОИМОСТЬ СТОКИ 2017'!P168)</f>
        <v>0</v>
      </c>
      <c r="AK52" s="4206">
        <v>0</v>
      </c>
      <c r="AL52" s="4205">
        <f>SUM('Произв. прогр. Стоки (СВОД)'!O54)</f>
        <v>30.131666666666661</v>
      </c>
      <c r="AM52" s="4205">
        <f>SUM('ПОЛНАЯ СЕБЕСТОИМОСТЬ СТОКИ 2017'!Q168)</f>
        <v>0</v>
      </c>
      <c r="AN52" s="4206">
        <v>0</v>
      </c>
      <c r="AO52" s="4205">
        <f>SUM('Произв. прогр. Стоки (СВОД)'!P54)</f>
        <v>30.131666666666661</v>
      </c>
      <c r="AP52" s="4205">
        <f>SUM('ПОЛНАЯ СЕБЕСТОИМОСТЬ СТОКИ 2017'!R168)</f>
        <v>0</v>
      </c>
      <c r="AQ52" s="4206">
        <v>0</v>
      </c>
      <c r="AR52" s="4222">
        <f t="shared" si="81"/>
        <v>90.394999999999982</v>
      </c>
      <c r="AS52" s="4222">
        <f t="shared" si="81"/>
        <v>0</v>
      </c>
      <c r="AT52" s="4222">
        <f t="shared" si="81"/>
        <v>0</v>
      </c>
      <c r="AU52" s="4142">
        <f t="shared" si="63"/>
        <v>-90.394999999999982</v>
      </c>
      <c r="AV52" s="4142">
        <f t="shared" si="64"/>
        <v>-100</v>
      </c>
      <c r="AW52" s="4222">
        <f t="shared" si="82"/>
        <v>271.18499999999995</v>
      </c>
      <c r="AX52" s="4222">
        <f t="shared" si="82"/>
        <v>0</v>
      </c>
      <c r="AY52" s="4222">
        <f t="shared" si="82"/>
        <v>0</v>
      </c>
      <c r="AZ52" s="4142">
        <f t="shared" si="67"/>
        <v>-271.18499999999995</v>
      </c>
      <c r="BA52" s="4142">
        <f t="shared" si="68"/>
        <v>-100</v>
      </c>
      <c r="BB52" s="4205">
        <f>SUM('Произв. прогр. Стоки (СВОД)'!S54)</f>
        <v>30.131666666666661</v>
      </c>
      <c r="BC52" s="4205">
        <f>SUM('ПОЛНАЯ СЕБЕСТОИМОСТЬ СТОКИ 2017'!X168)</f>
        <v>0</v>
      </c>
      <c r="BD52" s="4206">
        <v>0</v>
      </c>
      <c r="BE52" s="4205">
        <f>SUM('Произв. прогр. Стоки (СВОД)'!T54)</f>
        <v>30.131666666666661</v>
      </c>
      <c r="BF52" s="4205">
        <f>SUM('ПОЛНАЯ СЕБЕСТОИМОСТЬ СТОКИ 2017'!Y168)</f>
        <v>0</v>
      </c>
      <c r="BG52" s="4206">
        <v>0</v>
      </c>
      <c r="BH52" s="4205">
        <f>SUM('Произв. прогр. Стоки (СВОД)'!U54)</f>
        <v>30.131666666666661</v>
      </c>
      <c r="BI52" s="4205">
        <f>SUM('ПОЛНАЯ СЕБЕСТОИМОСТЬ СТОКИ 2017'!Z168)</f>
        <v>0</v>
      </c>
      <c r="BJ52" s="4206">
        <v>0</v>
      </c>
      <c r="BK52" s="4222">
        <f t="shared" si="83"/>
        <v>90.394999999999982</v>
      </c>
      <c r="BL52" s="4222">
        <f t="shared" si="83"/>
        <v>0</v>
      </c>
      <c r="BM52" s="4222">
        <f t="shared" si="83"/>
        <v>0</v>
      </c>
      <c r="BN52" s="4142">
        <f t="shared" si="70"/>
        <v>-90.394999999999982</v>
      </c>
      <c r="BO52" s="4142">
        <f t="shared" si="71"/>
        <v>-100</v>
      </c>
      <c r="BP52" s="4222">
        <f t="shared" si="84"/>
        <v>361.57999999999993</v>
      </c>
      <c r="BQ52" s="4222">
        <f t="shared" si="84"/>
        <v>0</v>
      </c>
      <c r="BR52" s="4222">
        <f t="shared" si="84"/>
        <v>0</v>
      </c>
      <c r="BS52" s="4142">
        <f t="shared" si="74"/>
        <v>-361.57999999999993</v>
      </c>
      <c r="BT52" s="4142">
        <f t="shared" si="75"/>
        <v>-100</v>
      </c>
    </row>
    <row r="53" spans="1:72" ht="18.75" customHeight="1">
      <c r="A53" s="4145" t="s">
        <v>286</v>
      </c>
      <c r="B53" s="4165">
        <f>SUM('Произв. прогр. Стоки (СВОД)'!E55)</f>
        <v>30.131666666666661</v>
      </c>
      <c r="C53" s="4165">
        <f>SUM('ПОЛНАЯ СЕБЕСТОИМОСТЬ СТОКИ 2017'!C169)</f>
        <v>0</v>
      </c>
      <c r="D53" s="4209"/>
      <c r="E53" s="4165">
        <f>SUM('Произв. прогр. Стоки (СВОД)'!F55)</f>
        <v>30.131666666666661</v>
      </c>
      <c r="F53" s="4165">
        <f>SUM('ПОЛНАЯ СЕБЕСТОИМОСТЬ СТОКИ 2017'!D169)</f>
        <v>0</v>
      </c>
      <c r="G53" s="4209"/>
      <c r="H53" s="4165">
        <f>SUM('Произв. прогр. Стоки (СВОД)'!G55)</f>
        <v>30.131666666666661</v>
      </c>
      <c r="I53" s="4165">
        <f>SUM('ПОЛНАЯ СЕБЕСТОИМОСТЬ СТОКИ 2017'!E169)</f>
        <v>0</v>
      </c>
      <c r="J53" s="4209"/>
      <c r="K53" s="4221">
        <f t="shared" si="78"/>
        <v>90.394999999999982</v>
      </c>
      <c r="L53" s="4221">
        <f t="shared" si="78"/>
        <v>0</v>
      </c>
      <c r="M53" s="4221">
        <f t="shared" si="78"/>
        <v>0</v>
      </c>
      <c r="N53" s="4149">
        <f t="shared" si="53"/>
        <v>-90.394999999999982</v>
      </c>
      <c r="O53" s="4149">
        <f t="shared" si="54"/>
        <v>-100</v>
      </c>
      <c r="P53" s="4165">
        <f>SUM('Произв. прогр. Стоки (СВОД)'!I55)</f>
        <v>30.131666666666661</v>
      </c>
      <c r="Q53" s="4165">
        <f>SUM('ПОЛНАЯ СЕБЕСТОИМОСТЬ СТОКИ 2017'!H169)</f>
        <v>0</v>
      </c>
      <c r="R53" s="4209">
        <v>0</v>
      </c>
      <c r="S53" s="4165">
        <f>SUM('Произв. прогр. Стоки (СВОД)'!J55)</f>
        <v>30.131666666666661</v>
      </c>
      <c r="T53" s="4165">
        <f>SUM('ПОЛНАЯ СЕБЕСТОИМОСТЬ СТОКИ 2017'!I169)</f>
        <v>0</v>
      </c>
      <c r="U53" s="4209">
        <v>0</v>
      </c>
      <c r="V53" s="4165">
        <f>SUM('Произв. прогр. Стоки (СВОД)'!K55)</f>
        <v>30.131666666666661</v>
      </c>
      <c r="W53" s="4165">
        <f>SUM('ПОЛНАЯ СЕБЕСТОИМОСТЬ СТОКИ 2017'!J169)</f>
        <v>0</v>
      </c>
      <c r="X53" s="4209">
        <v>0</v>
      </c>
      <c r="Y53" s="4221">
        <f t="shared" si="79"/>
        <v>90.394999999999982</v>
      </c>
      <c r="Z53" s="4221">
        <f t="shared" si="79"/>
        <v>0</v>
      </c>
      <c r="AA53" s="4221">
        <f t="shared" si="79"/>
        <v>0</v>
      </c>
      <c r="AB53" s="4149">
        <f t="shared" si="56"/>
        <v>-90.394999999999982</v>
      </c>
      <c r="AC53" s="4149">
        <f t="shared" si="57"/>
        <v>-100</v>
      </c>
      <c r="AD53" s="4221">
        <f t="shared" si="80"/>
        <v>180.78999999999996</v>
      </c>
      <c r="AE53" s="4221">
        <f t="shared" si="80"/>
        <v>0</v>
      </c>
      <c r="AF53" s="4250">
        <f t="shared" si="80"/>
        <v>0</v>
      </c>
      <c r="AG53" s="4149">
        <f t="shared" si="60"/>
        <v>-180.78999999999996</v>
      </c>
      <c r="AH53" s="4149">
        <f t="shared" si="61"/>
        <v>-100</v>
      </c>
      <c r="AI53" s="4165">
        <f>SUM('Произв. прогр. Стоки (СВОД)'!N55)</f>
        <v>30.131666666666661</v>
      </c>
      <c r="AJ53" s="4165">
        <f>SUM('ПОЛНАЯ СЕБЕСТОИМОСТЬ СТОКИ 2017'!P169)</f>
        <v>0</v>
      </c>
      <c r="AK53" s="4209">
        <v>0</v>
      </c>
      <c r="AL53" s="4165">
        <f>SUM('Произв. прогр. Стоки (СВОД)'!O55)</f>
        <v>30.131666666666661</v>
      </c>
      <c r="AM53" s="4165">
        <f>SUM('ПОЛНАЯ СЕБЕСТОИМОСТЬ СТОКИ 2017'!Q169)</f>
        <v>0</v>
      </c>
      <c r="AN53" s="4209">
        <v>0</v>
      </c>
      <c r="AO53" s="4165">
        <f>SUM('Произв. прогр. Стоки (СВОД)'!P55)</f>
        <v>30.131666666666661</v>
      </c>
      <c r="AP53" s="4165">
        <f>SUM('ПОЛНАЯ СЕБЕСТОИМОСТЬ СТОКИ 2017'!R169)</f>
        <v>0</v>
      </c>
      <c r="AQ53" s="4209">
        <v>0</v>
      </c>
      <c r="AR53" s="4221">
        <f t="shared" si="81"/>
        <v>90.394999999999982</v>
      </c>
      <c r="AS53" s="4221">
        <f t="shared" si="81"/>
        <v>0</v>
      </c>
      <c r="AT53" s="4221">
        <f t="shared" si="81"/>
        <v>0</v>
      </c>
      <c r="AU53" s="4149">
        <f t="shared" si="63"/>
        <v>-90.394999999999982</v>
      </c>
      <c r="AV53" s="4149">
        <f t="shared" si="64"/>
        <v>-100</v>
      </c>
      <c r="AW53" s="4221">
        <f t="shared" si="82"/>
        <v>271.18499999999995</v>
      </c>
      <c r="AX53" s="4221">
        <f t="shared" si="82"/>
        <v>0</v>
      </c>
      <c r="AY53" s="4221">
        <f t="shared" si="82"/>
        <v>0</v>
      </c>
      <c r="AZ53" s="4149">
        <f t="shared" si="67"/>
        <v>-271.18499999999995</v>
      </c>
      <c r="BA53" s="4149">
        <f t="shared" si="68"/>
        <v>-100</v>
      </c>
      <c r="BB53" s="4165">
        <f>SUM('Произв. прогр. Стоки (СВОД)'!S55)</f>
        <v>30.131666666666661</v>
      </c>
      <c r="BC53" s="4165">
        <f>SUM('ПОЛНАЯ СЕБЕСТОИМОСТЬ СТОКИ 2017'!X169)</f>
        <v>0</v>
      </c>
      <c r="BD53" s="4209">
        <v>0</v>
      </c>
      <c r="BE53" s="4165">
        <f>SUM('Произв. прогр. Стоки (СВОД)'!T55)</f>
        <v>30.131666666666661</v>
      </c>
      <c r="BF53" s="4165">
        <f>SUM('ПОЛНАЯ СЕБЕСТОИМОСТЬ СТОКИ 2017'!Y169)</f>
        <v>0</v>
      </c>
      <c r="BG53" s="4209">
        <v>0</v>
      </c>
      <c r="BH53" s="4165">
        <f>SUM('Произв. прогр. Стоки (СВОД)'!U55)</f>
        <v>30.131666666666661</v>
      </c>
      <c r="BI53" s="4165">
        <f>SUM('ПОЛНАЯ СЕБЕСТОИМОСТЬ СТОКИ 2017'!Z169)</f>
        <v>0</v>
      </c>
      <c r="BJ53" s="4209">
        <v>0</v>
      </c>
      <c r="BK53" s="4221">
        <f t="shared" si="83"/>
        <v>90.394999999999982</v>
      </c>
      <c r="BL53" s="4221">
        <f t="shared" si="83"/>
        <v>0</v>
      </c>
      <c r="BM53" s="4221">
        <f t="shared" si="83"/>
        <v>0</v>
      </c>
      <c r="BN53" s="4149">
        <f t="shared" si="70"/>
        <v>-90.394999999999982</v>
      </c>
      <c r="BO53" s="4149">
        <f t="shared" si="71"/>
        <v>-100</v>
      </c>
      <c r="BP53" s="4221">
        <f t="shared" si="84"/>
        <v>361.57999999999993</v>
      </c>
      <c r="BQ53" s="4221">
        <f t="shared" si="84"/>
        <v>0</v>
      </c>
      <c r="BR53" s="4221">
        <f t="shared" si="84"/>
        <v>0</v>
      </c>
      <c r="BS53" s="4149">
        <f t="shared" si="74"/>
        <v>-361.57999999999993</v>
      </c>
      <c r="BT53" s="4149">
        <f t="shared" si="75"/>
        <v>-100</v>
      </c>
    </row>
    <row r="54" spans="1:72" ht="18.75" customHeight="1">
      <c r="A54" s="4143" t="s">
        <v>1751</v>
      </c>
      <c r="B54" s="4205">
        <f>SUM('Произв. прогр. Стоки (СВОД)'!E56)</f>
        <v>22.116666666666664</v>
      </c>
      <c r="C54" s="4205">
        <f>SUM('ПОЛНАЯ СЕБЕСТОИМОСТЬ СТОКИ 2017'!C170)</f>
        <v>0</v>
      </c>
      <c r="D54" s="4206"/>
      <c r="E54" s="4205">
        <f>SUM('Произв. прогр. Стоки (СВОД)'!F56)</f>
        <v>22.116666666666664</v>
      </c>
      <c r="F54" s="4205">
        <f>SUM('ПОЛНАЯ СЕБЕСТОИМОСТЬ СТОКИ 2017'!D170)</f>
        <v>0</v>
      </c>
      <c r="G54" s="4206"/>
      <c r="H54" s="4205">
        <f>SUM('Произв. прогр. Стоки (СВОД)'!G56)</f>
        <v>22.116666666666664</v>
      </c>
      <c r="I54" s="4205">
        <f>SUM('ПОЛНАЯ СЕБЕСТОИМОСТЬ СТОКИ 2017'!E170)</f>
        <v>0</v>
      </c>
      <c r="J54" s="4206"/>
      <c r="K54" s="4222">
        <f t="shared" si="78"/>
        <v>66.349999999999994</v>
      </c>
      <c r="L54" s="4222">
        <f t="shared" si="78"/>
        <v>0</v>
      </c>
      <c r="M54" s="4222">
        <f t="shared" si="78"/>
        <v>0</v>
      </c>
      <c r="N54" s="4142">
        <f t="shared" si="53"/>
        <v>-66.349999999999994</v>
      </c>
      <c r="O54" s="4142">
        <f t="shared" si="54"/>
        <v>-100</v>
      </c>
      <c r="P54" s="4205">
        <f>SUM('Произв. прогр. Стоки (СВОД)'!I56)</f>
        <v>22.116666666666664</v>
      </c>
      <c r="Q54" s="4205">
        <f>SUM('ПОЛНАЯ СЕБЕСТОИМОСТЬ СТОКИ 2017'!H170)</f>
        <v>0</v>
      </c>
      <c r="R54" s="4206"/>
      <c r="S54" s="4205">
        <f>SUM('Произв. прогр. Стоки (СВОД)'!J56)</f>
        <v>22.116666666666664</v>
      </c>
      <c r="T54" s="4205">
        <f>SUM('ПОЛНАЯ СЕБЕСТОИМОСТЬ СТОКИ 2017'!I170)</f>
        <v>0</v>
      </c>
      <c r="U54" s="4206">
        <v>0</v>
      </c>
      <c r="V54" s="4205">
        <f>SUM('Произв. прогр. Стоки (СВОД)'!K56)</f>
        <v>22.116666666666664</v>
      </c>
      <c r="W54" s="4205">
        <f>SUM('ПОЛНАЯ СЕБЕСТОИМОСТЬ СТОКИ 2017'!J170)</f>
        <v>0</v>
      </c>
      <c r="X54" s="4206"/>
      <c r="Y54" s="4222">
        <f t="shared" si="79"/>
        <v>66.349999999999994</v>
      </c>
      <c r="Z54" s="4222">
        <f t="shared" si="79"/>
        <v>0</v>
      </c>
      <c r="AA54" s="4222">
        <f t="shared" si="79"/>
        <v>0</v>
      </c>
      <c r="AB54" s="4142">
        <f t="shared" si="56"/>
        <v>-66.349999999999994</v>
      </c>
      <c r="AC54" s="4142">
        <f t="shared" si="57"/>
        <v>-100</v>
      </c>
      <c r="AD54" s="4222">
        <f t="shared" ref="AD54" si="86">SUM(K54+Y54)</f>
        <v>132.69999999999999</v>
      </c>
      <c r="AE54" s="4222">
        <f t="shared" ref="AE54:AF54" si="87">SUM(L54+Z54)</f>
        <v>0</v>
      </c>
      <c r="AF54" s="4247">
        <f t="shared" si="87"/>
        <v>0</v>
      </c>
      <c r="AG54" s="4142">
        <f t="shared" si="60"/>
        <v>-132.69999999999999</v>
      </c>
      <c r="AH54" s="4142">
        <f t="shared" si="61"/>
        <v>-100</v>
      </c>
      <c r="AI54" s="4205">
        <f>SUM('Произв. прогр. Стоки (СВОД)'!N56)</f>
        <v>22.116666666666664</v>
      </c>
      <c r="AJ54" s="4205">
        <f>SUM('ПОЛНАЯ СЕБЕСТОИМОСТЬ СТОКИ 2017'!P170)</f>
        <v>0</v>
      </c>
      <c r="AK54" s="4206"/>
      <c r="AL54" s="4205">
        <f>SUM('Произв. прогр. Стоки (СВОД)'!O56)</f>
        <v>22.116666666666664</v>
      </c>
      <c r="AM54" s="4205">
        <f>SUM('ПОЛНАЯ СЕБЕСТОИМОСТЬ СТОКИ 2017'!Q170)</f>
        <v>0</v>
      </c>
      <c r="AN54" s="4206"/>
      <c r="AO54" s="4205">
        <f>SUM('Произв. прогр. Стоки (СВОД)'!P56)</f>
        <v>22.116666666666664</v>
      </c>
      <c r="AP54" s="4205">
        <f>SUM('ПОЛНАЯ СЕБЕСТОИМОСТЬ СТОКИ 2017'!R170)</f>
        <v>0</v>
      </c>
      <c r="AQ54" s="4206"/>
      <c r="AR54" s="4222">
        <f t="shared" si="81"/>
        <v>66.349999999999994</v>
      </c>
      <c r="AS54" s="4222">
        <f t="shared" si="81"/>
        <v>0</v>
      </c>
      <c r="AT54" s="4222">
        <f t="shared" si="81"/>
        <v>0</v>
      </c>
      <c r="AU54" s="4142">
        <f t="shared" si="63"/>
        <v>-66.349999999999994</v>
      </c>
      <c r="AV54" s="4142">
        <f t="shared" si="64"/>
        <v>-100</v>
      </c>
      <c r="AW54" s="4222">
        <f t="shared" ref="AW54" si="88">SUM(AD54+AR54)</f>
        <v>199.04999999999998</v>
      </c>
      <c r="AX54" s="4222">
        <f t="shared" ref="AX54:AY54" si="89">SUM(AE54+AS54)</f>
        <v>0</v>
      </c>
      <c r="AY54" s="4222">
        <f t="shared" si="89"/>
        <v>0</v>
      </c>
      <c r="AZ54" s="4142">
        <f t="shared" si="67"/>
        <v>-199.04999999999998</v>
      </c>
      <c r="BA54" s="4142">
        <f t="shared" si="68"/>
        <v>-100</v>
      </c>
      <c r="BB54" s="4205">
        <f>SUM('Произв. прогр. Стоки (СВОД)'!S56)</f>
        <v>22.116666666666664</v>
      </c>
      <c r="BC54" s="4205">
        <f>SUM('ПОЛНАЯ СЕБЕСТОИМОСТЬ СТОКИ 2017'!X170)</f>
        <v>0</v>
      </c>
      <c r="BD54" s="4206"/>
      <c r="BE54" s="4205">
        <f>SUM('Произв. прогр. Стоки (СВОД)'!T56)</f>
        <v>22.116666666666664</v>
      </c>
      <c r="BF54" s="4205">
        <f>SUM('ПОЛНАЯ СЕБЕСТОИМОСТЬ СТОКИ 2017'!Y170)</f>
        <v>0</v>
      </c>
      <c r="BG54" s="4206"/>
      <c r="BH54" s="4205">
        <f>SUM('Произв. прогр. Стоки (СВОД)'!U56)</f>
        <v>22.116666666666664</v>
      </c>
      <c r="BI54" s="4205">
        <f>SUM('ПОЛНАЯ СЕБЕСТОИМОСТЬ СТОКИ 2017'!Z170)</f>
        <v>0</v>
      </c>
      <c r="BJ54" s="4206"/>
      <c r="BK54" s="4222">
        <f t="shared" si="83"/>
        <v>66.349999999999994</v>
      </c>
      <c r="BL54" s="4222">
        <f t="shared" si="83"/>
        <v>0</v>
      </c>
      <c r="BM54" s="4222">
        <f t="shared" si="83"/>
        <v>0</v>
      </c>
      <c r="BN54" s="4142">
        <f t="shared" si="70"/>
        <v>-66.349999999999994</v>
      </c>
      <c r="BO54" s="4142">
        <f t="shared" si="71"/>
        <v>-100</v>
      </c>
      <c r="BP54" s="4222">
        <f t="shared" ref="BP54" si="90">SUM(AW54+BK54)</f>
        <v>265.39999999999998</v>
      </c>
      <c r="BQ54" s="4222">
        <f t="shared" ref="BQ54:BR54" si="91">SUM(AX54+BL54)</f>
        <v>0</v>
      </c>
      <c r="BR54" s="4222">
        <f t="shared" si="91"/>
        <v>0</v>
      </c>
      <c r="BS54" s="4142">
        <f t="shared" si="74"/>
        <v>-265.39999999999998</v>
      </c>
      <c r="BT54" s="4142">
        <f t="shared" si="75"/>
        <v>-100</v>
      </c>
    </row>
    <row r="55" spans="1:72" ht="18.75" customHeight="1">
      <c r="A55" s="4139" t="s">
        <v>12</v>
      </c>
      <c r="B55" s="4172">
        <f>SUM(B28+B29+B31+B32+B33+B34+B36+B41+B45+B52+B54)</f>
        <v>6877.1763786613483</v>
      </c>
      <c r="C55" s="4172">
        <f t="shared" ref="C55:J55" si="92">SUM(C28+C29+C31+C32+C33+C34+C36+C41+C45+C52+C54)</f>
        <v>6607.81</v>
      </c>
      <c r="D55" s="4172">
        <f t="shared" si="92"/>
        <v>5765.4699999999993</v>
      </c>
      <c r="E55" s="4172">
        <f t="shared" si="92"/>
        <v>6869.7482613637694</v>
      </c>
      <c r="F55" s="4172">
        <f t="shared" si="92"/>
        <v>5728.56</v>
      </c>
      <c r="G55" s="4172">
        <f t="shared" si="92"/>
        <v>5683.09</v>
      </c>
      <c r="H55" s="4172">
        <f t="shared" si="92"/>
        <v>7316.5539671615024</v>
      </c>
      <c r="I55" s="4172">
        <f t="shared" si="92"/>
        <v>6804.6799999999994</v>
      </c>
      <c r="J55" s="4172">
        <f t="shared" si="92"/>
        <v>6971.119999999999</v>
      </c>
      <c r="K55" s="4223">
        <f t="shared" si="78"/>
        <v>21063.478607186618</v>
      </c>
      <c r="L55" s="4223">
        <f t="shared" si="78"/>
        <v>19141.05</v>
      </c>
      <c r="M55" s="4223">
        <f t="shared" si="78"/>
        <v>18419.68</v>
      </c>
      <c r="N55" s="4154">
        <f t="shared" si="53"/>
        <v>-1922.428607186619</v>
      </c>
      <c r="O55" s="4154">
        <f t="shared" si="54"/>
        <v>-9.1268334306884533</v>
      </c>
      <c r="P55" s="4172">
        <f t="shared" ref="P55:X55" si="93">SUM(P28+P29+P31+P32+P33+P34+P36+P41+P45+P52+P54)</f>
        <v>6845.7196710029457</v>
      </c>
      <c r="Q55" s="4172">
        <f t="shared" si="93"/>
        <v>6865.4800000000005</v>
      </c>
      <c r="R55" s="4172">
        <f t="shared" si="93"/>
        <v>6488.3</v>
      </c>
      <c r="S55" s="4172">
        <f t="shared" si="93"/>
        <v>6809.2667310467077</v>
      </c>
      <c r="T55" s="4172">
        <f t="shared" si="93"/>
        <v>6579.3200000000006</v>
      </c>
      <c r="U55" s="4172">
        <f t="shared" si="93"/>
        <v>6186.81</v>
      </c>
      <c r="V55" s="4172">
        <f t="shared" si="93"/>
        <v>7230.6356874556514</v>
      </c>
      <c r="W55" s="4172">
        <f t="shared" si="93"/>
        <v>6776.66</v>
      </c>
      <c r="X55" s="4172">
        <f t="shared" si="93"/>
        <v>6806.6100000000006</v>
      </c>
      <c r="Y55" s="4223">
        <f t="shared" si="79"/>
        <v>20885.622089505305</v>
      </c>
      <c r="Z55" s="4223">
        <f t="shared" si="79"/>
        <v>20221.46</v>
      </c>
      <c r="AA55" s="4223">
        <f t="shared" si="79"/>
        <v>19481.72</v>
      </c>
      <c r="AB55" s="4154">
        <f t="shared" si="56"/>
        <v>-664.16208950530563</v>
      </c>
      <c r="AC55" s="4154">
        <f t="shared" si="57"/>
        <v>-3.1799966822105654</v>
      </c>
      <c r="AD55" s="4223">
        <f t="shared" si="80"/>
        <v>41949.100696691923</v>
      </c>
      <c r="AE55" s="4223">
        <f t="shared" si="80"/>
        <v>39362.509999999995</v>
      </c>
      <c r="AF55" s="4251">
        <f t="shared" si="80"/>
        <v>37901.4</v>
      </c>
      <c r="AG55" s="4154">
        <f t="shared" si="60"/>
        <v>-2586.5906966919283</v>
      </c>
      <c r="AH55" s="4154">
        <f t="shared" si="61"/>
        <v>-6.1660218067461576</v>
      </c>
      <c r="AI55" s="4172">
        <f t="shared" ref="AI55:AQ55" si="94">SUM(AI28+AI29+AI31+AI32+AI33+AI34+AI36+AI41+AI45+AI52+AI54)</f>
        <v>7121.9166884714614</v>
      </c>
      <c r="AJ55" s="4172">
        <f t="shared" si="94"/>
        <v>6301.0000000000009</v>
      </c>
      <c r="AK55" s="4172">
        <f t="shared" si="94"/>
        <v>6942.16</v>
      </c>
      <c r="AL55" s="4172">
        <f t="shared" si="94"/>
        <v>7142.1045009726586</v>
      </c>
      <c r="AM55" s="4172">
        <f t="shared" si="94"/>
        <v>7179.9299999999994</v>
      </c>
      <c r="AN55" s="4172">
        <f t="shared" si="94"/>
        <v>6371.2900000000009</v>
      </c>
      <c r="AO55" s="4172">
        <f t="shared" si="94"/>
        <v>7631.2834159331287</v>
      </c>
      <c r="AP55" s="4172">
        <f t="shared" si="94"/>
        <v>6585.5</v>
      </c>
      <c r="AQ55" s="4172">
        <f t="shared" si="94"/>
        <v>7328.0500000000011</v>
      </c>
      <c r="AR55" s="4223">
        <f t="shared" si="81"/>
        <v>21895.304605377249</v>
      </c>
      <c r="AS55" s="4223">
        <f t="shared" si="81"/>
        <v>20066.43</v>
      </c>
      <c r="AT55" s="4223">
        <f t="shared" si="81"/>
        <v>20641.5</v>
      </c>
      <c r="AU55" s="4154">
        <f t="shared" si="63"/>
        <v>-1828.8746053772484</v>
      </c>
      <c r="AV55" s="4154">
        <f t="shared" si="64"/>
        <v>-8.3528164523826565</v>
      </c>
      <c r="AW55" s="4223">
        <f t="shared" si="82"/>
        <v>63844.405302069172</v>
      </c>
      <c r="AX55" s="4223">
        <f t="shared" si="82"/>
        <v>59428.939999999995</v>
      </c>
      <c r="AY55" s="4223">
        <f t="shared" si="82"/>
        <v>58542.9</v>
      </c>
      <c r="AZ55" s="4154">
        <f t="shared" si="67"/>
        <v>-4415.4653020691767</v>
      </c>
      <c r="BA55" s="4154">
        <f t="shared" si="68"/>
        <v>-6.9159784340979265</v>
      </c>
      <c r="BB55" s="4172">
        <f t="shared" ref="BB55:BJ55" si="95">SUM(BB28+BB29+BB31+BB32+BB33+BB34+BB36+BB41+BB45+BB52+BB54)</f>
        <v>7215.9231101838031</v>
      </c>
      <c r="BC55" s="4172">
        <f t="shared" si="95"/>
        <v>0</v>
      </c>
      <c r="BD55" s="4172">
        <f t="shared" si="95"/>
        <v>6291.5999999999995</v>
      </c>
      <c r="BE55" s="4172">
        <f t="shared" si="95"/>
        <v>7225.9360991479898</v>
      </c>
      <c r="BF55" s="4172">
        <f t="shared" si="95"/>
        <v>0</v>
      </c>
      <c r="BG55" s="4172">
        <f t="shared" si="95"/>
        <v>6499.4099999999989</v>
      </c>
      <c r="BH55" s="4172">
        <f t="shared" si="95"/>
        <v>7686.937706733399</v>
      </c>
      <c r="BI55" s="4172">
        <f t="shared" si="95"/>
        <v>0</v>
      </c>
      <c r="BJ55" s="4172">
        <f t="shared" si="95"/>
        <v>6654.1100000000006</v>
      </c>
      <c r="BK55" s="4223">
        <f t="shared" si="83"/>
        <v>22128.796916065192</v>
      </c>
      <c r="BL55" s="4223">
        <f t="shared" si="83"/>
        <v>0</v>
      </c>
      <c r="BM55" s="4223">
        <f t="shared" si="83"/>
        <v>19445.12</v>
      </c>
      <c r="BN55" s="4154">
        <f t="shared" si="70"/>
        <v>-22128.796916065192</v>
      </c>
      <c r="BO55" s="4154">
        <f t="shared" si="71"/>
        <v>-100</v>
      </c>
      <c r="BP55" s="4223">
        <f>SUM(AW55+BK55)+0.01</f>
        <v>85973.212218134358</v>
      </c>
      <c r="BQ55" s="4223">
        <f t="shared" si="84"/>
        <v>59428.939999999995</v>
      </c>
      <c r="BR55" s="4223">
        <f t="shared" si="84"/>
        <v>77988.02</v>
      </c>
      <c r="BS55" s="4154">
        <f t="shared" si="74"/>
        <v>-26544.272218134363</v>
      </c>
      <c r="BT55" s="4154">
        <f t="shared" si="75"/>
        <v>-30.875049952519245</v>
      </c>
    </row>
    <row r="56" spans="1:72" ht="18.75" customHeight="1">
      <c r="A56" s="4287" t="s">
        <v>1719</v>
      </c>
      <c r="B56" s="4172">
        <f>SUM('Произв. прогр. Стоки (СВОД)'!E58)</f>
        <v>-436.22499999999997</v>
      </c>
      <c r="C56" s="4172"/>
      <c r="D56" s="4288"/>
      <c r="E56" s="4172">
        <f>SUM('Произв. прогр. Стоки (СВОД)'!F58)</f>
        <v>-436.22499999999997</v>
      </c>
      <c r="F56" s="4288"/>
      <c r="G56" s="4288"/>
      <c r="H56" s="4172">
        <f>SUM('Произв. прогр. Стоки (СВОД)'!G58)</f>
        <v>-436.22499999999997</v>
      </c>
      <c r="I56" s="4288"/>
      <c r="J56" s="4288"/>
      <c r="K56" s="4223">
        <f t="shared" ref="K56" si="96">SUM(B56+E56+H56)</f>
        <v>-1308.675</v>
      </c>
      <c r="L56" s="4223">
        <f t="shared" ref="L56" si="97">SUM(C56+F56+I56)</f>
        <v>0</v>
      </c>
      <c r="M56" s="4223">
        <f t="shared" ref="M56" si="98">SUM(D56+G56+J56)</f>
        <v>0</v>
      </c>
      <c r="N56" s="4154">
        <f t="shared" ref="N56" si="99">SUM(L56-K56)</f>
        <v>1308.675</v>
      </c>
      <c r="O56" s="4154">
        <f t="shared" ref="O56" si="100">SUM(N56/K56*100)</f>
        <v>-100</v>
      </c>
      <c r="P56" s="4172">
        <f>SUM('Произв. прогр. Стоки (СВОД)'!I58)</f>
        <v>-436.22499999999997</v>
      </c>
      <c r="Q56" s="4288"/>
      <c r="R56" s="4288"/>
      <c r="S56" s="4172">
        <f>SUM('Произв. прогр. Стоки (СВОД)'!J58)</f>
        <v>-436.22499999999997</v>
      </c>
      <c r="T56" s="4288"/>
      <c r="U56" s="4288"/>
      <c r="V56" s="4172">
        <f>SUM('Произв. прогр. Стоки (СВОД)'!K58)</f>
        <v>-436.22499999999997</v>
      </c>
      <c r="W56" s="4288"/>
      <c r="X56" s="4288"/>
      <c r="Y56" s="4223">
        <f t="shared" ref="Y56" si="101">SUM(P56+S56+V56)</f>
        <v>-1308.675</v>
      </c>
      <c r="Z56" s="4223">
        <f t="shared" ref="Z56" si="102">SUM(Q56+T56+W56)</f>
        <v>0</v>
      </c>
      <c r="AA56" s="4223">
        <f t="shared" ref="AA56" si="103">SUM(R56+U56+X56)</f>
        <v>0</v>
      </c>
      <c r="AB56" s="4154">
        <f t="shared" ref="AB56" si="104">SUM(Z56-Y56)</f>
        <v>1308.675</v>
      </c>
      <c r="AC56" s="4154">
        <f t="shared" ref="AC56" si="105">SUM(AB56/Y56*100)</f>
        <v>-100</v>
      </c>
      <c r="AD56" s="4223">
        <f t="shared" ref="AD56" si="106">SUM(K56+Y56)</f>
        <v>-2617.35</v>
      </c>
      <c r="AE56" s="4223">
        <f t="shared" ref="AE56" si="107">SUM(L56+Z56)</f>
        <v>0</v>
      </c>
      <c r="AF56" s="4251">
        <f t="shared" ref="AF56" si="108">SUM(M56+AA56)</f>
        <v>0</v>
      </c>
      <c r="AG56" s="4154">
        <f t="shared" ref="AG56" si="109">SUM(AE56-AD56)</f>
        <v>2617.35</v>
      </c>
      <c r="AH56" s="4154">
        <f t="shared" ref="AH56" si="110">SUM(AG56/AD56*100)</f>
        <v>-100</v>
      </c>
      <c r="AI56" s="4172">
        <f>SUM('Произв. прогр. Стоки (СВОД)'!N58)</f>
        <v>-436.22499999999997</v>
      </c>
      <c r="AJ56" s="4288"/>
      <c r="AK56" s="4288"/>
      <c r="AL56" s="4172">
        <f>SUM('Произв. прогр. Стоки (СВОД)'!O58)</f>
        <v>-436.22499999999997</v>
      </c>
      <c r="AM56" s="4288"/>
      <c r="AN56" s="4288"/>
      <c r="AO56" s="4172">
        <f>SUM('Произв. прогр. Стоки (СВОД)'!P58)</f>
        <v>-436.22499999999997</v>
      </c>
      <c r="AP56" s="4288"/>
      <c r="AQ56" s="4288"/>
      <c r="AR56" s="4223">
        <f t="shared" ref="AR56" si="111">SUM(AI56+AL56+AO56)</f>
        <v>-1308.675</v>
      </c>
      <c r="AS56" s="4223">
        <f t="shared" ref="AS56" si="112">SUM(AJ56+AM56+AP56)</f>
        <v>0</v>
      </c>
      <c r="AT56" s="4223">
        <f t="shared" ref="AT56" si="113">SUM(AK56+AN56+AQ56)</f>
        <v>0</v>
      </c>
      <c r="AU56" s="4154">
        <f t="shared" ref="AU56" si="114">SUM(AS56-AR56)</f>
        <v>1308.675</v>
      </c>
      <c r="AV56" s="4154">
        <f t="shared" ref="AV56" si="115">SUM(AU56/AR56*100)</f>
        <v>-100</v>
      </c>
      <c r="AW56" s="4223">
        <f t="shared" ref="AW56" si="116">SUM(AD56+AR56)</f>
        <v>-3926.0249999999996</v>
      </c>
      <c r="AX56" s="4223">
        <f t="shared" ref="AX56" si="117">SUM(AE56+AS56)</f>
        <v>0</v>
      </c>
      <c r="AY56" s="4223">
        <f t="shared" ref="AY56" si="118">SUM(AF56+AT56)</f>
        <v>0</v>
      </c>
      <c r="AZ56" s="4154">
        <f t="shared" ref="AZ56" si="119">SUM(AX56-AW56)</f>
        <v>3926.0249999999996</v>
      </c>
      <c r="BA56" s="4154">
        <f t="shared" ref="BA56" si="120">SUM(AZ56/AW56*100)</f>
        <v>-100</v>
      </c>
      <c r="BB56" s="4172">
        <f>SUM('Произв. прогр. Стоки (СВОД)'!S58)</f>
        <v>-436.22499999999997</v>
      </c>
      <c r="BC56" s="4288"/>
      <c r="BD56" s="4288"/>
      <c r="BE56" s="4172">
        <f>SUM('Произв. прогр. Стоки (СВОД)'!T58)</f>
        <v>-436.22499999999997</v>
      </c>
      <c r="BF56" s="4288"/>
      <c r="BG56" s="4288"/>
      <c r="BH56" s="4172">
        <f>SUM('Произв. прогр. Стоки (СВОД)'!U58)</f>
        <v>-436.22499999999997</v>
      </c>
      <c r="BI56" s="4288"/>
      <c r="BJ56" s="4288"/>
      <c r="BK56" s="4223">
        <f t="shared" ref="BK56" si="121">SUM(BB56+BE56+BH56)</f>
        <v>-1308.675</v>
      </c>
      <c r="BL56" s="4223">
        <f t="shared" ref="BL56" si="122">SUM(BC56+BF56+BI56)</f>
        <v>0</v>
      </c>
      <c r="BM56" s="4223">
        <f t="shared" ref="BM56" si="123">SUM(BD56+BG56+BJ56)</f>
        <v>0</v>
      </c>
      <c r="BN56" s="4154">
        <f t="shared" ref="BN56" si="124">SUM(BL56-BK56)</f>
        <v>1308.675</v>
      </c>
      <c r="BO56" s="4154">
        <f t="shared" ref="BO56" si="125">SUM(BN56/BK56*100)</f>
        <v>-100</v>
      </c>
      <c r="BP56" s="4223">
        <f>SUM(AW56+BK56)+0.01</f>
        <v>-5234.6899999999996</v>
      </c>
      <c r="BQ56" s="4223">
        <f t="shared" ref="BQ56" si="126">SUM(AX56+BL56)</f>
        <v>0</v>
      </c>
      <c r="BR56" s="4223">
        <f t="shared" ref="BR56" si="127">SUM(AY56+BM56)</f>
        <v>0</v>
      </c>
      <c r="BS56" s="4154">
        <f t="shared" ref="BS56" si="128">SUM(BQ56-BP56)</f>
        <v>5234.6899999999996</v>
      </c>
      <c r="BT56" s="4154">
        <f t="shared" ref="BT56" si="129">SUM(BS56/BP56*100)</f>
        <v>-100</v>
      </c>
    </row>
    <row r="57" spans="1:72" ht="18.75" customHeight="1">
      <c r="A57" s="4139" t="s">
        <v>13</v>
      </c>
      <c r="B57" s="4172">
        <f>SUM(B9)</f>
        <v>279.83532500000001</v>
      </c>
      <c r="C57" s="4172">
        <f t="shared" ref="C57:J57" si="130">SUM(C9)</f>
        <v>257.02000000000004</v>
      </c>
      <c r="D57" s="4172">
        <f t="shared" si="130"/>
        <v>271.95</v>
      </c>
      <c r="E57" s="4172">
        <f t="shared" si="130"/>
        <v>280.62512500000003</v>
      </c>
      <c r="F57" s="4172">
        <f t="shared" si="130"/>
        <v>271.67999999999995</v>
      </c>
      <c r="G57" s="4172">
        <f t="shared" si="130"/>
        <v>268.63</v>
      </c>
      <c r="H57" s="4172">
        <f t="shared" si="130"/>
        <v>281.65160000000003</v>
      </c>
      <c r="I57" s="4172">
        <f t="shared" si="130"/>
        <v>261.83000000000004</v>
      </c>
      <c r="J57" s="4172">
        <f t="shared" si="130"/>
        <v>268.42</v>
      </c>
      <c r="K57" s="4223">
        <f t="shared" si="78"/>
        <v>842.11205000000007</v>
      </c>
      <c r="L57" s="4223">
        <f t="shared" si="78"/>
        <v>790.53000000000009</v>
      </c>
      <c r="M57" s="4223">
        <f t="shared" si="78"/>
        <v>809</v>
      </c>
      <c r="N57" s="4154">
        <f t="shared" si="53"/>
        <v>-51.582049999999981</v>
      </c>
      <c r="O57" s="4154">
        <f t="shared" si="54"/>
        <v>-6.125319071256607</v>
      </c>
      <c r="P57" s="4172">
        <f t="shared" ref="P57:X57" si="131">SUM(P9)</f>
        <v>277.73444999999998</v>
      </c>
      <c r="Q57" s="4172">
        <f t="shared" si="131"/>
        <v>285.02999999999997</v>
      </c>
      <c r="R57" s="4172">
        <f t="shared" si="131"/>
        <v>262.69</v>
      </c>
      <c r="S57" s="4172">
        <f t="shared" si="131"/>
        <v>272.48882499999996</v>
      </c>
      <c r="T57" s="4172">
        <f t="shared" si="131"/>
        <v>266.5</v>
      </c>
      <c r="U57" s="4172">
        <f t="shared" si="131"/>
        <v>252.23000000000002</v>
      </c>
      <c r="V57" s="4172">
        <f t="shared" si="131"/>
        <v>262.85564999999997</v>
      </c>
      <c r="W57" s="4172">
        <f t="shared" si="131"/>
        <v>259.78999999999996</v>
      </c>
      <c r="X57" s="4172">
        <f t="shared" si="131"/>
        <v>253.79000000000002</v>
      </c>
      <c r="Y57" s="4223">
        <f t="shared" si="79"/>
        <v>813.07892499999991</v>
      </c>
      <c r="Z57" s="4223">
        <f t="shared" si="79"/>
        <v>811.31999999999994</v>
      </c>
      <c r="AA57" s="4223">
        <f t="shared" si="79"/>
        <v>768.71</v>
      </c>
      <c r="AB57" s="4154">
        <f t="shared" si="56"/>
        <v>-1.7589249999999765</v>
      </c>
      <c r="AC57" s="4154">
        <f t="shared" si="57"/>
        <v>-0.21632893756285426</v>
      </c>
      <c r="AD57" s="4223">
        <f t="shared" si="80"/>
        <v>1655.190975</v>
      </c>
      <c r="AE57" s="4223">
        <f t="shared" si="80"/>
        <v>1601.85</v>
      </c>
      <c r="AF57" s="4251">
        <f t="shared" si="80"/>
        <v>1577.71</v>
      </c>
      <c r="AG57" s="4154">
        <f t="shared" si="60"/>
        <v>-53.340975000000071</v>
      </c>
      <c r="AH57" s="4154">
        <f t="shared" si="61"/>
        <v>-3.2226477672765261</v>
      </c>
      <c r="AI57" s="4172">
        <f t="shared" ref="AI57:AQ57" si="132">SUM(AI9)</f>
        <v>255.37707499999999</v>
      </c>
      <c r="AJ57" s="4172">
        <f t="shared" si="132"/>
        <v>232.16</v>
      </c>
      <c r="AK57" s="4172">
        <f t="shared" si="132"/>
        <v>223.93</v>
      </c>
      <c r="AL57" s="4172">
        <f t="shared" si="132"/>
        <v>264.26979999999998</v>
      </c>
      <c r="AM57" s="4172">
        <f t="shared" si="132"/>
        <v>244.42</v>
      </c>
      <c r="AN57" s="4172">
        <f t="shared" si="132"/>
        <v>245.09</v>
      </c>
      <c r="AO57" s="4172">
        <f t="shared" si="132"/>
        <v>275.95735000000002</v>
      </c>
      <c r="AP57" s="4172">
        <f t="shared" si="132"/>
        <v>260.64999999999998</v>
      </c>
      <c r="AQ57" s="4172">
        <f t="shared" si="132"/>
        <v>258.13</v>
      </c>
      <c r="AR57" s="4223">
        <f t="shared" si="81"/>
        <v>795.60422499999993</v>
      </c>
      <c r="AS57" s="4223">
        <f t="shared" si="81"/>
        <v>737.23</v>
      </c>
      <c r="AT57" s="4223">
        <f t="shared" si="81"/>
        <v>727.15</v>
      </c>
      <c r="AU57" s="4154">
        <f t="shared" si="63"/>
        <v>-58.37422499999991</v>
      </c>
      <c r="AV57" s="4154">
        <f t="shared" si="64"/>
        <v>-7.3370933896184267</v>
      </c>
      <c r="AW57" s="4223">
        <f t="shared" si="82"/>
        <v>2450.7952</v>
      </c>
      <c r="AX57" s="4223">
        <f t="shared" si="82"/>
        <v>2339.08</v>
      </c>
      <c r="AY57" s="4223">
        <f t="shared" si="82"/>
        <v>2304.86</v>
      </c>
      <c r="AZ57" s="4154">
        <f t="shared" si="67"/>
        <v>-111.7152000000001</v>
      </c>
      <c r="BA57" s="4154">
        <f t="shared" si="68"/>
        <v>-4.5583245797119272</v>
      </c>
      <c r="BB57" s="4172">
        <f t="shared" ref="BB57:BJ57" si="133">SUM(BB9)</f>
        <v>281.65160000000003</v>
      </c>
      <c r="BC57" s="4172">
        <f t="shared" si="133"/>
        <v>0</v>
      </c>
      <c r="BD57" s="4172">
        <f t="shared" si="133"/>
        <v>247.29000000000002</v>
      </c>
      <c r="BE57" s="4172">
        <f t="shared" si="133"/>
        <v>281.65160000000003</v>
      </c>
      <c r="BF57" s="4172">
        <f t="shared" si="133"/>
        <v>0</v>
      </c>
      <c r="BG57" s="4172">
        <f t="shared" si="133"/>
        <v>254.73</v>
      </c>
      <c r="BH57" s="4172">
        <f t="shared" si="133"/>
        <v>281.65160000000003</v>
      </c>
      <c r="BI57" s="4172">
        <f t="shared" si="133"/>
        <v>0</v>
      </c>
      <c r="BJ57" s="4172">
        <f t="shared" si="133"/>
        <v>254.61</v>
      </c>
      <c r="BK57" s="4223">
        <f t="shared" si="83"/>
        <v>844.95480000000009</v>
      </c>
      <c r="BL57" s="4223">
        <f t="shared" si="83"/>
        <v>0</v>
      </c>
      <c r="BM57" s="4223">
        <f t="shared" si="83"/>
        <v>756.63</v>
      </c>
      <c r="BN57" s="4154">
        <f t="shared" si="70"/>
        <v>-844.95480000000009</v>
      </c>
      <c r="BO57" s="4154">
        <f t="shared" si="71"/>
        <v>-100</v>
      </c>
      <c r="BP57" s="4223">
        <f t="shared" si="84"/>
        <v>3295.75</v>
      </c>
      <c r="BQ57" s="4223">
        <f t="shared" si="84"/>
        <v>2339.08</v>
      </c>
      <c r="BR57" s="4223">
        <f t="shared" si="84"/>
        <v>3061.4900000000002</v>
      </c>
      <c r="BS57" s="4154">
        <f t="shared" si="74"/>
        <v>-956.67000000000007</v>
      </c>
      <c r="BT57" s="4154">
        <f t="shared" si="75"/>
        <v>-29.027383751801565</v>
      </c>
    </row>
    <row r="58" spans="1:72" ht="18.75" customHeight="1">
      <c r="A58" s="4139" t="s">
        <v>14</v>
      </c>
      <c r="B58" s="4172">
        <f>SUM(B55/B57)</f>
        <v>24.575797850615707</v>
      </c>
      <c r="C58" s="4172">
        <f t="shared" ref="C58:BR58" si="134">SUM(C55/C57)</f>
        <v>25.709322231732937</v>
      </c>
      <c r="D58" s="4172">
        <f t="shared" si="134"/>
        <v>21.200478029049457</v>
      </c>
      <c r="E58" s="4172">
        <f t="shared" si="134"/>
        <v>24.480161073830324</v>
      </c>
      <c r="F58" s="4172">
        <f t="shared" si="134"/>
        <v>21.085689045936402</v>
      </c>
      <c r="G58" s="4172">
        <f t="shared" si="134"/>
        <v>21.155827718423112</v>
      </c>
      <c r="H58" s="4172">
        <f t="shared" si="134"/>
        <v>25.977320800455249</v>
      </c>
      <c r="I58" s="4172">
        <f t="shared" si="134"/>
        <v>25.988924111064424</v>
      </c>
      <c r="J58" s="4172">
        <f t="shared" si="134"/>
        <v>25.970941062513965</v>
      </c>
      <c r="K58" s="4223">
        <f t="shared" si="134"/>
        <v>25.0126792594722</v>
      </c>
      <c r="L58" s="4223">
        <f t="shared" si="134"/>
        <v>24.212933095518192</v>
      </c>
      <c r="M58" s="4223">
        <f t="shared" si="134"/>
        <v>22.768454882571074</v>
      </c>
      <c r="N58" s="4154">
        <f t="shared" si="53"/>
        <v>-0.79974616395400844</v>
      </c>
      <c r="O58" s="4154">
        <f t="shared" si="54"/>
        <v>-3.1973630479875434</v>
      </c>
      <c r="P58" s="4172">
        <f t="shared" si="134"/>
        <v>24.648435478576555</v>
      </c>
      <c r="Q58" s="4172">
        <f t="shared" si="134"/>
        <v>24.086868048977305</v>
      </c>
      <c r="R58" s="4172">
        <f t="shared" si="134"/>
        <v>24.699455632113899</v>
      </c>
      <c r="S58" s="4172">
        <f t="shared" si="134"/>
        <v>24.989159577632986</v>
      </c>
      <c r="T58" s="4172">
        <f t="shared" si="134"/>
        <v>24.687879924953098</v>
      </c>
      <c r="U58" s="4172">
        <f t="shared" si="134"/>
        <v>24.528446259366451</v>
      </c>
      <c r="V58" s="4172">
        <f t="shared" si="134"/>
        <v>27.508009386351986</v>
      </c>
      <c r="W58" s="4172">
        <f t="shared" si="134"/>
        <v>26.085145694599486</v>
      </c>
      <c r="X58" s="4172">
        <f t="shared" si="134"/>
        <v>26.819851057961305</v>
      </c>
      <c r="Y58" s="4223">
        <f t="shared" si="134"/>
        <v>25.687078397100635</v>
      </c>
      <c r="Z58" s="4223">
        <f t="shared" si="134"/>
        <v>24.924148301533304</v>
      </c>
      <c r="AA58" s="4223">
        <f t="shared" si="134"/>
        <v>25.34339347738419</v>
      </c>
      <c r="AB58" s="4154">
        <f t="shared" si="56"/>
        <v>-0.76293009556733082</v>
      </c>
      <c r="AC58" s="4154">
        <f t="shared" si="57"/>
        <v>-2.9700929150955706</v>
      </c>
      <c r="AD58" s="4223">
        <f t="shared" si="134"/>
        <v>25.343964128786965</v>
      </c>
      <c r="AE58" s="4223">
        <f t="shared" si="134"/>
        <v>24.57315603833068</v>
      </c>
      <c r="AF58" s="4223">
        <f t="shared" si="134"/>
        <v>24.023046060429358</v>
      </c>
      <c r="AG58" s="4154">
        <f t="shared" si="60"/>
        <v>-0.77080809045628484</v>
      </c>
      <c r="AH58" s="4154">
        <f t="shared" si="61"/>
        <v>-3.0413872373689235</v>
      </c>
      <c r="AI58" s="4172">
        <f t="shared" si="134"/>
        <v>27.887846583219975</v>
      </c>
      <c r="AJ58" s="4172">
        <f t="shared" si="134"/>
        <v>27.140764989662305</v>
      </c>
      <c r="AK58" s="4172">
        <f t="shared" si="134"/>
        <v>31.001473674809091</v>
      </c>
      <c r="AL58" s="4172">
        <f t="shared" si="134"/>
        <v>27.025806584682243</v>
      </c>
      <c r="AM58" s="4172">
        <f t="shared" si="134"/>
        <v>29.375378446935603</v>
      </c>
      <c r="AN58" s="4172">
        <f t="shared" si="134"/>
        <v>25.995715859480192</v>
      </c>
      <c r="AO58" s="4172">
        <f t="shared" si="134"/>
        <v>27.653850915487947</v>
      </c>
      <c r="AP58" s="4172">
        <f t="shared" si="134"/>
        <v>25.265681948973722</v>
      </c>
      <c r="AQ58" s="4172">
        <f t="shared" si="134"/>
        <v>28.388990043776396</v>
      </c>
      <c r="AR58" s="4223">
        <f t="shared" si="134"/>
        <v>27.52034732517572</v>
      </c>
      <c r="AS58" s="4223">
        <f t="shared" si="134"/>
        <v>27.218683450212282</v>
      </c>
      <c r="AT58" s="4223">
        <f t="shared" si="134"/>
        <v>28.386852781406862</v>
      </c>
      <c r="AU58" s="4154">
        <f t="shared" si="63"/>
        <v>-0.30166387496343816</v>
      </c>
      <c r="AV58" s="4154">
        <f t="shared" si="64"/>
        <v>-1.0961485020484276</v>
      </c>
      <c r="AW58" s="4223">
        <f t="shared" si="134"/>
        <v>26.050485696262655</v>
      </c>
      <c r="AX58" s="4223">
        <f t="shared" si="134"/>
        <v>25.406971971886382</v>
      </c>
      <c r="AY58" s="4223">
        <f t="shared" si="134"/>
        <v>25.399763976987757</v>
      </c>
      <c r="AZ58" s="4154">
        <f t="shared" si="67"/>
        <v>-0.64351372437627319</v>
      </c>
      <c r="BA58" s="4154">
        <f t="shared" si="68"/>
        <v>-2.4702561475412153</v>
      </c>
      <c r="BB58" s="4172">
        <f t="shared" si="134"/>
        <v>25.620032373981907</v>
      </c>
      <c r="BC58" s="4172" t="e">
        <f t="shared" si="134"/>
        <v>#DIV/0!</v>
      </c>
      <c r="BD58" s="4172">
        <f t="shared" si="134"/>
        <v>25.442193376197981</v>
      </c>
      <c r="BE58" s="4172">
        <f t="shared" si="134"/>
        <v>25.655583348889156</v>
      </c>
      <c r="BF58" s="4172" t="e">
        <f t="shared" si="134"/>
        <v>#DIV/0!</v>
      </c>
      <c r="BG58" s="4172">
        <f t="shared" si="134"/>
        <v>25.514898127429039</v>
      </c>
      <c r="BH58" s="4172">
        <f t="shared" si="134"/>
        <v>27.292363000009225</v>
      </c>
      <c r="BI58" s="4172" t="e">
        <f t="shared" si="134"/>
        <v>#DIV/0!</v>
      </c>
      <c r="BJ58" s="4172">
        <f t="shared" si="134"/>
        <v>26.134519461136641</v>
      </c>
      <c r="BK58" s="4223">
        <f t="shared" si="134"/>
        <v>26.189326240960096</v>
      </c>
      <c r="BL58" s="4223" t="e">
        <f t="shared" si="134"/>
        <v>#DIV/0!</v>
      </c>
      <c r="BM58" s="4223">
        <f t="shared" si="134"/>
        <v>25.699641832864145</v>
      </c>
      <c r="BN58" s="4154" t="e">
        <f t="shared" si="70"/>
        <v>#DIV/0!</v>
      </c>
      <c r="BO58" s="4154" t="e">
        <f t="shared" si="71"/>
        <v>#DIV/0!</v>
      </c>
      <c r="BP58" s="4223">
        <f t="shared" si="134"/>
        <v>26.086084265534204</v>
      </c>
      <c r="BQ58" s="4223">
        <f t="shared" si="134"/>
        <v>25.406971971886382</v>
      </c>
      <c r="BR58" s="4223">
        <f t="shared" si="134"/>
        <v>25.473877099059607</v>
      </c>
      <c r="BS58" s="4154">
        <f t="shared" si="74"/>
        <v>-0.67911229364782244</v>
      </c>
      <c r="BT58" s="4154">
        <f t="shared" si="75"/>
        <v>-2.6033508392253721</v>
      </c>
    </row>
    <row r="59" spans="1:72" ht="18.75" customHeight="1">
      <c r="A59" s="4139" t="s">
        <v>436</v>
      </c>
      <c r="B59" s="4172">
        <f>SUM('Произв. прогр. Стоки (СВОД)'!E61)</f>
        <v>343.85881004989068</v>
      </c>
      <c r="C59" s="4172">
        <f>SUM(C21-C55)</f>
        <v>-152.18000000000029</v>
      </c>
      <c r="D59" s="4172">
        <f>SUM(D21-D55)</f>
        <v>837.11000000000058</v>
      </c>
      <c r="E59" s="4172">
        <f>SUM('Произв. прогр. Стоки (СВОД)'!F61)</f>
        <v>343.48740419460654</v>
      </c>
      <c r="F59" s="4172">
        <f>SUM(F21-F55)</f>
        <v>1095.2399999999998</v>
      </c>
      <c r="G59" s="4172">
        <f>SUM(G21-G55)</f>
        <v>833.47999999999956</v>
      </c>
      <c r="H59" s="4172">
        <f>SUM('Произв. прогр. Стоки (СВОД)'!G61)</f>
        <v>365.82768890735895</v>
      </c>
      <c r="I59" s="4172">
        <f>SUM(I21-I55)</f>
        <v>-265.65999999999985</v>
      </c>
      <c r="J59" s="4172">
        <f>SUM(J21-J55)</f>
        <v>-490.97999999999956</v>
      </c>
      <c r="K59" s="4223">
        <f t="shared" ref="K59" si="135">SUM(B59+E59+H59)</f>
        <v>1053.1739031518562</v>
      </c>
      <c r="L59" s="4223">
        <f t="shared" ref="L59:M60" si="136">SUM(C59+F59+I59)</f>
        <v>677.39999999999964</v>
      </c>
      <c r="M59" s="4223">
        <f t="shared" si="136"/>
        <v>1179.6100000000006</v>
      </c>
      <c r="N59" s="4154">
        <f t="shared" si="53"/>
        <v>-375.77390315185653</v>
      </c>
      <c r="O59" s="4154">
        <f t="shared" si="54"/>
        <v>-35.680138107037202</v>
      </c>
      <c r="P59" s="4172">
        <f>SUM('Произв. прогр. Стоки (СВОД)'!I61)</f>
        <v>342.28597470760275</v>
      </c>
      <c r="Q59" s="4172">
        <f>SUM(Q21-Q55)</f>
        <v>292.76000000000022</v>
      </c>
      <c r="R59" s="4172">
        <f>SUM(R21-R55)</f>
        <v>-113.48000000000047</v>
      </c>
      <c r="S59" s="4172">
        <f>SUM('Произв. прогр. Стоки (СВОД)'!J61)</f>
        <v>340.46332775687682</v>
      </c>
      <c r="T59" s="4172">
        <f>SUM(T21-T55)</f>
        <v>113.49999999999909</v>
      </c>
      <c r="U59" s="4172">
        <f>SUM(U21-U55)</f>
        <v>-68.019999999999527</v>
      </c>
      <c r="V59" s="4172">
        <f>SUM('Произв. прогр. Стоки (СВОД)'!K61)</f>
        <v>361.53177503304607</v>
      </c>
      <c r="W59" s="4172">
        <f>SUM(W21-W55)</f>
        <v>-292.4300000000012</v>
      </c>
      <c r="X59" s="4172">
        <f>SUM(X21-X55)</f>
        <v>-686.22999999999956</v>
      </c>
      <c r="Y59" s="4223">
        <f t="shared" ref="Y59:AA60" si="137">SUM(P59+S59+V59)</f>
        <v>1044.2810774975255</v>
      </c>
      <c r="Z59" s="4223">
        <f t="shared" si="137"/>
        <v>113.82999999999811</v>
      </c>
      <c r="AA59" s="4223">
        <f t="shared" si="137"/>
        <v>-867.72999999999956</v>
      </c>
      <c r="AB59" s="4154">
        <f t="shared" si="56"/>
        <v>-930.45107749752742</v>
      </c>
      <c r="AC59" s="4154">
        <f t="shared" si="57"/>
        <v>-89.099678003093203</v>
      </c>
      <c r="AD59" s="4223">
        <f t="shared" ref="AD59:AF60" si="138">SUM(K59+Y59)</f>
        <v>2097.4549806493815</v>
      </c>
      <c r="AE59" s="4223">
        <f t="shared" si="138"/>
        <v>791.22999999999774</v>
      </c>
      <c r="AF59" s="4251">
        <f t="shared" si="138"/>
        <v>311.88000000000102</v>
      </c>
      <c r="AG59" s="4154">
        <f t="shared" si="60"/>
        <v>-1306.2249806493837</v>
      </c>
      <c r="AH59" s="4154">
        <f t="shared" si="61"/>
        <v>-62.27666351365361</v>
      </c>
      <c r="AI59" s="4172">
        <f>SUM('Произв. прогр. Стоки (СВОД)'!N61)</f>
        <v>356.09582522426768</v>
      </c>
      <c r="AJ59" s="4172">
        <f>SUM(AJ21-AJ55)</f>
        <v>-122.69000000000142</v>
      </c>
      <c r="AK59" s="4172">
        <f>SUM(AK21-AK55)</f>
        <v>-1320.1100000000006</v>
      </c>
      <c r="AL59" s="4172">
        <f>SUM('Произв. прогр. Стоки (СВОД)'!O61)</f>
        <v>357.10521582325123</v>
      </c>
      <c r="AM59" s="4172">
        <f>SUM(AM21-AM55)</f>
        <v>-674.83999999999833</v>
      </c>
      <c r="AN59" s="4172">
        <f>SUM(AN21-AN55)</f>
        <v>-218.61000000000058</v>
      </c>
      <c r="AO59" s="4172">
        <f>SUM('Произв. прогр. Стоки (СВОД)'!P61)</f>
        <v>381.56416093940743</v>
      </c>
      <c r="AP59" s="4172">
        <f>SUM(AP21-AP55)</f>
        <v>309.52999999999975</v>
      </c>
      <c r="AQ59" s="4172">
        <f>SUM(AQ21-AQ55)</f>
        <v>-885.40000000000146</v>
      </c>
      <c r="AR59" s="4223">
        <f t="shared" ref="AR59:AT60" si="139">SUM(AI59+AL59+AO59)</f>
        <v>1094.7652019869263</v>
      </c>
      <c r="AS59" s="4223">
        <f t="shared" si="139"/>
        <v>-488</v>
      </c>
      <c r="AT59" s="4223">
        <f t="shared" si="139"/>
        <v>-2424.1200000000026</v>
      </c>
      <c r="AU59" s="4154">
        <f t="shared" si="63"/>
        <v>-1582.7652019869263</v>
      </c>
      <c r="AV59" s="4154">
        <f t="shared" si="64"/>
        <v>-144.57576831217435</v>
      </c>
      <c r="AW59" s="4223">
        <f t="shared" ref="AW59:AY60" si="140">SUM(AD59+AR59)</f>
        <v>3192.220182636308</v>
      </c>
      <c r="AX59" s="4223">
        <f t="shared" si="140"/>
        <v>303.22999999999774</v>
      </c>
      <c r="AY59" s="4223">
        <f t="shared" si="140"/>
        <v>-2112.2400000000016</v>
      </c>
      <c r="AZ59" s="4154">
        <f t="shared" si="67"/>
        <v>-2888.9901826363102</v>
      </c>
      <c r="BA59" s="4154">
        <f t="shared" si="68"/>
        <v>-90.500968521865119</v>
      </c>
      <c r="BB59" s="4172">
        <f>SUM('Произв. прогр. Стоки (СВОД)'!S61)</f>
        <v>360.79614618845773</v>
      </c>
      <c r="BC59" s="4172">
        <f>SUM(BC21-BC55)</f>
        <v>0</v>
      </c>
      <c r="BD59" s="4172">
        <f>SUM(BD21-BD55)</f>
        <v>-83.769999999999527</v>
      </c>
      <c r="BE59" s="4172">
        <f>SUM('Произв. прогр. Стоки (СВОД)'!T61)</f>
        <v>361.29679562373337</v>
      </c>
      <c r="BF59" s="4172">
        <f>SUM(BF21-BF55)</f>
        <v>0</v>
      </c>
      <c r="BG59" s="4172">
        <f>SUM(BG21-BG55)</f>
        <v>-106.69999999999891</v>
      </c>
      <c r="BH59" s="4172">
        <f>SUM('Произв. прогр. Стоки (СВОД)'!U61)</f>
        <v>384.34687540753288</v>
      </c>
      <c r="BI59" s="4172">
        <f>SUM(BI21-BI55)</f>
        <v>0</v>
      </c>
      <c r="BJ59" s="4172">
        <f>SUM(BJ21-BJ55)</f>
        <v>-298.23000000000047</v>
      </c>
      <c r="BK59" s="4223">
        <f t="shared" ref="BK59:BM60" si="141">SUM(BB59+BE59+BH59)</f>
        <v>1106.4398172197241</v>
      </c>
      <c r="BL59" s="4223">
        <f t="shared" si="141"/>
        <v>0</v>
      </c>
      <c r="BM59" s="4223">
        <f t="shared" si="141"/>
        <v>-488.69999999999891</v>
      </c>
      <c r="BN59" s="4154">
        <f t="shared" si="70"/>
        <v>-1106.4398172197241</v>
      </c>
      <c r="BO59" s="4154">
        <f t="shared" si="71"/>
        <v>-100</v>
      </c>
      <c r="BP59" s="4223">
        <f t="shared" ref="BP59:BR60" si="142">SUM(AW59+BK59)</f>
        <v>4298.6599998560323</v>
      </c>
      <c r="BQ59" s="4223">
        <f t="shared" si="142"/>
        <v>303.22999999999774</v>
      </c>
      <c r="BR59" s="4223">
        <f t="shared" si="142"/>
        <v>-2600.9400000000005</v>
      </c>
      <c r="BS59" s="4154">
        <f t="shared" si="74"/>
        <v>-3995.4299998560346</v>
      </c>
      <c r="BT59" s="4154">
        <f t="shared" si="75"/>
        <v>-92.945941293097079</v>
      </c>
    </row>
    <row r="60" spans="1:72" ht="18.75" customHeight="1">
      <c r="A60" s="4139" t="s">
        <v>548</v>
      </c>
      <c r="B60" s="4172">
        <f>SUM(B55+B59)</f>
        <v>7221.0351887112392</v>
      </c>
      <c r="C60" s="4172">
        <f t="shared" ref="C60:J60" si="143">SUM(C55+C59)</f>
        <v>6455.63</v>
      </c>
      <c r="D60" s="4172">
        <f t="shared" si="143"/>
        <v>6602.58</v>
      </c>
      <c r="E60" s="4172">
        <f t="shared" si="143"/>
        <v>7213.2356655583762</v>
      </c>
      <c r="F60" s="4172">
        <f t="shared" si="143"/>
        <v>6823.8</v>
      </c>
      <c r="G60" s="4172">
        <f t="shared" si="143"/>
        <v>6516.57</v>
      </c>
      <c r="H60" s="4172">
        <f t="shared" si="143"/>
        <v>7682.381656068861</v>
      </c>
      <c r="I60" s="4172">
        <f t="shared" si="143"/>
        <v>6539.0199999999995</v>
      </c>
      <c r="J60" s="4172">
        <f t="shared" si="143"/>
        <v>6480.1399999999994</v>
      </c>
      <c r="K60" s="4223">
        <f t="shared" ref="K60" si="144">SUM(B60+E60+H60)</f>
        <v>22116.652510338477</v>
      </c>
      <c r="L60" s="4223">
        <f t="shared" si="136"/>
        <v>19818.45</v>
      </c>
      <c r="M60" s="4223">
        <f t="shared" si="136"/>
        <v>19599.29</v>
      </c>
      <c r="N60" s="4154">
        <f t="shared" si="53"/>
        <v>-2298.2025103384767</v>
      </c>
      <c r="O60" s="4154">
        <f t="shared" si="54"/>
        <v>-10.391276479404725</v>
      </c>
      <c r="P60" s="4172">
        <f t="shared" ref="P60:X60" si="145">SUM(P55+P59)</f>
        <v>7188.0056457105484</v>
      </c>
      <c r="Q60" s="4172">
        <f t="shared" si="145"/>
        <v>7158.2400000000007</v>
      </c>
      <c r="R60" s="4172">
        <f t="shared" si="145"/>
        <v>6374.82</v>
      </c>
      <c r="S60" s="4172">
        <f t="shared" si="145"/>
        <v>7149.7300588035841</v>
      </c>
      <c r="T60" s="4172">
        <f t="shared" si="145"/>
        <v>6692.82</v>
      </c>
      <c r="U60" s="4172">
        <f t="shared" si="145"/>
        <v>6118.7900000000009</v>
      </c>
      <c r="V60" s="4172">
        <f t="shared" si="145"/>
        <v>7592.1674624886973</v>
      </c>
      <c r="W60" s="4172">
        <f t="shared" si="145"/>
        <v>6484.2299999999987</v>
      </c>
      <c r="X60" s="4172">
        <f t="shared" si="145"/>
        <v>6120.380000000001</v>
      </c>
      <c r="Y60" s="4223">
        <f t="shared" si="137"/>
        <v>21929.903167002831</v>
      </c>
      <c r="Z60" s="4223">
        <f t="shared" si="137"/>
        <v>20335.29</v>
      </c>
      <c r="AA60" s="4223">
        <f t="shared" si="137"/>
        <v>18613.990000000002</v>
      </c>
      <c r="AB60" s="4154">
        <f t="shared" si="56"/>
        <v>-1594.6131670028299</v>
      </c>
      <c r="AC60" s="4154">
        <f t="shared" si="57"/>
        <v>-7.2714099777795154</v>
      </c>
      <c r="AD60" s="4223">
        <f t="shared" si="138"/>
        <v>44046.555677341312</v>
      </c>
      <c r="AE60" s="4223">
        <f t="shared" si="138"/>
        <v>40153.740000000005</v>
      </c>
      <c r="AF60" s="4251">
        <f t="shared" si="138"/>
        <v>38213.279999999999</v>
      </c>
      <c r="AG60" s="4154">
        <f t="shared" si="60"/>
        <v>-3892.8156773413066</v>
      </c>
      <c r="AH60" s="4154">
        <f t="shared" si="61"/>
        <v>-8.8379570603834328</v>
      </c>
      <c r="AI60" s="4172">
        <f t="shared" ref="AI60:AQ60" si="146">SUM(AI55+AI59)</f>
        <v>7478.0125136957295</v>
      </c>
      <c r="AJ60" s="4172">
        <f t="shared" si="146"/>
        <v>6178.3099999999995</v>
      </c>
      <c r="AK60" s="4172">
        <f t="shared" si="146"/>
        <v>5622.0499999999993</v>
      </c>
      <c r="AL60" s="4172">
        <f t="shared" si="146"/>
        <v>7499.20971679591</v>
      </c>
      <c r="AM60" s="4172">
        <f t="shared" si="146"/>
        <v>6505.0900000000011</v>
      </c>
      <c r="AN60" s="4172">
        <f t="shared" si="146"/>
        <v>6152.68</v>
      </c>
      <c r="AO60" s="4172">
        <f t="shared" si="146"/>
        <v>8012.8475768725366</v>
      </c>
      <c r="AP60" s="4172">
        <f t="shared" si="146"/>
        <v>6895.03</v>
      </c>
      <c r="AQ60" s="4172">
        <f t="shared" si="146"/>
        <v>6442.65</v>
      </c>
      <c r="AR60" s="4223">
        <f t="shared" si="139"/>
        <v>22990.069807364176</v>
      </c>
      <c r="AS60" s="4223">
        <f t="shared" si="139"/>
        <v>19578.43</v>
      </c>
      <c r="AT60" s="4223">
        <f t="shared" si="139"/>
        <v>18217.379999999997</v>
      </c>
      <c r="AU60" s="4154">
        <f t="shared" si="63"/>
        <v>-3411.6398073641758</v>
      </c>
      <c r="AV60" s="4154">
        <f t="shared" si="64"/>
        <v>-14.839623524202436</v>
      </c>
      <c r="AW60" s="4223">
        <f t="shared" si="140"/>
        <v>67036.625484705495</v>
      </c>
      <c r="AX60" s="4223">
        <f t="shared" si="140"/>
        <v>59732.170000000006</v>
      </c>
      <c r="AY60" s="4223">
        <f t="shared" si="140"/>
        <v>56430.659999999996</v>
      </c>
      <c r="AZ60" s="4154">
        <f t="shared" si="67"/>
        <v>-7304.4554847054897</v>
      </c>
      <c r="BA60" s="4154">
        <f t="shared" si="68"/>
        <v>-10.896215959396722</v>
      </c>
      <c r="BB60" s="4172">
        <f t="shared" ref="BB60:BJ60" si="147">SUM(BB55+BB59)</f>
        <v>7576.719256372261</v>
      </c>
      <c r="BC60" s="4172">
        <f t="shared" si="147"/>
        <v>0</v>
      </c>
      <c r="BD60" s="4172">
        <f t="shared" si="147"/>
        <v>6207.83</v>
      </c>
      <c r="BE60" s="4172">
        <f t="shared" si="147"/>
        <v>7587.2328947717233</v>
      </c>
      <c r="BF60" s="4172">
        <f t="shared" si="147"/>
        <v>0</v>
      </c>
      <c r="BG60" s="4172">
        <f t="shared" si="147"/>
        <v>6392.71</v>
      </c>
      <c r="BH60" s="4172">
        <f t="shared" si="147"/>
        <v>8071.2845821409319</v>
      </c>
      <c r="BI60" s="4172">
        <f t="shared" si="147"/>
        <v>0</v>
      </c>
      <c r="BJ60" s="4172">
        <f t="shared" si="147"/>
        <v>6355.88</v>
      </c>
      <c r="BK60" s="4223">
        <f t="shared" si="141"/>
        <v>23235.236733284917</v>
      </c>
      <c r="BL60" s="4223">
        <f t="shared" si="141"/>
        <v>0</v>
      </c>
      <c r="BM60" s="4223">
        <f t="shared" si="141"/>
        <v>18956.420000000002</v>
      </c>
      <c r="BN60" s="4154">
        <f t="shared" si="70"/>
        <v>-23235.236733284917</v>
      </c>
      <c r="BO60" s="4154">
        <f t="shared" si="71"/>
        <v>-100</v>
      </c>
      <c r="BP60" s="4223">
        <f>SUM(AW60+BK60)+0.01</f>
        <v>90271.872217990414</v>
      </c>
      <c r="BQ60" s="4223">
        <f t="shared" si="142"/>
        <v>59732.170000000006</v>
      </c>
      <c r="BR60" s="4223">
        <f t="shared" si="142"/>
        <v>75387.08</v>
      </c>
      <c r="BS60" s="4154">
        <f t="shared" si="74"/>
        <v>-30539.702217990409</v>
      </c>
      <c r="BT60" s="4154">
        <f t="shared" si="75"/>
        <v>-33.830806282872359</v>
      </c>
    </row>
    <row r="61" spans="1:72" ht="18.75" hidden="1" customHeight="1">
      <c r="A61" s="4139" t="s">
        <v>70</v>
      </c>
      <c r="B61" s="4172">
        <f>SUM('[19]Произв. прогр. Стоки (СВОД)'!O62)</f>
        <v>0</v>
      </c>
      <c r="C61" s="4252">
        <f>SUM(C60/C57)</f>
        <v>25.117228231266047</v>
      </c>
      <c r="D61" s="4252">
        <f>SUM(D60/D57)</f>
        <v>24.278654164368451</v>
      </c>
      <c r="E61" s="4172">
        <f>SUM('[19]Произв. прогр. Стоки (СВОД)'!P62)</f>
        <v>0</v>
      </c>
      <c r="F61" s="4252"/>
      <c r="G61" s="4252"/>
      <c r="H61" s="4172">
        <f>SUM('[19]Произв. прогр. Стоки (СВОД)'!Q62)</f>
        <v>0</v>
      </c>
      <c r="I61" s="4252"/>
      <c r="J61" s="4252"/>
      <c r="K61" s="4223"/>
      <c r="L61" s="4223">
        <f t="shared" ref="L61" si="148">SUM(I61+J61+K61)</f>
        <v>0</v>
      </c>
      <c r="M61" s="4223">
        <f t="shared" ref="M61" si="149">SUM(H61+L61)</f>
        <v>0</v>
      </c>
      <c r="N61" s="4154">
        <f t="shared" si="53"/>
        <v>0</v>
      </c>
      <c r="O61" s="4154" t="e">
        <f t="shared" si="54"/>
        <v>#DIV/0!</v>
      </c>
      <c r="P61" s="4172">
        <f>SUM('[19]Произв. прогр. Стоки (СВОД)'!S62)</f>
        <v>0</v>
      </c>
      <c r="Q61" s="4252"/>
      <c r="R61" s="4252"/>
      <c r="S61" s="4172">
        <f>SUM('[19]Произв. прогр. Стоки (СВОД)'!T62)</f>
        <v>0</v>
      </c>
      <c r="T61" s="4252">
        <f t="shared" ref="T61" si="150">SUM(M61+S61)</f>
        <v>0</v>
      </c>
      <c r="U61" s="4252"/>
      <c r="V61" s="4172">
        <f>SUM('[19]Произв. прогр. Стоки (СВОД)'!U62)</f>
        <v>0</v>
      </c>
      <c r="W61" s="4252"/>
      <c r="X61" s="4252">
        <f t="shared" ref="X61" si="151">SUM(U61+V61+W61)</f>
        <v>0</v>
      </c>
      <c r="Y61" s="4223"/>
      <c r="Z61" s="4223">
        <f t="shared" ref="Z61" si="152">SUM(W61+X61+Y61)</f>
        <v>0</v>
      </c>
      <c r="AA61" s="4223">
        <f t="shared" ref="AA61" si="153">SUM(V61+Z61)</f>
        <v>0</v>
      </c>
      <c r="AB61" s="4154">
        <f t="shared" si="56"/>
        <v>0</v>
      </c>
      <c r="AC61" s="4154" t="e">
        <f t="shared" si="57"/>
        <v>#DIV/0!</v>
      </c>
      <c r="AD61" s="4253"/>
      <c r="AE61" s="4253"/>
      <c r="AF61" s="4253"/>
      <c r="AG61" s="4154">
        <f t="shared" si="60"/>
        <v>0</v>
      </c>
      <c r="AH61" s="4154" t="e">
        <f t="shared" si="61"/>
        <v>#DIV/0!</v>
      </c>
      <c r="AI61" s="4172">
        <f>SUM('[19]Произв. прогр. Стоки (СВОД)'!X62)</f>
        <v>0</v>
      </c>
      <c r="AJ61" s="4252"/>
      <c r="AK61" s="4252"/>
      <c r="AL61" s="4172">
        <f>SUM('[19]Произв. прогр. Стоки (СВОД)'!Y62)</f>
        <v>0</v>
      </c>
      <c r="AM61" s="4252"/>
      <c r="AN61" s="4252"/>
      <c r="AO61" s="4172">
        <f>SUM('[19]Произв. прогр. Стоки (СВОД)'!Z62)</f>
        <v>0</v>
      </c>
      <c r="AP61" s="4252"/>
      <c r="AQ61" s="4252"/>
      <c r="AR61" s="4223"/>
      <c r="AS61" s="4223">
        <f t="shared" ref="AS61" si="154">SUM(AP61+AQ61+AR61)</f>
        <v>0</v>
      </c>
      <c r="AT61" s="4223">
        <f t="shared" ref="AT61" si="155">SUM(AO61+AS61)</f>
        <v>0</v>
      </c>
      <c r="AU61" s="4154">
        <f t="shared" si="63"/>
        <v>0</v>
      </c>
      <c r="AV61" s="4154" t="e">
        <f t="shared" si="64"/>
        <v>#DIV/0!</v>
      </c>
      <c r="AW61" s="4254"/>
      <c r="AX61" s="4254"/>
      <c r="AY61" s="4254"/>
      <c r="AZ61" s="4154">
        <f t="shared" si="67"/>
        <v>0</v>
      </c>
      <c r="BA61" s="4154" t="e">
        <f t="shared" si="68"/>
        <v>#DIV/0!</v>
      </c>
      <c r="BB61" s="4172">
        <f>SUM('[19]Произв. прогр. Стоки (СВОД)'!AC62)</f>
        <v>0</v>
      </c>
      <c r="BC61" s="4252"/>
      <c r="BD61" s="4252"/>
      <c r="BE61" s="4172">
        <f>SUM('[19]Произв. прогр. Стоки (СВОД)'!AD62)</f>
        <v>0</v>
      </c>
      <c r="BF61" s="4252"/>
      <c r="BG61" s="4252"/>
      <c r="BH61" s="4172">
        <f>SUM('[19]Произв. прогр. Стоки (СВОД)'!AE62)</f>
        <v>0</v>
      </c>
      <c r="BI61" s="4252"/>
      <c r="BJ61" s="4252"/>
      <c r="BK61" s="4223"/>
      <c r="BL61" s="4223">
        <f t="shared" ref="BL61" si="156">SUM(BI61+BJ61+BK61)</f>
        <v>0</v>
      </c>
      <c r="BM61" s="4223">
        <f t="shared" ref="BM61" si="157">SUM(BH61+BL61)</f>
        <v>0</v>
      </c>
      <c r="BN61" s="4154">
        <f t="shared" si="70"/>
        <v>0</v>
      </c>
      <c r="BO61" s="4154" t="e">
        <f t="shared" si="71"/>
        <v>#DIV/0!</v>
      </c>
      <c r="BP61" s="4254"/>
      <c r="BQ61" s="4254"/>
      <c r="BR61" s="4254"/>
      <c r="BS61" s="4154">
        <f t="shared" si="74"/>
        <v>0</v>
      </c>
      <c r="BT61" s="4154" t="e">
        <f t="shared" si="75"/>
        <v>#DIV/0!</v>
      </c>
    </row>
    <row r="62" spans="1:72" ht="18.75" customHeight="1">
      <c r="A62" s="4139" t="s">
        <v>70</v>
      </c>
      <c r="B62" s="4172">
        <f t="shared" ref="B62:BR62" si="158">SUM(B60/B57)</f>
        <v>25.804587711402192</v>
      </c>
      <c r="C62" s="4172">
        <f t="shared" si="158"/>
        <v>25.117228231266047</v>
      </c>
      <c r="D62" s="4172">
        <f t="shared" si="158"/>
        <v>24.278654164368451</v>
      </c>
      <c r="E62" s="4172">
        <f t="shared" si="158"/>
        <v>25.704169095901072</v>
      </c>
      <c r="F62" s="4172">
        <f t="shared" si="158"/>
        <v>25.11704946996467</v>
      </c>
      <c r="G62" s="4172">
        <f t="shared" si="158"/>
        <v>24.25853404310762</v>
      </c>
      <c r="H62" s="4172">
        <f t="shared" si="158"/>
        <v>27.276186806923377</v>
      </c>
      <c r="I62" s="4172">
        <f t="shared" si="158"/>
        <v>24.974296299125381</v>
      </c>
      <c r="J62" s="4172">
        <f t="shared" si="158"/>
        <v>24.141792712912597</v>
      </c>
      <c r="K62" s="4223">
        <f t="shared" si="158"/>
        <v>26.263313190137197</v>
      </c>
      <c r="L62" s="4223">
        <f t="shared" si="158"/>
        <v>25.069826572046601</v>
      </c>
      <c r="M62" s="4223">
        <f t="shared" si="158"/>
        <v>24.226563658838074</v>
      </c>
      <c r="N62" s="4154">
        <f t="shared" si="53"/>
        <v>-1.1934866180905956</v>
      </c>
      <c r="O62" s="4154">
        <f t="shared" si="54"/>
        <v>-4.5443109536491839</v>
      </c>
      <c r="P62" s="4172">
        <f t="shared" si="158"/>
        <v>25.880857220667256</v>
      </c>
      <c r="Q62" s="4172">
        <f t="shared" si="158"/>
        <v>25.113988001263031</v>
      </c>
      <c r="R62" s="4172">
        <f t="shared" si="158"/>
        <v>24.26746355019224</v>
      </c>
      <c r="S62" s="4172">
        <f t="shared" si="158"/>
        <v>26.2386175242364</v>
      </c>
      <c r="T62" s="4172">
        <f t="shared" si="158"/>
        <v>25.113771106941837</v>
      </c>
      <c r="U62" s="4172">
        <f t="shared" si="158"/>
        <v>24.258771755937044</v>
      </c>
      <c r="V62" s="4172">
        <f t="shared" si="158"/>
        <v>28.883409820137775</v>
      </c>
      <c r="W62" s="4172">
        <f t="shared" si="158"/>
        <v>24.959505754647981</v>
      </c>
      <c r="X62" s="4172">
        <f t="shared" si="158"/>
        <v>24.115922613184132</v>
      </c>
      <c r="Y62" s="4223">
        <f t="shared" si="158"/>
        <v>26.971432283775936</v>
      </c>
      <c r="Z62" s="4223">
        <f t="shared" si="158"/>
        <v>25.06445052507026</v>
      </c>
      <c r="AA62" s="4223">
        <f t="shared" si="158"/>
        <v>24.214580270843364</v>
      </c>
      <c r="AB62" s="4154">
        <f t="shared" si="56"/>
        <v>-1.9069817587056761</v>
      </c>
      <c r="AC62" s="4154">
        <f t="shared" si="57"/>
        <v>-7.0703763101701442</v>
      </c>
      <c r="AD62" s="4223">
        <f t="shared" si="158"/>
        <v>26.611162302489785</v>
      </c>
      <c r="AE62" s="4223">
        <f t="shared" si="158"/>
        <v>25.067103661391521</v>
      </c>
      <c r="AF62" s="4223">
        <f t="shared" si="158"/>
        <v>24.220724974805254</v>
      </c>
      <c r="AG62" s="4154">
        <f t="shared" si="60"/>
        <v>-1.544058641098264</v>
      </c>
      <c r="AH62" s="4154">
        <f t="shared" si="61"/>
        <v>-5.8022968840928808</v>
      </c>
      <c r="AI62" s="4172">
        <f t="shared" si="158"/>
        <v>29.282238876358537</v>
      </c>
      <c r="AJ62" s="4172">
        <f t="shared" si="158"/>
        <v>26.612293246037215</v>
      </c>
      <c r="AK62" s="4172">
        <f t="shared" si="158"/>
        <v>25.106283213504216</v>
      </c>
      <c r="AL62" s="4172">
        <f t="shared" si="158"/>
        <v>28.377096879007404</v>
      </c>
      <c r="AM62" s="4172">
        <f t="shared" si="158"/>
        <v>26.614393257507576</v>
      </c>
      <c r="AN62" s="4172">
        <f t="shared" si="158"/>
        <v>25.103757803255949</v>
      </c>
      <c r="AO62" s="4172">
        <f t="shared" si="158"/>
        <v>29.036543425542156</v>
      </c>
      <c r="AP62" s="4172">
        <f t="shared" si="158"/>
        <v>26.453213121043547</v>
      </c>
      <c r="AQ62" s="4172">
        <f t="shared" si="158"/>
        <v>24.958935420137138</v>
      </c>
      <c r="AR62" s="4223">
        <f t="shared" si="158"/>
        <v>28.89636465588676</v>
      </c>
      <c r="AS62" s="4223">
        <f t="shared" si="158"/>
        <v>26.556746198608305</v>
      </c>
      <c r="AT62" s="4223">
        <f t="shared" si="158"/>
        <v>25.053125214880009</v>
      </c>
      <c r="AU62" s="4154">
        <f t="shared" si="63"/>
        <v>-2.3396184572784549</v>
      </c>
      <c r="AV62" s="4154">
        <f t="shared" si="64"/>
        <v>-8.0965840691030611</v>
      </c>
      <c r="AW62" s="4223">
        <f t="shared" si="158"/>
        <v>27.353009947426653</v>
      </c>
      <c r="AX62" s="4223">
        <f t="shared" si="158"/>
        <v>25.536608410144161</v>
      </c>
      <c r="AY62" s="4223">
        <f t="shared" si="158"/>
        <v>24.483335213418599</v>
      </c>
      <c r="AZ62" s="4154">
        <f t="shared" si="67"/>
        <v>-1.8164015372824913</v>
      </c>
      <c r="BA62" s="4154">
        <f t="shared" si="68"/>
        <v>-6.6405910748896453</v>
      </c>
      <c r="BB62" s="4172">
        <f t="shared" si="158"/>
        <v>26.901033959587874</v>
      </c>
      <c r="BC62" s="4172" t="e">
        <f t="shared" si="158"/>
        <v>#DIV/0!</v>
      </c>
      <c r="BD62" s="4172">
        <f t="shared" si="158"/>
        <v>25.103441303732456</v>
      </c>
      <c r="BE62" s="4172">
        <f t="shared" si="158"/>
        <v>26.938362483194567</v>
      </c>
      <c r="BF62" s="4172" t="e">
        <f t="shared" si="158"/>
        <v>#DIV/0!</v>
      </c>
      <c r="BG62" s="4172">
        <f t="shared" si="158"/>
        <v>25.096023240293647</v>
      </c>
      <c r="BH62" s="4172">
        <f t="shared" si="158"/>
        <v>28.656981114756427</v>
      </c>
      <c r="BI62" s="4172" t="e">
        <f t="shared" si="158"/>
        <v>#DIV/0!</v>
      </c>
      <c r="BJ62" s="4172">
        <f t="shared" si="158"/>
        <v>24.963198617493422</v>
      </c>
      <c r="BK62" s="4223">
        <f t="shared" si="158"/>
        <v>27.498792519179624</v>
      </c>
      <c r="BL62" s="4223" t="e">
        <f t="shared" si="158"/>
        <v>#DIV/0!</v>
      </c>
      <c r="BM62" s="4223">
        <f t="shared" si="158"/>
        <v>25.053751503376819</v>
      </c>
      <c r="BN62" s="4154" t="e">
        <f t="shared" si="70"/>
        <v>#DIV/0!</v>
      </c>
      <c r="BO62" s="4154" t="e">
        <f t="shared" si="71"/>
        <v>#DIV/0!</v>
      </c>
      <c r="BP62" s="4223">
        <f t="shared" si="158"/>
        <v>27.39038829340527</v>
      </c>
      <c r="BQ62" s="4223">
        <f t="shared" si="158"/>
        <v>25.536608410144161</v>
      </c>
      <c r="BR62" s="4223">
        <f t="shared" si="158"/>
        <v>24.624310384812624</v>
      </c>
      <c r="BS62" s="4154">
        <f t="shared" si="74"/>
        <v>-1.8537798832611081</v>
      </c>
      <c r="BT62" s="4154">
        <f t="shared" si="75"/>
        <v>-6.7679941715446184</v>
      </c>
    </row>
    <row r="63" spans="1:72" ht="18.75" customHeight="1">
      <c r="A63" s="4139" t="s">
        <v>327</v>
      </c>
      <c r="B63" s="4172">
        <f>SUM('Произв. прогр. Стоки (СВОД)'!E65)</f>
        <v>0</v>
      </c>
      <c r="C63" s="4255"/>
      <c r="D63" s="4255"/>
      <c r="E63" s="4172">
        <f>SUM('Произв. прогр. Стоки (СВОД)'!F65)</f>
        <v>0</v>
      </c>
      <c r="F63" s="4255"/>
      <c r="G63" s="4255"/>
      <c r="H63" s="4172">
        <f>SUM('Произв. прогр. Стоки (СВОД)'!G65)</f>
        <v>0</v>
      </c>
      <c r="I63" s="4255"/>
      <c r="J63" s="4255"/>
      <c r="K63" s="4223">
        <f t="shared" ref="K63:M64" si="159">SUM(B63+E63+H63)</f>
        <v>0</v>
      </c>
      <c r="L63" s="4223">
        <f t="shared" si="159"/>
        <v>0</v>
      </c>
      <c r="M63" s="4223">
        <f t="shared" si="159"/>
        <v>0</v>
      </c>
      <c r="N63" s="4154">
        <f t="shared" si="53"/>
        <v>0</v>
      </c>
      <c r="O63" s="4154" t="e">
        <f t="shared" si="54"/>
        <v>#DIV/0!</v>
      </c>
      <c r="P63" s="4172">
        <f>SUM('Произв. прогр. Стоки (СВОД)'!I65)</f>
        <v>0</v>
      </c>
      <c r="Q63" s="4255"/>
      <c r="R63" s="4255"/>
      <c r="S63" s="4172">
        <f>SUM('Произв. прогр. Стоки (СВОД)'!J65)</f>
        <v>0</v>
      </c>
      <c r="T63" s="4255"/>
      <c r="U63" s="4255"/>
      <c r="V63" s="4172">
        <f>SUM('Произв. прогр. Стоки (СВОД)'!K65)</f>
        <v>0</v>
      </c>
      <c r="W63" s="4255"/>
      <c r="X63" s="4255"/>
      <c r="Y63" s="4223">
        <f t="shared" ref="Y63:AA64" si="160">SUM(P63+S63+V63)</f>
        <v>0</v>
      </c>
      <c r="Z63" s="4223">
        <f t="shared" si="160"/>
        <v>0</v>
      </c>
      <c r="AA63" s="4223">
        <f t="shared" si="160"/>
        <v>0</v>
      </c>
      <c r="AB63" s="4154">
        <f t="shared" si="56"/>
        <v>0</v>
      </c>
      <c r="AC63" s="4154" t="e">
        <f t="shared" si="57"/>
        <v>#DIV/0!</v>
      </c>
      <c r="AD63" s="4223">
        <f t="shared" ref="AD63:AF64" si="161">SUM(K63+Y63)</f>
        <v>0</v>
      </c>
      <c r="AE63" s="4223">
        <f t="shared" si="161"/>
        <v>0</v>
      </c>
      <c r="AF63" s="4251">
        <f t="shared" si="161"/>
        <v>0</v>
      </c>
      <c r="AG63" s="4154">
        <f t="shared" si="60"/>
        <v>0</v>
      </c>
      <c r="AH63" s="4154" t="e">
        <f t="shared" si="61"/>
        <v>#DIV/0!</v>
      </c>
      <c r="AI63" s="4172">
        <f>SUM('Произв. прогр. Стоки (СВОД)'!N65)</f>
        <v>0</v>
      </c>
      <c r="AJ63" s="4255"/>
      <c r="AK63" s="4255"/>
      <c r="AL63" s="4172">
        <f>SUM('Произв. прогр. Стоки (СВОД)'!O65)</f>
        <v>0</v>
      </c>
      <c r="AM63" s="4255"/>
      <c r="AN63" s="4255"/>
      <c r="AO63" s="4172">
        <f>SUM('Произв. прогр. Стоки (СВОД)'!P65)</f>
        <v>0</v>
      </c>
      <c r="AP63" s="4255"/>
      <c r="AQ63" s="4255"/>
      <c r="AR63" s="4223">
        <f t="shared" ref="AR63:AT64" si="162">SUM(AI63+AL63+AO63)</f>
        <v>0</v>
      </c>
      <c r="AS63" s="4223">
        <f t="shared" si="162"/>
        <v>0</v>
      </c>
      <c r="AT63" s="4223">
        <f t="shared" si="162"/>
        <v>0</v>
      </c>
      <c r="AU63" s="4154">
        <f t="shared" si="63"/>
        <v>0</v>
      </c>
      <c r="AV63" s="4154" t="e">
        <f t="shared" si="64"/>
        <v>#DIV/0!</v>
      </c>
      <c r="AW63" s="4223">
        <f t="shared" ref="AW63:AY64" si="163">SUM(AD63+AR63)</f>
        <v>0</v>
      </c>
      <c r="AX63" s="4223">
        <f t="shared" si="163"/>
        <v>0</v>
      </c>
      <c r="AY63" s="4223">
        <f t="shared" si="163"/>
        <v>0</v>
      </c>
      <c r="AZ63" s="4154">
        <f t="shared" si="67"/>
        <v>0</v>
      </c>
      <c r="BA63" s="4154" t="e">
        <f t="shared" si="68"/>
        <v>#DIV/0!</v>
      </c>
      <c r="BB63" s="4172">
        <f>SUM('Произв. прогр. Стоки (СВОД)'!S65)</f>
        <v>0</v>
      </c>
      <c r="BC63" s="4255"/>
      <c r="BD63" s="4255"/>
      <c r="BE63" s="4172">
        <f>SUM('Произв. прогр. Стоки (СВОД)'!T65)</f>
        <v>0</v>
      </c>
      <c r="BF63" s="4255"/>
      <c r="BG63" s="4255"/>
      <c r="BH63" s="4172">
        <f>SUM('Произв. прогр. Стоки (СВОД)'!U65)</f>
        <v>0</v>
      </c>
      <c r="BI63" s="4252"/>
      <c r="BJ63" s="4255"/>
      <c r="BK63" s="4223">
        <f t="shared" ref="BK63:BM64" si="164">SUM(BB63+BE63+BH63)</f>
        <v>0</v>
      </c>
      <c r="BL63" s="4223">
        <f t="shared" si="164"/>
        <v>0</v>
      </c>
      <c r="BM63" s="4223">
        <f t="shared" si="164"/>
        <v>0</v>
      </c>
      <c r="BN63" s="4154">
        <f t="shared" si="70"/>
        <v>0</v>
      </c>
      <c r="BO63" s="4154" t="e">
        <f t="shared" si="71"/>
        <v>#DIV/0!</v>
      </c>
      <c r="BP63" s="4223">
        <f t="shared" ref="BP63:BR64" si="165">SUM(AW63+BK63)</f>
        <v>0</v>
      </c>
      <c r="BQ63" s="4223">
        <f t="shared" si="165"/>
        <v>0</v>
      </c>
      <c r="BR63" s="4223">
        <f t="shared" si="165"/>
        <v>0</v>
      </c>
      <c r="BS63" s="4154">
        <f t="shared" si="74"/>
        <v>0</v>
      </c>
      <c r="BT63" s="4154" t="e">
        <f t="shared" si="75"/>
        <v>#DIV/0!</v>
      </c>
    </row>
    <row r="64" spans="1:72" ht="18.75" customHeight="1">
      <c r="A64" s="4139" t="s">
        <v>1925</v>
      </c>
      <c r="B64" s="4172">
        <f>SUM(B60+B56+B63)</f>
        <v>6784.8101887112389</v>
      </c>
      <c r="C64" s="4172">
        <f t="shared" ref="C64:J64" si="166">SUM(C60+C56+C63)</f>
        <v>6455.63</v>
      </c>
      <c r="D64" s="4172">
        <f t="shared" si="166"/>
        <v>6602.58</v>
      </c>
      <c r="E64" s="4172">
        <f t="shared" si="166"/>
        <v>6777.0106655583759</v>
      </c>
      <c r="F64" s="4172">
        <f t="shared" si="166"/>
        <v>6823.8</v>
      </c>
      <c r="G64" s="4172">
        <f t="shared" si="166"/>
        <v>6516.57</v>
      </c>
      <c r="H64" s="4172">
        <f t="shared" si="166"/>
        <v>7246.1566560688607</v>
      </c>
      <c r="I64" s="4172">
        <f t="shared" si="166"/>
        <v>6539.0199999999995</v>
      </c>
      <c r="J64" s="4172">
        <f t="shared" si="166"/>
        <v>6480.1399999999994</v>
      </c>
      <c r="K64" s="4223">
        <f t="shared" si="159"/>
        <v>20807.977510338475</v>
      </c>
      <c r="L64" s="4223">
        <f t="shared" si="159"/>
        <v>19818.45</v>
      </c>
      <c r="M64" s="4223">
        <f t="shared" si="159"/>
        <v>19599.29</v>
      </c>
      <c r="N64" s="4154">
        <f t="shared" si="53"/>
        <v>-989.5275103384738</v>
      </c>
      <c r="O64" s="4154">
        <f t="shared" si="54"/>
        <v>-4.7555198954190798</v>
      </c>
      <c r="P64" s="4172">
        <f t="shared" ref="P64" si="167">SUM(P60+P56+P63)</f>
        <v>6751.780645710548</v>
      </c>
      <c r="Q64" s="4172">
        <f t="shared" ref="Q64" si="168">SUM(Q60+Q56+Q63)</f>
        <v>7158.2400000000007</v>
      </c>
      <c r="R64" s="4172">
        <f t="shared" ref="R64" si="169">SUM(R60+R56+R63)</f>
        <v>6374.82</v>
      </c>
      <c r="S64" s="4172">
        <f t="shared" ref="S64" si="170">SUM(S60+S56+S63)</f>
        <v>6713.5050588035838</v>
      </c>
      <c r="T64" s="4172">
        <f t="shared" ref="T64" si="171">SUM(T60+T56+T63)</f>
        <v>6692.82</v>
      </c>
      <c r="U64" s="4172">
        <f t="shared" ref="U64" si="172">SUM(U60+U56+U63)</f>
        <v>6118.7900000000009</v>
      </c>
      <c r="V64" s="4172">
        <f t="shared" ref="V64" si="173">SUM(V60+V56+V63)</f>
        <v>7155.9424624886969</v>
      </c>
      <c r="W64" s="4172">
        <f t="shared" ref="W64" si="174">SUM(W60+W56+W63)</f>
        <v>6484.2299999999987</v>
      </c>
      <c r="X64" s="4172">
        <f t="shared" ref="X64" si="175">SUM(X60+X56+X63)</f>
        <v>6120.380000000001</v>
      </c>
      <c r="Y64" s="4223">
        <f t="shared" si="160"/>
        <v>20621.228167002828</v>
      </c>
      <c r="Z64" s="4223">
        <f t="shared" si="160"/>
        <v>20335.29</v>
      </c>
      <c r="AA64" s="4223">
        <f t="shared" si="160"/>
        <v>18613.990000000002</v>
      </c>
      <c r="AB64" s="4154">
        <f t="shared" ref="AB64:AB69" si="176">SUM(Z64-Y64)</f>
        <v>-285.93816700282696</v>
      </c>
      <c r="AC64" s="4154">
        <f t="shared" ref="AC64:AC68" si="177">SUM(AB64/Y64*100)</f>
        <v>-1.3866204509602027</v>
      </c>
      <c r="AD64" s="4223">
        <f t="shared" si="161"/>
        <v>41429.205677341306</v>
      </c>
      <c r="AE64" s="4223">
        <f t="shared" si="161"/>
        <v>40153.740000000005</v>
      </c>
      <c r="AF64" s="4251">
        <f t="shared" si="161"/>
        <v>38213.279999999999</v>
      </c>
      <c r="AG64" s="4154">
        <f t="shared" ref="AG64:AG69" si="178">SUM(AE64-AD64)</f>
        <v>-1275.4656773413008</v>
      </c>
      <c r="AH64" s="4154">
        <f t="shared" si="61"/>
        <v>-3.0786631230028281</v>
      </c>
      <c r="AI64" s="4172">
        <f t="shared" ref="AI64" si="179">SUM(AI60+AI56+AI63)</f>
        <v>7041.7875136957291</v>
      </c>
      <c r="AJ64" s="4172">
        <f t="shared" ref="AJ64" si="180">SUM(AJ60+AJ56+AJ63)</f>
        <v>6178.3099999999995</v>
      </c>
      <c r="AK64" s="4172">
        <f t="shared" ref="AK64" si="181">SUM(AK60+AK56+AK63)</f>
        <v>5622.0499999999993</v>
      </c>
      <c r="AL64" s="4172">
        <f t="shared" ref="AL64" si="182">SUM(AL60+AL56+AL63)</f>
        <v>7062.9847167959097</v>
      </c>
      <c r="AM64" s="4172">
        <f t="shared" ref="AM64" si="183">SUM(AM60+AM56+AM63)</f>
        <v>6505.0900000000011</v>
      </c>
      <c r="AN64" s="4172">
        <f t="shared" ref="AN64" si="184">SUM(AN60+AN56+AN63)</f>
        <v>6152.68</v>
      </c>
      <c r="AO64" s="4172">
        <f t="shared" ref="AO64" si="185">SUM(AO60+AO56+AO63)</f>
        <v>7576.6225768725362</v>
      </c>
      <c r="AP64" s="4172">
        <f t="shared" ref="AP64" si="186">SUM(AP60+AP56+AP63)</f>
        <v>6895.03</v>
      </c>
      <c r="AQ64" s="4172">
        <f t="shared" ref="AQ64" si="187">SUM(AQ60+AQ56+AQ63)</f>
        <v>6442.65</v>
      </c>
      <c r="AR64" s="4223">
        <f t="shared" si="162"/>
        <v>21681.394807364173</v>
      </c>
      <c r="AS64" s="4223">
        <f t="shared" si="162"/>
        <v>19578.43</v>
      </c>
      <c r="AT64" s="4223">
        <f t="shared" si="162"/>
        <v>18217.379999999997</v>
      </c>
      <c r="AU64" s="4154">
        <f t="shared" ref="AU64:AU69" si="188">SUM(AS64-AR64)</f>
        <v>-2102.9648073641729</v>
      </c>
      <c r="AV64" s="4154">
        <f t="shared" ref="AV64:AV65" si="189">SUM(AU64/AR64*100)</f>
        <v>-9.6993981524191071</v>
      </c>
      <c r="AW64" s="4223">
        <f t="shared" si="163"/>
        <v>63110.600484705479</v>
      </c>
      <c r="AX64" s="4223">
        <f t="shared" si="163"/>
        <v>59732.170000000006</v>
      </c>
      <c r="AY64" s="4223">
        <f t="shared" si="163"/>
        <v>56430.659999999996</v>
      </c>
      <c r="AZ64" s="4154">
        <f t="shared" ref="AZ64:AZ69" si="190">SUM(AX64-AW64)</f>
        <v>-3378.4304847054736</v>
      </c>
      <c r="BA64" s="4154">
        <f t="shared" si="68"/>
        <v>-5.3531902069672403</v>
      </c>
      <c r="BB64" s="4172">
        <f t="shared" ref="BB64" si="191">SUM(BB60+BB56+BB63)</f>
        <v>7140.4942563722607</v>
      </c>
      <c r="BC64" s="4172">
        <f t="shared" ref="BC64" si="192">SUM(BC60+BC56+BC63)</f>
        <v>0</v>
      </c>
      <c r="BD64" s="4172">
        <f t="shared" ref="BD64" si="193">SUM(BD60+BD56+BD63)</f>
        <v>6207.83</v>
      </c>
      <c r="BE64" s="4172">
        <f t="shared" ref="BE64" si="194">SUM(BE60+BE56+BE63)</f>
        <v>7151.0078947717229</v>
      </c>
      <c r="BF64" s="4172">
        <f t="shared" ref="BF64" si="195">SUM(BF60+BF56+BF63)</f>
        <v>0</v>
      </c>
      <c r="BG64" s="4172">
        <f t="shared" ref="BG64" si="196">SUM(BG60+BG56+BG63)</f>
        <v>6392.71</v>
      </c>
      <c r="BH64" s="4172">
        <f t="shared" ref="BH64" si="197">SUM(BH60+BH56+BH63)</f>
        <v>7635.0595821409315</v>
      </c>
      <c r="BI64" s="4172">
        <f t="shared" ref="BI64" si="198">SUM(BI60+BI56+BI63)</f>
        <v>0</v>
      </c>
      <c r="BJ64" s="4172">
        <f t="shared" ref="BJ64" si="199">SUM(BJ60+BJ56+BJ63)</f>
        <v>6355.88</v>
      </c>
      <c r="BK64" s="4223">
        <f t="shared" si="164"/>
        <v>21926.561733284914</v>
      </c>
      <c r="BL64" s="4223">
        <f t="shared" si="164"/>
        <v>0</v>
      </c>
      <c r="BM64" s="4223">
        <f t="shared" si="164"/>
        <v>18956.420000000002</v>
      </c>
      <c r="BN64" s="4154">
        <f t="shared" ref="BN64:BN69" si="200">SUM(BL64-BK64)</f>
        <v>-21926.561733284914</v>
      </c>
      <c r="BO64" s="4154">
        <f t="shared" ref="BO64:BO69" si="201">SUM(BN64/BK64*100)</f>
        <v>-100</v>
      </c>
      <c r="BP64" s="4223">
        <f>SUM(AW64+BK64)+0.01</f>
        <v>85037.172217990388</v>
      </c>
      <c r="BQ64" s="4223">
        <f t="shared" si="165"/>
        <v>59732.170000000006</v>
      </c>
      <c r="BR64" s="4223">
        <f t="shared" si="165"/>
        <v>75387.08</v>
      </c>
      <c r="BS64" s="4154">
        <f t="shared" ref="BS64:BS69" si="202">SUM(BQ64-BP64)</f>
        <v>-25305.002217990383</v>
      </c>
      <c r="BT64" s="4154">
        <f t="shared" ref="BT64:BT69" si="203">SUM(BS64/BP64*100)</f>
        <v>-29.757577254711297</v>
      </c>
    </row>
    <row r="65" spans="1:74" ht="18.75" customHeight="1">
      <c r="A65" s="4139" t="s">
        <v>328</v>
      </c>
      <c r="B65" s="4172">
        <f>SUM(B64/B57)</f>
        <v>24.245724476390674</v>
      </c>
      <c r="C65" s="4172">
        <f t="shared" ref="C65:BR65" si="204">SUM(C64/C57)</f>
        <v>25.117228231266047</v>
      </c>
      <c r="D65" s="4172">
        <f t="shared" si="204"/>
        <v>24.278654164368451</v>
      </c>
      <c r="E65" s="4172">
        <f t="shared" si="204"/>
        <v>24.149693173618633</v>
      </c>
      <c r="F65" s="4172">
        <f t="shared" si="204"/>
        <v>25.11704946996467</v>
      </c>
      <c r="G65" s="4172">
        <f t="shared" si="204"/>
        <v>24.25853404310762</v>
      </c>
      <c r="H65" s="4172">
        <f t="shared" si="204"/>
        <v>25.72737614864911</v>
      </c>
      <c r="I65" s="4172">
        <f t="shared" si="204"/>
        <v>24.974296299125381</v>
      </c>
      <c r="J65" s="4172">
        <f t="shared" si="204"/>
        <v>24.141792712912597</v>
      </c>
      <c r="K65" s="4223">
        <f t="shared" si="204"/>
        <v>24.709274152220566</v>
      </c>
      <c r="L65" s="4223">
        <f t="shared" si="204"/>
        <v>25.069826572046601</v>
      </c>
      <c r="M65" s="4223">
        <f t="shared" si="204"/>
        <v>24.226563658838074</v>
      </c>
      <c r="N65" s="4154">
        <f t="shared" si="53"/>
        <v>0.36055241982603548</v>
      </c>
      <c r="O65" s="4154">
        <f t="shared" si="54"/>
        <v>1.459178515746216</v>
      </c>
      <c r="P65" s="4172">
        <f t="shared" si="204"/>
        <v>24.310202229901794</v>
      </c>
      <c r="Q65" s="4172">
        <f t="shared" si="204"/>
        <v>25.113988001263031</v>
      </c>
      <c r="R65" s="4172">
        <f t="shared" si="204"/>
        <v>24.26746355019224</v>
      </c>
      <c r="S65" s="4172">
        <f t="shared" si="204"/>
        <v>24.637726184931015</v>
      </c>
      <c r="T65" s="4172">
        <f t="shared" si="204"/>
        <v>25.113771106941837</v>
      </c>
      <c r="U65" s="4172">
        <f t="shared" si="204"/>
        <v>24.258771755937044</v>
      </c>
      <c r="V65" s="4172">
        <f t="shared" si="204"/>
        <v>27.223848764478518</v>
      </c>
      <c r="W65" s="4172">
        <f t="shared" si="204"/>
        <v>24.959505754647981</v>
      </c>
      <c r="X65" s="4172">
        <f t="shared" si="204"/>
        <v>24.115922613184132</v>
      </c>
      <c r="Y65" s="4223">
        <f t="shared" si="204"/>
        <v>25.361902188035227</v>
      </c>
      <c r="Z65" s="4223">
        <f t="shared" si="204"/>
        <v>25.06445052507026</v>
      </c>
      <c r="AA65" s="4223">
        <f t="shared" si="204"/>
        <v>24.214580270843364</v>
      </c>
      <c r="AB65" s="4154">
        <f t="shared" si="176"/>
        <v>-0.29745166296496706</v>
      </c>
      <c r="AC65" s="4154">
        <f t="shared" si="177"/>
        <v>-1.1728286812228672</v>
      </c>
      <c r="AD65" s="4223">
        <f t="shared" si="204"/>
        <v>25.029864410263176</v>
      </c>
      <c r="AE65" s="4223">
        <f t="shared" si="204"/>
        <v>25.067103661391521</v>
      </c>
      <c r="AF65" s="4223">
        <f t="shared" si="204"/>
        <v>24.220724974805254</v>
      </c>
      <c r="AG65" s="4154">
        <f t="shared" si="178"/>
        <v>3.7239251128344364E-2</v>
      </c>
      <c r="AH65" s="4154">
        <f t="shared" si="61"/>
        <v>0.14877927629953475</v>
      </c>
      <c r="AI65" s="4172">
        <f t="shared" si="204"/>
        <v>27.574078502135439</v>
      </c>
      <c r="AJ65" s="4172">
        <f t="shared" si="204"/>
        <v>26.612293246037215</v>
      </c>
      <c r="AK65" s="4172">
        <f t="shared" si="204"/>
        <v>25.106283213504216</v>
      </c>
      <c r="AL65" s="4172">
        <f t="shared" si="204"/>
        <v>26.726416400193706</v>
      </c>
      <c r="AM65" s="4172">
        <f t="shared" si="204"/>
        <v>26.614393257507576</v>
      </c>
      <c r="AN65" s="4172">
        <f t="shared" si="204"/>
        <v>25.103757803255949</v>
      </c>
      <c r="AO65" s="4172">
        <f t="shared" si="204"/>
        <v>27.45577378849498</v>
      </c>
      <c r="AP65" s="4172">
        <f t="shared" si="204"/>
        <v>26.453213121043547</v>
      </c>
      <c r="AQ65" s="4172">
        <f t="shared" si="204"/>
        <v>24.958935420137138</v>
      </c>
      <c r="AR65" s="4223">
        <f t="shared" si="204"/>
        <v>27.251482742395158</v>
      </c>
      <c r="AS65" s="4223">
        <f t="shared" si="204"/>
        <v>26.556746198608305</v>
      </c>
      <c r="AT65" s="4223">
        <f t="shared" si="204"/>
        <v>25.053125214880009</v>
      </c>
      <c r="AU65" s="4154">
        <f t="shared" si="188"/>
        <v>-0.69473654378685268</v>
      </c>
      <c r="AV65" s="4154">
        <f t="shared" si="189"/>
        <v>-2.5493531869590731</v>
      </c>
      <c r="AW65" s="4223">
        <f t="shared" si="204"/>
        <v>25.751070707460777</v>
      </c>
      <c r="AX65" s="4223">
        <f t="shared" si="204"/>
        <v>25.536608410144161</v>
      </c>
      <c r="AY65" s="4223">
        <f t="shared" si="204"/>
        <v>24.483335213418599</v>
      </c>
      <c r="AZ65" s="4154">
        <f t="shared" si="190"/>
        <v>-0.21446229731661504</v>
      </c>
      <c r="BA65" s="4154">
        <f t="shared" si="68"/>
        <v>-0.83282866080779916</v>
      </c>
      <c r="BB65" s="4172">
        <f t="shared" si="204"/>
        <v>25.352223301313607</v>
      </c>
      <c r="BC65" s="4172" t="e">
        <f t="shared" si="204"/>
        <v>#DIV/0!</v>
      </c>
      <c r="BD65" s="4172">
        <f t="shared" si="204"/>
        <v>25.103441303732456</v>
      </c>
      <c r="BE65" s="4172">
        <f t="shared" si="204"/>
        <v>25.3895518249203</v>
      </c>
      <c r="BF65" s="4172" t="e">
        <f t="shared" si="204"/>
        <v>#DIV/0!</v>
      </c>
      <c r="BG65" s="4172">
        <f t="shared" si="204"/>
        <v>25.096023240293647</v>
      </c>
      <c r="BH65" s="4172">
        <f t="shared" si="204"/>
        <v>27.10817045648216</v>
      </c>
      <c r="BI65" s="4172" t="e">
        <f t="shared" si="204"/>
        <v>#DIV/0!</v>
      </c>
      <c r="BJ65" s="4172">
        <f t="shared" si="204"/>
        <v>24.963198617493422</v>
      </c>
      <c r="BK65" s="4223">
        <f t="shared" si="204"/>
        <v>25.949981860905353</v>
      </c>
      <c r="BL65" s="4223" t="e">
        <f t="shared" si="204"/>
        <v>#DIV/0!</v>
      </c>
      <c r="BM65" s="4223">
        <f t="shared" si="204"/>
        <v>25.053751503376819</v>
      </c>
      <c r="BN65" s="4154" t="e">
        <f t="shared" si="200"/>
        <v>#DIV/0!</v>
      </c>
      <c r="BO65" s="4154" t="e">
        <f t="shared" si="201"/>
        <v>#DIV/0!</v>
      </c>
      <c r="BP65" s="4223">
        <f t="shared" si="204"/>
        <v>25.802070004700109</v>
      </c>
      <c r="BQ65" s="4223">
        <f t="shared" si="204"/>
        <v>25.536608410144161</v>
      </c>
      <c r="BR65" s="4223">
        <f t="shared" si="204"/>
        <v>24.624310384812624</v>
      </c>
      <c r="BS65" s="4154">
        <f t="shared" si="202"/>
        <v>-0.26546159455594776</v>
      </c>
      <c r="BT65" s="4154">
        <f t="shared" si="203"/>
        <v>-1.0288383626104076</v>
      </c>
    </row>
    <row r="66" spans="1:74" ht="18.75" customHeight="1">
      <c r="A66" s="4171" t="s">
        <v>1883</v>
      </c>
      <c r="B66" s="4214">
        <f>SUM(B67:B68)</f>
        <v>0</v>
      </c>
      <c r="C66" s="4214">
        <v>0</v>
      </c>
      <c r="D66" s="4214">
        <f t="shared" ref="D66:BH66" si="205">SUM(D67:D68)</f>
        <v>0</v>
      </c>
      <c r="E66" s="4214">
        <f t="shared" si="205"/>
        <v>0</v>
      </c>
      <c r="F66" s="4214">
        <v>0</v>
      </c>
      <c r="G66" s="4214">
        <f t="shared" ref="G66" si="206">SUM(G67:G68)</f>
        <v>0</v>
      </c>
      <c r="H66" s="4214">
        <f t="shared" si="205"/>
        <v>0</v>
      </c>
      <c r="I66" s="4214">
        <v>0</v>
      </c>
      <c r="J66" s="4214">
        <f t="shared" ref="J66" si="207">SUM(J67:J68)</f>
        <v>0</v>
      </c>
      <c r="K66" s="4256">
        <f t="shared" ref="K66:M69" si="208">SUM(B66+E66+H66)</f>
        <v>0</v>
      </c>
      <c r="L66" s="4256">
        <f t="shared" si="208"/>
        <v>0</v>
      </c>
      <c r="M66" s="4256">
        <f t="shared" si="208"/>
        <v>0</v>
      </c>
      <c r="N66" s="4154">
        <f t="shared" si="53"/>
        <v>0</v>
      </c>
      <c r="O66" s="4154" t="e">
        <f t="shared" si="54"/>
        <v>#DIV/0!</v>
      </c>
      <c r="P66" s="4214">
        <f t="shared" si="205"/>
        <v>0</v>
      </c>
      <c r="Q66" s="4214">
        <v>0</v>
      </c>
      <c r="R66" s="4214">
        <f t="shared" ref="R66" si="209">SUM(R67:R68)</f>
        <v>0</v>
      </c>
      <c r="S66" s="4214">
        <f t="shared" si="205"/>
        <v>0</v>
      </c>
      <c r="T66" s="4214">
        <v>0</v>
      </c>
      <c r="U66" s="4214">
        <f t="shared" ref="U66" si="210">SUM(U67:U68)</f>
        <v>0</v>
      </c>
      <c r="V66" s="4214">
        <f t="shared" si="205"/>
        <v>0</v>
      </c>
      <c r="W66" s="4214">
        <v>0</v>
      </c>
      <c r="X66" s="4214">
        <f t="shared" ref="X66" si="211">SUM(X67:X68)</f>
        <v>0</v>
      </c>
      <c r="Y66" s="4256">
        <f t="shared" ref="Y66:AA69" si="212">SUM(P66+S66+V66)</f>
        <v>0</v>
      </c>
      <c r="Z66" s="4256">
        <f t="shared" si="212"/>
        <v>0</v>
      </c>
      <c r="AA66" s="4256">
        <f t="shared" si="212"/>
        <v>0</v>
      </c>
      <c r="AB66" s="4154">
        <f t="shared" si="176"/>
        <v>0</v>
      </c>
      <c r="AC66" s="4154" t="e">
        <f t="shared" si="177"/>
        <v>#DIV/0!</v>
      </c>
      <c r="AD66" s="4256">
        <f t="shared" ref="AD66:AF69" si="213">SUM(K66+Y66)</f>
        <v>0</v>
      </c>
      <c r="AE66" s="4256">
        <f t="shared" si="213"/>
        <v>0</v>
      </c>
      <c r="AF66" s="4257">
        <f t="shared" si="213"/>
        <v>0</v>
      </c>
      <c r="AG66" s="4154">
        <f t="shared" si="178"/>
        <v>0</v>
      </c>
      <c r="AH66" s="4154" t="e">
        <f t="shared" si="61"/>
        <v>#DIV/0!</v>
      </c>
      <c r="AI66" s="4214">
        <f t="shared" si="205"/>
        <v>0</v>
      </c>
      <c r="AJ66" s="4214">
        <v>0</v>
      </c>
      <c r="AK66" s="4214">
        <f t="shared" ref="AK66" si="214">SUM(AK67:AK68)</f>
        <v>0</v>
      </c>
      <c r="AL66" s="4214">
        <f t="shared" si="205"/>
        <v>0</v>
      </c>
      <c r="AM66" s="4214">
        <v>0</v>
      </c>
      <c r="AN66" s="4214">
        <f t="shared" ref="AN66" si="215">SUM(AN67:AN68)</f>
        <v>0</v>
      </c>
      <c r="AO66" s="4214">
        <f t="shared" si="205"/>
        <v>0</v>
      </c>
      <c r="AP66" s="4214">
        <v>0</v>
      </c>
      <c r="AQ66" s="4214">
        <f t="shared" ref="AQ66" si="216">SUM(AQ67:AQ68)</f>
        <v>0</v>
      </c>
      <c r="AR66" s="4256">
        <f t="shared" ref="AR66:AT69" si="217">SUM(AI66+AL66+AO66)</f>
        <v>0</v>
      </c>
      <c r="AS66" s="4256">
        <f t="shared" si="217"/>
        <v>0</v>
      </c>
      <c r="AT66" s="4256">
        <f t="shared" si="217"/>
        <v>0</v>
      </c>
      <c r="AU66" s="4154">
        <f t="shared" si="188"/>
        <v>0</v>
      </c>
      <c r="AV66" s="4154"/>
      <c r="AW66" s="4256">
        <f t="shared" ref="AW66:AY69" si="218">SUM(AD66+AR66)</f>
        <v>0</v>
      </c>
      <c r="AX66" s="4256">
        <f t="shared" si="218"/>
        <v>0</v>
      </c>
      <c r="AY66" s="4256">
        <f t="shared" si="218"/>
        <v>0</v>
      </c>
      <c r="AZ66" s="4154">
        <f t="shared" si="190"/>
        <v>0</v>
      </c>
      <c r="BA66" s="4154"/>
      <c r="BB66" s="4214">
        <f t="shared" si="205"/>
        <v>0</v>
      </c>
      <c r="BC66" s="4214">
        <v>0</v>
      </c>
      <c r="BD66" s="4214">
        <f t="shared" ref="BD66" si="219">SUM(BD67:BD68)</f>
        <v>0</v>
      </c>
      <c r="BE66" s="4214">
        <f t="shared" si="205"/>
        <v>0</v>
      </c>
      <c r="BF66" s="4214">
        <v>0</v>
      </c>
      <c r="BG66" s="4214">
        <f t="shared" ref="BG66" si="220">SUM(BG67:BG68)</f>
        <v>0</v>
      </c>
      <c r="BH66" s="4214">
        <f t="shared" si="205"/>
        <v>0</v>
      </c>
      <c r="BI66" s="4214">
        <v>0</v>
      </c>
      <c r="BJ66" s="4214">
        <f t="shared" ref="BJ66" si="221">SUM(BJ67:BJ68)</f>
        <v>0</v>
      </c>
      <c r="BK66" s="4256">
        <f t="shared" ref="BK66:BM69" si="222">SUM(BB66+BE66+BH66)</f>
        <v>0</v>
      </c>
      <c r="BL66" s="4256">
        <f t="shared" si="222"/>
        <v>0</v>
      </c>
      <c r="BM66" s="4256">
        <f t="shared" si="222"/>
        <v>0</v>
      </c>
      <c r="BN66" s="4154">
        <f t="shared" si="200"/>
        <v>0</v>
      </c>
      <c r="BO66" s="4154" t="e">
        <f t="shared" si="201"/>
        <v>#DIV/0!</v>
      </c>
      <c r="BP66" s="4256">
        <f t="shared" ref="BP66:BR69" si="223">SUM(AW66+BK66)</f>
        <v>0</v>
      </c>
      <c r="BQ66" s="4256">
        <f t="shared" si="223"/>
        <v>0</v>
      </c>
      <c r="BR66" s="4256">
        <f t="shared" si="223"/>
        <v>0</v>
      </c>
      <c r="BS66" s="4154">
        <f t="shared" si="202"/>
        <v>0</v>
      </c>
      <c r="BT66" s="4154" t="e">
        <f t="shared" si="203"/>
        <v>#DIV/0!</v>
      </c>
    </row>
    <row r="67" spans="1:74" ht="18.75" customHeight="1">
      <c r="A67" s="4145" t="s">
        <v>1885</v>
      </c>
      <c r="B67" s="4211">
        <v>0</v>
      </c>
      <c r="C67" s="4211">
        <v>0</v>
      </c>
      <c r="D67" s="4211">
        <v>0</v>
      </c>
      <c r="E67" s="4211">
        <v>0</v>
      </c>
      <c r="F67" s="4211">
        <v>0</v>
      </c>
      <c r="G67" s="4211">
        <v>0</v>
      </c>
      <c r="H67" s="4211">
        <v>0</v>
      </c>
      <c r="I67" s="4211">
        <v>0</v>
      </c>
      <c r="J67" s="4211">
        <v>0</v>
      </c>
      <c r="K67" s="4258">
        <f t="shared" si="208"/>
        <v>0</v>
      </c>
      <c r="L67" s="4258">
        <f t="shared" si="208"/>
        <v>0</v>
      </c>
      <c r="M67" s="4258">
        <f t="shared" si="208"/>
        <v>0</v>
      </c>
      <c r="N67" s="4149">
        <f t="shared" si="53"/>
        <v>0</v>
      </c>
      <c r="O67" s="4149" t="e">
        <f t="shared" si="54"/>
        <v>#DIV/0!</v>
      </c>
      <c r="P67" s="4211">
        <v>0</v>
      </c>
      <c r="Q67" s="4211">
        <v>0</v>
      </c>
      <c r="R67" s="4211">
        <v>0</v>
      </c>
      <c r="S67" s="4211">
        <v>0</v>
      </c>
      <c r="T67" s="4211">
        <v>0</v>
      </c>
      <c r="U67" s="4211">
        <v>0</v>
      </c>
      <c r="V67" s="4211">
        <v>0</v>
      </c>
      <c r="W67" s="4211">
        <v>0</v>
      </c>
      <c r="X67" s="4211">
        <v>0</v>
      </c>
      <c r="Y67" s="4258">
        <f t="shared" si="212"/>
        <v>0</v>
      </c>
      <c r="Z67" s="4258">
        <f t="shared" si="212"/>
        <v>0</v>
      </c>
      <c r="AA67" s="4258">
        <f t="shared" si="212"/>
        <v>0</v>
      </c>
      <c r="AB67" s="4149">
        <f t="shared" si="176"/>
        <v>0</v>
      </c>
      <c r="AC67" s="4149" t="e">
        <f t="shared" si="177"/>
        <v>#DIV/0!</v>
      </c>
      <c r="AD67" s="4258">
        <f t="shared" si="213"/>
        <v>0</v>
      </c>
      <c r="AE67" s="4258">
        <f>SUM(L67+Z67)</f>
        <v>0</v>
      </c>
      <c r="AF67" s="4259">
        <f t="shared" si="213"/>
        <v>0</v>
      </c>
      <c r="AG67" s="4149">
        <f t="shared" si="178"/>
        <v>0</v>
      </c>
      <c r="AH67" s="4149" t="e">
        <f t="shared" si="61"/>
        <v>#DIV/0!</v>
      </c>
      <c r="AI67" s="4211">
        <v>0</v>
      </c>
      <c r="AJ67" s="4211">
        <v>0</v>
      </c>
      <c r="AK67" s="4211">
        <v>0</v>
      </c>
      <c r="AL67" s="4211">
        <v>0</v>
      </c>
      <c r="AM67" s="4211">
        <v>0</v>
      </c>
      <c r="AN67" s="4211">
        <v>0</v>
      </c>
      <c r="AO67" s="4211">
        <v>0</v>
      </c>
      <c r="AP67" s="4211">
        <v>0</v>
      </c>
      <c r="AQ67" s="4211">
        <v>0</v>
      </c>
      <c r="AR67" s="4258">
        <f t="shared" si="217"/>
        <v>0</v>
      </c>
      <c r="AS67" s="4258">
        <f t="shared" si="217"/>
        <v>0</v>
      </c>
      <c r="AT67" s="4258">
        <f t="shared" si="217"/>
        <v>0</v>
      </c>
      <c r="AU67" s="4149">
        <f t="shared" si="188"/>
        <v>0</v>
      </c>
      <c r="AV67" s="4149"/>
      <c r="AW67" s="4258">
        <f t="shared" si="218"/>
        <v>0</v>
      </c>
      <c r="AX67" s="4258">
        <f t="shared" si="218"/>
        <v>0</v>
      </c>
      <c r="AY67" s="4258">
        <f t="shared" si="218"/>
        <v>0</v>
      </c>
      <c r="AZ67" s="4149">
        <f t="shared" si="190"/>
        <v>0</v>
      </c>
      <c r="BA67" s="4149"/>
      <c r="BB67" s="4211">
        <v>0</v>
      </c>
      <c r="BC67" s="4211">
        <v>0</v>
      </c>
      <c r="BD67" s="4211">
        <v>0</v>
      </c>
      <c r="BE67" s="4211">
        <v>0</v>
      </c>
      <c r="BF67" s="4211">
        <v>0</v>
      </c>
      <c r="BG67" s="4211">
        <v>0</v>
      </c>
      <c r="BH67" s="4211">
        <v>0</v>
      </c>
      <c r="BI67" s="4211">
        <v>0</v>
      </c>
      <c r="BJ67" s="4211">
        <v>0</v>
      </c>
      <c r="BK67" s="4258">
        <f t="shared" si="222"/>
        <v>0</v>
      </c>
      <c r="BL67" s="4258">
        <f t="shared" si="222"/>
        <v>0</v>
      </c>
      <c r="BM67" s="4258">
        <f t="shared" si="222"/>
        <v>0</v>
      </c>
      <c r="BN67" s="4149">
        <f t="shared" si="200"/>
        <v>0</v>
      </c>
      <c r="BO67" s="4149" t="e">
        <f t="shared" si="201"/>
        <v>#DIV/0!</v>
      </c>
      <c r="BP67" s="4258">
        <f t="shared" si="223"/>
        <v>0</v>
      </c>
      <c r="BQ67" s="4258">
        <f t="shared" si="223"/>
        <v>0</v>
      </c>
      <c r="BR67" s="4258">
        <f t="shared" si="223"/>
        <v>0</v>
      </c>
      <c r="BS67" s="4149">
        <f t="shared" si="202"/>
        <v>0</v>
      </c>
      <c r="BT67" s="4149" t="e">
        <f t="shared" si="203"/>
        <v>#DIV/0!</v>
      </c>
    </row>
    <row r="68" spans="1:74" ht="18.75" customHeight="1">
      <c r="A68" s="4145" t="s">
        <v>300</v>
      </c>
      <c r="B68" s="4211">
        <v>0</v>
      </c>
      <c r="C68" s="4211">
        <v>0</v>
      </c>
      <c r="D68" s="4211">
        <v>0</v>
      </c>
      <c r="E68" s="4211">
        <v>0</v>
      </c>
      <c r="F68" s="4211">
        <v>0</v>
      </c>
      <c r="G68" s="4211">
        <v>0</v>
      </c>
      <c r="H68" s="4211">
        <v>0</v>
      </c>
      <c r="I68" s="4211">
        <v>0</v>
      </c>
      <c r="J68" s="4211">
        <v>0</v>
      </c>
      <c r="K68" s="4258">
        <f t="shared" si="208"/>
        <v>0</v>
      </c>
      <c r="L68" s="4258">
        <f t="shared" si="208"/>
        <v>0</v>
      </c>
      <c r="M68" s="4258">
        <f t="shared" si="208"/>
        <v>0</v>
      </c>
      <c r="N68" s="4149">
        <f t="shared" si="53"/>
        <v>0</v>
      </c>
      <c r="O68" s="4149" t="e">
        <f t="shared" si="54"/>
        <v>#DIV/0!</v>
      </c>
      <c r="P68" s="4211">
        <v>0</v>
      </c>
      <c r="Q68" s="4211">
        <v>0</v>
      </c>
      <c r="R68" s="4211">
        <v>0</v>
      </c>
      <c r="S68" s="4211">
        <v>0</v>
      </c>
      <c r="T68" s="4211">
        <v>0</v>
      </c>
      <c r="U68" s="4211">
        <v>0</v>
      </c>
      <c r="V68" s="4211">
        <v>0</v>
      </c>
      <c r="W68" s="4211">
        <v>0</v>
      </c>
      <c r="X68" s="4211">
        <v>0</v>
      </c>
      <c r="Y68" s="4258">
        <f t="shared" si="212"/>
        <v>0</v>
      </c>
      <c r="Z68" s="4258">
        <f t="shared" si="212"/>
        <v>0</v>
      </c>
      <c r="AA68" s="4258">
        <f t="shared" si="212"/>
        <v>0</v>
      </c>
      <c r="AB68" s="4149">
        <f t="shared" si="176"/>
        <v>0</v>
      </c>
      <c r="AC68" s="4149" t="e">
        <f t="shared" si="177"/>
        <v>#DIV/0!</v>
      </c>
      <c r="AD68" s="4258">
        <f t="shared" si="213"/>
        <v>0</v>
      </c>
      <c r="AE68" s="4258">
        <f t="shared" si="213"/>
        <v>0</v>
      </c>
      <c r="AF68" s="4259">
        <f t="shared" si="213"/>
        <v>0</v>
      </c>
      <c r="AG68" s="4149">
        <f t="shared" si="178"/>
        <v>0</v>
      </c>
      <c r="AH68" s="4149" t="e">
        <f t="shared" si="61"/>
        <v>#DIV/0!</v>
      </c>
      <c r="AI68" s="4211">
        <v>0</v>
      </c>
      <c r="AJ68" s="4211">
        <v>0</v>
      </c>
      <c r="AK68" s="4211">
        <v>0</v>
      </c>
      <c r="AL68" s="4211">
        <v>0</v>
      </c>
      <c r="AM68" s="4211">
        <v>0</v>
      </c>
      <c r="AN68" s="4211">
        <v>0</v>
      </c>
      <c r="AO68" s="4211">
        <v>0</v>
      </c>
      <c r="AP68" s="4211">
        <v>0</v>
      </c>
      <c r="AQ68" s="4211">
        <v>0</v>
      </c>
      <c r="AR68" s="4258">
        <f t="shared" si="217"/>
        <v>0</v>
      </c>
      <c r="AS68" s="4258">
        <f t="shared" si="217"/>
        <v>0</v>
      </c>
      <c r="AT68" s="4258">
        <f t="shared" si="217"/>
        <v>0</v>
      </c>
      <c r="AU68" s="4149">
        <f t="shared" si="188"/>
        <v>0</v>
      </c>
      <c r="AV68" s="4149"/>
      <c r="AW68" s="4258">
        <f t="shared" si="218"/>
        <v>0</v>
      </c>
      <c r="AX68" s="4258">
        <f t="shared" si="218"/>
        <v>0</v>
      </c>
      <c r="AY68" s="4258">
        <f t="shared" si="218"/>
        <v>0</v>
      </c>
      <c r="AZ68" s="4149">
        <f t="shared" si="190"/>
        <v>0</v>
      </c>
      <c r="BA68" s="4149"/>
      <c r="BB68" s="4211">
        <v>0</v>
      </c>
      <c r="BC68" s="4211">
        <v>0</v>
      </c>
      <c r="BD68" s="4211">
        <v>0</v>
      </c>
      <c r="BE68" s="4211">
        <v>0</v>
      </c>
      <c r="BF68" s="4211">
        <v>0</v>
      </c>
      <c r="BG68" s="4211">
        <v>0</v>
      </c>
      <c r="BH68" s="4211">
        <v>0</v>
      </c>
      <c r="BI68" s="4211">
        <v>0</v>
      </c>
      <c r="BJ68" s="4211">
        <v>0</v>
      </c>
      <c r="BK68" s="4258">
        <f t="shared" si="222"/>
        <v>0</v>
      </c>
      <c r="BL68" s="4258">
        <f t="shared" si="222"/>
        <v>0</v>
      </c>
      <c r="BM68" s="4258">
        <f t="shared" si="222"/>
        <v>0</v>
      </c>
      <c r="BN68" s="4149">
        <f t="shared" si="200"/>
        <v>0</v>
      </c>
      <c r="BO68" s="4149" t="e">
        <f t="shared" si="201"/>
        <v>#DIV/0!</v>
      </c>
      <c r="BP68" s="4258">
        <f t="shared" si="223"/>
        <v>0</v>
      </c>
      <c r="BQ68" s="4258">
        <f t="shared" si="223"/>
        <v>0</v>
      </c>
      <c r="BR68" s="4258">
        <f t="shared" si="223"/>
        <v>0</v>
      </c>
      <c r="BS68" s="4149">
        <f t="shared" si="202"/>
        <v>0</v>
      </c>
      <c r="BT68" s="4149" t="e">
        <f t="shared" si="203"/>
        <v>#DIV/0!</v>
      </c>
    </row>
    <row r="69" spans="1:74" ht="18.75" customHeight="1">
      <c r="A69" s="4171" t="s">
        <v>1886</v>
      </c>
      <c r="B69" s="4301">
        <f>SUM(B55+B66)</f>
        <v>6877.1763786613483</v>
      </c>
      <c r="C69" s="4172">
        <f t="shared" ref="C69:J69" si="224">SUM(C55+C66)</f>
        <v>6607.81</v>
      </c>
      <c r="D69" s="4172">
        <f t="shared" si="224"/>
        <v>5765.4699999999993</v>
      </c>
      <c r="E69" s="4172">
        <f t="shared" si="224"/>
        <v>6869.7482613637694</v>
      </c>
      <c r="F69" s="4172">
        <f t="shared" si="224"/>
        <v>5728.56</v>
      </c>
      <c r="G69" s="4172">
        <f t="shared" si="224"/>
        <v>5683.09</v>
      </c>
      <c r="H69" s="4172">
        <f t="shared" si="224"/>
        <v>7316.5539671615024</v>
      </c>
      <c r="I69" s="4172">
        <f t="shared" si="224"/>
        <v>6804.6799999999994</v>
      </c>
      <c r="J69" s="4172">
        <f t="shared" si="224"/>
        <v>6971.119999999999</v>
      </c>
      <c r="K69" s="4256">
        <f t="shared" si="208"/>
        <v>21063.478607186618</v>
      </c>
      <c r="L69" s="4256">
        <f t="shared" si="208"/>
        <v>19141.05</v>
      </c>
      <c r="M69" s="4256">
        <f t="shared" si="208"/>
        <v>18419.68</v>
      </c>
      <c r="N69" s="4154">
        <f t="shared" si="53"/>
        <v>-1922.428607186619</v>
      </c>
      <c r="O69" s="4154">
        <f t="shared" si="54"/>
        <v>-9.1268334306884533</v>
      </c>
      <c r="P69" s="4172">
        <f t="shared" ref="P69:X69" si="225">SUM(P55+P66)</f>
        <v>6845.7196710029457</v>
      </c>
      <c r="Q69" s="4172">
        <f t="shared" si="225"/>
        <v>6865.4800000000005</v>
      </c>
      <c r="R69" s="4172">
        <f t="shared" si="225"/>
        <v>6488.3</v>
      </c>
      <c r="S69" s="4172">
        <f t="shared" si="225"/>
        <v>6809.2667310467077</v>
      </c>
      <c r="T69" s="4172">
        <f t="shared" si="225"/>
        <v>6579.3200000000006</v>
      </c>
      <c r="U69" s="4172">
        <f t="shared" si="225"/>
        <v>6186.81</v>
      </c>
      <c r="V69" s="4172">
        <f t="shared" si="225"/>
        <v>7230.6356874556514</v>
      </c>
      <c r="W69" s="4172">
        <f>SUM(W55+W66)</f>
        <v>6776.66</v>
      </c>
      <c r="X69" s="4172">
        <f t="shared" si="225"/>
        <v>6806.6100000000006</v>
      </c>
      <c r="Y69" s="4256">
        <f t="shared" si="212"/>
        <v>20885.622089505305</v>
      </c>
      <c r="Z69" s="4256">
        <f t="shared" si="212"/>
        <v>20221.46</v>
      </c>
      <c r="AA69" s="4256">
        <f t="shared" si="212"/>
        <v>19481.72</v>
      </c>
      <c r="AB69" s="4154">
        <f t="shared" si="176"/>
        <v>-664.16208950530563</v>
      </c>
      <c r="AC69" s="4154">
        <f t="shared" ref="AC69" si="226">SUM(AB69/Y69*100)</f>
        <v>-3.1799966822105654</v>
      </c>
      <c r="AD69" s="4256">
        <f t="shared" si="213"/>
        <v>41949.100696691923</v>
      </c>
      <c r="AE69" s="4256">
        <f t="shared" si="213"/>
        <v>39362.509999999995</v>
      </c>
      <c r="AF69" s="4257">
        <f t="shared" si="213"/>
        <v>37901.4</v>
      </c>
      <c r="AG69" s="4154">
        <f t="shared" si="178"/>
        <v>-2586.5906966919283</v>
      </c>
      <c r="AH69" s="4154">
        <f t="shared" si="61"/>
        <v>-6.1660218067461576</v>
      </c>
      <c r="AI69" s="4172">
        <f t="shared" ref="AI69:AQ69" si="227">SUM(AI55+AI66)</f>
        <v>7121.9166884714614</v>
      </c>
      <c r="AJ69" s="4172">
        <f t="shared" si="227"/>
        <v>6301.0000000000009</v>
      </c>
      <c r="AK69" s="4172">
        <f t="shared" si="227"/>
        <v>6942.16</v>
      </c>
      <c r="AL69" s="4172">
        <f t="shared" si="227"/>
        <v>7142.1045009726586</v>
      </c>
      <c r="AM69" s="4172">
        <f t="shared" si="227"/>
        <v>7179.9299999999994</v>
      </c>
      <c r="AN69" s="4172">
        <f t="shared" si="227"/>
        <v>6371.2900000000009</v>
      </c>
      <c r="AO69" s="4172">
        <f t="shared" si="227"/>
        <v>7631.2834159331287</v>
      </c>
      <c r="AP69" s="4172">
        <f t="shared" si="227"/>
        <v>6585.5</v>
      </c>
      <c r="AQ69" s="4172">
        <f t="shared" si="227"/>
        <v>7328.0500000000011</v>
      </c>
      <c r="AR69" s="4256">
        <f t="shared" si="217"/>
        <v>21895.304605377249</v>
      </c>
      <c r="AS69" s="4256">
        <f t="shared" si="217"/>
        <v>20066.43</v>
      </c>
      <c r="AT69" s="4256">
        <f t="shared" si="217"/>
        <v>20641.5</v>
      </c>
      <c r="AU69" s="4154">
        <f t="shared" si="188"/>
        <v>-1828.8746053772484</v>
      </c>
      <c r="AV69" s="4154">
        <f t="shared" ref="AV69" si="228">SUM(AU69/AR69*100)</f>
        <v>-8.3528164523826565</v>
      </c>
      <c r="AW69" s="4256">
        <f t="shared" si="218"/>
        <v>63844.405302069172</v>
      </c>
      <c r="AX69" s="4256">
        <f t="shared" si="218"/>
        <v>59428.939999999995</v>
      </c>
      <c r="AY69" s="4256">
        <f t="shared" si="218"/>
        <v>58542.9</v>
      </c>
      <c r="AZ69" s="4154">
        <f t="shared" si="190"/>
        <v>-4415.4653020691767</v>
      </c>
      <c r="BA69" s="4154">
        <f t="shared" ref="BA69" si="229">SUM(AZ69/AW69*100)</f>
        <v>-6.9159784340979265</v>
      </c>
      <c r="BB69" s="4172">
        <f t="shared" ref="BB69:BJ69" si="230">SUM(BB55+BB66)</f>
        <v>7215.9231101838031</v>
      </c>
      <c r="BC69" s="4172">
        <f t="shared" si="230"/>
        <v>0</v>
      </c>
      <c r="BD69" s="4172">
        <f t="shared" si="230"/>
        <v>6291.5999999999995</v>
      </c>
      <c r="BE69" s="4172">
        <f t="shared" si="230"/>
        <v>7225.9360991479898</v>
      </c>
      <c r="BF69" s="4172">
        <f t="shared" si="230"/>
        <v>0</v>
      </c>
      <c r="BG69" s="4172">
        <f t="shared" si="230"/>
        <v>6499.4099999999989</v>
      </c>
      <c r="BH69" s="4172">
        <f t="shared" si="230"/>
        <v>7686.937706733399</v>
      </c>
      <c r="BI69" s="4172">
        <f t="shared" si="230"/>
        <v>0</v>
      </c>
      <c r="BJ69" s="4172">
        <f t="shared" si="230"/>
        <v>6654.1100000000006</v>
      </c>
      <c r="BK69" s="4256">
        <f t="shared" si="222"/>
        <v>22128.796916065192</v>
      </c>
      <c r="BL69" s="4256">
        <f t="shared" si="222"/>
        <v>0</v>
      </c>
      <c r="BM69" s="4256">
        <f t="shared" si="222"/>
        <v>19445.12</v>
      </c>
      <c r="BN69" s="4154">
        <f t="shared" si="200"/>
        <v>-22128.796916065192</v>
      </c>
      <c r="BO69" s="4154">
        <f t="shared" si="201"/>
        <v>-100</v>
      </c>
      <c r="BP69" s="4256">
        <f>SUM(AW69+BK69)+0.01</f>
        <v>85973.212218134358</v>
      </c>
      <c r="BQ69" s="4256">
        <f t="shared" si="223"/>
        <v>59428.939999999995</v>
      </c>
      <c r="BR69" s="4256">
        <f t="shared" si="223"/>
        <v>77988.02</v>
      </c>
      <c r="BS69" s="4154">
        <f t="shared" si="202"/>
        <v>-26544.272218134363</v>
      </c>
      <c r="BT69" s="4154">
        <f t="shared" si="203"/>
        <v>-30.875049952519245</v>
      </c>
    </row>
    <row r="70" spans="1:74" ht="18.75" customHeight="1">
      <c r="A70" s="4260"/>
      <c r="B70" s="4261"/>
      <c r="C70" s="4261"/>
      <c r="D70" s="4261"/>
      <c r="E70" s="4261"/>
      <c r="F70" s="4261"/>
      <c r="G70" s="4261"/>
      <c r="H70" s="4261"/>
      <c r="I70" s="4261"/>
      <c r="J70" s="4261"/>
      <c r="K70" s="4262"/>
      <c r="L70" s="4262"/>
      <c r="M70" s="4262"/>
      <c r="N70" s="4263"/>
      <c r="O70" s="4263"/>
      <c r="P70" s="4261"/>
      <c r="Q70" s="4261"/>
      <c r="R70" s="4261"/>
      <c r="S70" s="4261"/>
      <c r="T70" s="4261"/>
      <c r="U70" s="4261"/>
      <c r="V70" s="4261"/>
      <c r="W70" s="4261"/>
      <c r="X70" s="4261"/>
      <c r="Y70" s="4262"/>
      <c r="Z70" s="4262"/>
      <c r="AA70" s="4262"/>
      <c r="AB70" s="4263"/>
      <c r="AC70" s="4263"/>
      <c r="AD70" s="4262"/>
      <c r="AE70" s="4262"/>
      <c r="AF70" s="4262"/>
      <c r="AG70" s="4263"/>
      <c r="AH70" s="4263"/>
      <c r="AI70" s="4261"/>
      <c r="AJ70" s="4261"/>
      <c r="AK70" s="4261"/>
      <c r="AL70" s="4261"/>
      <c r="AM70" s="4261"/>
      <c r="AN70" s="4261"/>
      <c r="AO70" s="4261"/>
      <c r="AP70" s="4261"/>
      <c r="AQ70" s="4261"/>
      <c r="AR70" s="4262"/>
      <c r="AS70" s="4262"/>
      <c r="AT70" s="4262"/>
      <c r="AU70" s="4263"/>
      <c r="AV70" s="4263"/>
      <c r="AW70" s="4262"/>
      <c r="AX70" s="4262"/>
      <c r="AY70" s="4262"/>
      <c r="AZ70" s="4263"/>
      <c r="BA70" s="4263"/>
      <c r="BB70" s="4261"/>
      <c r="BC70" s="4261"/>
      <c r="BD70" s="4261"/>
      <c r="BE70" s="4261"/>
      <c r="BF70" s="4261"/>
      <c r="BG70" s="4261"/>
      <c r="BH70" s="4261"/>
      <c r="BI70" s="4261"/>
      <c r="BJ70" s="4261"/>
      <c r="BK70" s="4262"/>
      <c r="BL70" s="4262"/>
      <c r="BM70" s="4262"/>
      <c r="BN70" s="4263"/>
      <c r="BO70" s="4263"/>
      <c r="BP70" s="4262"/>
      <c r="BQ70" s="4262"/>
      <c r="BR70" s="4262"/>
      <c r="BS70" s="4263"/>
      <c r="BT70" s="4263"/>
      <c r="BU70" s="645"/>
      <c r="BV70" s="645"/>
    </row>
    <row r="71" spans="1:74" ht="18.75" customHeight="1">
      <c r="B71" s="4300"/>
      <c r="C71" s="697"/>
      <c r="D71" s="697"/>
      <c r="E71" s="697"/>
      <c r="F71" s="697"/>
      <c r="G71" s="697"/>
      <c r="H71" s="697"/>
      <c r="I71" s="697"/>
      <c r="J71" s="697"/>
      <c r="K71" s="697"/>
      <c r="L71" s="697"/>
      <c r="M71" s="697"/>
      <c r="N71" s="697"/>
      <c r="O71" s="697"/>
      <c r="P71" s="4264"/>
      <c r="Q71" s="4264"/>
      <c r="R71" s="4264"/>
      <c r="S71" s="4264"/>
      <c r="T71" s="4264"/>
      <c r="U71" s="4264"/>
      <c r="V71" s="4264"/>
      <c r="W71" s="4264"/>
      <c r="X71" s="4264"/>
      <c r="Y71" s="4264"/>
      <c r="Z71" s="4264"/>
      <c r="AA71" s="4264"/>
      <c r="AB71" s="4264"/>
      <c r="AC71" s="4264"/>
      <c r="AD71" s="4264"/>
      <c r="AE71" s="4264"/>
      <c r="AF71" s="4264"/>
      <c r="AG71" s="4264"/>
      <c r="AH71" s="4264"/>
      <c r="AI71" s="4264"/>
      <c r="AJ71" s="4264"/>
      <c r="AK71" s="4264"/>
      <c r="AL71" s="4264"/>
      <c r="AM71" s="4264"/>
      <c r="AN71" s="4264"/>
      <c r="AO71" s="4264"/>
      <c r="AP71" s="4264"/>
      <c r="AQ71" s="4264"/>
      <c r="AR71" s="4264"/>
      <c r="AS71" s="4264"/>
      <c r="AT71" s="4264"/>
      <c r="AU71" s="4264"/>
      <c r="AV71" s="4264"/>
      <c r="AW71" s="4264"/>
      <c r="AX71" s="4264"/>
      <c r="AY71" s="4264"/>
      <c r="AZ71" s="4264"/>
      <c r="BA71" s="4264"/>
      <c r="BB71" s="4264"/>
      <c r="BC71" s="4264"/>
      <c r="BD71" s="4264"/>
      <c r="BE71" s="4264"/>
      <c r="BF71" s="4264"/>
      <c r="BG71" s="4264"/>
      <c r="BH71" s="4264"/>
      <c r="BI71" s="4264"/>
      <c r="BJ71" s="4264"/>
      <c r="BK71" s="697"/>
      <c r="BL71" s="697"/>
      <c r="BM71" s="697"/>
      <c r="BN71" s="697"/>
      <c r="BO71" s="697"/>
      <c r="BP71" s="157"/>
      <c r="BQ71" s="157"/>
      <c r="BR71" s="157"/>
      <c r="BS71" s="157"/>
    </row>
    <row r="72" spans="1:74" ht="18.75" customHeight="1">
      <c r="A72" s="3988"/>
      <c r="B72" s="4300"/>
      <c r="C72" s="697"/>
      <c r="D72" s="697"/>
      <c r="E72" s="697"/>
      <c r="F72" s="697"/>
      <c r="G72" s="697"/>
      <c r="H72" s="697"/>
      <c r="I72" s="697"/>
      <c r="J72" s="697"/>
      <c r="K72" s="697"/>
      <c r="L72" s="697"/>
      <c r="M72" s="697"/>
      <c r="N72" s="697"/>
      <c r="O72" s="697"/>
      <c r="P72" s="4264"/>
      <c r="Q72" s="4264"/>
      <c r="R72" s="4264"/>
      <c r="S72" s="4264"/>
      <c r="T72" s="4264"/>
      <c r="U72" s="4264"/>
      <c r="V72" s="4264"/>
      <c r="W72" s="4264"/>
      <c r="X72" s="4264"/>
      <c r="Y72" s="4264"/>
      <c r="Z72" s="4264"/>
      <c r="AA72" s="4264"/>
      <c r="AB72" s="4264"/>
      <c r="AC72" s="4264"/>
      <c r="AD72" s="4264"/>
      <c r="AE72" s="4264"/>
      <c r="AF72" s="4264"/>
      <c r="AG72" s="4264"/>
      <c r="AH72" s="4264"/>
      <c r="AI72" s="4264"/>
      <c r="AJ72" s="4264"/>
      <c r="AK72" s="4264"/>
      <c r="AL72" s="4264"/>
      <c r="AM72" s="4264"/>
      <c r="AN72" s="4264"/>
      <c r="AO72" s="4264"/>
      <c r="AP72" s="4264"/>
      <c r="AQ72" s="4264"/>
      <c r="AR72" s="4264"/>
      <c r="AS72" s="4264"/>
      <c r="AT72" s="4264"/>
      <c r="AU72" s="4264"/>
      <c r="AV72" s="4264"/>
      <c r="AW72" s="4264"/>
      <c r="AX72" s="4264"/>
      <c r="AY72" s="4264"/>
      <c r="AZ72" s="4264"/>
      <c r="BA72" s="4264"/>
      <c r="BB72" s="4264"/>
      <c r="BC72" s="4264"/>
      <c r="BD72" s="4264"/>
      <c r="BE72" s="4264"/>
      <c r="BF72" s="4264"/>
      <c r="BG72" s="4264"/>
      <c r="BH72" s="4264"/>
      <c r="BI72" s="4264"/>
      <c r="BJ72" s="4264"/>
      <c r="BK72" s="697"/>
      <c r="BL72" s="697"/>
      <c r="BM72" s="697"/>
      <c r="BN72" s="697"/>
      <c r="BO72" s="697"/>
      <c r="BP72" s="157"/>
      <c r="BQ72" s="157"/>
      <c r="BR72" s="157"/>
      <c r="BS72" s="157"/>
    </row>
    <row r="73" spans="1:74" ht="18.75" customHeight="1">
      <c r="A73" s="3988"/>
      <c r="B73" s="4300"/>
      <c r="C73" s="697"/>
      <c r="D73" s="697"/>
      <c r="E73" s="697"/>
      <c r="F73" s="697"/>
      <c r="G73" s="697"/>
      <c r="H73" s="697"/>
      <c r="I73" s="697"/>
      <c r="J73" s="697"/>
      <c r="K73" s="697"/>
      <c r="L73" s="697"/>
      <c r="M73" s="697"/>
      <c r="N73" s="697"/>
      <c r="O73" s="697"/>
      <c r="P73" s="4264"/>
      <c r="Q73" s="4264"/>
      <c r="R73" s="4264"/>
      <c r="S73" s="4264"/>
      <c r="T73" s="4264"/>
      <c r="U73" s="4264"/>
      <c r="V73" s="4264"/>
      <c r="W73" s="4264"/>
      <c r="X73" s="4264"/>
      <c r="Y73" s="4264"/>
      <c r="Z73" s="4264"/>
      <c r="AA73" s="4264"/>
      <c r="AB73" s="4264"/>
      <c r="AC73" s="4264"/>
      <c r="AD73" s="4264"/>
      <c r="AE73" s="4264"/>
      <c r="AF73" s="4264"/>
      <c r="AG73" s="4264"/>
      <c r="AH73" s="4264"/>
      <c r="AI73" s="4264"/>
      <c r="AJ73" s="4264"/>
      <c r="AK73" s="4264"/>
      <c r="AL73" s="4264"/>
      <c r="AM73" s="4264"/>
      <c r="AN73" s="4264"/>
      <c r="AO73" s="4264"/>
      <c r="AP73" s="4264"/>
      <c r="AQ73" s="4264"/>
      <c r="AR73" s="4264"/>
      <c r="AS73" s="4264"/>
      <c r="AT73" s="4264"/>
      <c r="AU73" s="4264"/>
      <c r="AV73" s="4264"/>
      <c r="AW73" s="4264"/>
      <c r="AX73" s="4264"/>
      <c r="AY73" s="4264"/>
      <c r="AZ73" s="4264"/>
      <c r="BA73" s="4264"/>
      <c r="BB73" s="4264"/>
      <c r="BC73" s="4264"/>
      <c r="BD73" s="4264"/>
      <c r="BE73" s="4264"/>
      <c r="BF73" s="4264"/>
      <c r="BG73" s="4264"/>
      <c r="BH73" s="4264"/>
      <c r="BI73" s="4264"/>
      <c r="BJ73" s="4264"/>
      <c r="BK73" s="697"/>
      <c r="BL73" s="697"/>
      <c r="BM73" s="697"/>
      <c r="BN73" s="697"/>
      <c r="BO73" s="697"/>
      <c r="BP73" s="157"/>
      <c r="BQ73" s="157"/>
      <c r="BR73" s="157"/>
      <c r="BS73" s="157"/>
    </row>
    <row r="74" spans="1:74" ht="18.75" customHeight="1">
      <c r="A74" s="3988"/>
      <c r="B74" s="4300"/>
      <c r="C74" s="697"/>
      <c r="D74" s="697"/>
      <c r="E74" s="697"/>
      <c r="F74" s="697"/>
      <c r="G74" s="697"/>
      <c r="H74" s="697"/>
      <c r="I74" s="697"/>
      <c r="J74" s="697"/>
      <c r="K74" s="697"/>
      <c r="L74" s="697"/>
      <c r="M74" s="697"/>
      <c r="N74" s="697"/>
      <c r="O74" s="697"/>
      <c r="P74" s="4264"/>
      <c r="Q74" s="4264"/>
      <c r="R74" s="4264"/>
      <c r="S74" s="4264"/>
      <c r="T74" s="4264"/>
      <c r="U74" s="4264"/>
      <c r="V74" s="4264"/>
      <c r="W74" s="4264"/>
      <c r="X74" s="4264"/>
      <c r="Y74" s="4264"/>
      <c r="Z74" s="4264"/>
      <c r="AA74" s="4264"/>
      <c r="AB74" s="4264"/>
      <c r="AC74" s="4264"/>
      <c r="AD74" s="4264"/>
      <c r="AE74" s="4264"/>
      <c r="AF74" s="4264"/>
      <c r="AG74" s="4264"/>
      <c r="AH74" s="4264"/>
      <c r="AI74" s="4264"/>
      <c r="AJ74" s="4264"/>
      <c r="AK74" s="4264"/>
      <c r="AL74" s="4264"/>
      <c r="AM74" s="4264"/>
      <c r="AN74" s="4264" t="s">
        <v>1410</v>
      </c>
      <c r="AO74" s="4264"/>
      <c r="AP74" s="4264"/>
      <c r="AQ74" s="4264"/>
      <c r="AR74" s="4264"/>
      <c r="AS74" s="4264"/>
      <c r="AT74" s="4264"/>
      <c r="AU74" s="4264"/>
      <c r="AV74" s="4264"/>
      <c r="AW74" s="4264"/>
      <c r="AX74" s="4264"/>
      <c r="AY74" s="4264"/>
      <c r="AZ74" s="4264"/>
      <c r="BA74" s="4264"/>
      <c r="BB74" s="4264"/>
      <c r="BC74" s="4264"/>
      <c r="BD74" s="4264"/>
      <c r="BE74" s="4264"/>
      <c r="BF74" s="4264"/>
      <c r="BG74" s="4264"/>
      <c r="BH74" s="4264"/>
      <c r="BI74" s="4264"/>
      <c r="BJ74" s="4264"/>
      <c r="BK74" s="697"/>
      <c r="BL74" s="697"/>
      <c r="BM74" s="697"/>
      <c r="BN74" s="697"/>
      <c r="BO74" s="697"/>
      <c r="BP74" s="157"/>
      <c r="BQ74" s="157"/>
      <c r="BR74" s="157"/>
      <c r="BS74" s="157"/>
    </row>
    <row r="75" spans="1:74" ht="18.75" customHeight="1">
      <c r="B75" s="4300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4264"/>
      <c r="Q75" s="4264"/>
      <c r="R75" s="4264"/>
      <c r="S75" s="4264"/>
      <c r="T75" s="4264"/>
      <c r="U75" s="4264"/>
      <c r="V75" s="4264"/>
      <c r="W75" s="4264"/>
      <c r="X75" s="4264"/>
      <c r="Y75" s="4264"/>
      <c r="Z75" s="4264"/>
      <c r="AA75" s="4264"/>
      <c r="AB75" s="4264"/>
      <c r="AC75" s="4264"/>
      <c r="AD75" s="4264"/>
      <c r="AE75" s="4264"/>
      <c r="AF75" s="4264"/>
      <c r="AG75" s="4264"/>
      <c r="AH75" s="4264"/>
      <c r="AI75" s="4264"/>
      <c r="AJ75" s="4264"/>
      <c r="AK75" s="4264"/>
      <c r="AL75" s="4264"/>
      <c r="AM75" s="4264"/>
      <c r="AN75" s="4264"/>
      <c r="AO75" s="4264"/>
      <c r="AP75" s="4264"/>
      <c r="AQ75" s="4264"/>
      <c r="AR75" s="4264"/>
      <c r="AS75" s="4264"/>
      <c r="AT75" s="4264"/>
      <c r="AU75" s="4264"/>
      <c r="AV75" s="4264"/>
      <c r="AW75" s="4264"/>
      <c r="AX75" s="4264"/>
      <c r="AY75" s="4264"/>
      <c r="AZ75" s="4264"/>
      <c r="BA75" s="4264"/>
      <c r="BB75" s="4264"/>
      <c r="BC75" s="4264"/>
      <c r="BD75" s="4264"/>
      <c r="BE75" s="4264"/>
      <c r="BF75" s="4264"/>
      <c r="BG75" s="4264"/>
      <c r="BH75" s="4264"/>
      <c r="BI75" s="4264"/>
      <c r="BJ75" s="4264"/>
      <c r="BK75" s="697"/>
      <c r="BL75" s="697"/>
      <c r="BM75" s="697"/>
      <c r="BN75" s="697"/>
      <c r="BO75" s="697"/>
      <c r="BP75" s="157"/>
      <c r="BQ75" s="157"/>
      <c r="BR75" s="157"/>
      <c r="BS75" s="157"/>
    </row>
    <row r="76" spans="1:74" ht="18.75" customHeight="1">
      <c r="B76" s="4300"/>
      <c r="C76" s="697"/>
      <c r="D76" s="697"/>
      <c r="E76" s="697"/>
      <c r="F76" s="697"/>
      <c r="G76" s="697"/>
      <c r="H76" s="697"/>
      <c r="I76" s="697"/>
      <c r="J76" s="697"/>
      <c r="K76" s="697"/>
      <c r="L76" s="697"/>
      <c r="M76" s="697"/>
      <c r="N76" s="697"/>
      <c r="O76" s="697"/>
      <c r="P76" s="4264"/>
      <c r="Q76" s="4264"/>
      <c r="R76" s="4264"/>
      <c r="S76" s="4264"/>
      <c r="T76" s="4264"/>
      <c r="U76" s="4264"/>
      <c r="V76" s="4264"/>
      <c r="W76" s="4264"/>
      <c r="X76" s="4264"/>
      <c r="Y76" s="4264"/>
      <c r="Z76" s="4264"/>
      <c r="AA76" s="4264"/>
      <c r="AB76" s="4264"/>
      <c r="AC76" s="4264"/>
      <c r="AD76" s="4264"/>
      <c r="AE76" s="4264"/>
      <c r="AF76" s="4264"/>
      <c r="AG76" s="4264"/>
      <c r="AH76" s="4264"/>
      <c r="AI76" s="4264"/>
      <c r="AJ76" s="4264"/>
      <c r="AK76" s="4264"/>
      <c r="AL76" s="4264"/>
      <c r="AM76" s="4264"/>
      <c r="AN76" s="4264"/>
      <c r="AO76" s="4264"/>
      <c r="AP76" s="4264"/>
      <c r="AQ76" s="4264"/>
      <c r="AR76" s="4264"/>
      <c r="AS76" s="4264"/>
      <c r="AT76" s="4264"/>
      <c r="AU76" s="4264"/>
      <c r="AV76" s="4264"/>
      <c r="AW76" s="4264"/>
      <c r="AX76" s="4264"/>
      <c r="AY76" s="4264"/>
      <c r="AZ76" s="4264"/>
      <c r="BA76" s="4264"/>
      <c r="BB76" s="4264"/>
      <c r="BC76" s="4264"/>
      <c r="BD76" s="4264"/>
      <c r="BE76" s="4264"/>
      <c r="BF76" s="4264"/>
      <c r="BG76" s="4264"/>
      <c r="BH76" s="4264"/>
      <c r="BI76" s="4264"/>
      <c r="BJ76" s="4264"/>
      <c r="BK76" s="697"/>
      <c r="BL76" s="697"/>
      <c r="BM76" s="697"/>
      <c r="BN76" s="697"/>
      <c r="BO76" s="697"/>
      <c r="BP76" s="157"/>
      <c r="BQ76" s="157"/>
      <c r="BR76" s="157"/>
      <c r="BS76" s="157"/>
    </row>
    <row r="77" spans="1:74" ht="18.75" customHeight="1">
      <c r="B77" s="4300"/>
      <c r="C77" s="697"/>
      <c r="D77" s="697"/>
      <c r="E77" s="697"/>
      <c r="F77" s="697"/>
      <c r="G77" s="697"/>
      <c r="H77" s="697"/>
      <c r="I77" s="697"/>
      <c r="J77" s="697"/>
      <c r="K77" s="697"/>
      <c r="L77" s="697"/>
      <c r="M77" s="697"/>
      <c r="N77" s="697"/>
      <c r="O77" s="697"/>
      <c r="P77" s="4264"/>
      <c r="Q77" s="4264"/>
      <c r="R77" s="4264"/>
      <c r="S77" s="4264"/>
      <c r="T77" s="4264"/>
      <c r="U77" s="4264"/>
      <c r="V77" s="4264"/>
      <c r="W77" s="4264"/>
      <c r="X77" s="4264"/>
      <c r="Y77" s="4264"/>
      <c r="Z77" s="4264"/>
      <c r="AA77" s="4264"/>
      <c r="AB77" s="4264"/>
      <c r="AC77" s="4264"/>
      <c r="AD77" s="4264"/>
      <c r="AE77" s="4264"/>
      <c r="AF77" s="4264"/>
      <c r="AG77" s="4264"/>
      <c r="AH77" s="4264"/>
      <c r="AI77" s="4264"/>
      <c r="AJ77" s="4264"/>
      <c r="AK77" s="4264"/>
      <c r="AL77" s="4264"/>
      <c r="AM77" s="4264"/>
      <c r="AN77" s="4264"/>
      <c r="AO77" s="4264"/>
      <c r="AP77" s="4264"/>
      <c r="AQ77" s="4264"/>
      <c r="AR77" s="4264"/>
      <c r="AS77" s="4264"/>
      <c r="AT77" s="4264"/>
      <c r="AU77" s="4264"/>
      <c r="AV77" s="4264"/>
      <c r="AW77" s="4264"/>
      <c r="AX77" s="4264"/>
      <c r="AY77" s="4264"/>
      <c r="AZ77" s="4264"/>
      <c r="BA77" s="4264"/>
      <c r="BB77" s="4264"/>
      <c r="BC77" s="4264"/>
      <c r="BD77" s="4264"/>
      <c r="BE77" s="4264"/>
      <c r="BF77" s="4264"/>
      <c r="BG77" s="4264"/>
      <c r="BH77" s="4264"/>
      <c r="BI77" s="4264"/>
      <c r="BJ77" s="4264"/>
      <c r="BK77" s="697"/>
      <c r="BL77" s="697"/>
      <c r="BM77" s="697"/>
      <c r="BN77" s="697"/>
      <c r="BO77" s="697"/>
      <c r="BP77" s="157"/>
      <c r="BQ77" s="157"/>
      <c r="BR77" s="157"/>
      <c r="BS77" s="157"/>
    </row>
    <row r="78" spans="1:74" ht="18.75" customHeight="1">
      <c r="B78" s="4300"/>
      <c r="C78" s="697"/>
      <c r="D78" s="697"/>
      <c r="E78" s="697"/>
      <c r="F78" s="697"/>
      <c r="G78" s="697"/>
      <c r="H78" s="697"/>
      <c r="I78" s="697"/>
      <c r="J78" s="697"/>
      <c r="K78" s="697"/>
      <c r="L78" s="697"/>
      <c r="M78" s="697"/>
      <c r="N78" s="697"/>
      <c r="O78" s="697"/>
      <c r="P78" s="4264"/>
      <c r="Q78" s="4264"/>
      <c r="R78" s="4264"/>
      <c r="S78" s="4264"/>
      <c r="T78" s="4264"/>
      <c r="U78" s="4264"/>
      <c r="V78" s="4264"/>
      <c r="W78" s="4264"/>
      <c r="X78" s="4264"/>
      <c r="Y78" s="4264"/>
      <c r="Z78" s="4264"/>
      <c r="AA78" s="4264"/>
      <c r="AB78" s="4264"/>
      <c r="AC78" s="4264"/>
      <c r="AD78" s="4264"/>
      <c r="AE78" s="4264"/>
      <c r="AF78" s="4264"/>
      <c r="AG78" s="4264"/>
      <c r="AH78" s="4264"/>
      <c r="AI78" s="4264"/>
      <c r="AJ78" s="4264"/>
      <c r="AK78" s="4264"/>
      <c r="AL78" s="4264"/>
      <c r="AM78" s="4264"/>
      <c r="AN78" s="4264"/>
      <c r="AO78" s="4264"/>
      <c r="AP78" s="4264"/>
      <c r="AQ78" s="4264"/>
      <c r="AR78" s="4264"/>
      <c r="AS78" s="4264"/>
      <c r="AT78" s="4264"/>
      <c r="AU78" s="4264"/>
      <c r="AV78" s="4264"/>
      <c r="AW78" s="4264"/>
      <c r="AX78" s="4264"/>
      <c r="AY78" s="4264"/>
      <c r="AZ78" s="4264"/>
      <c r="BA78" s="4264"/>
      <c r="BB78" s="4264"/>
      <c r="BC78" s="4264"/>
      <c r="BD78" s="4264"/>
      <c r="BE78" s="4264"/>
      <c r="BF78" s="4264"/>
      <c r="BG78" s="4264"/>
      <c r="BH78" s="4264"/>
      <c r="BI78" s="4264"/>
      <c r="BJ78" s="4264"/>
      <c r="BK78" s="697"/>
      <c r="BL78" s="697"/>
      <c r="BM78" s="697"/>
      <c r="BN78" s="697"/>
      <c r="BO78" s="697"/>
      <c r="BP78" s="157"/>
      <c r="BQ78" s="157"/>
      <c r="BR78" s="157"/>
      <c r="BS78" s="157"/>
    </row>
    <row r="79" spans="1:74" ht="18.75" customHeight="1">
      <c r="B79" s="4300"/>
      <c r="C79" s="697"/>
      <c r="D79" s="697"/>
      <c r="E79" s="697"/>
      <c r="F79" s="697"/>
      <c r="G79" s="697"/>
      <c r="H79" s="697"/>
      <c r="I79" s="697"/>
      <c r="J79" s="697"/>
      <c r="K79" s="697"/>
      <c r="L79" s="697"/>
      <c r="M79" s="697"/>
      <c r="N79" s="697"/>
      <c r="O79" s="697"/>
      <c r="P79" s="4264"/>
      <c r="Q79" s="4264"/>
      <c r="R79" s="4264"/>
      <c r="S79" s="4264"/>
      <c r="T79" s="4264"/>
      <c r="U79" s="4264"/>
      <c r="V79" s="4264"/>
      <c r="W79" s="4264"/>
      <c r="X79" s="4264"/>
      <c r="Y79" s="4264"/>
      <c r="Z79" s="4264"/>
      <c r="AA79" s="4264"/>
      <c r="AB79" s="4264"/>
      <c r="AC79" s="4264"/>
      <c r="AD79" s="4264"/>
      <c r="AE79" s="4264"/>
      <c r="AF79" s="4264"/>
      <c r="AG79" s="4264"/>
      <c r="AH79" s="4264"/>
      <c r="AI79" s="4264"/>
      <c r="AJ79" s="4264"/>
      <c r="AK79" s="4264"/>
      <c r="AL79" s="4264"/>
      <c r="AM79" s="4264"/>
      <c r="AN79" s="4264"/>
      <c r="AO79" s="4264"/>
      <c r="AP79" s="4264"/>
      <c r="AQ79" s="4264"/>
      <c r="AR79" s="4264"/>
      <c r="AS79" s="4264"/>
      <c r="AT79" s="4264"/>
      <c r="AU79" s="4264"/>
      <c r="AV79" s="4264"/>
      <c r="AW79" s="4264"/>
      <c r="AX79" s="4264"/>
      <c r="AY79" s="4264"/>
      <c r="AZ79" s="4264"/>
      <c r="BA79" s="4264"/>
      <c r="BB79" s="4264"/>
      <c r="BC79" s="4264"/>
      <c r="BD79" s="4264"/>
      <c r="BE79" s="4264"/>
      <c r="BF79" s="4264"/>
      <c r="BG79" s="4264"/>
      <c r="BH79" s="4264"/>
      <c r="BI79" s="4264"/>
      <c r="BJ79" s="4264"/>
      <c r="BK79" s="697"/>
      <c r="BL79" s="697"/>
      <c r="BM79" s="697"/>
      <c r="BN79" s="697"/>
      <c r="BO79" s="697"/>
      <c r="BP79" s="157"/>
      <c r="BQ79" s="157"/>
      <c r="BR79" s="157"/>
      <c r="BS79" s="157"/>
    </row>
    <row r="80" spans="1:74" ht="18.75" customHeight="1">
      <c r="B80" s="4300"/>
      <c r="C80" s="697"/>
      <c r="D80" s="697"/>
      <c r="E80" s="697"/>
      <c r="F80" s="697"/>
      <c r="G80" s="697"/>
      <c r="H80" s="697"/>
      <c r="I80" s="697"/>
      <c r="J80" s="697"/>
      <c r="K80" s="697"/>
      <c r="L80" s="697"/>
      <c r="M80" s="697"/>
      <c r="N80" s="697"/>
      <c r="O80" s="697"/>
      <c r="P80" s="4264"/>
      <c r="Q80" s="4264"/>
      <c r="R80" s="4264"/>
      <c r="S80" s="4264"/>
      <c r="T80" s="4264"/>
      <c r="U80" s="4264"/>
      <c r="V80" s="4264"/>
      <c r="W80" s="4264"/>
      <c r="X80" s="4264"/>
      <c r="Y80" s="4264"/>
      <c r="Z80" s="4264"/>
      <c r="AA80" s="4264"/>
      <c r="AB80" s="4264"/>
      <c r="AC80" s="4264"/>
      <c r="AD80" s="4264"/>
      <c r="AE80" s="4264"/>
      <c r="AF80" s="4264"/>
      <c r="AG80" s="4264"/>
      <c r="AH80" s="4264"/>
      <c r="AI80" s="4264"/>
      <c r="AJ80" s="4264"/>
      <c r="AK80" s="4264"/>
      <c r="AL80" s="4264"/>
      <c r="AM80" s="4264"/>
      <c r="AN80" s="4264"/>
      <c r="AO80" s="4264"/>
      <c r="AP80" s="4264"/>
      <c r="AQ80" s="4264"/>
      <c r="AR80" s="4264"/>
      <c r="AS80" s="4264"/>
      <c r="AT80" s="4264"/>
      <c r="AU80" s="4264"/>
      <c r="AV80" s="4264"/>
      <c r="AW80" s="4264"/>
      <c r="AX80" s="4264"/>
      <c r="AY80" s="4264"/>
      <c r="AZ80" s="4264"/>
      <c r="BA80" s="4264"/>
      <c r="BB80" s="4264"/>
      <c r="BC80" s="4264"/>
      <c r="BD80" s="4264"/>
      <c r="BE80" s="4264"/>
      <c r="BF80" s="4264"/>
      <c r="BG80" s="4264"/>
      <c r="BH80" s="4264"/>
      <c r="BI80" s="4264"/>
      <c r="BJ80" s="4264"/>
      <c r="BK80" s="697"/>
      <c r="BL80" s="697"/>
      <c r="BM80" s="697"/>
      <c r="BN80" s="697"/>
      <c r="BO80" s="697"/>
      <c r="BP80" s="157"/>
      <c r="BQ80" s="157"/>
      <c r="BR80" s="157"/>
      <c r="BS80" s="157"/>
    </row>
    <row r="81" spans="2:71" ht="18.75" customHeight="1">
      <c r="B81" s="4300"/>
      <c r="C81" s="697"/>
      <c r="D81" s="697"/>
      <c r="E81" s="697"/>
      <c r="F81" s="697"/>
      <c r="G81" s="697"/>
      <c r="H81" s="697"/>
      <c r="I81" s="697"/>
      <c r="J81" s="697"/>
      <c r="K81" s="697"/>
      <c r="L81" s="697"/>
      <c r="M81" s="697"/>
      <c r="N81" s="697"/>
      <c r="O81" s="697"/>
      <c r="P81" s="4264"/>
      <c r="Q81" s="4264"/>
      <c r="R81" s="4264"/>
      <c r="S81" s="4264"/>
      <c r="T81" s="4264"/>
      <c r="U81" s="4264"/>
      <c r="V81" s="4264"/>
      <c r="W81" s="4264"/>
      <c r="X81" s="4264"/>
      <c r="Y81" s="4264"/>
      <c r="Z81" s="4264"/>
      <c r="AA81" s="4264"/>
      <c r="AB81" s="4264"/>
      <c r="AC81" s="4264"/>
      <c r="AD81" s="4264"/>
      <c r="AE81" s="4264"/>
      <c r="AF81" s="4264"/>
      <c r="AG81" s="4264"/>
      <c r="AH81" s="4264"/>
      <c r="AI81" s="4264"/>
      <c r="AJ81" s="4264"/>
      <c r="AK81" s="4264"/>
      <c r="AL81" s="4264"/>
      <c r="AM81" s="4264"/>
      <c r="AN81" s="4264"/>
      <c r="AO81" s="4264"/>
      <c r="AP81" s="4264"/>
      <c r="AQ81" s="4264"/>
      <c r="AR81" s="4264"/>
      <c r="AS81" s="4264"/>
      <c r="AT81" s="4264"/>
      <c r="AU81" s="4264"/>
      <c r="AV81" s="4264"/>
      <c r="AW81" s="4264"/>
      <c r="AX81" s="4264"/>
      <c r="AY81" s="4264"/>
      <c r="AZ81" s="4264"/>
      <c r="BA81" s="4264"/>
      <c r="BB81" s="4264"/>
      <c r="BC81" s="4264"/>
      <c r="BD81" s="4264"/>
      <c r="BE81" s="4264"/>
      <c r="BF81" s="4264"/>
      <c r="BG81" s="4264"/>
      <c r="BH81" s="4264"/>
      <c r="BI81" s="4264"/>
      <c r="BJ81" s="4264"/>
      <c r="BK81" s="697"/>
      <c r="BL81" s="697"/>
      <c r="BM81" s="697"/>
      <c r="BN81" s="697"/>
      <c r="BO81" s="697"/>
      <c r="BP81" s="157"/>
      <c r="BQ81" s="157"/>
      <c r="BR81" s="157"/>
      <c r="BS81" s="157"/>
    </row>
    <row r="82" spans="2:71" ht="18.75" customHeight="1">
      <c r="B82" s="4300"/>
      <c r="C82" s="697"/>
      <c r="D82" s="697"/>
      <c r="E82" s="697"/>
      <c r="F82" s="697"/>
      <c r="G82" s="697"/>
      <c r="H82" s="697"/>
      <c r="I82" s="697"/>
      <c r="J82" s="697"/>
      <c r="K82" s="697"/>
      <c r="L82" s="697"/>
      <c r="M82" s="697"/>
      <c r="N82" s="697"/>
      <c r="O82" s="697"/>
      <c r="P82" s="4264"/>
      <c r="Q82" s="4264"/>
      <c r="R82" s="4264"/>
      <c r="S82" s="4264"/>
      <c r="T82" s="4264"/>
      <c r="U82" s="4264"/>
      <c r="V82" s="4264"/>
      <c r="W82" s="4264"/>
      <c r="X82" s="4264"/>
      <c r="Y82" s="4264"/>
      <c r="Z82" s="4264"/>
      <c r="AA82" s="4264"/>
      <c r="AB82" s="4264"/>
      <c r="AC82" s="4264"/>
      <c r="AD82" s="4264"/>
      <c r="AE82" s="4264"/>
      <c r="AF82" s="4264"/>
      <c r="AG82" s="4264"/>
      <c r="AH82" s="4264"/>
      <c r="AI82" s="4264"/>
      <c r="AJ82" s="4264"/>
      <c r="AK82" s="4264"/>
      <c r="AL82" s="4264"/>
      <c r="AM82" s="4264"/>
      <c r="AN82" s="4264"/>
      <c r="AO82" s="4264"/>
      <c r="AP82" s="4264"/>
      <c r="AQ82" s="4264"/>
      <c r="AR82" s="4264"/>
      <c r="AS82" s="4264"/>
      <c r="AT82" s="4264"/>
      <c r="AU82" s="4264"/>
      <c r="AV82" s="4264"/>
      <c r="AW82" s="4264"/>
      <c r="AX82" s="4264"/>
      <c r="AY82" s="4264"/>
      <c r="AZ82" s="4264"/>
      <c r="BA82" s="4264"/>
      <c r="BB82" s="4264"/>
      <c r="BC82" s="4264"/>
      <c r="BD82" s="4264"/>
      <c r="BE82" s="4264"/>
      <c r="BF82" s="4264"/>
      <c r="BG82" s="4264"/>
      <c r="BH82" s="4264"/>
      <c r="BI82" s="4264"/>
      <c r="BJ82" s="4264"/>
      <c r="BK82" s="697"/>
      <c r="BL82" s="697"/>
      <c r="BM82" s="697"/>
      <c r="BN82" s="697"/>
      <c r="BO82" s="697"/>
      <c r="BP82" s="157"/>
      <c r="BQ82" s="157"/>
      <c r="BR82" s="157"/>
      <c r="BS82" s="157"/>
    </row>
    <row r="83" spans="2:71" ht="18.75" customHeight="1">
      <c r="B83" s="4300"/>
      <c r="C83" s="697"/>
      <c r="D83" s="697"/>
      <c r="E83" s="697"/>
      <c r="F83" s="697"/>
      <c r="G83" s="697"/>
      <c r="H83" s="697"/>
      <c r="I83" s="697"/>
      <c r="J83" s="697"/>
      <c r="K83" s="697"/>
      <c r="L83" s="697"/>
      <c r="M83" s="697"/>
      <c r="N83" s="697"/>
      <c r="O83" s="697"/>
      <c r="P83" s="4264"/>
      <c r="Q83" s="4264"/>
      <c r="R83" s="4264"/>
      <c r="S83" s="4264"/>
      <c r="T83" s="4264"/>
      <c r="U83" s="4264"/>
      <c r="V83" s="4264"/>
      <c r="W83" s="4264"/>
      <c r="X83" s="4264"/>
      <c r="Y83" s="4264"/>
      <c r="Z83" s="4264"/>
      <c r="AA83" s="4264"/>
      <c r="AB83" s="4264"/>
      <c r="AC83" s="4264"/>
      <c r="AD83" s="4264"/>
      <c r="AE83" s="4264"/>
      <c r="AF83" s="4264"/>
      <c r="AG83" s="4264"/>
      <c r="AH83" s="4264"/>
      <c r="AI83" s="4264"/>
      <c r="AJ83" s="4264"/>
      <c r="AK83" s="4264"/>
      <c r="AL83" s="4264"/>
      <c r="AM83" s="4264"/>
      <c r="AN83" s="4264"/>
      <c r="AO83" s="4264"/>
      <c r="AP83" s="4264"/>
      <c r="AQ83" s="4264"/>
      <c r="AR83" s="4264"/>
      <c r="AS83" s="4264"/>
      <c r="AT83" s="4264"/>
      <c r="AU83" s="4264"/>
      <c r="AV83" s="4264"/>
      <c r="AW83" s="4264"/>
      <c r="AX83" s="4264"/>
      <c r="AY83" s="4264"/>
      <c r="AZ83" s="4264"/>
      <c r="BA83" s="4264"/>
      <c r="BB83" s="4264"/>
      <c r="BC83" s="4264"/>
      <c r="BD83" s="4264"/>
      <c r="BE83" s="4264"/>
      <c r="BF83" s="4264"/>
      <c r="BG83" s="4264"/>
      <c r="BH83" s="4264"/>
      <c r="BI83" s="4264"/>
      <c r="BJ83" s="4264"/>
      <c r="BK83" s="697"/>
      <c r="BL83" s="697"/>
      <c r="BM83" s="697"/>
      <c r="BN83" s="697"/>
      <c r="BO83" s="697"/>
      <c r="BP83" s="157"/>
      <c r="BQ83" s="157"/>
      <c r="BR83" s="157"/>
      <c r="BS83" s="157"/>
    </row>
    <row r="84" spans="2:71" ht="18.75" customHeight="1">
      <c r="B84" s="4300"/>
      <c r="C84" s="697"/>
      <c r="D84" s="697"/>
      <c r="E84" s="697"/>
      <c r="F84" s="697"/>
      <c r="G84" s="697"/>
      <c r="H84" s="697"/>
      <c r="I84" s="697"/>
      <c r="J84" s="697"/>
      <c r="K84" s="697"/>
      <c r="L84" s="697"/>
      <c r="M84" s="697"/>
      <c r="N84" s="697"/>
      <c r="O84" s="697"/>
      <c r="P84" s="4264"/>
      <c r="Q84" s="4264"/>
      <c r="R84" s="4264"/>
      <c r="S84" s="4264"/>
      <c r="T84" s="4264"/>
      <c r="U84" s="4264"/>
      <c r="V84" s="4264"/>
      <c r="W84" s="4264"/>
      <c r="X84" s="4264"/>
      <c r="Y84" s="4264"/>
      <c r="Z84" s="4264"/>
      <c r="AA84" s="4264"/>
      <c r="AB84" s="4264"/>
      <c r="AC84" s="4264"/>
      <c r="AD84" s="4264"/>
      <c r="AE84" s="4264"/>
      <c r="AF84" s="4264"/>
      <c r="AG84" s="4264"/>
      <c r="AH84" s="4264"/>
      <c r="AI84" s="4264"/>
      <c r="AJ84" s="4264"/>
      <c r="AK84" s="4264"/>
      <c r="AL84" s="4264"/>
      <c r="AM84" s="4264"/>
      <c r="AN84" s="4264"/>
      <c r="AO84" s="4264"/>
      <c r="AP84" s="4264"/>
      <c r="AQ84" s="4264"/>
      <c r="AR84" s="4264"/>
      <c r="AS84" s="4264"/>
      <c r="AT84" s="4264"/>
      <c r="AU84" s="4264"/>
      <c r="AV84" s="4264"/>
      <c r="AW84" s="4264"/>
      <c r="AX84" s="4264"/>
      <c r="AY84" s="4264"/>
      <c r="AZ84" s="4264"/>
      <c r="BA84" s="4264"/>
      <c r="BB84" s="4264"/>
      <c r="BC84" s="4264"/>
      <c r="BD84" s="4264"/>
      <c r="BE84" s="4264"/>
      <c r="BF84" s="4264"/>
      <c r="BG84" s="4264"/>
      <c r="BH84" s="4264"/>
      <c r="BI84" s="4264"/>
      <c r="BJ84" s="4264"/>
      <c r="BK84" s="697"/>
      <c r="BL84" s="697"/>
      <c r="BM84" s="697"/>
      <c r="BN84" s="697"/>
      <c r="BO84" s="697"/>
      <c r="BP84" s="157"/>
      <c r="BQ84" s="157"/>
      <c r="BR84" s="157"/>
      <c r="BS84" s="157"/>
    </row>
    <row r="85" spans="2:71" ht="18.75" customHeight="1">
      <c r="B85" s="4300"/>
      <c r="C85" s="697"/>
      <c r="D85" s="697"/>
      <c r="E85" s="697"/>
      <c r="F85" s="697"/>
      <c r="G85" s="697"/>
      <c r="H85" s="697"/>
      <c r="I85" s="697"/>
      <c r="J85" s="697"/>
      <c r="K85" s="697"/>
      <c r="L85" s="697"/>
      <c r="M85" s="697"/>
      <c r="N85" s="697"/>
      <c r="O85" s="697"/>
      <c r="P85" s="4264"/>
      <c r="Q85" s="4264"/>
      <c r="R85" s="4264"/>
      <c r="S85" s="4264"/>
      <c r="T85" s="4264"/>
      <c r="U85" s="4264"/>
      <c r="V85" s="4264"/>
      <c r="W85" s="4264"/>
      <c r="X85" s="4264"/>
      <c r="Y85" s="4264"/>
      <c r="Z85" s="4264"/>
      <c r="AA85" s="4264"/>
      <c r="AB85" s="4264"/>
      <c r="AC85" s="4264"/>
      <c r="AD85" s="4264"/>
      <c r="AE85" s="4264"/>
      <c r="AF85" s="4264"/>
      <c r="AG85" s="4264"/>
      <c r="AH85" s="4264"/>
      <c r="AI85" s="4264"/>
      <c r="AJ85" s="4264"/>
      <c r="AK85" s="4264"/>
      <c r="AL85" s="4264"/>
      <c r="AM85" s="4264"/>
      <c r="AN85" s="4264"/>
      <c r="AO85" s="4264"/>
      <c r="AP85" s="4264"/>
      <c r="AQ85" s="4264"/>
      <c r="AR85" s="4264"/>
      <c r="AS85" s="4264"/>
      <c r="AT85" s="4264"/>
      <c r="AU85" s="4264"/>
      <c r="AV85" s="4264"/>
      <c r="AW85" s="4264"/>
      <c r="AX85" s="4264"/>
      <c r="AY85" s="4264"/>
      <c r="AZ85" s="4264"/>
      <c r="BA85" s="4264"/>
      <c r="BB85" s="4264"/>
      <c r="BC85" s="4264"/>
      <c r="BD85" s="4264"/>
      <c r="BE85" s="4264"/>
      <c r="BF85" s="4264"/>
      <c r="BG85" s="4264"/>
      <c r="BH85" s="4264"/>
      <c r="BI85" s="4264"/>
      <c r="BJ85" s="4264"/>
      <c r="BK85" s="697"/>
      <c r="BL85" s="697"/>
      <c r="BM85" s="697"/>
      <c r="BN85" s="697"/>
      <c r="BO85" s="697"/>
      <c r="BP85" s="157"/>
      <c r="BQ85" s="157"/>
      <c r="BR85" s="157"/>
      <c r="BS85" s="157"/>
    </row>
    <row r="86" spans="2:71" ht="18.75" customHeight="1">
      <c r="B86" s="697"/>
      <c r="C86" s="697"/>
      <c r="D86" s="697"/>
      <c r="E86" s="697"/>
      <c r="F86" s="697"/>
      <c r="G86" s="697"/>
      <c r="H86" s="697"/>
      <c r="I86" s="697"/>
      <c r="J86" s="697"/>
      <c r="K86" s="697"/>
      <c r="L86" s="697"/>
      <c r="M86" s="697"/>
      <c r="N86" s="697"/>
      <c r="O86" s="697"/>
      <c r="P86" s="4264"/>
      <c r="Q86" s="4264"/>
      <c r="R86" s="4264"/>
      <c r="S86" s="4264"/>
      <c r="T86" s="4264"/>
      <c r="U86" s="4264"/>
      <c r="V86" s="4264"/>
      <c r="W86" s="4264"/>
      <c r="X86" s="4264"/>
      <c r="Y86" s="4264"/>
      <c r="Z86" s="4264"/>
      <c r="AA86" s="4264"/>
      <c r="AB86" s="4264"/>
      <c r="AC86" s="4264"/>
      <c r="AD86" s="4264"/>
      <c r="AE86" s="4264"/>
      <c r="AF86" s="4264"/>
      <c r="AG86" s="4264"/>
      <c r="AH86" s="4264"/>
      <c r="AI86" s="4264"/>
      <c r="AJ86" s="4264"/>
      <c r="AK86" s="4264"/>
      <c r="AL86" s="4264"/>
      <c r="AM86" s="4264"/>
      <c r="AN86" s="4264"/>
      <c r="AO86" s="4264"/>
      <c r="AP86" s="4264"/>
      <c r="AQ86" s="4264"/>
      <c r="AR86" s="4264"/>
      <c r="AS86" s="4264"/>
      <c r="AT86" s="4264"/>
      <c r="AU86" s="4264"/>
      <c r="AV86" s="4264"/>
      <c r="AW86" s="4264"/>
      <c r="AX86" s="4264"/>
      <c r="AY86" s="4264"/>
      <c r="AZ86" s="4264"/>
      <c r="BA86" s="4264"/>
      <c r="BB86" s="4264"/>
      <c r="BC86" s="4264"/>
      <c r="BD86" s="4264"/>
      <c r="BE86" s="4264"/>
      <c r="BF86" s="4264"/>
      <c r="BG86" s="4264"/>
      <c r="BH86" s="4264"/>
      <c r="BI86" s="4264"/>
      <c r="BJ86" s="4264"/>
      <c r="BK86" s="697"/>
      <c r="BL86" s="697"/>
      <c r="BM86" s="697"/>
      <c r="BN86" s="697"/>
      <c r="BO86" s="697"/>
      <c r="BP86" s="157"/>
      <c r="BQ86" s="157"/>
      <c r="BR86" s="157"/>
      <c r="BS86" s="157"/>
    </row>
    <row r="87" spans="2:71" ht="18.75" customHeight="1">
      <c r="B87" s="697"/>
      <c r="C87" s="697"/>
      <c r="D87" s="697"/>
      <c r="E87" s="697"/>
      <c r="F87" s="697"/>
      <c r="G87" s="697"/>
      <c r="H87" s="697"/>
      <c r="I87" s="697"/>
      <c r="J87" s="697"/>
      <c r="K87" s="697"/>
      <c r="L87" s="697"/>
      <c r="M87" s="697"/>
      <c r="N87" s="697"/>
      <c r="O87" s="697"/>
      <c r="P87" s="4264"/>
      <c r="Q87" s="4264"/>
      <c r="R87" s="4264"/>
      <c r="S87" s="4264"/>
      <c r="T87" s="4264"/>
      <c r="U87" s="4264"/>
      <c r="V87" s="4264"/>
      <c r="W87" s="4264"/>
      <c r="X87" s="4264"/>
      <c r="Y87" s="4264"/>
      <c r="Z87" s="4264"/>
      <c r="AA87" s="4264"/>
      <c r="AB87" s="4264"/>
      <c r="AC87" s="4264"/>
      <c r="AD87" s="4264"/>
      <c r="AE87" s="4264"/>
      <c r="AF87" s="4264"/>
      <c r="AG87" s="4264"/>
      <c r="AH87" s="4264"/>
      <c r="AI87" s="4264"/>
      <c r="AJ87" s="4264"/>
      <c r="AK87" s="4264"/>
      <c r="AL87" s="4264"/>
      <c r="AM87" s="4264"/>
      <c r="AN87" s="4264"/>
      <c r="AO87" s="4264"/>
      <c r="AP87" s="4264"/>
      <c r="AQ87" s="4264"/>
      <c r="AR87" s="4264"/>
      <c r="AS87" s="4264"/>
      <c r="AT87" s="4264"/>
      <c r="AU87" s="4264"/>
      <c r="AV87" s="4264"/>
      <c r="AW87" s="4264"/>
      <c r="AX87" s="4264"/>
      <c r="AY87" s="4264"/>
      <c r="AZ87" s="4264"/>
      <c r="BA87" s="4264"/>
      <c r="BB87" s="4264"/>
      <c r="BC87" s="4264"/>
      <c r="BD87" s="4264"/>
      <c r="BE87" s="4264"/>
      <c r="BF87" s="4264"/>
      <c r="BG87" s="4264"/>
      <c r="BH87" s="4264"/>
      <c r="BI87" s="4264"/>
      <c r="BJ87" s="4264"/>
      <c r="BK87" s="697"/>
      <c r="BL87" s="697"/>
      <c r="BM87" s="697"/>
      <c r="BN87" s="697"/>
      <c r="BO87" s="697"/>
      <c r="BP87" s="157"/>
      <c r="BQ87" s="157"/>
      <c r="BR87" s="157"/>
      <c r="BS87" s="157"/>
    </row>
    <row r="88" spans="2:71" ht="18.75" customHeight="1">
      <c r="B88" s="697"/>
      <c r="C88" s="697"/>
      <c r="D88" s="697"/>
      <c r="E88" s="697"/>
      <c r="F88" s="697"/>
      <c r="G88" s="697"/>
      <c r="H88" s="697"/>
      <c r="I88" s="697"/>
      <c r="J88" s="697"/>
      <c r="K88" s="697"/>
      <c r="L88" s="697"/>
      <c r="M88" s="697"/>
      <c r="N88" s="697"/>
      <c r="O88" s="697"/>
      <c r="P88" s="4264"/>
      <c r="Q88" s="4264"/>
      <c r="R88" s="4264"/>
      <c r="S88" s="4264"/>
      <c r="T88" s="4264"/>
      <c r="U88" s="4264"/>
      <c r="V88" s="4264"/>
      <c r="W88" s="4264"/>
      <c r="X88" s="4264"/>
      <c r="Y88" s="4264"/>
      <c r="Z88" s="4264"/>
      <c r="AA88" s="4264"/>
      <c r="AB88" s="4264"/>
      <c r="AC88" s="4264"/>
      <c r="AD88" s="4264"/>
      <c r="AE88" s="4264"/>
      <c r="AF88" s="4264"/>
      <c r="AG88" s="4264"/>
      <c r="AH88" s="4264"/>
      <c r="AI88" s="4264"/>
      <c r="AJ88" s="4264"/>
      <c r="AK88" s="4264"/>
      <c r="AL88" s="4264"/>
      <c r="AM88" s="4264"/>
      <c r="AN88" s="4264"/>
      <c r="AO88" s="4264"/>
      <c r="AP88" s="4264"/>
      <c r="AQ88" s="4264"/>
      <c r="AR88" s="4264"/>
      <c r="AS88" s="4264"/>
      <c r="AT88" s="4264"/>
      <c r="AU88" s="4264"/>
      <c r="AV88" s="4264"/>
      <c r="AW88" s="4264"/>
      <c r="AX88" s="4264"/>
      <c r="AY88" s="4264"/>
      <c r="AZ88" s="4264"/>
      <c r="BA88" s="4264"/>
      <c r="BB88" s="4264"/>
      <c r="BC88" s="4264"/>
      <c r="BD88" s="4264"/>
      <c r="BE88" s="4264"/>
      <c r="BF88" s="4264"/>
      <c r="BG88" s="4264"/>
      <c r="BH88" s="4264"/>
      <c r="BI88" s="4264"/>
      <c r="BJ88" s="4264"/>
      <c r="BK88" s="697"/>
      <c r="BL88" s="697"/>
      <c r="BM88" s="697"/>
      <c r="BN88" s="697"/>
      <c r="BO88" s="697"/>
      <c r="BP88" s="157"/>
      <c r="BQ88" s="157"/>
      <c r="BR88" s="157"/>
      <c r="BS88" s="157"/>
    </row>
    <row r="89" spans="2:71" ht="18.75" customHeight="1">
      <c r="B89" s="697"/>
      <c r="C89" s="697"/>
      <c r="D89" s="697"/>
      <c r="E89" s="697"/>
      <c r="F89" s="697"/>
      <c r="G89" s="697"/>
      <c r="H89" s="697"/>
      <c r="I89" s="697"/>
      <c r="J89" s="697"/>
      <c r="K89" s="697"/>
      <c r="L89" s="697"/>
      <c r="M89" s="697"/>
      <c r="N89" s="697"/>
      <c r="O89" s="697"/>
      <c r="P89" s="4264"/>
      <c r="Q89" s="4264"/>
      <c r="R89" s="4264"/>
      <c r="S89" s="4264"/>
      <c r="T89" s="4264"/>
      <c r="U89" s="4264"/>
      <c r="V89" s="4264"/>
      <c r="W89" s="4264"/>
      <c r="X89" s="4264"/>
      <c r="Y89" s="4264"/>
      <c r="Z89" s="4264"/>
      <c r="AA89" s="4264"/>
      <c r="AB89" s="4264"/>
      <c r="AC89" s="4264"/>
      <c r="AD89" s="4264"/>
      <c r="AE89" s="4264"/>
      <c r="AF89" s="4264"/>
      <c r="AG89" s="4264"/>
      <c r="AH89" s="4264"/>
      <c r="AI89" s="4264"/>
      <c r="AJ89" s="4264"/>
      <c r="AK89" s="4264"/>
      <c r="AL89" s="4264"/>
      <c r="AM89" s="4264"/>
      <c r="AN89" s="4264"/>
      <c r="AO89" s="4264"/>
      <c r="AP89" s="4264"/>
      <c r="AQ89" s="4264"/>
      <c r="AR89" s="4264"/>
      <c r="AS89" s="4264"/>
      <c r="AT89" s="4264"/>
      <c r="AU89" s="4264"/>
      <c r="AV89" s="4264"/>
      <c r="AW89" s="4264"/>
      <c r="AX89" s="4264"/>
      <c r="AY89" s="4264"/>
      <c r="AZ89" s="4264"/>
      <c r="BA89" s="4264"/>
      <c r="BB89" s="4264"/>
      <c r="BC89" s="4264"/>
      <c r="BD89" s="4264"/>
      <c r="BE89" s="4264"/>
      <c r="BF89" s="4264"/>
      <c r="BG89" s="4264"/>
      <c r="BH89" s="4264"/>
      <c r="BI89" s="4264"/>
      <c r="BJ89" s="4264"/>
      <c r="BK89" s="697"/>
      <c r="BL89" s="697"/>
      <c r="BM89" s="697"/>
      <c r="BN89" s="697"/>
      <c r="BO89" s="697"/>
      <c r="BP89" s="157"/>
      <c r="BQ89" s="157"/>
      <c r="BR89" s="157"/>
      <c r="BS89" s="157"/>
    </row>
    <row r="90" spans="2:71" ht="18.75" customHeight="1">
      <c r="B90" s="697"/>
      <c r="C90" s="697"/>
      <c r="D90" s="697"/>
      <c r="E90" s="697"/>
      <c r="F90" s="697"/>
      <c r="G90" s="697"/>
      <c r="H90" s="697"/>
      <c r="I90" s="697"/>
      <c r="J90" s="697"/>
      <c r="K90" s="697"/>
      <c r="L90" s="697"/>
      <c r="M90" s="697"/>
      <c r="N90" s="697"/>
      <c r="O90" s="697"/>
      <c r="P90" s="4264"/>
      <c r="Q90" s="4264"/>
      <c r="R90" s="4264"/>
      <c r="S90" s="4264"/>
      <c r="T90" s="4264"/>
      <c r="U90" s="4264"/>
      <c r="V90" s="4264"/>
      <c r="W90" s="4264"/>
      <c r="X90" s="4264"/>
      <c r="Y90" s="4264"/>
      <c r="Z90" s="4264"/>
      <c r="AA90" s="4264"/>
      <c r="AB90" s="4264"/>
      <c r="AC90" s="4264"/>
      <c r="AD90" s="4264"/>
      <c r="AE90" s="4264"/>
      <c r="AF90" s="4264"/>
      <c r="AG90" s="4264"/>
      <c r="AH90" s="4264"/>
      <c r="AI90" s="4264"/>
      <c r="AJ90" s="4264"/>
      <c r="AK90" s="4264"/>
      <c r="AL90" s="4264"/>
      <c r="AM90" s="4264"/>
      <c r="AN90" s="4264"/>
      <c r="AO90" s="4264"/>
      <c r="AP90" s="4264"/>
      <c r="AQ90" s="4264"/>
      <c r="AR90" s="4264"/>
      <c r="AS90" s="4264"/>
      <c r="AT90" s="4264"/>
      <c r="AU90" s="4264"/>
      <c r="AV90" s="4264"/>
      <c r="AW90" s="4264"/>
      <c r="AX90" s="4264"/>
      <c r="AY90" s="4264"/>
      <c r="AZ90" s="4264"/>
      <c r="BA90" s="4264"/>
      <c r="BB90" s="4264"/>
      <c r="BC90" s="4264"/>
      <c r="BD90" s="4264"/>
      <c r="BE90" s="4264"/>
      <c r="BF90" s="4264"/>
      <c r="BG90" s="4264"/>
      <c r="BH90" s="4264"/>
      <c r="BI90" s="4264"/>
      <c r="BJ90" s="4264"/>
      <c r="BK90" s="697"/>
      <c r="BL90" s="697"/>
      <c r="BM90" s="697"/>
      <c r="BN90" s="697"/>
      <c r="BO90" s="697"/>
      <c r="BP90" s="157"/>
      <c r="BQ90" s="157"/>
      <c r="BR90" s="157"/>
      <c r="BS90" s="157"/>
    </row>
    <row r="91" spans="2:71" ht="18.75" customHeight="1">
      <c r="B91" s="697"/>
      <c r="C91" s="697"/>
      <c r="D91" s="697"/>
      <c r="E91" s="697"/>
      <c r="F91" s="697"/>
      <c r="G91" s="697"/>
      <c r="H91" s="697"/>
      <c r="I91" s="697"/>
      <c r="J91" s="697"/>
      <c r="K91" s="697"/>
      <c r="L91" s="697"/>
      <c r="M91" s="697"/>
      <c r="N91" s="697"/>
      <c r="O91" s="697"/>
      <c r="P91" s="4264"/>
      <c r="Q91" s="4264"/>
      <c r="R91" s="4264"/>
      <c r="S91" s="4264"/>
      <c r="T91" s="4264"/>
      <c r="U91" s="4264"/>
      <c r="V91" s="4264"/>
      <c r="W91" s="4264"/>
      <c r="X91" s="4264"/>
      <c r="Y91" s="4264"/>
      <c r="Z91" s="4264"/>
      <c r="AA91" s="4264"/>
      <c r="AB91" s="4264"/>
      <c r="AC91" s="4264"/>
      <c r="AD91" s="4264"/>
      <c r="AE91" s="4264"/>
      <c r="AF91" s="4264"/>
      <c r="AG91" s="4264"/>
      <c r="AH91" s="4264"/>
      <c r="AI91" s="4264"/>
      <c r="AJ91" s="4264"/>
      <c r="AK91" s="4264"/>
      <c r="AL91" s="4264"/>
      <c r="AM91" s="4264"/>
      <c r="AN91" s="4264"/>
      <c r="AO91" s="4264"/>
      <c r="AP91" s="4264"/>
      <c r="AQ91" s="4264"/>
      <c r="AR91" s="4264"/>
      <c r="AS91" s="4264"/>
      <c r="AT91" s="4264"/>
      <c r="AU91" s="4264"/>
      <c r="AV91" s="4264"/>
      <c r="AW91" s="4264"/>
      <c r="AX91" s="4264"/>
      <c r="AY91" s="4264"/>
      <c r="AZ91" s="4264"/>
      <c r="BA91" s="4264"/>
      <c r="BB91" s="4264"/>
      <c r="BC91" s="4264"/>
      <c r="BD91" s="4264"/>
      <c r="BE91" s="4264"/>
      <c r="BF91" s="4264"/>
      <c r="BG91" s="4264"/>
      <c r="BH91" s="4264"/>
      <c r="BI91" s="4264"/>
      <c r="BJ91" s="4264"/>
      <c r="BK91" s="697"/>
      <c r="BL91" s="697"/>
      <c r="BM91" s="697"/>
      <c r="BN91" s="697"/>
      <c r="BO91" s="697"/>
      <c r="BP91" s="157"/>
      <c r="BQ91" s="157"/>
      <c r="BR91" s="157"/>
      <c r="BS91" s="157"/>
    </row>
    <row r="92" spans="2:71" ht="18.75" customHeight="1">
      <c r="B92" s="697"/>
      <c r="C92" s="697"/>
      <c r="D92" s="697"/>
      <c r="E92" s="697"/>
      <c r="F92" s="697"/>
      <c r="G92" s="697"/>
      <c r="H92" s="697"/>
      <c r="I92" s="697"/>
      <c r="J92" s="697"/>
      <c r="K92" s="697"/>
      <c r="L92" s="697"/>
      <c r="M92" s="697"/>
      <c r="N92" s="697"/>
      <c r="O92" s="697"/>
      <c r="P92" s="4264"/>
      <c r="Q92" s="4264"/>
      <c r="R92" s="4264"/>
      <c r="S92" s="4264"/>
      <c r="T92" s="4264"/>
      <c r="U92" s="4264"/>
      <c r="V92" s="4264"/>
      <c r="W92" s="4264"/>
      <c r="X92" s="4264"/>
      <c r="Y92" s="4264"/>
      <c r="Z92" s="4264"/>
      <c r="AA92" s="4264"/>
      <c r="AB92" s="4264"/>
      <c r="AC92" s="4264"/>
      <c r="AD92" s="4264"/>
      <c r="AE92" s="4264"/>
      <c r="AF92" s="4264"/>
      <c r="AG92" s="4264"/>
      <c r="AH92" s="4264"/>
      <c r="AI92" s="4264"/>
      <c r="AJ92" s="4264"/>
      <c r="AK92" s="4264"/>
      <c r="AL92" s="4264"/>
      <c r="AM92" s="4264"/>
      <c r="AN92" s="4264"/>
      <c r="AO92" s="4264"/>
      <c r="AP92" s="4264"/>
      <c r="AQ92" s="4264"/>
      <c r="AR92" s="4264"/>
      <c r="AS92" s="4264"/>
      <c r="AT92" s="4264"/>
      <c r="AU92" s="4264"/>
      <c r="AV92" s="4264"/>
      <c r="AW92" s="4264"/>
      <c r="AX92" s="4264"/>
      <c r="AY92" s="4264"/>
      <c r="AZ92" s="4264"/>
      <c r="BA92" s="4264"/>
      <c r="BB92" s="4264"/>
      <c r="BC92" s="4264"/>
      <c r="BD92" s="4264"/>
      <c r="BE92" s="4264"/>
      <c r="BF92" s="4264"/>
      <c r="BG92" s="4264"/>
      <c r="BH92" s="4264"/>
      <c r="BI92" s="4264"/>
      <c r="BJ92" s="4264"/>
      <c r="BK92" s="697"/>
      <c r="BL92" s="697"/>
      <c r="BM92" s="697"/>
      <c r="BN92" s="697"/>
      <c r="BO92" s="697"/>
      <c r="BP92" s="157"/>
      <c r="BQ92" s="157"/>
      <c r="BR92" s="157"/>
      <c r="BS92" s="157"/>
    </row>
    <row r="93" spans="2:71" ht="18.75" customHeight="1">
      <c r="B93" s="697"/>
      <c r="C93" s="697"/>
      <c r="D93" s="697"/>
      <c r="E93" s="697"/>
      <c r="F93" s="697"/>
      <c r="G93" s="697"/>
      <c r="H93" s="697"/>
      <c r="I93" s="697"/>
      <c r="J93" s="697"/>
      <c r="K93" s="697"/>
      <c r="L93" s="697"/>
      <c r="M93" s="697"/>
      <c r="N93" s="697"/>
      <c r="O93" s="697"/>
      <c r="P93" s="4264"/>
      <c r="Q93" s="4264"/>
      <c r="R93" s="4264"/>
      <c r="S93" s="4264"/>
      <c r="T93" s="4264"/>
      <c r="U93" s="4264"/>
      <c r="V93" s="4264"/>
      <c r="W93" s="4264"/>
      <c r="X93" s="4264"/>
      <c r="Y93" s="4264"/>
      <c r="Z93" s="4264"/>
      <c r="AA93" s="4264"/>
      <c r="AB93" s="4264"/>
      <c r="AC93" s="4264"/>
      <c r="AD93" s="4264"/>
      <c r="AE93" s="4264"/>
      <c r="AF93" s="4264"/>
      <c r="AG93" s="4264"/>
      <c r="AH93" s="4264"/>
      <c r="AI93" s="4264"/>
      <c r="AJ93" s="4264"/>
      <c r="AK93" s="4264"/>
      <c r="AL93" s="4264"/>
      <c r="AM93" s="4264"/>
      <c r="AN93" s="4264"/>
      <c r="AO93" s="4264"/>
      <c r="AP93" s="4264"/>
      <c r="AQ93" s="4264"/>
      <c r="AR93" s="4264"/>
      <c r="AS93" s="4264"/>
      <c r="AT93" s="4264"/>
      <c r="AU93" s="4264"/>
      <c r="AV93" s="4264"/>
      <c r="AW93" s="4264"/>
      <c r="AX93" s="4264"/>
      <c r="AY93" s="4264"/>
      <c r="AZ93" s="4264"/>
      <c r="BA93" s="4264"/>
      <c r="BB93" s="4264"/>
      <c r="BC93" s="4264"/>
      <c r="BD93" s="4264"/>
      <c r="BE93" s="4264"/>
      <c r="BF93" s="4264"/>
      <c r="BG93" s="4264"/>
      <c r="BH93" s="4264"/>
      <c r="BI93" s="4264"/>
      <c r="BJ93" s="4264"/>
      <c r="BK93" s="697"/>
      <c r="BL93" s="697"/>
      <c r="BM93" s="697"/>
      <c r="BN93" s="697"/>
      <c r="BO93" s="697"/>
      <c r="BP93" s="157"/>
      <c r="BQ93" s="157"/>
      <c r="BR93" s="157"/>
      <c r="BS93" s="157"/>
    </row>
    <row r="94" spans="2:71" ht="18.75" customHeight="1">
      <c r="B94" s="69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  <c r="P94" s="4264"/>
      <c r="Q94" s="4264"/>
      <c r="R94" s="4264"/>
      <c r="S94" s="4264"/>
      <c r="T94" s="4264"/>
      <c r="U94" s="4264"/>
      <c r="V94" s="4264"/>
      <c r="W94" s="4264"/>
      <c r="X94" s="4264"/>
      <c r="Y94" s="4264"/>
      <c r="Z94" s="4264"/>
      <c r="AA94" s="4264"/>
      <c r="AB94" s="4264"/>
      <c r="AC94" s="4264"/>
      <c r="AD94" s="4264"/>
      <c r="AE94" s="4264"/>
      <c r="AF94" s="4264"/>
      <c r="AG94" s="4264"/>
      <c r="AH94" s="4264"/>
      <c r="AI94" s="4264"/>
      <c r="AJ94" s="4264"/>
      <c r="AK94" s="4264"/>
      <c r="AL94" s="4264"/>
      <c r="AM94" s="4264"/>
      <c r="AN94" s="4264"/>
      <c r="AO94" s="4264"/>
      <c r="AP94" s="4264"/>
      <c r="AQ94" s="4264"/>
      <c r="AR94" s="4264"/>
      <c r="AS94" s="4264"/>
      <c r="AT94" s="4264"/>
      <c r="AU94" s="4264"/>
      <c r="AV94" s="4264"/>
      <c r="AW94" s="4264"/>
      <c r="AX94" s="4264"/>
      <c r="AY94" s="4264"/>
      <c r="AZ94" s="4264"/>
      <c r="BA94" s="4264"/>
      <c r="BB94" s="4264"/>
      <c r="BC94" s="4264"/>
      <c r="BD94" s="4264"/>
      <c r="BE94" s="4264"/>
      <c r="BF94" s="4264"/>
      <c r="BG94" s="4264"/>
      <c r="BH94" s="4264"/>
      <c r="BI94" s="4264"/>
      <c r="BJ94" s="4264"/>
      <c r="BK94" s="697"/>
      <c r="BL94" s="697"/>
      <c r="BM94" s="697"/>
      <c r="BN94" s="697"/>
      <c r="BO94" s="697"/>
      <c r="BP94" s="157"/>
      <c r="BQ94" s="157"/>
      <c r="BR94" s="157"/>
      <c r="BS94" s="157"/>
    </row>
    <row r="95" spans="2:71" ht="18.75" customHeight="1">
      <c r="B95" s="697"/>
      <c r="C95" s="697"/>
      <c r="D95" s="697"/>
      <c r="E95" s="697"/>
      <c r="F95" s="697"/>
      <c r="G95" s="697"/>
      <c r="H95" s="697"/>
      <c r="I95" s="697"/>
      <c r="J95" s="697"/>
      <c r="K95" s="697"/>
      <c r="L95" s="697"/>
      <c r="M95" s="697"/>
      <c r="N95" s="697"/>
      <c r="O95" s="697"/>
      <c r="P95" s="4264"/>
      <c r="Q95" s="4264"/>
      <c r="R95" s="4264"/>
      <c r="S95" s="4264"/>
      <c r="T95" s="4264"/>
      <c r="U95" s="4264"/>
      <c r="V95" s="4264"/>
      <c r="W95" s="4264"/>
      <c r="X95" s="4264"/>
      <c r="Y95" s="4264"/>
      <c r="Z95" s="4264"/>
      <c r="AA95" s="4264"/>
      <c r="AB95" s="4264"/>
      <c r="AC95" s="4264"/>
      <c r="AD95" s="4264"/>
      <c r="AE95" s="4264"/>
      <c r="AF95" s="4264"/>
      <c r="AG95" s="4264"/>
      <c r="AH95" s="4264"/>
      <c r="AI95" s="4264"/>
      <c r="AJ95" s="4264"/>
      <c r="AK95" s="4264"/>
      <c r="AL95" s="4264"/>
      <c r="AM95" s="4264"/>
      <c r="AN95" s="4264"/>
      <c r="AO95" s="4264"/>
      <c r="AP95" s="4264"/>
      <c r="AQ95" s="4264"/>
      <c r="AR95" s="4264"/>
      <c r="AS95" s="4264"/>
      <c r="AT95" s="4264"/>
      <c r="AU95" s="4264"/>
      <c r="AV95" s="4264"/>
      <c r="AW95" s="4264"/>
      <c r="AX95" s="4264"/>
      <c r="AY95" s="4264"/>
      <c r="AZ95" s="4264"/>
      <c r="BA95" s="4264"/>
      <c r="BB95" s="4264"/>
      <c r="BC95" s="4264"/>
      <c r="BD95" s="4264"/>
      <c r="BE95" s="4264"/>
      <c r="BF95" s="4264"/>
      <c r="BG95" s="4264"/>
      <c r="BH95" s="4264"/>
      <c r="BI95" s="4264"/>
      <c r="BJ95" s="4264"/>
      <c r="BK95" s="697"/>
      <c r="BL95" s="697"/>
      <c r="BM95" s="697"/>
      <c r="BN95" s="697"/>
      <c r="BO95" s="697"/>
      <c r="BP95" s="157"/>
      <c r="BQ95" s="157"/>
      <c r="BR95" s="157"/>
      <c r="BS95" s="157"/>
    </row>
    <row r="96" spans="2:71" ht="18.75" customHeight="1">
      <c r="B96" s="697"/>
      <c r="C96" s="697"/>
      <c r="D96" s="697"/>
      <c r="E96" s="697"/>
      <c r="F96" s="697"/>
      <c r="G96" s="697"/>
      <c r="H96" s="697"/>
      <c r="I96" s="697"/>
      <c r="J96" s="697"/>
      <c r="K96" s="697"/>
      <c r="L96" s="697"/>
      <c r="M96" s="697"/>
      <c r="N96" s="697"/>
      <c r="O96" s="697"/>
      <c r="P96" s="4264"/>
      <c r="Q96" s="4264"/>
      <c r="R96" s="4264"/>
      <c r="S96" s="4264"/>
      <c r="T96" s="4264"/>
      <c r="U96" s="4264"/>
      <c r="V96" s="4264"/>
      <c r="W96" s="4264"/>
      <c r="X96" s="4264"/>
      <c r="Y96" s="4264"/>
      <c r="Z96" s="4264"/>
      <c r="AA96" s="4264"/>
      <c r="AB96" s="4264"/>
      <c r="AC96" s="4264"/>
      <c r="AD96" s="4264"/>
      <c r="AE96" s="4264"/>
      <c r="AF96" s="4264"/>
      <c r="AG96" s="4264"/>
      <c r="AH96" s="4264"/>
      <c r="AI96" s="4264"/>
      <c r="AJ96" s="4264"/>
      <c r="AK96" s="4264"/>
      <c r="AL96" s="4264"/>
      <c r="AM96" s="4264"/>
      <c r="AN96" s="4264"/>
      <c r="AO96" s="4264"/>
      <c r="AP96" s="4264"/>
      <c r="AQ96" s="4264"/>
      <c r="AR96" s="4264"/>
      <c r="AS96" s="4264"/>
      <c r="AT96" s="4264"/>
      <c r="AU96" s="4264"/>
      <c r="AV96" s="4264"/>
      <c r="AW96" s="4264"/>
      <c r="AX96" s="4264"/>
      <c r="AY96" s="4264"/>
      <c r="AZ96" s="4264"/>
      <c r="BA96" s="4264"/>
      <c r="BB96" s="4264"/>
      <c r="BC96" s="4264"/>
      <c r="BD96" s="4264"/>
      <c r="BE96" s="4264"/>
      <c r="BF96" s="4264"/>
      <c r="BG96" s="4264"/>
      <c r="BH96" s="4264"/>
      <c r="BI96" s="4264"/>
      <c r="BJ96" s="4264"/>
      <c r="BK96" s="697"/>
      <c r="BL96" s="697"/>
      <c r="BM96" s="697"/>
      <c r="BN96" s="697"/>
      <c r="BO96" s="697"/>
      <c r="BP96" s="157"/>
      <c r="BQ96" s="157"/>
      <c r="BR96" s="157"/>
      <c r="BS96" s="157"/>
    </row>
    <row r="97" spans="2:71" ht="18.75" customHeight="1">
      <c r="B97" s="697"/>
      <c r="C97" s="697"/>
      <c r="D97" s="697"/>
      <c r="E97" s="697"/>
      <c r="F97" s="697"/>
      <c r="G97" s="697"/>
      <c r="H97" s="697"/>
      <c r="I97" s="697"/>
      <c r="J97" s="697"/>
      <c r="K97" s="697"/>
      <c r="L97" s="697"/>
      <c r="M97" s="697"/>
      <c r="N97" s="697"/>
      <c r="O97" s="697"/>
      <c r="P97" s="4264"/>
      <c r="Q97" s="4264"/>
      <c r="R97" s="4264"/>
      <c r="S97" s="4264"/>
      <c r="T97" s="4264"/>
      <c r="U97" s="4264"/>
      <c r="V97" s="4264"/>
      <c r="W97" s="4264"/>
      <c r="X97" s="4264"/>
      <c r="Y97" s="4264"/>
      <c r="Z97" s="4264"/>
      <c r="AA97" s="4264"/>
      <c r="AB97" s="4264"/>
      <c r="AC97" s="4264"/>
      <c r="AD97" s="4264"/>
      <c r="AE97" s="4264"/>
      <c r="AF97" s="4264"/>
      <c r="AG97" s="4264"/>
      <c r="AH97" s="4264"/>
      <c r="AI97" s="4264"/>
      <c r="AJ97" s="4264"/>
      <c r="AK97" s="4264"/>
      <c r="AL97" s="4264"/>
      <c r="AM97" s="4264"/>
      <c r="AN97" s="4264"/>
      <c r="AO97" s="4264"/>
      <c r="AP97" s="4264"/>
      <c r="AQ97" s="4264"/>
      <c r="AR97" s="4264"/>
      <c r="AS97" s="4264"/>
      <c r="AT97" s="4264"/>
      <c r="AU97" s="4264"/>
      <c r="AV97" s="4264"/>
      <c r="AW97" s="4264"/>
      <c r="AX97" s="4264"/>
      <c r="AY97" s="4264"/>
      <c r="AZ97" s="4264"/>
      <c r="BA97" s="4264"/>
      <c r="BB97" s="4264"/>
      <c r="BC97" s="4264"/>
      <c r="BD97" s="4264"/>
      <c r="BE97" s="4264"/>
      <c r="BF97" s="4264"/>
      <c r="BG97" s="4264"/>
      <c r="BH97" s="4264"/>
      <c r="BI97" s="4264"/>
      <c r="BJ97" s="4264"/>
      <c r="BK97" s="697"/>
      <c r="BL97" s="697"/>
      <c r="BM97" s="697"/>
      <c r="BN97" s="697"/>
      <c r="BO97" s="697"/>
      <c r="BP97" s="157"/>
      <c r="BQ97" s="157"/>
      <c r="BR97" s="157"/>
      <c r="BS97" s="157"/>
    </row>
    <row r="98" spans="2:71" ht="18.75" customHeight="1">
      <c r="B98" s="697"/>
      <c r="C98" s="697"/>
      <c r="D98" s="697"/>
      <c r="E98" s="697"/>
      <c r="F98" s="697"/>
      <c r="G98" s="697"/>
      <c r="H98" s="697"/>
      <c r="I98" s="697"/>
      <c r="J98" s="697"/>
      <c r="K98" s="697"/>
      <c r="L98" s="697"/>
      <c r="M98" s="697"/>
      <c r="N98" s="697"/>
      <c r="O98" s="697"/>
      <c r="P98" s="4264"/>
      <c r="Q98" s="4264"/>
      <c r="R98" s="4264"/>
      <c r="S98" s="4264"/>
      <c r="T98" s="4264"/>
      <c r="U98" s="4264"/>
      <c r="V98" s="4264"/>
      <c r="W98" s="4264"/>
      <c r="X98" s="4264"/>
      <c r="Y98" s="4264"/>
      <c r="Z98" s="4264"/>
      <c r="AA98" s="4264"/>
      <c r="AB98" s="4264"/>
      <c r="AC98" s="4264"/>
      <c r="AD98" s="4264"/>
      <c r="AE98" s="4264"/>
      <c r="AF98" s="4264"/>
      <c r="AG98" s="4264"/>
      <c r="AH98" s="4264"/>
      <c r="AI98" s="4264"/>
      <c r="AJ98" s="4264"/>
      <c r="AK98" s="4264"/>
      <c r="AL98" s="4264"/>
      <c r="AM98" s="4264"/>
      <c r="AN98" s="4264"/>
      <c r="AO98" s="4264"/>
      <c r="AP98" s="4264"/>
      <c r="AQ98" s="4264"/>
      <c r="AR98" s="4264"/>
      <c r="AS98" s="4264"/>
      <c r="AT98" s="4264"/>
      <c r="AU98" s="4264"/>
      <c r="AV98" s="4264"/>
      <c r="AW98" s="4264"/>
      <c r="AX98" s="4264"/>
      <c r="AY98" s="4264"/>
      <c r="AZ98" s="4264"/>
      <c r="BA98" s="4264"/>
      <c r="BB98" s="4264"/>
      <c r="BC98" s="4264"/>
      <c r="BD98" s="4264"/>
      <c r="BE98" s="4264"/>
      <c r="BF98" s="4264"/>
      <c r="BG98" s="4264"/>
      <c r="BH98" s="4264"/>
      <c r="BI98" s="4264"/>
      <c r="BJ98" s="4264"/>
      <c r="BK98" s="697"/>
      <c r="BL98" s="697"/>
      <c r="BM98" s="697"/>
      <c r="BN98" s="697"/>
      <c r="BO98" s="697"/>
      <c r="BP98" s="157"/>
      <c r="BQ98" s="157"/>
      <c r="BR98" s="157"/>
      <c r="BS98" s="157"/>
    </row>
    <row r="99" spans="2:71" ht="18.75" customHeight="1">
      <c r="B99" s="697"/>
      <c r="C99" s="697"/>
      <c r="D99" s="697"/>
      <c r="E99" s="697"/>
      <c r="F99" s="697"/>
      <c r="G99" s="697"/>
      <c r="H99" s="697"/>
      <c r="I99" s="697"/>
      <c r="J99" s="697"/>
      <c r="K99" s="697"/>
      <c r="L99" s="697"/>
      <c r="M99" s="697"/>
      <c r="N99" s="697"/>
      <c r="O99" s="697"/>
      <c r="P99" s="4264"/>
      <c r="Q99" s="4264"/>
      <c r="R99" s="4264"/>
      <c r="S99" s="4264"/>
      <c r="T99" s="4264"/>
      <c r="U99" s="4264"/>
      <c r="V99" s="4264"/>
      <c r="W99" s="4264"/>
      <c r="X99" s="4264"/>
      <c r="Y99" s="4264"/>
      <c r="Z99" s="4264"/>
      <c r="AA99" s="4264"/>
      <c r="AB99" s="4264"/>
      <c r="AC99" s="4264"/>
      <c r="AD99" s="4264"/>
      <c r="AE99" s="4264"/>
      <c r="AF99" s="4264"/>
      <c r="AG99" s="4264"/>
      <c r="AH99" s="4264"/>
      <c r="AI99" s="4264"/>
      <c r="AJ99" s="4264"/>
      <c r="AK99" s="4264"/>
      <c r="AL99" s="4264"/>
      <c r="AM99" s="4264"/>
      <c r="AN99" s="4264"/>
      <c r="AO99" s="4264"/>
      <c r="AP99" s="4264"/>
      <c r="AQ99" s="4264"/>
      <c r="AR99" s="4264"/>
      <c r="AS99" s="4264"/>
      <c r="AT99" s="4264"/>
      <c r="AU99" s="4264"/>
      <c r="AV99" s="4264"/>
      <c r="AW99" s="4264"/>
      <c r="AX99" s="4264"/>
      <c r="AY99" s="4264"/>
      <c r="AZ99" s="4264"/>
      <c r="BA99" s="4264"/>
      <c r="BB99" s="4264"/>
      <c r="BC99" s="4264"/>
      <c r="BD99" s="4264"/>
      <c r="BE99" s="4264"/>
      <c r="BF99" s="4264"/>
      <c r="BG99" s="4264"/>
      <c r="BH99" s="4264"/>
      <c r="BI99" s="4264"/>
      <c r="BJ99" s="4264"/>
      <c r="BK99" s="697"/>
      <c r="BL99" s="697"/>
      <c r="BM99" s="697"/>
      <c r="BN99" s="697"/>
      <c r="BO99" s="697"/>
      <c r="BP99" s="157"/>
      <c r="BQ99" s="157"/>
      <c r="BR99" s="157"/>
      <c r="BS99" s="157"/>
    </row>
    <row r="100" spans="2:71" ht="18.75" customHeight="1">
      <c r="B100" s="697"/>
      <c r="C100" s="697"/>
      <c r="D100" s="697"/>
      <c r="E100" s="697"/>
      <c r="F100" s="697"/>
      <c r="G100" s="697"/>
      <c r="H100" s="697"/>
      <c r="I100" s="697"/>
      <c r="J100" s="697"/>
      <c r="K100" s="697"/>
      <c r="L100" s="697"/>
      <c r="M100" s="697"/>
      <c r="N100" s="697"/>
      <c r="O100" s="697"/>
      <c r="P100" s="4264"/>
      <c r="Q100" s="4264"/>
      <c r="R100" s="4264"/>
      <c r="S100" s="4264"/>
      <c r="T100" s="4264"/>
      <c r="U100" s="4264"/>
      <c r="V100" s="4264"/>
      <c r="W100" s="4264"/>
      <c r="X100" s="4264"/>
      <c r="Y100" s="4264"/>
      <c r="Z100" s="4264"/>
      <c r="AA100" s="4264"/>
      <c r="AB100" s="4264"/>
      <c r="AC100" s="4264"/>
      <c r="AD100" s="4264"/>
      <c r="AE100" s="4264"/>
      <c r="AF100" s="4264"/>
      <c r="AG100" s="4264"/>
      <c r="AH100" s="4264"/>
      <c r="AI100" s="4264"/>
      <c r="AJ100" s="4264"/>
      <c r="AK100" s="4264"/>
      <c r="AL100" s="4264"/>
      <c r="AM100" s="4264"/>
      <c r="AN100" s="4264"/>
      <c r="AO100" s="4264"/>
      <c r="AP100" s="4264"/>
      <c r="AQ100" s="4264"/>
      <c r="AR100" s="4264"/>
      <c r="AS100" s="4264"/>
      <c r="AT100" s="4264"/>
      <c r="AU100" s="4264"/>
      <c r="AV100" s="4264"/>
      <c r="AW100" s="4264"/>
      <c r="AX100" s="4264"/>
      <c r="AY100" s="4264"/>
      <c r="AZ100" s="4264"/>
      <c r="BA100" s="4264"/>
      <c r="BB100" s="4264"/>
      <c r="BC100" s="4264"/>
      <c r="BD100" s="4264"/>
      <c r="BE100" s="4264"/>
      <c r="BF100" s="4264"/>
      <c r="BG100" s="4264"/>
      <c r="BH100" s="4264"/>
      <c r="BI100" s="4264"/>
      <c r="BJ100" s="4264"/>
      <c r="BK100" s="697"/>
      <c r="BL100" s="697"/>
      <c r="BM100" s="697"/>
      <c r="BN100" s="697"/>
      <c r="BO100" s="697"/>
      <c r="BP100" s="157"/>
      <c r="BQ100" s="157"/>
      <c r="BR100" s="157"/>
      <c r="BS100" s="157"/>
    </row>
    <row r="101" spans="2:71" ht="18.75" customHeight="1">
      <c r="B101" s="157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4265"/>
      <c r="Q101" s="4265"/>
      <c r="R101" s="4265"/>
      <c r="S101" s="4265"/>
      <c r="T101" s="4265"/>
      <c r="U101" s="4265"/>
      <c r="V101" s="4265"/>
      <c r="W101" s="4265"/>
      <c r="X101" s="4265"/>
      <c r="Y101" s="4265"/>
      <c r="Z101" s="4265"/>
      <c r="AA101" s="4265"/>
      <c r="AB101" s="4265"/>
      <c r="AC101" s="4265"/>
      <c r="AD101" s="4265"/>
      <c r="AE101" s="4265"/>
      <c r="AF101" s="4265"/>
      <c r="AG101" s="4265"/>
      <c r="AH101" s="4265"/>
      <c r="AI101" s="4265"/>
      <c r="AJ101" s="4265"/>
      <c r="AK101" s="4265"/>
      <c r="AL101" s="4265"/>
      <c r="AM101" s="4265"/>
      <c r="AN101" s="4265"/>
      <c r="AO101" s="4265"/>
      <c r="AP101" s="4265"/>
      <c r="AQ101" s="4265"/>
      <c r="AR101" s="4265"/>
      <c r="AS101" s="4265"/>
      <c r="AT101" s="4265"/>
      <c r="AU101" s="4265"/>
      <c r="AV101" s="4265"/>
      <c r="AW101" s="4265"/>
      <c r="AX101" s="4265"/>
      <c r="AY101" s="4265"/>
      <c r="AZ101" s="4265"/>
      <c r="BA101" s="4265"/>
      <c r="BB101" s="4265"/>
      <c r="BC101" s="4265"/>
      <c r="BD101" s="4265"/>
      <c r="BE101" s="4265"/>
      <c r="BF101" s="4265"/>
      <c r="BG101" s="4265"/>
      <c r="BH101" s="4265"/>
      <c r="BI101" s="4265"/>
      <c r="BJ101" s="4265"/>
      <c r="BK101" s="157"/>
      <c r="BL101" s="157"/>
      <c r="BM101" s="157"/>
      <c r="BN101" s="157"/>
      <c r="BO101" s="157"/>
      <c r="BP101" s="157"/>
      <c r="BQ101" s="157"/>
      <c r="BR101" s="157"/>
      <c r="BS101" s="157"/>
    </row>
    <row r="102" spans="2:71" ht="18.75" customHeight="1"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4265"/>
      <c r="Q102" s="4265"/>
      <c r="R102" s="4265"/>
      <c r="S102" s="4265"/>
      <c r="T102" s="4265"/>
      <c r="U102" s="4265"/>
      <c r="V102" s="4265"/>
      <c r="W102" s="4265"/>
      <c r="X102" s="4265"/>
      <c r="Y102" s="4265"/>
      <c r="Z102" s="4265"/>
      <c r="AA102" s="4265"/>
      <c r="AB102" s="4265"/>
      <c r="AC102" s="4265"/>
      <c r="AD102" s="4265"/>
      <c r="AE102" s="4265"/>
      <c r="AF102" s="4265"/>
      <c r="AG102" s="4265"/>
      <c r="AH102" s="4265"/>
      <c r="AI102" s="4265"/>
      <c r="AJ102" s="4265"/>
      <c r="AK102" s="4265"/>
      <c r="AL102" s="4265"/>
      <c r="AM102" s="4265"/>
      <c r="AN102" s="4265"/>
      <c r="AO102" s="4265"/>
      <c r="AP102" s="4265"/>
      <c r="AQ102" s="4265"/>
      <c r="AR102" s="4265"/>
      <c r="AS102" s="4265"/>
      <c r="AT102" s="4265"/>
      <c r="AU102" s="4265"/>
      <c r="AV102" s="4265"/>
      <c r="AW102" s="4265"/>
      <c r="AX102" s="4265"/>
      <c r="AY102" s="4265"/>
      <c r="AZ102" s="4265"/>
      <c r="BA102" s="4265"/>
      <c r="BB102" s="4265"/>
      <c r="BC102" s="4265"/>
      <c r="BD102" s="4265"/>
      <c r="BE102" s="4265"/>
      <c r="BF102" s="4265"/>
      <c r="BG102" s="4265"/>
      <c r="BH102" s="4265"/>
      <c r="BI102" s="4265"/>
      <c r="BJ102" s="4265"/>
      <c r="BK102" s="157"/>
      <c r="BL102" s="157"/>
      <c r="BM102" s="157"/>
      <c r="BN102" s="157"/>
      <c r="BO102" s="157"/>
      <c r="BP102" s="157"/>
      <c r="BQ102" s="157"/>
      <c r="BR102" s="157"/>
      <c r="BS102" s="157"/>
    </row>
    <row r="103" spans="2:71" ht="18.75" customHeight="1"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4265"/>
      <c r="Q103" s="4265"/>
      <c r="R103" s="4265"/>
      <c r="S103" s="4265"/>
      <c r="T103" s="4265"/>
      <c r="U103" s="4265"/>
      <c r="V103" s="4265"/>
      <c r="W103" s="4265"/>
      <c r="X103" s="4265"/>
      <c r="Y103" s="4265"/>
      <c r="Z103" s="4265"/>
      <c r="AA103" s="4265"/>
      <c r="AB103" s="4265"/>
      <c r="AC103" s="4265"/>
      <c r="AD103" s="4265"/>
      <c r="AE103" s="4265"/>
      <c r="AF103" s="4265"/>
      <c r="AG103" s="4265"/>
      <c r="AH103" s="4265"/>
      <c r="AI103" s="4265"/>
      <c r="AJ103" s="4265"/>
      <c r="AK103" s="4265"/>
      <c r="AL103" s="4265"/>
      <c r="AM103" s="4265"/>
      <c r="AN103" s="4265"/>
      <c r="AO103" s="4265"/>
      <c r="AP103" s="4265"/>
      <c r="AQ103" s="4265"/>
      <c r="AR103" s="4265"/>
      <c r="AS103" s="4265"/>
      <c r="AT103" s="4265"/>
      <c r="AU103" s="4265"/>
      <c r="AV103" s="4265"/>
      <c r="AW103" s="4265"/>
      <c r="AX103" s="4265"/>
      <c r="AY103" s="4265"/>
      <c r="AZ103" s="4265"/>
      <c r="BA103" s="4265"/>
      <c r="BB103" s="4265"/>
      <c r="BC103" s="4265"/>
      <c r="BD103" s="4265"/>
      <c r="BE103" s="4265"/>
      <c r="BF103" s="4265"/>
      <c r="BG103" s="4265"/>
      <c r="BH103" s="4265"/>
      <c r="BI103" s="4265"/>
      <c r="BJ103" s="4265"/>
      <c r="BK103" s="157"/>
      <c r="BL103" s="157"/>
      <c r="BM103" s="157"/>
      <c r="BN103" s="157"/>
      <c r="BO103" s="157"/>
      <c r="BP103" s="157"/>
      <c r="BQ103" s="157"/>
      <c r="BR103" s="157"/>
      <c r="BS103" s="157"/>
    </row>
    <row r="104" spans="2:71" ht="18.75" customHeight="1">
      <c r="B104" s="157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4265"/>
      <c r="Q104" s="4265"/>
      <c r="R104" s="4265"/>
      <c r="S104" s="4265"/>
      <c r="T104" s="4265"/>
      <c r="U104" s="4265"/>
      <c r="V104" s="4265"/>
      <c r="W104" s="4265"/>
      <c r="X104" s="4265"/>
      <c r="Y104" s="4265"/>
      <c r="Z104" s="4265"/>
      <c r="AA104" s="4265"/>
      <c r="AB104" s="4265"/>
      <c r="AC104" s="4265"/>
      <c r="AD104" s="4265"/>
      <c r="AE104" s="4265"/>
      <c r="AF104" s="4265"/>
      <c r="AG104" s="4265"/>
      <c r="AH104" s="4265"/>
      <c r="AI104" s="4265"/>
      <c r="AJ104" s="4265"/>
      <c r="AK104" s="4265"/>
      <c r="AL104" s="4265"/>
      <c r="AM104" s="4265"/>
      <c r="AN104" s="4265"/>
      <c r="AO104" s="4265"/>
      <c r="AP104" s="4265"/>
      <c r="AQ104" s="4265"/>
      <c r="AR104" s="4265"/>
      <c r="AS104" s="4265"/>
      <c r="AT104" s="4265"/>
      <c r="AU104" s="4265"/>
      <c r="AV104" s="4265"/>
      <c r="AW104" s="4265"/>
      <c r="AX104" s="4265"/>
      <c r="AY104" s="4265"/>
      <c r="AZ104" s="4265"/>
      <c r="BA104" s="4265"/>
      <c r="BB104" s="4265"/>
      <c r="BC104" s="4265"/>
      <c r="BD104" s="4265"/>
      <c r="BE104" s="4265"/>
      <c r="BF104" s="4265"/>
      <c r="BG104" s="4265"/>
      <c r="BH104" s="4265"/>
      <c r="BI104" s="4265"/>
      <c r="BJ104" s="4265"/>
      <c r="BK104" s="157"/>
      <c r="BL104" s="157"/>
      <c r="BM104" s="157"/>
      <c r="BN104" s="157"/>
      <c r="BO104" s="157"/>
      <c r="BP104" s="157"/>
      <c r="BQ104" s="157"/>
      <c r="BR104" s="157"/>
      <c r="BS104" s="157"/>
    </row>
    <row r="105" spans="2:71" ht="18.75" customHeight="1">
      <c r="B105" s="157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4265"/>
      <c r="Q105" s="4265"/>
      <c r="R105" s="4265"/>
      <c r="S105" s="4265"/>
      <c r="T105" s="4265"/>
      <c r="U105" s="4265"/>
      <c r="V105" s="4265"/>
      <c r="W105" s="4265"/>
      <c r="X105" s="4265"/>
      <c r="Y105" s="4265"/>
      <c r="Z105" s="4265"/>
      <c r="AA105" s="4265"/>
      <c r="AB105" s="4265"/>
      <c r="AC105" s="4265"/>
      <c r="AD105" s="4265"/>
      <c r="AE105" s="4265"/>
      <c r="AF105" s="4265"/>
      <c r="AG105" s="4265"/>
      <c r="AH105" s="4265"/>
      <c r="AI105" s="4265"/>
      <c r="AJ105" s="4265"/>
      <c r="AK105" s="4265"/>
      <c r="AL105" s="4265"/>
      <c r="AM105" s="4265"/>
      <c r="AN105" s="4265"/>
      <c r="AO105" s="4265"/>
      <c r="AP105" s="4265"/>
      <c r="AQ105" s="4265"/>
      <c r="AR105" s="4265"/>
      <c r="AS105" s="4265"/>
      <c r="AT105" s="4265"/>
      <c r="AU105" s="4265"/>
      <c r="AV105" s="4265"/>
      <c r="AW105" s="4265"/>
      <c r="AX105" s="4265"/>
      <c r="AY105" s="4265"/>
      <c r="AZ105" s="4265"/>
      <c r="BA105" s="4265"/>
      <c r="BB105" s="4265"/>
      <c r="BC105" s="4265"/>
      <c r="BD105" s="4265"/>
      <c r="BE105" s="4265"/>
      <c r="BF105" s="4265"/>
      <c r="BG105" s="4265"/>
      <c r="BH105" s="4265"/>
      <c r="BI105" s="4265"/>
      <c r="BJ105" s="4265"/>
      <c r="BK105" s="157"/>
      <c r="BL105" s="157"/>
      <c r="BM105" s="157"/>
      <c r="BN105" s="157"/>
      <c r="BO105" s="157"/>
      <c r="BP105" s="157"/>
      <c r="BQ105" s="157"/>
      <c r="BR105" s="157"/>
      <c r="BS105" s="157"/>
    </row>
    <row r="106" spans="2:71" ht="18.75" customHeight="1"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4265"/>
      <c r="Q106" s="4265"/>
      <c r="R106" s="4265"/>
      <c r="S106" s="4265"/>
      <c r="T106" s="4265"/>
      <c r="U106" s="4265"/>
      <c r="V106" s="4265"/>
      <c r="W106" s="4265"/>
      <c r="X106" s="4265"/>
      <c r="Y106" s="4265"/>
      <c r="Z106" s="4265"/>
      <c r="AA106" s="4265"/>
      <c r="AB106" s="4265"/>
      <c r="AC106" s="4265"/>
      <c r="AD106" s="4265"/>
      <c r="AE106" s="4265"/>
      <c r="AF106" s="4265"/>
      <c r="AG106" s="4265"/>
      <c r="AH106" s="4265"/>
      <c r="AI106" s="4265"/>
      <c r="AJ106" s="4265"/>
      <c r="AK106" s="4265"/>
      <c r="AL106" s="4265"/>
      <c r="AM106" s="4265"/>
      <c r="AN106" s="4265"/>
      <c r="AO106" s="4265"/>
      <c r="AP106" s="4265"/>
      <c r="AQ106" s="4265"/>
      <c r="AR106" s="4265"/>
      <c r="AS106" s="4265"/>
      <c r="AT106" s="4265"/>
      <c r="AU106" s="4265"/>
      <c r="AV106" s="4265"/>
      <c r="AW106" s="4265"/>
      <c r="AX106" s="4265"/>
      <c r="AY106" s="4265"/>
      <c r="AZ106" s="4265"/>
      <c r="BA106" s="4265"/>
      <c r="BB106" s="4265"/>
      <c r="BC106" s="4265"/>
      <c r="BD106" s="4265"/>
      <c r="BE106" s="4265"/>
      <c r="BF106" s="4265"/>
      <c r="BG106" s="4265"/>
      <c r="BH106" s="4265"/>
      <c r="BI106" s="4265"/>
      <c r="BJ106" s="4265"/>
      <c r="BK106" s="157"/>
      <c r="BL106" s="157"/>
      <c r="BM106" s="157"/>
      <c r="BN106" s="157"/>
      <c r="BO106" s="157"/>
      <c r="BP106" s="157"/>
      <c r="BQ106" s="157"/>
      <c r="BR106" s="157"/>
      <c r="BS106" s="157"/>
    </row>
    <row r="107" spans="2:71" ht="18.75" customHeight="1">
      <c r="B107" s="157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4265"/>
      <c r="Q107" s="4265"/>
      <c r="R107" s="4265"/>
      <c r="S107" s="4265"/>
      <c r="T107" s="4265"/>
      <c r="U107" s="4265"/>
      <c r="V107" s="4265"/>
      <c r="W107" s="4265"/>
      <c r="X107" s="4265"/>
      <c r="Y107" s="4265"/>
      <c r="Z107" s="4265"/>
      <c r="AA107" s="4265"/>
      <c r="AB107" s="4265"/>
      <c r="AC107" s="4265"/>
      <c r="AD107" s="4265"/>
      <c r="AE107" s="4265"/>
      <c r="AF107" s="4265"/>
      <c r="AG107" s="4265"/>
      <c r="AH107" s="4265"/>
      <c r="AI107" s="4265"/>
      <c r="AJ107" s="4265"/>
      <c r="AK107" s="4265"/>
      <c r="AL107" s="4265"/>
      <c r="AM107" s="4265"/>
      <c r="AN107" s="4265"/>
      <c r="AO107" s="4265"/>
      <c r="AP107" s="4265"/>
      <c r="AQ107" s="4265"/>
      <c r="AR107" s="4265"/>
      <c r="AS107" s="4265"/>
      <c r="AT107" s="4265"/>
      <c r="AU107" s="4265"/>
      <c r="AV107" s="4265"/>
      <c r="AW107" s="4265"/>
      <c r="AX107" s="4265"/>
      <c r="AY107" s="4265"/>
      <c r="AZ107" s="4265"/>
      <c r="BA107" s="4265"/>
      <c r="BB107" s="4265"/>
      <c r="BC107" s="4265"/>
      <c r="BD107" s="4265"/>
      <c r="BE107" s="4265"/>
      <c r="BF107" s="4265"/>
      <c r="BG107" s="4265"/>
      <c r="BH107" s="4265"/>
      <c r="BI107" s="4265"/>
      <c r="BJ107" s="4265"/>
      <c r="BK107" s="157"/>
      <c r="BL107" s="157"/>
      <c r="BM107" s="157"/>
      <c r="BN107" s="157"/>
      <c r="BO107" s="157"/>
      <c r="BP107" s="157"/>
      <c r="BQ107" s="157"/>
      <c r="BR107" s="157"/>
      <c r="BS107" s="157"/>
    </row>
    <row r="108" spans="2:71" ht="18.75" customHeight="1">
      <c r="B108" s="157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4265"/>
      <c r="Q108" s="4265"/>
      <c r="R108" s="4265"/>
      <c r="S108" s="4265"/>
      <c r="T108" s="4265"/>
      <c r="U108" s="4265"/>
      <c r="V108" s="4265"/>
      <c r="W108" s="4265"/>
      <c r="X108" s="4265"/>
      <c r="Y108" s="4265"/>
      <c r="Z108" s="4265"/>
      <c r="AA108" s="4265"/>
      <c r="AB108" s="4265"/>
      <c r="AC108" s="4265"/>
      <c r="AD108" s="4265"/>
      <c r="AE108" s="4265"/>
      <c r="AF108" s="4265"/>
      <c r="AG108" s="4265"/>
      <c r="AH108" s="4265"/>
      <c r="AI108" s="4265"/>
      <c r="AJ108" s="4265"/>
      <c r="AK108" s="4265"/>
      <c r="AL108" s="4265"/>
      <c r="AM108" s="4265"/>
      <c r="AN108" s="4265"/>
      <c r="AO108" s="4265"/>
      <c r="AP108" s="4265"/>
      <c r="AQ108" s="4265"/>
      <c r="AR108" s="4265"/>
      <c r="AS108" s="4265"/>
      <c r="AT108" s="4265"/>
      <c r="AU108" s="4265"/>
      <c r="AV108" s="4265"/>
      <c r="AW108" s="4265"/>
      <c r="AX108" s="4265"/>
      <c r="AY108" s="4265"/>
      <c r="AZ108" s="4265"/>
      <c r="BA108" s="4265"/>
      <c r="BB108" s="4265"/>
      <c r="BC108" s="4265"/>
      <c r="BD108" s="4265"/>
      <c r="BE108" s="4265"/>
      <c r="BF108" s="4265"/>
      <c r="BG108" s="4265"/>
      <c r="BH108" s="4265"/>
      <c r="BI108" s="4265"/>
      <c r="BJ108" s="4265"/>
      <c r="BK108" s="157"/>
      <c r="BL108" s="157"/>
      <c r="BM108" s="157"/>
      <c r="BN108" s="157"/>
      <c r="BO108" s="157"/>
      <c r="BP108" s="157"/>
      <c r="BQ108" s="157"/>
      <c r="BR108" s="157"/>
      <c r="BS108" s="157"/>
    </row>
    <row r="109" spans="2:71" ht="18.75" customHeight="1">
      <c r="B109" s="157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4265"/>
      <c r="Q109" s="4265"/>
      <c r="R109" s="4265"/>
      <c r="S109" s="4265"/>
      <c r="T109" s="4265"/>
      <c r="U109" s="4265"/>
      <c r="V109" s="4265"/>
      <c r="W109" s="4265"/>
      <c r="X109" s="4265"/>
      <c r="Y109" s="4265"/>
      <c r="Z109" s="4265"/>
      <c r="AA109" s="4265"/>
      <c r="AB109" s="4265"/>
      <c r="AC109" s="4265"/>
      <c r="AD109" s="4265"/>
      <c r="AE109" s="4265"/>
      <c r="AF109" s="4265"/>
      <c r="AG109" s="4265"/>
      <c r="AH109" s="4265"/>
      <c r="AI109" s="4265"/>
      <c r="AJ109" s="4265"/>
      <c r="AK109" s="4265"/>
      <c r="AL109" s="4265"/>
      <c r="AM109" s="4265"/>
      <c r="AN109" s="4265"/>
      <c r="AO109" s="4265"/>
      <c r="AP109" s="4265"/>
      <c r="AQ109" s="4265"/>
      <c r="AR109" s="4265"/>
      <c r="AS109" s="4265"/>
      <c r="AT109" s="4265"/>
      <c r="AU109" s="4265"/>
      <c r="AV109" s="4265"/>
      <c r="AW109" s="4265"/>
      <c r="AX109" s="4265"/>
      <c r="AY109" s="4265"/>
      <c r="AZ109" s="4265"/>
      <c r="BA109" s="4265"/>
      <c r="BB109" s="4265"/>
      <c r="BC109" s="4265"/>
      <c r="BD109" s="4265"/>
      <c r="BE109" s="4265"/>
      <c r="BF109" s="4265"/>
      <c r="BG109" s="4265"/>
      <c r="BH109" s="4265"/>
      <c r="BI109" s="4265"/>
      <c r="BJ109" s="4265"/>
      <c r="BK109" s="157"/>
      <c r="BL109" s="157"/>
      <c r="BM109" s="157"/>
      <c r="BN109" s="157"/>
      <c r="BO109" s="157"/>
      <c r="BP109" s="157"/>
      <c r="BQ109" s="157"/>
      <c r="BR109" s="157"/>
      <c r="BS109" s="157"/>
    </row>
    <row r="110" spans="2:71" ht="18.75" customHeight="1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4265"/>
      <c r="Q110" s="4265"/>
      <c r="R110" s="4265"/>
      <c r="S110" s="4265"/>
      <c r="T110" s="4265"/>
      <c r="U110" s="4265"/>
      <c r="V110" s="4265"/>
      <c r="W110" s="4265"/>
      <c r="X110" s="4265"/>
      <c r="Y110" s="4265"/>
      <c r="Z110" s="4265"/>
      <c r="AA110" s="4265"/>
      <c r="AB110" s="4265"/>
      <c r="AC110" s="4265"/>
      <c r="AD110" s="4265"/>
      <c r="AE110" s="4265"/>
      <c r="AF110" s="4265"/>
      <c r="AG110" s="4265"/>
      <c r="AH110" s="4265"/>
      <c r="AI110" s="4265"/>
      <c r="AJ110" s="4265"/>
      <c r="AK110" s="4265"/>
      <c r="AL110" s="4265"/>
      <c r="AM110" s="4265"/>
      <c r="AN110" s="4265"/>
      <c r="AO110" s="4265"/>
      <c r="AP110" s="4265"/>
      <c r="AQ110" s="4265"/>
      <c r="AR110" s="4265"/>
      <c r="AS110" s="4265"/>
      <c r="AT110" s="4265"/>
      <c r="AU110" s="4265"/>
      <c r="AV110" s="4265"/>
      <c r="AW110" s="4265"/>
      <c r="AX110" s="4265"/>
      <c r="AY110" s="4265"/>
      <c r="AZ110" s="4265"/>
      <c r="BA110" s="4265"/>
      <c r="BB110" s="4265"/>
      <c r="BC110" s="4265"/>
      <c r="BD110" s="4265"/>
      <c r="BE110" s="4265"/>
      <c r="BF110" s="4265"/>
      <c r="BG110" s="4265"/>
      <c r="BH110" s="4265"/>
      <c r="BI110" s="4265"/>
      <c r="BJ110" s="4265"/>
      <c r="BK110" s="157"/>
      <c r="BL110" s="157"/>
      <c r="BM110" s="157"/>
      <c r="BN110" s="157"/>
      <c r="BO110" s="157"/>
      <c r="BP110" s="157"/>
      <c r="BQ110" s="157"/>
      <c r="BR110" s="157"/>
      <c r="BS110" s="157"/>
    </row>
    <row r="111" spans="2:71" ht="18.75" customHeight="1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4265"/>
      <c r="Q111" s="4265"/>
      <c r="R111" s="4265"/>
      <c r="S111" s="4265"/>
      <c r="T111" s="4265"/>
      <c r="U111" s="4265"/>
      <c r="V111" s="4265"/>
      <c r="W111" s="4265"/>
      <c r="X111" s="4265"/>
      <c r="Y111" s="4265"/>
      <c r="Z111" s="4265"/>
      <c r="AA111" s="4265"/>
      <c r="AB111" s="4265"/>
      <c r="AC111" s="4265"/>
      <c r="AD111" s="4265"/>
      <c r="AE111" s="4265"/>
      <c r="AF111" s="4265"/>
      <c r="AG111" s="4265"/>
      <c r="AH111" s="4265"/>
      <c r="AI111" s="4265"/>
      <c r="AJ111" s="4265"/>
      <c r="AK111" s="4265"/>
      <c r="AL111" s="4265"/>
      <c r="AM111" s="4265"/>
      <c r="AN111" s="4265"/>
      <c r="AO111" s="4265"/>
      <c r="AP111" s="4265"/>
      <c r="AQ111" s="4265"/>
      <c r="AR111" s="4265"/>
      <c r="AS111" s="4265"/>
      <c r="AT111" s="4265"/>
      <c r="AU111" s="4265"/>
      <c r="AV111" s="4265"/>
      <c r="AW111" s="4265"/>
      <c r="AX111" s="4265"/>
      <c r="AY111" s="4265"/>
      <c r="AZ111" s="4265"/>
      <c r="BA111" s="4265"/>
      <c r="BB111" s="4265"/>
      <c r="BC111" s="4265"/>
      <c r="BD111" s="4265"/>
      <c r="BE111" s="4265"/>
      <c r="BF111" s="4265"/>
      <c r="BG111" s="4265"/>
      <c r="BH111" s="4265"/>
      <c r="BI111" s="4265"/>
      <c r="BJ111" s="4265"/>
      <c r="BK111" s="157"/>
      <c r="BL111" s="157"/>
      <c r="BM111" s="157"/>
      <c r="BN111" s="157"/>
      <c r="BO111" s="157"/>
      <c r="BP111" s="157"/>
      <c r="BQ111" s="157"/>
      <c r="BR111" s="157"/>
      <c r="BS111" s="157"/>
    </row>
    <row r="112" spans="2:71" ht="18.75" customHeight="1"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4265"/>
      <c r="Q112" s="4265"/>
      <c r="R112" s="4265"/>
      <c r="S112" s="4265"/>
      <c r="T112" s="4265"/>
      <c r="U112" s="4265"/>
      <c r="V112" s="4265"/>
      <c r="W112" s="4265"/>
      <c r="X112" s="4265"/>
      <c r="Y112" s="4265"/>
      <c r="Z112" s="4265"/>
      <c r="AA112" s="4265"/>
      <c r="AB112" s="4265"/>
      <c r="AC112" s="4265"/>
      <c r="AD112" s="4265"/>
      <c r="AE112" s="4265"/>
      <c r="AF112" s="4265"/>
      <c r="AG112" s="4265"/>
      <c r="AH112" s="4265"/>
      <c r="AI112" s="4265"/>
      <c r="AJ112" s="4265"/>
      <c r="AK112" s="4265"/>
      <c r="AL112" s="4265"/>
      <c r="AM112" s="4265"/>
      <c r="AN112" s="4265"/>
      <c r="AO112" s="4265"/>
      <c r="AP112" s="4265"/>
      <c r="AQ112" s="4265"/>
      <c r="AR112" s="4265"/>
      <c r="AS112" s="4265"/>
      <c r="AT112" s="4265"/>
      <c r="AU112" s="4265"/>
      <c r="AV112" s="4265"/>
      <c r="AW112" s="4265"/>
      <c r="AX112" s="4265"/>
      <c r="AY112" s="4265"/>
      <c r="AZ112" s="4265"/>
      <c r="BA112" s="4265"/>
      <c r="BB112" s="4265"/>
      <c r="BC112" s="4265"/>
      <c r="BD112" s="4265"/>
      <c r="BE112" s="4265"/>
      <c r="BF112" s="4265"/>
      <c r="BG112" s="4265"/>
      <c r="BH112" s="4265"/>
      <c r="BI112" s="4265"/>
      <c r="BJ112" s="4265"/>
      <c r="BK112" s="157"/>
      <c r="BL112" s="157"/>
      <c r="BM112" s="157"/>
      <c r="BN112" s="157"/>
      <c r="BO112" s="157"/>
      <c r="BP112" s="157"/>
      <c r="BQ112" s="157"/>
      <c r="BR112" s="157"/>
      <c r="BS112" s="157"/>
    </row>
    <row r="113" spans="2:71" ht="18.75" customHeight="1"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4265"/>
      <c r="Q113" s="4265"/>
      <c r="R113" s="4265"/>
      <c r="S113" s="4265"/>
      <c r="T113" s="4265"/>
      <c r="U113" s="4265"/>
      <c r="V113" s="4265"/>
      <c r="W113" s="4265"/>
      <c r="X113" s="4265"/>
      <c r="Y113" s="4265"/>
      <c r="Z113" s="4265"/>
      <c r="AA113" s="4265"/>
      <c r="AB113" s="4265"/>
      <c r="AC113" s="4265"/>
      <c r="AD113" s="4265"/>
      <c r="AE113" s="4265"/>
      <c r="AF113" s="4265"/>
      <c r="AG113" s="4265"/>
      <c r="AH113" s="4265"/>
      <c r="AI113" s="4265"/>
      <c r="AJ113" s="4265"/>
      <c r="AK113" s="4265"/>
      <c r="AL113" s="4265"/>
      <c r="AM113" s="4265"/>
      <c r="AN113" s="4265"/>
      <c r="AO113" s="4265"/>
      <c r="AP113" s="4265"/>
      <c r="AQ113" s="4265"/>
      <c r="AR113" s="4265"/>
      <c r="AS113" s="4265"/>
      <c r="AT113" s="4265"/>
      <c r="AU113" s="4265"/>
      <c r="AV113" s="4265"/>
      <c r="AW113" s="4265"/>
      <c r="AX113" s="4265"/>
      <c r="AY113" s="4265"/>
      <c r="AZ113" s="4265"/>
      <c r="BA113" s="4265"/>
      <c r="BB113" s="4265"/>
      <c r="BC113" s="4265"/>
      <c r="BD113" s="4265"/>
      <c r="BE113" s="4265"/>
      <c r="BF113" s="4265"/>
      <c r="BG113" s="4265"/>
      <c r="BH113" s="4265"/>
      <c r="BI113" s="4265"/>
      <c r="BJ113" s="4265"/>
      <c r="BK113" s="157"/>
      <c r="BL113" s="157"/>
      <c r="BM113" s="157"/>
      <c r="BN113" s="157"/>
      <c r="BO113" s="157"/>
      <c r="BP113" s="157"/>
      <c r="BQ113" s="157"/>
      <c r="BR113" s="157"/>
      <c r="BS113" s="157"/>
    </row>
    <row r="114" spans="2:71" ht="18.75" customHeight="1">
      <c r="B114" s="157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4265"/>
      <c r="Q114" s="4265"/>
      <c r="R114" s="4265"/>
      <c r="S114" s="4265"/>
      <c r="T114" s="4265"/>
      <c r="U114" s="4265"/>
      <c r="V114" s="4265"/>
      <c r="W114" s="4265"/>
      <c r="X114" s="4265"/>
      <c r="Y114" s="4265"/>
      <c r="Z114" s="4265"/>
      <c r="AA114" s="4265"/>
      <c r="AB114" s="4265"/>
      <c r="AC114" s="4265"/>
      <c r="AD114" s="4265"/>
      <c r="AE114" s="4265"/>
      <c r="AF114" s="4265"/>
      <c r="AG114" s="4265"/>
      <c r="AH114" s="4265"/>
      <c r="AI114" s="4265"/>
      <c r="AJ114" s="4265"/>
      <c r="AK114" s="4265"/>
      <c r="AL114" s="4265"/>
      <c r="AM114" s="4265"/>
      <c r="AN114" s="4265"/>
      <c r="AO114" s="4265"/>
      <c r="AP114" s="4265"/>
      <c r="AQ114" s="4265"/>
      <c r="AR114" s="4265"/>
      <c r="AS114" s="4265"/>
      <c r="AT114" s="4265"/>
      <c r="AU114" s="4265"/>
      <c r="AV114" s="4265"/>
      <c r="AW114" s="4265"/>
      <c r="AX114" s="4265"/>
      <c r="AY114" s="4265"/>
      <c r="AZ114" s="4265"/>
      <c r="BA114" s="4265"/>
      <c r="BB114" s="4265"/>
      <c r="BC114" s="4265"/>
      <c r="BD114" s="4265"/>
      <c r="BE114" s="4265"/>
      <c r="BF114" s="4265"/>
      <c r="BG114" s="4265"/>
      <c r="BH114" s="4265"/>
      <c r="BI114" s="4265"/>
      <c r="BJ114" s="4265"/>
      <c r="BK114" s="157"/>
      <c r="BL114" s="157"/>
      <c r="BM114" s="157"/>
      <c r="BN114" s="157"/>
      <c r="BO114" s="157"/>
      <c r="BP114" s="157"/>
      <c r="BQ114" s="157"/>
      <c r="BR114" s="157"/>
      <c r="BS114" s="157"/>
    </row>
    <row r="115" spans="2:71" ht="18.75" customHeight="1"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4265"/>
      <c r="Q115" s="4265"/>
      <c r="R115" s="4265"/>
      <c r="S115" s="4265"/>
      <c r="T115" s="4265"/>
      <c r="U115" s="4265"/>
      <c r="V115" s="4265"/>
      <c r="W115" s="4265"/>
      <c r="X115" s="4265"/>
      <c r="Y115" s="4265"/>
      <c r="Z115" s="4265"/>
      <c r="AA115" s="4265"/>
      <c r="AB115" s="4265"/>
      <c r="AC115" s="4265"/>
      <c r="AD115" s="4265"/>
      <c r="AE115" s="4265"/>
      <c r="AF115" s="4265"/>
      <c r="AG115" s="4265"/>
      <c r="AH115" s="4265"/>
      <c r="AI115" s="4265"/>
      <c r="AJ115" s="4265"/>
      <c r="AK115" s="4265"/>
      <c r="AL115" s="4265"/>
      <c r="AM115" s="4265"/>
      <c r="AN115" s="4265"/>
      <c r="AO115" s="4265"/>
      <c r="AP115" s="4265"/>
      <c r="AQ115" s="4265"/>
      <c r="AR115" s="4265"/>
      <c r="AS115" s="4265"/>
      <c r="AT115" s="4265"/>
      <c r="AU115" s="4265"/>
      <c r="AV115" s="4265"/>
      <c r="AW115" s="4265"/>
      <c r="AX115" s="4265"/>
      <c r="AY115" s="4265"/>
      <c r="AZ115" s="4265"/>
      <c r="BA115" s="4265"/>
      <c r="BB115" s="4265"/>
      <c r="BC115" s="4265"/>
      <c r="BD115" s="4265"/>
      <c r="BE115" s="4265"/>
      <c r="BF115" s="4265"/>
      <c r="BG115" s="4265"/>
      <c r="BH115" s="4265"/>
      <c r="BI115" s="4265"/>
      <c r="BJ115" s="4265"/>
      <c r="BK115" s="157"/>
      <c r="BL115" s="157"/>
      <c r="BM115" s="157"/>
      <c r="BN115" s="157"/>
      <c r="BO115" s="157"/>
      <c r="BP115" s="157"/>
      <c r="BQ115" s="157"/>
      <c r="BR115" s="157"/>
      <c r="BS115" s="157"/>
    </row>
    <row r="116" spans="2:71" ht="18.75" customHeight="1"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4265"/>
      <c r="Q116" s="4265"/>
      <c r="R116" s="4265"/>
      <c r="S116" s="4265"/>
      <c r="T116" s="4265"/>
      <c r="U116" s="4265"/>
      <c r="V116" s="4265"/>
      <c r="W116" s="4265"/>
      <c r="X116" s="4265"/>
      <c r="Y116" s="4265"/>
      <c r="Z116" s="4265"/>
      <c r="AA116" s="4265"/>
      <c r="AB116" s="4265"/>
      <c r="AC116" s="4265"/>
      <c r="AD116" s="4265"/>
      <c r="AE116" s="4265"/>
      <c r="AF116" s="4265"/>
      <c r="AG116" s="4265"/>
      <c r="AH116" s="4265"/>
      <c r="AI116" s="4265"/>
      <c r="AJ116" s="4265"/>
      <c r="AK116" s="4265"/>
      <c r="AL116" s="4265"/>
      <c r="AM116" s="4265"/>
      <c r="AN116" s="4265"/>
      <c r="AO116" s="4265"/>
      <c r="AP116" s="4265"/>
      <c r="AQ116" s="4265"/>
      <c r="AR116" s="4265"/>
      <c r="AS116" s="4265"/>
      <c r="AT116" s="4265"/>
      <c r="AU116" s="4265"/>
      <c r="AV116" s="4265"/>
      <c r="AW116" s="4265"/>
      <c r="AX116" s="4265"/>
      <c r="AY116" s="4265"/>
      <c r="AZ116" s="4265"/>
      <c r="BA116" s="4265"/>
      <c r="BB116" s="4265"/>
      <c r="BC116" s="4265"/>
      <c r="BD116" s="4265"/>
      <c r="BE116" s="4265"/>
      <c r="BF116" s="4265"/>
      <c r="BG116" s="4265"/>
      <c r="BH116" s="4265"/>
      <c r="BI116" s="4265"/>
      <c r="BJ116" s="4265"/>
      <c r="BK116" s="157"/>
      <c r="BL116" s="157"/>
      <c r="BM116" s="157"/>
      <c r="BN116" s="157"/>
      <c r="BO116" s="157"/>
      <c r="BP116" s="157"/>
      <c r="BQ116" s="157"/>
      <c r="BR116" s="157"/>
      <c r="BS116" s="157"/>
    </row>
    <row r="117" spans="2:71" ht="18.75" customHeight="1">
      <c r="B117" s="157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4265"/>
      <c r="Q117" s="4265"/>
      <c r="R117" s="4265"/>
      <c r="S117" s="4265"/>
      <c r="T117" s="4265"/>
      <c r="U117" s="4265"/>
      <c r="V117" s="4265"/>
      <c r="W117" s="4265"/>
      <c r="X117" s="4265"/>
      <c r="Y117" s="4265"/>
      <c r="Z117" s="4265"/>
      <c r="AA117" s="4265"/>
      <c r="AB117" s="4265"/>
      <c r="AC117" s="4265"/>
      <c r="AD117" s="4265"/>
      <c r="AE117" s="4265"/>
      <c r="AF117" s="4265"/>
      <c r="AG117" s="4265"/>
      <c r="AH117" s="4265"/>
      <c r="AI117" s="4265"/>
      <c r="AJ117" s="4265"/>
      <c r="AK117" s="4265"/>
      <c r="AL117" s="4265"/>
      <c r="AM117" s="4265"/>
      <c r="AN117" s="4265"/>
      <c r="AO117" s="4265"/>
      <c r="AP117" s="4265"/>
      <c r="AQ117" s="4265"/>
      <c r="AR117" s="4265"/>
      <c r="AS117" s="4265"/>
      <c r="AT117" s="4265"/>
      <c r="AU117" s="4265"/>
      <c r="AV117" s="4265"/>
      <c r="AW117" s="4265"/>
      <c r="AX117" s="4265"/>
      <c r="AY117" s="4265"/>
      <c r="AZ117" s="4265"/>
      <c r="BA117" s="4265"/>
      <c r="BB117" s="4265"/>
      <c r="BC117" s="4265"/>
      <c r="BD117" s="4265"/>
      <c r="BE117" s="4265"/>
      <c r="BF117" s="4265"/>
      <c r="BG117" s="4265"/>
      <c r="BH117" s="4265"/>
      <c r="BI117" s="4265"/>
      <c r="BJ117" s="4265"/>
      <c r="BK117" s="157"/>
      <c r="BL117" s="157"/>
      <c r="BM117" s="157"/>
      <c r="BN117" s="157"/>
      <c r="BO117" s="157"/>
      <c r="BP117" s="157"/>
      <c r="BQ117" s="157"/>
      <c r="BR117" s="157"/>
      <c r="BS117" s="157"/>
    </row>
    <row r="118" spans="2:71" ht="18.75" customHeight="1">
      <c r="B118" s="157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4265"/>
      <c r="Q118" s="4265"/>
      <c r="R118" s="4265"/>
      <c r="S118" s="4265"/>
      <c r="T118" s="4265"/>
      <c r="U118" s="4265"/>
      <c r="V118" s="4265"/>
      <c r="W118" s="4265"/>
      <c r="X118" s="4265"/>
      <c r="Y118" s="4265"/>
      <c r="Z118" s="4265"/>
      <c r="AA118" s="4265"/>
      <c r="AB118" s="4265"/>
      <c r="AC118" s="4265"/>
      <c r="AD118" s="4265"/>
      <c r="AE118" s="4265"/>
      <c r="AF118" s="4265"/>
      <c r="AG118" s="4265"/>
      <c r="AH118" s="4265"/>
      <c r="AI118" s="4265"/>
      <c r="AJ118" s="4265"/>
      <c r="AK118" s="4265"/>
      <c r="AL118" s="4265"/>
      <c r="AM118" s="4265"/>
      <c r="AN118" s="4265"/>
      <c r="AO118" s="4265"/>
      <c r="AP118" s="4265"/>
      <c r="AQ118" s="4265"/>
      <c r="AR118" s="4265"/>
      <c r="AS118" s="4265"/>
      <c r="AT118" s="4265"/>
      <c r="AU118" s="4265"/>
      <c r="AV118" s="4265"/>
      <c r="AW118" s="4265"/>
      <c r="AX118" s="4265"/>
      <c r="AY118" s="4265"/>
      <c r="AZ118" s="4265"/>
      <c r="BA118" s="4265"/>
      <c r="BB118" s="4265"/>
      <c r="BC118" s="4265"/>
      <c r="BD118" s="4265"/>
      <c r="BE118" s="4265"/>
      <c r="BF118" s="4265"/>
      <c r="BG118" s="4265"/>
      <c r="BH118" s="4265"/>
      <c r="BI118" s="4265"/>
      <c r="BJ118" s="4265"/>
      <c r="BK118" s="157"/>
      <c r="BL118" s="157"/>
      <c r="BM118" s="157"/>
      <c r="BN118" s="157"/>
      <c r="BO118" s="157"/>
      <c r="BP118" s="157"/>
      <c r="BQ118" s="157"/>
      <c r="BR118" s="157"/>
      <c r="BS118" s="157"/>
    </row>
    <row r="119" spans="2:71" ht="18.75" customHeight="1"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4265"/>
      <c r="Q119" s="4265"/>
      <c r="R119" s="4265"/>
      <c r="S119" s="4265"/>
      <c r="T119" s="4265"/>
      <c r="U119" s="4265"/>
      <c r="V119" s="4265"/>
      <c r="W119" s="4265"/>
      <c r="X119" s="4265"/>
      <c r="Y119" s="4265"/>
      <c r="Z119" s="4265"/>
      <c r="AA119" s="4265"/>
      <c r="AB119" s="4265"/>
      <c r="AC119" s="4265"/>
      <c r="AD119" s="4265"/>
      <c r="AE119" s="4265"/>
      <c r="AF119" s="4265"/>
      <c r="AG119" s="4265"/>
      <c r="AH119" s="4265"/>
      <c r="AI119" s="4265"/>
      <c r="AJ119" s="4265"/>
      <c r="AK119" s="4265"/>
      <c r="AL119" s="4265"/>
      <c r="AM119" s="4265"/>
      <c r="AN119" s="4265"/>
      <c r="AO119" s="4265"/>
      <c r="AP119" s="4265"/>
      <c r="AQ119" s="4265"/>
      <c r="AR119" s="4265"/>
      <c r="AS119" s="4265"/>
      <c r="AT119" s="4265"/>
      <c r="AU119" s="4265"/>
      <c r="AV119" s="4265"/>
      <c r="AW119" s="4265"/>
      <c r="AX119" s="4265"/>
      <c r="AY119" s="4265"/>
      <c r="AZ119" s="4265"/>
      <c r="BA119" s="4265"/>
      <c r="BB119" s="4265"/>
      <c r="BC119" s="4265"/>
      <c r="BD119" s="4265"/>
      <c r="BE119" s="4265"/>
      <c r="BF119" s="4265"/>
      <c r="BG119" s="4265"/>
      <c r="BH119" s="4265"/>
      <c r="BI119" s="4265"/>
      <c r="BJ119" s="4265"/>
      <c r="BK119" s="157"/>
      <c r="BL119" s="157"/>
      <c r="BM119" s="157"/>
      <c r="BN119" s="157"/>
      <c r="BO119" s="157"/>
      <c r="BP119" s="157"/>
      <c r="BQ119" s="157"/>
      <c r="BR119" s="157"/>
      <c r="BS119" s="157"/>
    </row>
    <row r="120" spans="2:71" ht="18.75" customHeight="1">
      <c r="B120" s="157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4265"/>
      <c r="Q120" s="4265"/>
      <c r="R120" s="4265"/>
      <c r="S120" s="4265"/>
      <c r="T120" s="4265"/>
      <c r="U120" s="4265"/>
      <c r="V120" s="4265"/>
      <c r="W120" s="4265"/>
      <c r="X120" s="4265"/>
      <c r="Y120" s="4265"/>
      <c r="Z120" s="4265"/>
      <c r="AA120" s="4265"/>
      <c r="AB120" s="4265"/>
      <c r="AC120" s="4265"/>
      <c r="AD120" s="4265"/>
      <c r="AE120" s="4265"/>
      <c r="AF120" s="4265"/>
      <c r="AG120" s="4265"/>
      <c r="AH120" s="4265"/>
      <c r="AI120" s="4265"/>
      <c r="AJ120" s="4265"/>
      <c r="AK120" s="4265"/>
      <c r="AL120" s="4265"/>
      <c r="AM120" s="4265"/>
      <c r="AN120" s="4265"/>
      <c r="AO120" s="4265"/>
      <c r="AP120" s="4265"/>
      <c r="AQ120" s="4265"/>
      <c r="AR120" s="4265"/>
      <c r="AS120" s="4265"/>
      <c r="AT120" s="4265"/>
      <c r="AU120" s="4265"/>
      <c r="AV120" s="4265"/>
      <c r="AW120" s="4265"/>
      <c r="AX120" s="4265"/>
      <c r="AY120" s="4265"/>
      <c r="AZ120" s="4265"/>
      <c r="BA120" s="4265"/>
      <c r="BB120" s="4265"/>
      <c r="BC120" s="4265"/>
      <c r="BD120" s="4265"/>
      <c r="BE120" s="4265"/>
      <c r="BF120" s="4265"/>
      <c r="BG120" s="4265"/>
      <c r="BH120" s="4265"/>
      <c r="BI120" s="4265"/>
      <c r="BJ120" s="4265"/>
      <c r="BK120" s="157"/>
      <c r="BL120" s="157"/>
      <c r="BM120" s="157"/>
      <c r="BN120" s="157"/>
      <c r="BO120" s="157"/>
      <c r="BP120" s="157"/>
      <c r="BQ120" s="157"/>
      <c r="BR120" s="157"/>
      <c r="BS120" s="157"/>
    </row>
    <row r="121" spans="2:71" ht="18.75" customHeight="1">
      <c r="B121" s="157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4265"/>
      <c r="Q121" s="4265"/>
      <c r="R121" s="4265"/>
      <c r="S121" s="4265"/>
      <c r="T121" s="4265"/>
      <c r="U121" s="4265"/>
      <c r="V121" s="4265"/>
      <c r="W121" s="4265"/>
      <c r="X121" s="4265"/>
      <c r="Y121" s="4265"/>
      <c r="Z121" s="4265"/>
      <c r="AA121" s="4265"/>
      <c r="AB121" s="4265"/>
      <c r="AC121" s="4265"/>
      <c r="AD121" s="4265"/>
      <c r="AE121" s="4265"/>
      <c r="AF121" s="4265"/>
      <c r="AG121" s="4265"/>
      <c r="AH121" s="4265"/>
      <c r="AI121" s="4265"/>
      <c r="AJ121" s="4265"/>
      <c r="AK121" s="4265"/>
      <c r="AL121" s="4265"/>
      <c r="AM121" s="4265"/>
      <c r="AN121" s="4265"/>
      <c r="AO121" s="4265"/>
      <c r="AP121" s="4265"/>
      <c r="AQ121" s="4265"/>
      <c r="AR121" s="4265"/>
      <c r="AS121" s="4265"/>
      <c r="AT121" s="4265"/>
      <c r="AU121" s="4265"/>
      <c r="AV121" s="4265"/>
      <c r="AW121" s="4265"/>
      <c r="AX121" s="4265"/>
      <c r="AY121" s="4265"/>
      <c r="AZ121" s="4265"/>
      <c r="BA121" s="4265"/>
      <c r="BB121" s="4265"/>
      <c r="BC121" s="4265"/>
      <c r="BD121" s="4265"/>
      <c r="BE121" s="4265"/>
      <c r="BF121" s="4265"/>
      <c r="BG121" s="4265"/>
      <c r="BH121" s="4265"/>
      <c r="BI121" s="4265"/>
      <c r="BJ121" s="4265"/>
      <c r="BK121" s="157"/>
      <c r="BL121" s="157"/>
      <c r="BM121" s="157"/>
      <c r="BN121" s="157"/>
      <c r="BO121" s="157"/>
      <c r="BP121" s="157"/>
      <c r="BQ121" s="157"/>
      <c r="BR121" s="157"/>
      <c r="BS121" s="157"/>
    </row>
    <row r="122" spans="2:71" ht="18.75" customHeight="1">
      <c r="B122" s="157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4265"/>
      <c r="Q122" s="4265"/>
      <c r="R122" s="4265"/>
      <c r="S122" s="4265"/>
      <c r="T122" s="4265"/>
      <c r="U122" s="4265"/>
      <c r="V122" s="4265"/>
      <c r="W122" s="4265"/>
      <c r="X122" s="4265"/>
      <c r="Y122" s="4265"/>
      <c r="Z122" s="4265"/>
      <c r="AA122" s="4265"/>
      <c r="AB122" s="4265"/>
      <c r="AC122" s="4265"/>
      <c r="AD122" s="4265"/>
      <c r="AE122" s="4265"/>
      <c r="AF122" s="4265"/>
      <c r="AG122" s="4265"/>
      <c r="AH122" s="4265"/>
      <c r="AI122" s="4265"/>
      <c r="AJ122" s="4265"/>
      <c r="AK122" s="4265"/>
      <c r="AL122" s="4265"/>
      <c r="AM122" s="4265"/>
      <c r="AN122" s="4265"/>
      <c r="AO122" s="4265"/>
      <c r="AP122" s="4265"/>
      <c r="AQ122" s="4265"/>
      <c r="AR122" s="4265"/>
      <c r="AS122" s="4265"/>
      <c r="AT122" s="4265"/>
      <c r="AU122" s="4265"/>
      <c r="AV122" s="4265"/>
      <c r="AW122" s="4265"/>
      <c r="AX122" s="4265"/>
      <c r="AY122" s="4265"/>
      <c r="AZ122" s="4265"/>
      <c r="BA122" s="4265"/>
      <c r="BB122" s="4265"/>
      <c r="BC122" s="4265"/>
      <c r="BD122" s="4265"/>
      <c r="BE122" s="4265"/>
      <c r="BF122" s="4265"/>
      <c r="BG122" s="4265"/>
      <c r="BH122" s="4265"/>
      <c r="BI122" s="4265"/>
      <c r="BJ122" s="4265"/>
      <c r="BK122" s="157"/>
      <c r="BL122" s="157"/>
      <c r="BM122" s="157"/>
      <c r="BN122" s="157"/>
      <c r="BO122" s="157"/>
      <c r="BP122" s="157"/>
      <c r="BQ122" s="157"/>
      <c r="BR122" s="157"/>
      <c r="BS122" s="157"/>
    </row>
    <row r="123" spans="2:71" ht="18.75" customHeight="1"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4265"/>
      <c r="Q123" s="4265"/>
      <c r="R123" s="4265"/>
      <c r="S123" s="4265"/>
      <c r="T123" s="4265"/>
      <c r="U123" s="4265"/>
      <c r="V123" s="4265"/>
      <c r="W123" s="4265"/>
      <c r="X123" s="4265"/>
      <c r="Y123" s="4265"/>
      <c r="Z123" s="4265"/>
      <c r="AA123" s="4265"/>
      <c r="AB123" s="4265"/>
      <c r="AC123" s="4265"/>
      <c r="AD123" s="4265"/>
      <c r="AE123" s="4265"/>
      <c r="AF123" s="4265"/>
      <c r="AG123" s="4265"/>
      <c r="AH123" s="4265"/>
      <c r="AI123" s="4265"/>
      <c r="AJ123" s="4265"/>
      <c r="AK123" s="4265"/>
      <c r="AL123" s="4265"/>
      <c r="AM123" s="4265"/>
      <c r="AN123" s="4265"/>
      <c r="AO123" s="4265"/>
      <c r="AP123" s="4265"/>
      <c r="AQ123" s="4265"/>
      <c r="AR123" s="4265"/>
      <c r="AS123" s="4265"/>
      <c r="AT123" s="4265"/>
      <c r="AU123" s="4265"/>
      <c r="AV123" s="4265"/>
      <c r="AW123" s="4265"/>
      <c r="AX123" s="4265"/>
      <c r="AY123" s="4265"/>
      <c r="AZ123" s="4265"/>
      <c r="BA123" s="4265"/>
      <c r="BB123" s="4265"/>
      <c r="BC123" s="4265"/>
      <c r="BD123" s="4265"/>
      <c r="BE123" s="4265"/>
      <c r="BF123" s="4265"/>
      <c r="BG123" s="4265"/>
      <c r="BH123" s="4265"/>
      <c r="BI123" s="4265"/>
      <c r="BJ123" s="4265"/>
      <c r="BK123" s="157"/>
      <c r="BL123" s="157"/>
      <c r="BM123" s="157"/>
      <c r="BN123" s="157"/>
      <c r="BO123" s="157"/>
      <c r="BP123" s="157"/>
      <c r="BQ123" s="157"/>
      <c r="BR123" s="157"/>
      <c r="BS123" s="157"/>
    </row>
    <row r="124" spans="2:71" ht="18.75" customHeight="1">
      <c r="B124" s="157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4265"/>
      <c r="Q124" s="4265"/>
      <c r="R124" s="4265"/>
      <c r="S124" s="4265"/>
      <c r="T124" s="4265"/>
      <c r="U124" s="4265"/>
      <c r="V124" s="4265"/>
      <c r="W124" s="4265"/>
      <c r="X124" s="4265"/>
      <c r="Y124" s="4265"/>
      <c r="Z124" s="4265"/>
      <c r="AA124" s="4265"/>
      <c r="AB124" s="4265"/>
      <c r="AC124" s="4265"/>
      <c r="AD124" s="4265"/>
      <c r="AE124" s="4265"/>
      <c r="AF124" s="4265"/>
      <c r="AG124" s="4265"/>
      <c r="AH124" s="4265"/>
      <c r="AI124" s="4265"/>
      <c r="AJ124" s="4265"/>
      <c r="AK124" s="4265"/>
      <c r="AL124" s="4265"/>
      <c r="AM124" s="4265"/>
      <c r="AN124" s="4265"/>
      <c r="AO124" s="4265"/>
      <c r="AP124" s="4265"/>
      <c r="AQ124" s="4265"/>
      <c r="AR124" s="4265"/>
      <c r="AS124" s="4265"/>
      <c r="AT124" s="4265"/>
      <c r="AU124" s="4265"/>
      <c r="AV124" s="4265"/>
      <c r="AW124" s="4265"/>
      <c r="AX124" s="4265"/>
      <c r="AY124" s="4265"/>
      <c r="AZ124" s="4265"/>
      <c r="BA124" s="4265"/>
      <c r="BB124" s="4265"/>
      <c r="BC124" s="4265"/>
      <c r="BD124" s="4265"/>
      <c r="BE124" s="4265"/>
      <c r="BF124" s="4265"/>
      <c r="BG124" s="4265"/>
      <c r="BH124" s="4265"/>
      <c r="BI124" s="4265"/>
      <c r="BJ124" s="4265"/>
      <c r="BK124" s="157"/>
      <c r="BL124" s="157"/>
      <c r="BM124" s="157"/>
      <c r="BN124" s="157"/>
      <c r="BO124" s="157"/>
      <c r="BP124" s="157"/>
      <c r="BQ124" s="157"/>
      <c r="BR124" s="157"/>
      <c r="BS124" s="157"/>
    </row>
    <row r="125" spans="2:71" ht="18.75" customHeight="1">
      <c r="B125" s="157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4265"/>
      <c r="Q125" s="4265"/>
      <c r="R125" s="4265"/>
      <c r="S125" s="4265"/>
      <c r="T125" s="4265"/>
      <c r="U125" s="4265"/>
      <c r="V125" s="4265"/>
      <c r="W125" s="4265"/>
      <c r="X125" s="4265"/>
      <c r="Y125" s="4265"/>
      <c r="Z125" s="4265"/>
      <c r="AA125" s="4265"/>
      <c r="AB125" s="4265"/>
      <c r="AC125" s="4265"/>
      <c r="AD125" s="4265"/>
      <c r="AE125" s="4265"/>
      <c r="AF125" s="4265"/>
      <c r="AG125" s="4265"/>
      <c r="AH125" s="4265"/>
      <c r="AI125" s="4265"/>
      <c r="AJ125" s="4265"/>
      <c r="AK125" s="4265"/>
      <c r="AL125" s="4265"/>
      <c r="AM125" s="4265"/>
      <c r="AN125" s="4265"/>
      <c r="AO125" s="4265"/>
      <c r="AP125" s="4265"/>
      <c r="AQ125" s="4265"/>
      <c r="AR125" s="4265"/>
      <c r="AS125" s="4265"/>
      <c r="AT125" s="4265"/>
      <c r="AU125" s="4265"/>
      <c r="AV125" s="4265"/>
      <c r="AW125" s="4265"/>
      <c r="AX125" s="4265"/>
      <c r="AY125" s="4265"/>
      <c r="AZ125" s="4265"/>
      <c r="BA125" s="4265"/>
      <c r="BB125" s="4265"/>
      <c r="BC125" s="4265"/>
      <c r="BD125" s="4265"/>
      <c r="BE125" s="4265"/>
      <c r="BF125" s="4265"/>
      <c r="BG125" s="4265"/>
      <c r="BH125" s="4265"/>
      <c r="BI125" s="4265"/>
      <c r="BJ125" s="4265"/>
      <c r="BK125" s="157"/>
      <c r="BL125" s="157"/>
      <c r="BM125" s="157"/>
      <c r="BN125" s="157"/>
      <c r="BO125" s="157"/>
      <c r="BP125" s="157"/>
      <c r="BQ125" s="157"/>
      <c r="BR125" s="157"/>
      <c r="BS125" s="157"/>
    </row>
    <row r="126" spans="2:71" ht="18.75" customHeight="1"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4265"/>
      <c r="Q126" s="4265"/>
      <c r="R126" s="4265"/>
      <c r="S126" s="4265"/>
      <c r="T126" s="4265"/>
      <c r="U126" s="4265"/>
      <c r="V126" s="4265"/>
      <c r="W126" s="4265"/>
      <c r="X126" s="4265"/>
      <c r="Y126" s="4265"/>
      <c r="Z126" s="4265"/>
      <c r="AA126" s="4265"/>
      <c r="AB126" s="4265"/>
      <c r="AC126" s="4265"/>
      <c r="AD126" s="4265"/>
      <c r="AE126" s="4265"/>
      <c r="AF126" s="4265"/>
      <c r="AG126" s="4265"/>
      <c r="AH126" s="4265"/>
      <c r="AI126" s="4265"/>
      <c r="AJ126" s="4265"/>
      <c r="AK126" s="4265"/>
      <c r="AL126" s="4265"/>
      <c r="AM126" s="4265"/>
      <c r="AN126" s="4265"/>
      <c r="AO126" s="4265"/>
      <c r="AP126" s="4265"/>
      <c r="AQ126" s="4265"/>
      <c r="AR126" s="4265"/>
      <c r="AS126" s="4265"/>
      <c r="AT126" s="4265"/>
      <c r="AU126" s="4265"/>
      <c r="AV126" s="4265"/>
      <c r="AW126" s="4265"/>
      <c r="AX126" s="4265"/>
      <c r="AY126" s="4265"/>
      <c r="AZ126" s="4265"/>
      <c r="BA126" s="4265"/>
      <c r="BB126" s="4265"/>
      <c r="BC126" s="4265"/>
      <c r="BD126" s="4265"/>
      <c r="BE126" s="4265"/>
      <c r="BF126" s="4265"/>
      <c r="BG126" s="4265"/>
      <c r="BH126" s="4265"/>
      <c r="BI126" s="4265"/>
      <c r="BJ126" s="4265"/>
      <c r="BK126" s="157"/>
      <c r="BL126" s="157"/>
      <c r="BM126" s="157"/>
      <c r="BN126" s="157"/>
      <c r="BO126" s="157"/>
      <c r="BP126" s="157"/>
      <c r="BQ126" s="157"/>
      <c r="BR126" s="157"/>
      <c r="BS126" s="157"/>
    </row>
    <row r="127" spans="2:71" ht="18.75" customHeight="1">
      <c r="B127" s="157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4265"/>
      <c r="Q127" s="4265"/>
      <c r="R127" s="4265"/>
      <c r="S127" s="4265"/>
      <c r="T127" s="4265"/>
      <c r="U127" s="4265"/>
      <c r="V127" s="4265"/>
      <c r="W127" s="4265"/>
      <c r="X127" s="4265"/>
      <c r="Y127" s="4265"/>
      <c r="Z127" s="4265"/>
      <c r="AA127" s="4265"/>
      <c r="AB127" s="4265"/>
      <c r="AC127" s="4265"/>
      <c r="AD127" s="4265"/>
      <c r="AE127" s="4265"/>
      <c r="AF127" s="4265"/>
      <c r="AG127" s="4265"/>
      <c r="AH127" s="4265"/>
      <c r="AI127" s="4265"/>
      <c r="AJ127" s="4265"/>
      <c r="AK127" s="4265"/>
      <c r="AL127" s="4265"/>
      <c r="AM127" s="4265"/>
      <c r="AN127" s="4265"/>
      <c r="AO127" s="4265"/>
      <c r="AP127" s="4265"/>
      <c r="AQ127" s="4265"/>
      <c r="AR127" s="4265"/>
      <c r="AS127" s="4265"/>
      <c r="AT127" s="4265"/>
      <c r="AU127" s="4265"/>
      <c r="AV127" s="4265"/>
      <c r="AW127" s="4265"/>
      <c r="AX127" s="4265"/>
      <c r="AY127" s="4265"/>
      <c r="AZ127" s="4265"/>
      <c r="BA127" s="4265"/>
      <c r="BB127" s="4265"/>
      <c r="BC127" s="4265"/>
      <c r="BD127" s="4265"/>
      <c r="BE127" s="4265"/>
      <c r="BF127" s="4265"/>
      <c r="BG127" s="4265"/>
      <c r="BH127" s="4265"/>
      <c r="BI127" s="4265"/>
      <c r="BJ127" s="4265"/>
      <c r="BK127" s="157"/>
      <c r="BL127" s="157"/>
      <c r="BM127" s="157"/>
      <c r="BN127" s="157"/>
      <c r="BO127" s="157"/>
      <c r="BP127" s="157"/>
      <c r="BQ127" s="157"/>
      <c r="BR127" s="157"/>
      <c r="BS127" s="157"/>
    </row>
    <row r="128" spans="2:71" ht="18.75" customHeight="1">
      <c r="B128" s="157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4265"/>
      <c r="Q128" s="4265"/>
      <c r="R128" s="4265"/>
      <c r="S128" s="4265"/>
      <c r="T128" s="4265"/>
      <c r="U128" s="4265"/>
      <c r="V128" s="4265"/>
      <c r="W128" s="4265"/>
      <c r="X128" s="4265"/>
      <c r="Y128" s="4265"/>
      <c r="Z128" s="4265"/>
      <c r="AA128" s="4265"/>
      <c r="AB128" s="4265"/>
      <c r="AC128" s="4265"/>
      <c r="AD128" s="4265"/>
      <c r="AE128" s="4265"/>
      <c r="AF128" s="4265"/>
      <c r="AG128" s="4265"/>
      <c r="AH128" s="4265"/>
      <c r="AI128" s="4265"/>
      <c r="AJ128" s="4265"/>
      <c r="AK128" s="4265"/>
      <c r="AL128" s="4265"/>
      <c r="AM128" s="4265"/>
      <c r="AN128" s="4265"/>
      <c r="AO128" s="4265"/>
      <c r="AP128" s="4265"/>
      <c r="AQ128" s="4265"/>
      <c r="AR128" s="4265"/>
      <c r="AS128" s="4265"/>
      <c r="AT128" s="4265"/>
      <c r="AU128" s="4265"/>
      <c r="AV128" s="4265"/>
      <c r="AW128" s="4265"/>
      <c r="AX128" s="4265"/>
      <c r="AY128" s="4265"/>
      <c r="AZ128" s="4265"/>
      <c r="BA128" s="4265"/>
      <c r="BB128" s="4265"/>
      <c r="BC128" s="4265"/>
      <c r="BD128" s="4265"/>
      <c r="BE128" s="4265"/>
      <c r="BF128" s="4265"/>
      <c r="BG128" s="4265"/>
      <c r="BH128" s="4265"/>
      <c r="BI128" s="4265"/>
      <c r="BJ128" s="4265"/>
      <c r="BK128" s="157"/>
      <c r="BL128" s="157"/>
      <c r="BM128" s="157"/>
      <c r="BN128" s="157"/>
      <c r="BO128" s="157"/>
      <c r="BP128" s="157"/>
      <c r="BQ128" s="157"/>
      <c r="BR128" s="157"/>
      <c r="BS128" s="157"/>
    </row>
    <row r="129" spans="2:71" ht="18.75" customHeight="1">
      <c r="B129" s="157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4265"/>
      <c r="Q129" s="4265"/>
      <c r="R129" s="4265"/>
      <c r="S129" s="4265"/>
      <c r="T129" s="4265"/>
      <c r="U129" s="4265"/>
      <c r="V129" s="4265"/>
      <c r="W129" s="4265"/>
      <c r="X129" s="4265"/>
      <c r="Y129" s="4265"/>
      <c r="Z129" s="4265"/>
      <c r="AA129" s="4265"/>
      <c r="AB129" s="4265"/>
      <c r="AC129" s="4265"/>
      <c r="AD129" s="4265"/>
      <c r="AE129" s="4265"/>
      <c r="AF129" s="4265"/>
      <c r="AG129" s="4265"/>
      <c r="AH129" s="4265"/>
      <c r="AI129" s="4265"/>
      <c r="AJ129" s="4265"/>
      <c r="AK129" s="4265"/>
      <c r="AL129" s="4265"/>
      <c r="AM129" s="4265"/>
      <c r="AN129" s="4265"/>
      <c r="AO129" s="4265"/>
      <c r="AP129" s="4265"/>
      <c r="AQ129" s="4265"/>
      <c r="AR129" s="4265"/>
      <c r="AS129" s="4265"/>
      <c r="AT129" s="4265"/>
      <c r="AU129" s="4265"/>
      <c r="AV129" s="4265"/>
      <c r="AW129" s="4265"/>
      <c r="AX129" s="4265"/>
      <c r="AY129" s="4265"/>
      <c r="AZ129" s="4265"/>
      <c r="BA129" s="4265"/>
      <c r="BB129" s="4265"/>
      <c r="BC129" s="4265"/>
      <c r="BD129" s="4265"/>
      <c r="BE129" s="4265"/>
      <c r="BF129" s="4265"/>
      <c r="BG129" s="4265"/>
      <c r="BH129" s="4265"/>
      <c r="BI129" s="4265"/>
      <c r="BJ129" s="4265"/>
      <c r="BK129" s="157"/>
      <c r="BL129" s="157"/>
      <c r="BM129" s="157"/>
      <c r="BN129" s="157"/>
      <c r="BO129" s="157"/>
      <c r="BP129" s="157"/>
      <c r="BQ129" s="157"/>
      <c r="BR129" s="157"/>
      <c r="BS129" s="157"/>
    </row>
    <row r="130" spans="2:71" ht="18.75" customHeight="1">
      <c r="B130" s="157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4265"/>
      <c r="Q130" s="4265"/>
      <c r="R130" s="4265"/>
      <c r="S130" s="4265"/>
      <c r="T130" s="4265"/>
      <c r="U130" s="4265"/>
      <c r="V130" s="4265"/>
      <c r="W130" s="4265"/>
      <c r="X130" s="4265"/>
      <c r="Y130" s="4265"/>
      <c r="Z130" s="4265"/>
      <c r="AA130" s="4265"/>
      <c r="AB130" s="4265"/>
      <c r="AC130" s="4265"/>
      <c r="AD130" s="4265"/>
      <c r="AE130" s="4265"/>
      <c r="AF130" s="4265"/>
      <c r="AG130" s="4265"/>
      <c r="AH130" s="4265"/>
      <c r="AI130" s="4265"/>
      <c r="AJ130" s="4265"/>
      <c r="AK130" s="4265"/>
      <c r="AL130" s="4265"/>
      <c r="AM130" s="4265"/>
      <c r="AN130" s="4265"/>
      <c r="AO130" s="4265"/>
      <c r="AP130" s="4265"/>
      <c r="AQ130" s="4265"/>
      <c r="AR130" s="4265"/>
      <c r="AS130" s="4265"/>
      <c r="AT130" s="4265"/>
      <c r="AU130" s="4265"/>
      <c r="AV130" s="4265"/>
      <c r="AW130" s="4265"/>
      <c r="AX130" s="4265"/>
      <c r="AY130" s="4265"/>
      <c r="AZ130" s="4265"/>
      <c r="BA130" s="4265"/>
      <c r="BB130" s="4265"/>
      <c r="BC130" s="4265"/>
      <c r="BD130" s="4265"/>
      <c r="BE130" s="4265"/>
      <c r="BF130" s="4265"/>
      <c r="BG130" s="4265"/>
      <c r="BH130" s="4265"/>
      <c r="BI130" s="4265"/>
      <c r="BJ130" s="4265"/>
      <c r="BK130" s="157"/>
      <c r="BL130" s="157"/>
      <c r="BM130" s="157"/>
      <c r="BN130" s="157"/>
      <c r="BO130" s="157"/>
      <c r="BP130" s="157"/>
      <c r="BQ130" s="157"/>
      <c r="BR130" s="157"/>
      <c r="BS130" s="157"/>
    </row>
    <row r="131" spans="2:71" ht="18.75" customHeight="1"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4265"/>
      <c r="Q131" s="4265"/>
      <c r="R131" s="4265"/>
      <c r="S131" s="4265"/>
      <c r="T131" s="4265"/>
      <c r="U131" s="4265"/>
      <c r="V131" s="4265"/>
      <c r="W131" s="4265"/>
      <c r="X131" s="4265"/>
      <c r="Y131" s="4265"/>
      <c r="Z131" s="4265"/>
      <c r="AA131" s="4265"/>
      <c r="AB131" s="4265"/>
      <c r="AC131" s="4265"/>
      <c r="AD131" s="4265"/>
      <c r="AE131" s="4265"/>
      <c r="AF131" s="4265"/>
      <c r="AG131" s="4265"/>
      <c r="AH131" s="4265"/>
      <c r="AI131" s="4265"/>
      <c r="AJ131" s="4265"/>
      <c r="AK131" s="4265"/>
      <c r="AL131" s="4265"/>
      <c r="AM131" s="4265"/>
      <c r="AN131" s="4265"/>
      <c r="AO131" s="4265"/>
      <c r="AP131" s="4265"/>
      <c r="AQ131" s="4265"/>
      <c r="AR131" s="4265"/>
      <c r="AS131" s="4265"/>
      <c r="AT131" s="4265"/>
      <c r="AU131" s="4265"/>
      <c r="AV131" s="4265"/>
      <c r="AW131" s="4265"/>
      <c r="AX131" s="4265"/>
      <c r="AY131" s="4265"/>
      <c r="AZ131" s="4265"/>
      <c r="BA131" s="4265"/>
      <c r="BB131" s="4265"/>
      <c r="BC131" s="4265"/>
      <c r="BD131" s="4265"/>
      <c r="BE131" s="4265"/>
      <c r="BF131" s="4265"/>
      <c r="BG131" s="4265"/>
      <c r="BH131" s="4265"/>
      <c r="BI131" s="4265"/>
      <c r="BJ131" s="4265"/>
      <c r="BK131" s="157"/>
      <c r="BL131" s="157"/>
      <c r="BM131" s="157"/>
      <c r="BN131" s="157"/>
      <c r="BO131" s="157"/>
      <c r="BP131" s="157"/>
      <c r="BQ131" s="157"/>
      <c r="BR131" s="157"/>
      <c r="BS131" s="157"/>
    </row>
    <row r="132" spans="2:71" ht="18.75" customHeight="1"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4265"/>
      <c r="Q132" s="4265"/>
      <c r="R132" s="4265"/>
      <c r="S132" s="4265"/>
      <c r="T132" s="4265"/>
      <c r="U132" s="4265"/>
      <c r="V132" s="4265"/>
      <c r="W132" s="4265"/>
      <c r="X132" s="4265"/>
      <c r="Y132" s="4265"/>
      <c r="Z132" s="4265"/>
      <c r="AA132" s="4265"/>
      <c r="AB132" s="4265"/>
      <c r="AC132" s="4265"/>
      <c r="AD132" s="4265"/>
      <c r="AE132" s="4265"/>
      <c r="AF132" s="4265"/>
      <c r="AG132" s="4265"/>
      <c r="AH132" s="4265"/>
      <c r="AI132" s="4265"/>
      <c r="AJ132" s="4265"/>
      <c r="AK132" s="4265"/>
      <c r="AL132" s="4265"/>
      <c r="AM132" s="4265"/>
      <c r="AN132" s="4265"/>
      <c r="AO132" s="4265"/>
      <c r="AP132" s="4265"/>
      <c r="AQ132" s="4265"/>
      <c r="AR132" s="4265"/>
      <c r="AS132" s="4265"/>
      <c r="AT132" s="4265"/>
      <c r="AU132" s="4265"/>
      <c r="AV132" s="4265"/>
      <c r="AW132" s="4265"/>
      <c r="AX132" s="4265"/>
      <c r="AY132" s="4265"/>
      <c r="AZ132" s="4265"/>
      <c r="BA132" s="4265"/>
      <c r="BB132" s="4265"/>
      <c r="BC132" s="4265"/>
      <c r="BD132" s="4265"/>
      <c r="BE132" s="4265"/>
      <c r="BF132" s="4265"/>
      <c r="BG132" s="4265"/>
      <c r="BH132" s="4265"/>
      <c r="BI132" s="4265"/>
      <c r="BJ132" s="4265"/>
      <c r="BK132" s="157"/>
      <c r="BL132" s="157"/>
      <c r="BM132" s="157"/>
      <c r="BN132" s="157"/>
      <c r="BO132" s="157"/>
      <c r="BP132" s="157"/>
      <c r="BQ132" s="157"/>
      <c r="BR132" s="157"/>
      <c r="BS132" s="157"/>
    </row>
    <row r="133" spans="2:71" ht="18.75" customHeight="1"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4265"/>
      <c r="Q133" s="4265"/>
      <c r="R133" s="4265"/>
      <c r="S133" s="4265"/>
      <c r="T133" s="4265"/>
      <c r="U133" s="4265"/>
      <c r="V133" s="4265"/>
      <c r="W133" s="4265"/>
      <c r="X133" s="4265"/>
      <c r="Y133" s="4265"/>
      <c r="Z133" s="4265"/>
      <c r="AA133" s="4265"/>
      <c r="AB133" s="4265"/>
      <c r="AC133" s="4265"/>
      <c r="AD133" s="4265"/>
      <c r="AE133" s="4265"/>
      <c r="AF133" s="4265"/>
      <c r="AG133" s="4265"/>
      <c r="AH133" s="4265"/>
      <c r="AI133" s="4265"/>
      <c r="AJ133" s="4265"/>
      <c r="AK133" s="4265"/>
      <c r="AL133" s="4265"/>
      <c r="AM133" s="4265"/>
      <c r="AN133" s="4265"/>
      <c r="AO133" s="4265"/>
      <c r="AP133" s="4265"/>
      <c r="AQ133" s="4265"/>
      <c r="AR133" s="4265"/>
      <c r="AS133" s="4265"/>
      <c r="AT133" s="4265"/>
      <c r="AU133" s="4265"/>
      <c r="AV133" s="4265"/>
      <c r="AW133" s="4265"/>
      <c r="AX133" s="4265"/>
      <c r="AY133" s="4265"/>
      <c r="AZ133" s="4265"/>
      <c r="BA133" s="4265"/>
      <c r="BB133" s="4265"/>
      <c r="BC133" s="4265"/>
      <c r="BD133" s="4265"/>
      <c r="BE133" s="4265"/>
      <c r="BF133" s="4265"/>
      <c r="BG133" s="4265"/>
      <c r="BH133" s="4265"/>
      <c r="BI133" s="4265"/>
      <c r="BJ133" s="4265"/>
      <c r="BK133" s="157"/>
      <c r="BL133" s="157"/>
      <c r="BM133" s="157"/>
      <c r="BN133" s="157"/>
      <c r="BO133" s="157"/>
      <c r="BP133" s="157"/>
      <c r="BQ133" s="157"/>
      <c r="BR133" s="157"/>
      <c r="BS133" s="157"/>
    </row>
    <row r="134" spans="2:71" ht="18.75" customHeight="1"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4265"/>
      <c r="Q134" s="4265"/>
      <c r="R134" s="4265"/>
      <c r="S134" s="4265"/>
      <c r="T134" s="4265"/>
      <c r="U134" s="4265"/>
      <c r="V134" s="4265"/>
      <c r="W134" s="4265"/>
      <c r="X134" s="4265"/>
      <c r="Y134" s="4265"/>
      <c r="Z134" s="4265"/>
      <c r="AA134" s="4265"/>
      <c r="AB134" s="4265"/>
      <c r="AC134" s="4265"/>
      <c r="AD134" s="4265"/>
      <c r="AE134" s="4265"/>
      <c r="AF134" s="4265"/>
      <c r="AG134" s="4265"/>
      <c r="AH134" s="4265"/>
      <c r="AI134" s="4265"/>
      <c r="AJ134" s="4265"/>
      <c r="AK134" s="4265"/>
      <c r="AL134" s="4265"/>
      <c r="AM134" s="4265"/>
      <c r="AN134" s="4265"/>
      <c r="AO134" s="4265"/>
      <c r="AP134" s="4265"/>
      <c r="AQ134" s="4265"/>
      <c r="AR134" s="4265"/>
      <c r="AS134" s="4265"/>
      <c r="AT134" s="4265"/>
      <c r="AU134" s="4265"/>
      <c r="AV134" s="4265"/>
      <c r="AW134" s="4265"/>
      <c r="AX134" s="4265"/>
      <c r="AY134" s="4265"/>
      <c r="AZ134" s="4265"/>
      <c r="BA134" s="4265"/>
      <c r="BB134" s="4265"/>
      <c r="BC134" s="4265"/>
      <c r="BD134" s="4265"/>
      <c r="BE134" s="4265"/>
      <c r="BF134" s="4265"/>
      <c r="BG134" s="4265"/>
      <c r="BH134" s="4265"/>
      <c r="BI134" s="4265"/>
      <c r="BJ134" s="4265"/>
      <c r="BK134" s="157"/>
      <c r="BL134" s="157"/>
      <c r="BM134" s="157"/>
      <c r="BN134" s="157"/>
      <c r="BO134" s="157"/>
      <c r="BP134" s="157"/>
      <c r="BQ134" s="157"/>
      <c r="BR134" s="157"/>
      <c r="BS134" s="157"/>
    </row>
    <row r="135" spans="2:71" ht="18.75" customHeight="1"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4265"/>
      <c r="Q135" s="4265"/>
      <c r="R135" s="4265"/>
      <c r="S135" s="4265"/>
      <c r="T135" s="4265"/>
      <c r="U135" s="4265"/>
      <c r="V135" s="4265"/>
      <c r="W135" s="4265"/>
      <c r="X135" s="4265"/>
      <c r="Y135" s="4265"/>
      <c r="Z135" s="4265"/>
      <c r="AA135" s="4265"/>
      <c r="AB135" s="4265"/>
      <c r="AC135" s="4265"/>
      <c r="AD135" s="4265"/>
      <c r="AE135" s="4265"/>
      <c r="AF135" s="4265"/>
      <c r="AG135" s="4265"/>
      <c r="AH135" s="4265"/>
      <c r="AI135" s="4265"/>
      <c r="AJ135" s="4265"/>
      <c r="AK135" s="4265"/>
      <c r="AL135" s="4265"/>
      <c r="AM135" s="4265"/>
      <c r="AN135" s="4265"/>
      <c r="AO135" s="4265"/>
      <c r="AP135" s="4265"/>
      <c r="AQ135" s="4265"/>
      <c r="AR135" s="4265"/>
      <c r="AS135" s="4265"/>
      <c r="AT135" s="4265"/>
      <c r="AU135" s="4265"/>
      <c r="AV135" s="4265"/>
      <c r="AW135" s="4265"/>
      <c r="AX135" s="4265"/>
      <c r="AY135" s="4265"/>
      <c r="AZ135" s="4265"/>
      <c r="BA135" s="4265"/>
      <c r="BB135" s="4265"/>
      <c r="BC135" s="4265"/>
      <c r="BD135" s="4265"/>
      <c r="BE135" s="4265"/>
      <c r="BF135" s="4265"/>
      <c r="BG135" s="4265"/>
      <c r="BH135" s="4265"/>
      <c r="BI135" s="4265"/>
      <c r="BJ135" s="4265"/>
      <c r="BK135" s="157"/>
      <c r="BL135" s="157"/>
      <c r="BM135" s="157"/>
      <c r="BN135" s="157"/>
      <c r="BO135" s="157"/>
      <c r="BP135" s="157"/>
      <c r="BQ135" s="157"/>
      <c r="BR135" s="157"/>
      <c r="BS135" s="157"/>
    </row>
    <row r="136" spans="2:71" ht="18.75" customHeight="1"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4265"/>
      <c r="Q136" s="4265"/>
      <c r="R136" s="4265"/>
      <c r="S136" s="4265"/>
      <c r="T136" s="4265"/>
      <c r="U136" s="4265"/>
      <c r="V136" s="4265"/>
      <c r="W136" s="4265"/>
      <c r="X136" s="4265"/>
      <c r="Y136" s="4265"/>
      <c r="Z136" s="4265"/>
      <c r="AA136" s="4265"/>
      <c r="AB136" s="4265"/>
      <c r="AC136" s="4265"/>
      <c r="AD136" s="4265"/>
      <c r="AE136" s="4265"/>
      <c r="AF136" s="4265"/>
      <c r="AG136" s="4265"/>
      <c r="AH136" s="4265"/>
      <c r="AI136" s="4265"/>
      <c r="AJ136" s="4265"/>
      <c r="AK136" s="4265"/>
      <c r="AL136" s="4265"/>
      <c r="AM136" s="4265"/>
      <c r="AN136" s="4265"/>
      <c r="AO136" s="4265"/>
      <c r="AP136" s="4265"/>
      <c r="AQ136" s="4265"/>
      <c r="AR136" s="4265"/>
      <c r="AS136" s="4265"/>
      <c r="AT136" s="4265"/>
      <c r="AU136" s="4265"/>
      <c r="AV136" s="4265"/>
      <c r="AW136" s="4265"/>
      <c r="AX136" s="4265"/>
      <c r="AY136" s="4265"/>
      <c r="AZ136" s="4265"/>
      <c r="BA136" s="4265"/>
      <c r="BB136" s="4265"/>
      <c r="BC136" s="4265"/>
      <c r="BD136" s="4265"/>
      <c r="BE136" s="4265"/>
      <c r="BF136" s="4265"/>
      <c r="BG136" s="4265"/>
      <c r="BH136" s="4265"/>
      <c r="BI136" s="4265"/>
      <c r="BJ136" s="4265"/>
      <c r="BK136" s="157"/>
      <c r="BL136" s="157"/>
      <c r="BM136" s="157"/>
      <c r="BN136" s="157"/>
      <c r="BO136" s="157"/>
      <c r="BP136" s="157"/>
      <c r="BQ136" s="157"/>
      <c r="BR136" s="157"/>
      <c r="BS136" s="157"/>
    </row>
    <row r="137" spans="2:71" ht="18.75" customHeight="1">
      <c r="B137" s="157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4265"/>
      <c r="Q137" s="4265"/>
      <c r="R137" s="4265"/>
      <c r="S137" s="4265"/>
      <c r="T137" s="4265"/>
      <c r="U137" s="4265"/>
      <c r="V137" s="4265"/>
      <c r="W137" s="4265"/>
      <c r="X137" s="4265"/>
      <c r="Y137" s="4265"/>
      <c r="Z137" s="4265"/>
      <c r="AA137" s="4265"/>
      <c r="AB137" s="4265"/>
      <c r="AC137" s="4265"/>
      <c r="AD137" s="4265"/>
      <c r="AE137" s="4265"/>
      <c r="AF137" s="4265"/>
      <c r="AG137" s="4265"/>
      <c r="AH137" s="4265"/>
      <c r="AI137" s="4265"/>
      <c r="AJ137" s="4265"/>
      <c r="AK137" s="4265"/>
      <c r="AL137" s="4265"/>
      <c r="AM137" s="4265"/>
      <c r="AN137" s="4265"/>
      <c r="AO137" s="4265"/>
      <c r="AP137" s="4265"/>
      <c r="AQ137" s="4265"/>
      <c r="AR137" s="4265"/>
      <c r="AS137" s="4265"/>
      <c r="AT137" s="4265"/>
      <c r="AU137" s="4265"/>
      <c r="AV137" s="4265"/>
      <c r="AW137" s="4265"/>
      <c r="AX137" s="4265"/>
      <c r="AY137" s="4265"/>
      <c r="AZ137" s="4265"/>
      <c r="BA137" s="4265"/>
      <c r="BB137" s="4265"/>
      <c r="BC137" s="4265"/>
      <c r="BD137" s="4265"/>
      <c r="BE137" s="4265"/>
      <c r="BF137" s="4265"/>
      <c r="BG137" s="4265"/>
      <c r="BH137" s="4265"/>
      <c r="BI137" s="4265"/>
      <c r="BJ137" s="4265"/>
      <c r="BK137" s="157"/>
      <c r="BL137" s="157"/>
      <c r="BM137" s="157"/>
      <c r="BN137" s="157"/>
      <c r="BO137" s="157"/>
      <c r="BP137" s="157"/>
      <c r="BQ137" s="157"/>
      <c r="BR137" s="157"/>
      <c r="BS137" s="157"/>
    </row>
    <row r="138" spans="2:71" ht="18.75" customHeight="1"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4265"/>
      <c r="Q138" s="4265"/>
      <c r="R138" s="4265"/>
      <c r="S138" s="4265"/>
      <c r="T138" s="4265"/>
      <c r="U138" s="4265"/>
      <c r="V138" s="4265"/>
      <c r="W138" s="4265"/>
      <c r="X138" s="4265"/>
      <c r="Y138" s="4265"/>
      <c r="Z138" s="4265"/>
      <c r="AA138" s="4265"/>
      <c r="AB138" s="4265"/>
      <c r="AC138" s="4265"/>
      <c r="AD138" s="4265"/>
      <c r="AE138" s="4265"/>
      <c r="AF138" s="4265"/>
      <c r="AG138" s="4265"/>
      <c r="AH138" s="4265"/>
      <c r="AI138" s="4265"/>
      <c r="AJ138" s="4265"/>
      <c r="AK138" s="4265"/>
      <c r="AL138" s="4265"/>
      <c r="AM138" s="4265"/>
      <c r="AN138" s="4265"/>
      <c r="AO138" s="4265"/>
      <c r="AP138" s="4265"/>
      <c r="AQ138" s="4265"/>
      <c r="AR138" s="4265"/>
      <c r="AS138" s="4265"/>
      <c r="AT138" s="4265"/>
      <c r="AU138" s="4265"/>
      <c r="AV138" s="4265"/>
      <c r="AW138" s="4265"/>
      <c r="AX138" s="4265"/>
      <c r="AY138" s="4265"/>
      <c r="AZ138" s="4265"/>
      <c r="BA138" s="4265"/>
      <c r="BB138" s="4265"/>
      <c r="BC138" s="4265"/>
      <c r="BD138" s="4265"/>
      <c r="BE138" s="4265"/>
      <c r="BF138" s="4265"/>
      <c r="BG138" s="4265"/>
      <c r="BH138" s="4265"/>
      <c r="BI138" s="4265"/>
      <c r="BJ138" s="4265"/>
      <c r="BK138" s="157"/>
      <c r="BL138" s="157"/>
      <c r="BM138" s="157"/>
      <c r="BN138" s="157"/>
      <c r="BO138" s="157"/>
      <c r="BP138" s="157"/>
      <c r="BQ138" s="157"/>
      <c r="BR138" s="157"/>
      <c r="BS138" s="157"/>
    </row>
    <row r="139" spans="2:71" ht="18.75" customHeight="1">
      <c r="B139" s="157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4265"/>
      <c r="Q139" s="4265"/>
      <c r="R139" s="4265"/>
      <c r="S139" s="4265"/>
      <c r="T139" s="4265"/>
      <c r="U139" s="4265"/>
      <c r="V139" s="4265"/>
      <c r="W139" s="4265"/>
      <c r="X139" s="4265"/>
      <c r="Y139" s="4265"/>
      <c r="Z139" s="4265"/>
      <c r="AA139" s="4265"/>
      <c r="AB139" s="4265"/>
      <c r="AC139" s="4265"/>
      <c r="AD139" s="4265"/>
      <c r="AE139" s="4265"/>
      <c r="AF139" s="4265"/>
      <c r="AG139" s="4265"/>
      <c r="AH139" s="4265"/>
      <c r="AI139" s="4265"/>
      <c r="AJ139" s="4265"/>
      <c r="AK139" s="4265"/>
      <c r="AL139" s="4265"/>
      <c r="AM139" s="4265"/>
      <c r="AN139" s="4265"/>
      <c r="AO139" s="4265"/>
      <c r="AP139" s="4265"/>
      <c r="AQ139" s="4265"/>
      <c r="AR139" s="4265"/>
      <c r="AS139" s="4265"/>
      <c r="AT139" s="4265"/>
      <c r="AU139" s="4265"/>
      <c r="AV139" s="4265"/>
      <c r="AW139" s="4265"/>
      <c r="AX139" s="4265"/>
      <c r="AY139" s="4265"/>
      <c r="AZ139" s="4265"/>
      <c r="BA139" s="4265"/>
      <c r="BB139" s="4265"/>
      <c r="BC139" s="4265"/>
      <c r="BD139" s="4265"/>
      <c r="BE139" s="4265"/>
      <c r="BF139" s="4265"/>
      <c r="BG139" s="4265"/>
      <c r="BH139" s="4265"/>
      <c r="BI139" s="4265"/>
      <c r="BJ139" s="4265"/>
      <c r="BK139" s="157"/>
      <c r="BL139" s="157"/>
      <c r="BM139" s="157"/>
      <c r="BN139" s="157"/>
      <c r="BO139" s="157"/>
      <c r="BP139" s="157"/>
      <c r="BQ139" s="157"/>
      <c r="BR139" s="157"/>
      <c r="BS139" s="157"/>
    </row>
    <row r="140" spans="2:71" ht="18.75" customHeight="1">
      <c r="B140" s="157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4265"/>
      <c r="Q140" s="4265"/>
      <c r="R140" s="4265"/>
      <c r="S140" s="4265"/>
      <c r="T140" s="4265"/>
      <c r="U140" s="4265"/>
      <c r="V140" s="4265"/>
      <c r="W140" s="4265"/>
      <c r="X140" s="4265"/>
      <c r="Y140" s="4265"/>
      <c r="Z140" s="4265"/>
      <c r="AA140" s="4265"/>
      <c r="AB140" s="4265"/>
      <c r="AC140" s="4265"/>
      <c r="AD140" s="4265"/>
      <c r="AE140" s="4265"/>
      <c r="AF140" s="4265"/>
      <c r="AG140" s="4265"/>
      <c r="AH140" s="4265"/>
      <c r="AI140" s="4265"/>
      <c r="AJ140" s="4265"/>
      <c r="AK140" s="4265"/>
      <c r="AL140" s="4265"/>
      <c r="AM140" s="4265"/>
      <c r="AN140" s="4265"/>
      <c r="AO140" s="4265"/>
      <c r="AP140" s="4265"/>
      <c r="AQ140" s="4265"/>
      <c r="AR140" s="4265"/>
      <c r="AS140" s="4265"/>
      <c r="AT140" s="4265"/>
      <c r="AU140" s="4265"/>
      <c r="AV140" s="4265"/>
      <c r="AW140" s="4265"/>
      <c r="AX140" s="4265"/>
      <c r="AY140" s="4265"/>
      <c r="AZ140" s="4265"/>
      <c r="BA140" s="4265"/>
      <c r="BB140" s="4265"/>
      <c r="BC140" s="4265"/>
      <c r="BD140" s="4265"/>
      <c r="BE140" s="4265"/>
      <c r="BF140" s="4265"/>
      <c r="BG140" s="4265"/>
      <c r="BH140" s="4265"/>
      <c r="BI140" s="4265"/>
      <c r="BJ140" s="4265"/>
      <c r="BK140" s="157"/>
      <c r="BL140" s="157"/>
      <c r="BM140" s="157"/>
      <c r="BN140" s="157"/>
      <c r="BO140" s="157"/>
      <c r="BP140" s="157"/>
      <c r="BQ140" s="157"/>
      <c r="BR140" s="157"/>
      <c r="BS140" s="157"/>
    </row>
    <row r="141" spans="2:71" ht="18.75" customHeight="1">
      <c r="B141" s="157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4265"/>
      <c r="Q141" s="4265"/>
      <c r="R141" s="4265"/>
      <c r="S141" s="4265"/>
      <c r="T141" s="4265"/>
      <c r="U141" s="4265"/>
      <c r="V141" s="4265"/>
      <c r="W141" s="4265"/>
      <c r="X141" s="4265"/>
      <c r="Y141" s="4265"/>
      <c r="Z141" s="4265"/>
      <c r="AA141" s="4265"/>
      <c r="AB141" s="4265"/>
      <c r="AC141" s="4265"/>
      <c r="AD141" s="4265"/>
      <c r="AE141" s="4265"/>
      <c r="AF141" s="4265"/>
      <c r="AG141" s="4265"/>
      <c r="AH141" s="4265"/>
      <c r="AI141" s="4265"/>
      <c r="AJ141" s="4265"/>
      <c r="AK141" s="4265"/>
      <c r="AL141" s="4265"/>
      <c r="AM141" s="4265"/>
      <c r="AN141" s="4265"/>
      <c r="AO141" s="4265"/>
      <c r="AP141" s="4265"/>
      <c r="AQ141" s="4265"/>
      <c r="AR141" s="4265"/>
      <c r="AS141" s="4265"/>
      <c r="AT141" s="4265"/>
      <c r="AU141" s="4265"/>
      <c r="AV141" s="4265"/>
      <c r="AW141" s="4265"/>
      <c r="AX141" s="4265"/>
      <c r="AY141" s="4265"/>
      <c r="AZ141" s="4265"/>
      <c r="BA141" s="4265"/>
      <c r="BB141" s="4265"/>
      <c r="BC141" s="4265"/>
      <c r="BD141" s="4265"/>
      <c r="BE141" s="4265"/>
      <c r="BF141" s="4265"/>
      <c r="BG141" s="4265"/>
      <c r="BH141" s="4265"/>
      <c r="BI141" s="4265"/>
      <c r="BJ141" s="4265"/>
      <c r="BK141" s="157"/>
      <c r="BL141" s="157"/>
      <c r="BM141" s="157"/>
      <c r="BN141" s="157"/>
      <c r="BO141" s="157"/>
      <c r="BP141" s="157"/>
      <c r="BQ141" s="157"/>
      <c r="BR141" s="157"/>
      <c r="BS141" s="157"/>
    </row>
    <row r="142" spans="2:71" ht="18.75" customHeight="1">
      <c r="B142" s="157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4265"/>
      <c r="Q142" s="4265"/>
      <c r="R142" s="4265"/>
      <c r="S142" s="4265"/>
      <c r="T142" s="4265"/>
      <c r="U142" s="4265"/>
      <c r="V142" s="4265"/>
      <c r="W142" s="4265"/>
      <c r="X142" s="4265"/>
      <c r="Y142" s="4265"/>
      <c r="Z142" s="4265"/>
      <c r="AA142" s="4265"/>
      <c r="AB142" s="4265"/>
      <c r="AC142" s="4265"/>
      <c r="AD142" s="4265"/>
      <c r="AE142" s="4265"/>
      <c r="AF142" s="4265"/>
      <c r="AG142" s="4265"/>
      <c r="AH142" s="4265"/>
      <c r="AI142" s="4265"/>
      <c r="AJ142" s="4265"/>
      <c r="AK142" s="4265"/>
      <c r="AL142" s="4265"/>
      <c r="AM142" s="4265"/>
      <c r="AN142" s="4265"/>
      <c r="AO142" s="4265"/>
      <c r="AP142" s="4265"/>
      <c r="AQ142" s="4265"/>
      <c r="AR142" s="4265"/>
      <c r="AS142" s="4265"/>
      <c r="AT142" s="4265"/>
      <c r="AU142" s="4265"/>
      <c r="AV142" s="4265"/>
      <c r="AW142" s="4265"/>
      <c r="AX142" s="4265"/>
      <c r="AY142" s="4265"/>
      <c r="AZ142" s="4265"/>
      <c r="BA142" s="4265"/>
      <c r="BB142" s="4265"/>
      <c r="BC142" s="4265"/>
      <c r="BD142" s="4265"/>
      <c r="BE142" s="4265"/>
      <c r="BF142" s="4265"/>
      <c r="BG142" s="4265"/>
      <c r="BH142" s="4265"/>
      <c r="BI142" s="4265"/>
      <c r="BJ142" s="4265"/>
      <c r="BK142" s="157"/>
      <c r="BL142" s="157"/>
      <c r="BM142" s="157"/>
      <c r="BN142" s="157"/>
      <c r="BO142" s="157"/>
      <c r="BP142" s="157"/>
      <c r="BQ142" s="157"/>
      <c r="BR142" s="157"/>
      <c r="BS142" s="157"/>
    </row>
    <row r="143" spans="2:71" ht="18.75" customHeight="1"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57"/>
      <c r="O143" s="157"/>
      <c r="P143" s="4265"/>
      <c r="Q143" s="4265"/>
      <c r="R143" s="4265"/>
      <c r="S143" s="4265"/>
      <c r="T143" s="4265"/>
      <c r="U143" s="4265"/>
      <c r="V143" s="4265"/>
      <c r="W143" s="4265"/>
      <c r="X143" s="4265"/>
      <c r="Y143" s="4265"/>
      <c r="Z143" s="4265"/>
      <c r="AA143" s="4265"/>
      <c r="AB143" s="4265"/>
      <c r="AC143" s="4265"/>
      <c r="AD143" s="4265"/>
      <c r="AE143" s="4265"/>
      <c r="AF143" s="4265"/>
      <c r="AG143" s="4265"/>
      <c r="AH143" s="4265"/>
      <c r="AI143" s="4265"/>
      <c r="AJ143" s="4265"/>
      <c r="AK143" s="4265"/>
      <c r="AL143" s="4265"/>
      <c r="AM143" s="4265"/>
      <c r="AN143" s="4265"/>
      <c r="AO143" s="4265"/>
      <c r="AP143" s="4265"/>
      <c r="AQ143" s="4265"/>
      <c r="AR143" s="4265"/>
      <c r="AS143" s="4265"/>
      <c r="AT143" s="4265"/>
      <c r="AU143" s="4265"/>
      <c r="AV143" s="4265"/>
      <c r="AW143" s="4265"/>
      <c r="AX143" s="4265"/>
      <c r="AY143" s="4265"/>
      <c r="AZ143" s="4265"/>
      <c r="BA143" s="4265"/>
      <c r="BB143" s="4265"/>
      <c r="BC143" s="4265"/>
      <c r="BD143" s="4265"/>
      <c r="BE143" s="4265"/>
      <c r="BF143" s="4265"/>
      <c r="BG143" s="4265"/>
      <c r="BH143" s="4265"/>
      <c r="BI143" s="4265"/>
      <c r="BJ143" s="4265"/>
      <c r="BK143" s="157"/>
      <c r="BL143" s="157"/>
      <c r="BM143" s="157"/>
      <c r="BN143" s="157"/>
      <c r="BO143" s="157"/>
      <c r="BP143" s="157"/>
      <c r="BQ143" s="157"/>
      <c r="BR143" s="157"/>
      <c r="BS143" s="157"/>
    </row>
    <row r="144" spans="2:71" ht="18.75" customHeight="1">
      <c r="P144" s="435"/>
      <c r="Q144" s="435"/>
      <c r="R144" s="435"/>
      <c r="S144" s="435"/>
      <c r="T144" s="435"/>
      <c r="U144" s="435"/>
      <c r="V144" s="435"/>
      <c r="W144" s="435"/>
      <c r="X144" s="435"/>
      <c r="Y144" s="435"/>
      <c r="Z144" s="435"/>
      <c r="AA144" s="435"/>
      <c r="AB144" s="435"/>
      <c r="AC144" s="435"/>
      <c r="AD144" s="435"/>
      <c r="AE144" s="435"/>
      <c r="AF144" s="435"/>
      <c r="AG144" s="435"/>
      <c r="AH144" s="435"/>
      <c r="AI144" s="435"/>
      <c r="AJ144" s="435"/>
      <c r="AK144" s="435"/>
      <c r="AL144" s="435"/>
      <c r="AM144" s="435"/>
      <c r="AN144" s="435"/>
      <c r="AO144" s="435"/>
      <c r="AP144" s="435"/>
      <c r="AQ144" s="435"/>
      <c r="AR144" s="435"/>
      <c r="AS144" s="435"/>
      <c r="AT144" s="435"/>
      <c r="AU144" s="435"/>
      <c r="AV144" s="435"/>
      <c r="AW144" s="435"/>
      <c r="AX144" s="435"/>
      <c r="AY144" s="435"/>
      <c r="AZ144" s="435"/>
      <c r="BA144" s="435"/>
      <c r="BB144" s="435"/>
      <c r="BC144" s="435"/>
      <c r="BD144" s="435"/>
      <c r="BE144" s="435"/>
      <c r="BF144" s="435"/>
      <c r="BG144" s="435"/>
      <c r="BH144" s="435"/>
      <c r="BI144" s="435"/>
      <c r="BJ144" s="435"/>
    </row>
    <row r="145" spans="16:62" ht="18.75" customHeight="1">
      <c r="P145" s="435"/>
      <c r="Q145" s="435"/>
      <c r="R145" s="435"/>
      <c r="S145" s="435"/>
      <c r="T145" s="435"/>
      <c r="U145" s="435"/>
      <c r="V145" s="435"/>
      <c r="W145" s="435"/>
      <c r="X145" s="435"/>
      <c r="Y145" s="435"/>
      <c r="Z145" s="435"/>
      <c r="AA145" s="435"/>
      <c r="AB145" s="435"/>
      <c r="AC145" s="435"/>
      <c r="AD145" s="435"/>
      <c r="AE145" s="435"/>
      <c r="AF145" s="435"/>
      <c r="AG145" s="435"/>
      <c r="AH145" s="435"/>
      <c r="AI145" s="435"/>
      <c r="AJ145" s="435"/>
      <c r="AK145" s="435"/>
      <c r="AL145" s="435"/>
      <c r="AM145" s="435"/>
      <c r="AN145" s="435"/>
      <c r="AO145" s="435"/>
      <c r="AP145" s="435"/>
      <c r="AQ145" s="435"/>
      <c r="AR145" s="435"/>
      <c r="AS145" s="435"/>
      <c r="AT145" s="435"/>
      <c r="AU145" s="435"/>
      <c r="AV145" s="435"/>
      <c r="AW145" s="435"/>
      <c r="AX145" s="435"/>
      <c r="AY145" s="435"/>
      <c r="AZ145" s="435"/>
      <c r="BA145" s="435"/>
      <c r="BB145" s="435"/>
      <c r="BC145" s="435"/>
      <c r="BD145" s="435"/>
      <c r="BE145" s="435"/>
      <c r="BF145" s="435"/>
      <c r="BG145" s="435"/>
      <c r="BH145" s="435"/>
      <c r="BI145" s="435"/>
      <c r="BJ145" s="435"/>
    </row>
    <row r="146" spans="16:62" ht="18.75" customHeight="1">
      <c r="P146" s="435"/>
      <c r="Q146" s="435"/>
      <c r="R146" s="435"/>
      <c r="S146" s="435"/>
      <c r="T146" s="435"/>
      <c r="U146" s="435"/>
      <c r="V146" s="435"/>
      <c r="W146" s="435"/>
      <c r="X146" s="435"/>
      <c r="Y146" s="435"/>
      <c r="Z146" s="435"/>
      <c r="AA146" s="435"/>
      <c r="AB146" s="435"/>
      <c r="AC146" s="435"/>
      <c r="AD146" s="435"/>
      <c r="AE146" s="435"/>
      <c r="AF146" s="435"/>
      <c r="AG146" s="435"/>
      <c r="AH146" s="435"/>
      <c r="AI146" s="435"/>
      <c r="AJ146" s="435"/>
      <c r="AK146" s="435"/>
      <c r="AL146" s="435"/>
      <c r="AM146" s="435"/>
      <c r="AN146" s="435"/>
      <c r="AO146" s="435"/>
      <c r="AP146" s="435"/>
      <c r="AQ146" s="435"/>
      <c r="AR146" s="435"/>
      <c r="AS146" s="435"/>
      <c r="AT146" s="435"/>
      <c r="AU146" s="435"/>
      <c r="AV146" s="435"/>
      <c r="AW146" s="435"/>
      <c r="AX146" s="435"/>
      <c r="AY146" s="435"/>
      <c r="AZ146" s="435"/>
      <c r="BA146" s="435"/>
      <c r="BB146" s="435"/>
      <c r="BC146" s="435"/>
      <c r="BD146" s="435"/>
      <c r="BE146" s="435"/>
      <c r="BF146" s="435"/>
      <c r="BG146" s="435"/>
      <c r="BH146" s="435"/>
      <c r="BI146" s="435"/>
      <c r="BJ146" s="435"/>
    </row>
    <row r="147" spans="16:62" ht="18.75" customHeight="1"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  <c r="Z147" s="435"/>
      <c r="AA147" s="435"/>
      <c r="AB147" s="435"/>
      <c r="AC147" s="435"/>
      <c r="AD147" s="435"/>
      <c r="AE147" s="435"/>
      <c r="AF147" s="435"/>
      <c r="AG147" s="435"/>
      <c r="AH147" s="435"/>
      <c r="AI147" s="435"/>
      <c r="AJ147" s="435"/>
      <c r="AK147" s="435"/>
      <c r="AL147" s="435"/>
      <c r="AM147" s="435"/>
      <c r="AN147" s="435"/>
      <c r="AO147" s="435"/>
      <c r="AP147" s="435"/>
      <c r="AQ147" s="435"/>
      <c r="AR147" s="435"/>
      <c r="AS147" s="435"/>
      <c r="AT147" s="435"/>
      <c r="AU147" s="435"/>
      <c r="AV147" s="435"/>
      <c r="AW147" s="435"/>
      <c r="AX147" s="435"/>
      <c r="AY147" s="435"/>
      <c r="AZ147" s="435"/>
      <c r="BA147" s="435"/>
      <c r="BB147" s="435"/>
      <c r="BC147" s="435"/>
      <c r="BD147" s="435"/>
      <c r="BE147" s="435"/>
      <c r="BF147" s="435"/>
      <c r="BG147" s="435"/>
      <c r="BH147" s="435"/>
      <c r="BI147" s="435"/>
      <c r="BJ147" s="435"/>
    </row>
    <row r="148" spans="16:62" ht="18.75" customHeight="1">
      <c r="P148" s="435"/>
      <c r="Q148" s="435"/>
      <c r="R148" s="435"/>
      <c r="S148" s="435"/>
      <c r="T148" s="435"/>
      <c r="U148" s="435"/>
      <c r="V148" s="435"/>
      <c r="W148" s="435"/>
      <c r="X148" s="435"/>
      <c r="Y148" s="435"/>
      <c r="Z148" s="435"/>
      <c r="AA148" s="435"/>
      <c r="AB148" s="435"/>
      <c r="AC148" s="435"/>
      <c r="AD148" s="435"/>
      <c r="AE148" s="435"/>
      <c r="AF148" s="435"/>
      <c r="AG148" s="435"/>
      <c r="AH148" s="435"/>
      <c r="AI148" s="435"/>
      <c r="AJ148" s="435"/>
      <c r="AK148" s="435"/>
      <c r="AL148" s="435"/>
      <c r="AM148" s="435"/>
      <c r="AN148" s="435"/>
      <c r="AO148" s="435"/>
      <c r="AP148" s="435"/>
      <c r="AQ148" s="435"/>
      <c r="AR148" s="435"/>
      <c r="AS148" s="435"/>
      <c r="AT148" s="435"/>
      <c r="AU148" s="435"/>
      <c r="AV148" s="435"/>
      <c r="AW148" s="435"/>
      <c r="AX148" s="435"/>
      <c r="AY148" s="435"/>
      <c r="AZ148" s="435"/>
      <c r="BA148" s="435"/>
      <c r="BB148" s="435"/>
      <c r="BC148" s="435"/>
      <c r="BD148" s="435"/>
      <c r="BE148" s="435"/>
      <c r="BF148" s="435"/>
      <c r="BG148" s="435"/>
      <c r="BH148" s="435"/>
      <c r="BI148" s="435"/>
      <c r="BJ148" s="435"/>
    </row>
    <row r="149" spans="16:62" ht="18.75" customHeight="1">
      <c r="P149" s="435"/>
      <c r="Q149" s="435"/>
      <c r="R149" s="435"/>
      <c r="S149" s="435"/>
      <c r="T149" s="435"/>
      <c r="U149" s="435"/>
      <c r="V149" s="435"/>
      <c r="W149" s="435"/>
      <c r="X149" s="435"/>
      <c r="Y149" s="435"/>
      <c r="Z149" s="435"/>
      <c r="AA149" s="435"/>
      <c r="AB149" s="435"/>
      <c r="AC149" s="435"/>
      <c r="AD149" s="435"/>
      <c r="AE149" s="435"/>
      <c r="AF149" s="435"/>
      <c r="AG149" s="435"/>
      <c r="AH149" s="435"/>
      <c r="AI149" s="435"/>
      <c r="AJ149" s="435"/>
      <c r="AK149" s="435"/>
      <c r="AL149" s="435"/>
      <c r="AM149" s="435"/>
      <c r="AN149" s="435"/>
      <c r="AO149" s="435"/>
      <c r="AP149" s="435"/>
      <c r="AQ149" s="435"/>
      <c r="AR149" s="435"/>
      <c r="AS149" s="435"/>
      <c r="AT149" s="435"/>
      <c r="AU149" s="435"/>
      <c r="AV149" s="435"/>
      <c r="AW149" s="435"/>
      <c r="AX149" s="435"/>
      <c r="AY149" s="435"/>
      <c r="AZ149" s="435"/>
      <c r="BA149" s="435"/>
      <c r="BB149" s="435"/>
      <c r="BC149" s="435"/>
      <c r="BD149" s="435"/>
      <c r="BE149" s="435"/>
      <c r="BF149" s="435"/>
      <c r="BG149" s="435"/>
      <c r="BH149" s="435"/>
      <c r="BI149" s="435"/>
      <c r="BJ149" s="435"/>
    </row>
    <row r="150" spans="16:62" ht="18.75" customHeight="1">
      <c r="P150" s="435"/>
      <c r="Q150" s="435"/>
      <c r="R150" s="435"/>
      <c r="S150" s="435"/>
      <c r="T150" s="435"/>
      <c r="U150" s="435"/>
      <c r="V150" s="435"/>
      <c r="W150" s="435"/>
      <c r="X150" s="435"/>
      <c r="Y150" s="435"/>
      <c r="Z150" s="435"/>
      <c r="AA150" s="435"/>
      <c r="AB150" s="435"/>
      <c r="AC150" s="435"/>
      <c r="AD150" s="435"/>
      <c r="AE150" s="435"/>
      <c r="AF150" s="435"/>
      <c r="AG150" s="435"/>
      <c r="AH150" s="435"/>
      <c r="AI150" s="435"/>
      <c r="AJ150" s="435"/>
      <c r="AK150" s="435"/>
      <c r="AL150" s="435"/>
      <c r="AM150" s="435"/>
      <c r="AN150" s="435"/>
      <c r="AO150" s="435"/>
      <c r="AP150" s="435"/>
      <c r="AQ150" s="435"/>
      <c r="AR150" s="435"/>
      <c r="AS150" s="435"/>
      <c r="AT150" s="435"/>
      <c r="AU150" s="435"/>
      <c r="AV150" s="435"/>
      <c r="AW150" s="435"/>
      <c r="AX150" s="435"/>
      <c r="AY150" s="435"/>
      <c r="AZ150" s="435"/>
      <c r="BA150" s="435"/>
      <c r="BB150" s="435"/>
      <c r="BC150" s="435"/>
      <c r="BD150" s="435"/>
      <c r="BE150" s="435"/>
      <c r="BF150" s="435"/>
      <c r="BG150" s="435"/>
      <c r="BH150" s="435"/>
      <c r="BI150" s="435"/>
      <c r="BJ150" s="435"/>
    </row>
    <row r="151" spans="16:62" ht="18.75" customHeight="1">
      <c r="P151" s="435"/>
      <c r="Q151" s="435"/>
      <c r="R151" s="435"/>
      <c r="S151" s="435"/>
      <c r="T151" s="435"/>
      <c r="U151" s="435"/>
      <c r="V151" s="435"/>
      <c r="W151" s="435"/>
      <c r="X151" s="435"/>
      <c r="Y151" s="435"/>
      <c r="Z151" s="435"/>
      <c r="AA151" s="435"/>
      <c r="AB151" s="435"/>
      <c r="AC151" s="435"/>
      <c r="AD151" s="435"/>
      <c r="AE151" s="435"/>
      <c r="AF151" s="435"/>
      <c r="AG151" s="435"/>
      <c r="AH151" s="435"/>
      <c r="AI151" s="435"/>
      <c r="AJ151" s="435"/>
      <c r="AK151" s="435"/>
      <c r="AL151" s="435"/>
      <c r="AM151" s="435"/>
      <c r="AN151" s="435"/>
      <c r="AO151" s="435"/>
      <c r="AP151" s="435"/>
      <c r="AQ151" s="435"/>
      <c r="AR151" s="435"/>
      <c r="AS151" s="435"/>
      <c r="AT151" s="435"/>
      <c r="AU151" s="435"/>
      <c r="AV151" s="435"/>
      <c r="AW151" s="435"/>
      <c r="AX151" s="435"/>
      <c r="AY151" s="435"/>
      <c r="AZ151" s="435"/>
      <c r="BA151" s="435"/>
      <c r="BB151" s="435"/>
      <c r="BC151" s="435"/>
      <c r="BD151" s="435"/>
      <c r="BE151" s="435"/>
      <c r="BF151" s="435"/>
      <c r="BG151" s="435"/>
      <c r="BH151" s="435"/>
      <c r="BI151" s="435"/>
      <c r="BJ151" s="435"/>
    </row>
    <row r="152" spans="16:62" ht="18.75" customHeight="1">
      <c r="P152" s="435"/>
      <c r="Q152" s="435"/>
      <c r="R152" s="435"/>
      <c r="S152" s="435"/>
      <c r="T152" s="435"/>
      <c r="U152" s="435"/>
      <c r="V152" s="435"/>
      <c r="W152" s="435"/>
      <c r="X152" s="435"/>
      <c r="Y152" s="435"/>
      <c r="Z152" s="435"/>
      <c r="AA152" s="435"/>
      <c r="AB152" s="435"/>
      <c r="AC152" s="435"/>
      <c r="AD152" s="435"/>
      <c r="AE152" s="435"/>
      <c r="AF152" s="435"/>
      <c r="AG152" s="435"/>
      <c r="AH152" s="435"/>
      <c r="AI152" s="435"/>
      <c r="AJ152" s="435"/>
      <c r="AK152" s="435"/>
      <c r="AL152" s="435"/>
      <c r="AM152" s="435"/>
      <c r="AN152" s="435"/>
      <c r="AO152" s="435"/>
      <c r="AP152" s="435"/>
      <c r="AQ152" s="435"/>
      <c r="AR152" s="435"/>
      <c r="AS152" s="435"/>
      <c r="AT152" s="435"/>
      <c r="AU152" s="435"/>
      <c r="AV152" s="435"/>
      <c r="AW152" s="435"/>
      <c r="AX152" s="435"/>
      <c r="AY152" s="435"/>
      <c r="AZ152" s="435"/>
      <c r="BA152" s="435"/>
      <c r="BB152" s="435"/>
      <c r="BC152" s="435"/>
      <c r="BD152" s="435"/>
      <c r="BE152" s="435"/>
      <c r="BF152" s="435"/>
      <c r="BG152" s="435"/>
      <c r="BH152" s="435"/>
      <c r="BI152" s="435"/>
      <c r="BJ152" s="435"/>
    </row>
    <row r="153" spans="16:62" ht="18.75" customHeight="1">
      <c r="P153" s="435"/>
      <c r="Q153" s="435"/>
      <c r="R153" s="435"/>
      <c r="S153" s="435"/>
      <c r="T153" s="435"/>
      <c r="U153" s="435"/>
      <c r="V153" s="435"/>
      <c r="W153" s="435"/>
      <c r="X153" s="435"/>
      <c r="Y153" s="435"/>
      <c r="Z153" s="435"/>
      <c r="AA153" s="435"/>
      <c r="AB153" s="435"/>
      <c r="AC153" s="435"/>
      <c r="AD153" s="435"/>
      <c r="AE153" s="435"/>
      <c r="AF153" s="435"/>
      <c r="AG153" s="435"/>
      <c r="AH153" s="435"/>
      <c r="AI153" s="435"/>
      <c r="AJ153" s="435"/>
      <c r="AK153" s="435"/>
      <c r="AL153" s="435"/>
      <c r="AM153" s="435"/>
      <c r="AN153" s="435"/>
      <c r="AO153" s="435"/>
      <c r="AP153" s="435"/>
      <c r="AQ153" s="435"/>
      <c r="AR153" s="435"/>
      <c r="AS153" s="435"/>
      <c r="AT153" s="435"/>
      <c r="AU153" s="435"/>
      <c r="AV153" s="435"/>
      <c r="AW153" s="435"/>
      <c r="AX153" s="435"/>
      <c r="AY153" s="435"/>
      <c r="AZ153" s="435"/>
      <c r="BA153" s="435"/>
      <c r="BB153" s="435"/>
      <c r="BC153" s="435"/>
      <c r="BD153" s="435"/>
      <c r="BE153" s="435"/>
      <c r="BF153" s="435"/>
      <c r="BG153" s="435"/>
      <c r="BH153" s="435"/>
      <c r="BI153" s="435"/>
      <c r="BJ153" s="435"/>
    </row>
    <row r="154" spans="16:62" ht="18.75" customHeight="1">
      <c r="P154" s="435"/>
      <c r="Q154" s="435"/>
      <c r="R154" s="435"/>
      <c r="S154" s="435"/>
      <c r="T154" s="435"/>
      <c r="U154" s="435"/>
      <c r="V154" s="435"/>
      <c r="W154" s="435"/>
      <c r="X154" s="435"/>
      <c r="Y154" s="435"/>
      <c r="Z154" s="435"/>
      <c r="AA154" s="435"/>
      <c r="AB154" s="435"/>
      <c r="AC154" s="435"/>
      <c r="AD154" s="435"/>
      <c r="AE154" s="435"/>
      <c r="AF154" s="435"/>
      <c r="AG154" s="435"/>
      <c r="AH154" s="435"/>
      <c r="AI154" s="435"/>
      <c r="AJ154" s="435"/>
      <c r="AK154" s="435"/>
      <c r="AL154" s="435"/>
      <c r="AM154" s="435"/>
      <c r="AN154" s="435"/>
      <c r="AO154" s="435"/>
      <c r="AP154" s="435"/>
      <c r="AQ154" s="435"/>
      <c r="AR154" s="435"/>
      <c r="AS154" s="435"/>
      <c r="AT154" s="435"/>
      <c r="AU154" s="435"/>
      <c r="AV154" s="435"/>
      <c r="AW154" s="435"/>
      <c r="AX154" s="435"/>
      <c r="AY154" s="435"/>
      <c r="AZ154" s="435"/>
      <c r="BA154" s="435"/>
      <c r="BB154" s="435"/>
      <c r="BC154" s="435"/>
      <c r="BD154" s="435"/>
      <c r="BE154" s="435"/>
      <c r="BF154" s="435"/>
      <c r="BG154" s="435"/>
      <c r="BH154" s="435"/>
      <c r="BI154" s="435"/>
      <c r="BJ154" s="435"/>
    </row>
    <row r="155" spans="16:62" ht="18.75" customHeight="1">
      <c r="P155" s="435"/>
      <c r="Q155" s="435"/>
      <c r="R155" s="435"/>
      <c r="S155" s="435"/>
      <c r="T155" s="435"/>
      <c r="U155" s="435"/>
      <c r="V155" s="435"/>
      <c r="W155" s="435"/>
      <c r="X155" s="435"/>
      <c r="Y155" s="435"/>
      <c r="Z155" s="435"/>
      <c r="AA155" s="435"/>
      <c r="AB155" s="435"/>
      <c r="AC155" s="435"/>
      <c r="AD155" s="435"/>
      <c r="AE155" s="435"/>
      <c r="AF155" s="435"/>
      <c r="AG155" s="435"/>
      <c r="AH155" s="435"/>
      <c r="AI155" s="435"/>
      <c r="AJ155" s="435"/>
      <c r="AK155" s="435"/>
      <c r="AL155" s="435"/>
      <c r="AM155" s="435"/>
      <c r="AN155" s="435"/>
      <c r="AO155" s="435"/>
      <c r="AP155" s="435"/>
      <c r="AQ155" s="435"/>
      <c r="AR155" s="435"/>
      <c r="AS155" s="435"/>
      <c r="AT155" s="435"/>
      <c r="AU155" s="435"/>
      <c r="AV155" s="435"/>
      <c r="AW155" s="435"/>
      <c r="AX155" s="435"/>
      <c r="AY155" s="435"/>
      <c r="AZ155" s="435"/>
      <c r="BA155" s="435"/>
      <c r="BB155" s="435"/>
      <c r="BC155" s="435"/>
      <c r="BD155" s="435"/>
      <c r="BE155" s="435"/>
      <c r="BF155" s="435"/>
      <c r="BG155" s="435"/>
      <c r="BH155" s="435"/>
      <c r="BI155" s="435"/>
      <c r="BJ155" s="435"/>
    </row>
    <row r="156" spans="16:62" ht="18.75" customHeight="1">
      <c r="P156" s="435"/>
      <c r="Q156" s="435"/>
      <c r="R156" s="435"/>
      <c r="S156" s="435"/>
      <c r="T156" s="435"/>
      <c r="U156" s="435"/>
      <c r="V156" s="435"/>
      <c r="W156" s="435"/>
      <c r="X156" s="435"/>
      <c r="Y156" s="435"/>
      <c r="Z156" s="435"/>
      <c r="AA156" s="435"/>
      <c r="AB156" s="435"/>
      <c r="AC156" s="435"/>
      <c r="AD156" s="435"/>
      <c r="AE156" s="435"/>
      <c r="AF156" s="435"/>
      <c r="AG156" s="435"/>
      <c r="AH156" s="435"/>
      <c r="AI156" s="435"/>
      <c r="AJ156" s="435"/>
      <c r="AK156" s="435"/>
      <c r="AL156" s="435"/>
      <c r="AM156" s="435"/>
      <c r="AN156" s="435"/>
      <c r="AO156" s="435"/>
      <c r="AP156" s="435"/>
      <c r="AQ156" s="435"/>
      <c r="AR156" s="435"/>
      <c r="AS156" s="435"/>
      <c r="AT156" s="435"/>
      <c r="AU156" s="435"/>
      <c r="AV156" s="435"/>
      <c r="AW156" s="435"/>
      <c r="AX156" s="435"/>
      <c r="AY156" s="435"/>
      <c r="AZ156" s="435"/>
      <c r="BA156" s="435"/>
      <c r="BB156" s="435"/>
      <c r="BC156" s="435"/>
      <c r="BD156" s="435"/>
      <c r="BE156" s="435"/>
      <c r="BF156" s="435"/>
      <c r="BG156" s="435"/>
      <c r="BH156" s="435"/>
      <c r="BI156" s="435"/>
      <c r="BJ156" s="435"/>
    </row>
    <row r="157" spans="16:62" ht="18.75" customHeight="1">
      <c r="P157" s="435"/>
      <c r="Q157" s="435"/>
      <c r="R157" s="435"/>
      <c r="S157" s="435"/>
      <c r="T157" s="435"/>
      <c r="U157" s="435"/>
      <c r="V157" s="435"/>
      <c r="W157" s="435"/>
      <c r="X157" s="435"/>
      <c r="Y157" s="435"/>
      <c r="Z157" s="435"/>
      <c r="AA157" s="435"/>
      <c r="AB157" s="435"/>
      <c r="AC157" s="435"/>
      <c r="AD157" s="435"/>
      <c r="AE157" s="435"/>
      <c r="AF157" s="435"/>
      <c r="AG157" s="435"/>
      <c r="AH157" s="435"/>
      <c r="AI157" s="435"/>
      <c r="AJ157" s="435"/>
      <c r="AK157" s="435"/>
      <c r="AL157" s="435"/>
      <c r="AM157" s="435"/>
      <c r="AN157" s="435"/>
      <c r="AO157" s="435"/>
      <c r="AP157" s="435"/>
      <c r="AQ157" s="435"/>
      <c r="AR157" s="435"/>
      <c r="AS157" s="435"/>
      <c r="AT157" s="435"/>
      <c r="AU157" s="435"/>
      <c r="AV157" s="435"/>
      <c r="AW157" s="435"/>
      <c r="AX157" s="435"/>
      <c r="AY157" s="435"/>
      <c r="AZ157" s="435"/>
      <c r="BA157" s="435"/>
      <c r="BB157" s="435"/>
      <c r="BC157" s="435"/>
      <c r="BD157" s="435"/>
      <c r="BE157" s="435"/>
      <c r="BF157" s="435"/>
      <c r="BG157" s="435"/>
      <c r="BH157" s="435"/>
      <c r="BI157" s="435"/>
      <c r="BJ157" s="435"/>
    </row>
    <row r="158" spans="16:62" ht="18.75" customHeight="1">
      <c r="P158" s="435"/>
      <c r="Q158" s="435"/>
      <c r="R158" s="435"/>
      <c r="S158" s="435"/>
      <c r="T158" s="435"/>
      <c r="U158" s="435"/>
      <c r="V158" s="435"/>
      <c r="W158" s="435"/>
      <c r="X158" s="435"/>
      <c r="Y158" s="435"/>
      <c r="Z158" s="435"/>
      <c r="AA158" s="435"/>
      <c r="AB158" s="435"/>
      <c r="AC158" s="435"/>
      <c r="AD158" s="435"/>
      <c r="AE158" s="435"/>
      <c r="AF158" s="435"/>
      <c r="AG158" s="435"/>
      <c r="AH158" s="435"/>
      <c r="AI158" s="435"/>
      <c r="AJ158" s="435"/>
      <c r="AK158" s="435"/>
      <c r="AL158" s="435"/>
      <c r="AM158" s="435"/>
      <c r="AN158" s="435"/>
      <c r="AO158" s="435"/>
      <c r="AP158" s="435"/>
      <c r="AQ158" s="435"/>
      <c r="AR158" s="435"/>
      <c r="AS158" s="435"/>
      <c r="AT158" s="435"/>
      <c r="AU158" s="435"/>
      <c r="AV158" s="435"/>
      <c r="AW158" s="435"/>
      <c r="AX158" s="435"/>
      <c r="AY158" s="435"/>
      <c r="AZ158" s="435"/>
      <c r="BA158" s="435"/>
      <c r="BB158" s="435"/>
      <c r="BC158" s="435"/>
      <c r="BD158" s="435"/>
      <c r="BE158" s="435"/>
      <c r="BF158" s="435"/>
      <c r="BG158" s="435"/>
      <c r="BH158" s="435"/>
      <c r="BI158" s="435"/>
      <c r="BJ158" s="435"/>
    </row>
    <row r="159" spans="16:62" ht="18.75" customHeight="1">
      <c r="P159" s="435"/>
      <c r="Q159" s="435"/>
      <c r="R159" s="435"/>
      <c r="S159" s="435"/>
      <c r="T159" s="435"/>
      <c r="U159" s="435"/>
      <c r="V159" s="435"/>
      <c r="W159" s="435"/>
      <c r="X159" s="435"/>
      <c r="Y159" s="435"/>
      <c r="Z159" s="435"/>
      <c r="AA159" s="435"/>
      <c r="AB159" s="435"/>
      <c r="AC159" s="435"/>
      <c r="AD159" s="435"/>
      <c r="AE159" s="435"/>
      <c r="AF159" s="435"/>
      <c r="AG159" s="435"/>
      <c r="AH159" s="435"/>
      <c r="AI159" s="435"/>
      <c r="AJ159" s="435"/>
      <c r="AK159" s="435"/>
      <c r="AL159" s="435"/>
      <c r="AM159" s="435"/>
      <c r="AN159" s="435"/>
      <c r="AO159" s="435"/>
      <c r="AP159" s="435"/>
      <c r="AQ159" s="435"/>
      <c r="AR159" s="435"/>
      <c r="AS159" s="435"/>
      <c r="AT159" s="435"/>
      <c r="AU159" s="435"/>
      <c r="AV159" s="435"/>
      <c r="AW159" s="435"/>
      <c r="AX159" s="435"/>
      <c r="AY159" s="435"/>
      <c r="AZ159" s="435"/>
      <c r="BA159" s="435"/>
      <c r="BB159" s="435"/>
      <c r="BC159" s="435"/>
      <c r="BD159" s="435"/>
      <c r="BE159" s="435"/>
      <c r="BF159" s="435"/>
      <c r="BG159" s="435"/>
      <c r="BH159" s="435"/>
      <c r="BI159" s="435"/>
      <c r="BJ159" s="435"/>
    </row>
    <row r="160" spans="16:62" ht="18.75" customHeight="1">
      <c r="P160" s="435"/>
      <c r="Q160" s="435"/>
      <c r="R160" s="435"/>
      <c r="S160" s="435"/>
      <c r="T160" s="435"/>
      <c r="U160" s="435"/>
      <c r="V160" s="435"/>
      <c r="W160" s="435"/>
      <c r="X160" s="435"/>
      <c r="Y160" s="435"/>
      <c r="Z160" s="435"/>
      <c r="AA160" s="435"/>
      <c r="AB160" s="435"/>
      <c r="AC160" s="435"/>
      <c r="AD160" s="435"/>
      <c r="AE160" s="435"/>
      <c r="AF160" s="435"/>
      <c r="AG160" s="435"/>
      <c r="AH160" s="435"/>
      <c r="AI160" s="435"/>
      <c r="AJ160" s="435"/>
      <c r="AK160" s="435"/>
      <c r="AL160" s="435"/>
      <c r="AM160" s="435"/>
      <c r="AN160" s="435"/>
      <c r="AO160" s="435"/>
      <c r="AP160" s="435"/>
      <c r="AQ160" s="435"/>
      <c r="AR160" s="435"/>
      <c r="AS160" s="435"/>
      <c r="AT160" s="435"/>
      <c r="AU160" s="435"/>
      <c r="AV160" s="435"/>
      <c r="AW160" s="435"/>
      <c r="AX160" s="435"/>
      <c r="AY160" s="435"/>
      <c r="AZ160" s="435"/>
      <c r="BA160" s="435"/>
      <c r="BB160" s="435"/>
      <c r="BC160" s="435"/>
      <c r="BD160" s="435"/>
      <c r="BE160" s="435"/>
      <c r="BF160" s="435"/>
      <c r="BG160" s="435"/>
      <c r="BH160" s="435"/>
      <c r="BI160" s="435"/>
      <c r="BJ160" s="435"/>
    </row>
    <row r="161" spans="16:62" ht="18.75" customHeight="1">
      <c r="P161" s="435"/>
      <c r="Q161" s="435"/>
      <c r="R161" s="435"/>
      <c r="S161" s="435"/>
      <c r="T161" s="435"/>
      <c r="U161" s="435"/>
      <c r="V161" s="435"/>
      <c r="W161" s="435"/>
      <c r="X161" s="435"/>
      <c r="Y161" s="435"/>
      <c r="Z161" s="435"/>
      <c r="AA161" s="435"/>
      <c r="AB161" s="435"/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435"/>
      <c r="AO161" s="435"/>
      <c r="AP161" s="435"/>
      <c r="AQ161" s="435"/>
      <c r="AR161" s="435"/>
      <c r="AS161" s="435"/>
      <c r="AT161" s="435"/>
      <c r="AU161" s="435"/>
      <c r="AV161" s="435"/>
      <c r="AW161" s="435"/>
      <c r="AX161" s="435"/>
      <c r="AY161" s="435"/>
      <c r="AZ161" s="435"/>
      <c r="BA161" s="435"/>
      <c r="BB161" s="435"/>
      <c r="BC161" s="435"/>
      <c r="BD161" s="435"/>
      <c r="BE161" s="435"/>
      <c r="BF161" s="435"/>
      <c r="BG161" s="435"/>
      <c r="BH161" s="435"/>
      <c r="BI161" s="435"/>
      <c r="BJ161" s="435"/>
    </row>
    <row r="162" spans="16:62" ht="18.75" customHeight="1">
      <c r="P162" s="435"/>
      <c r="Q162" s="435"/>
      <c r="R162" s="435"/>
      <c r="S162" s="435"/>
      <c r="T162" s="435"/>
      <c r="U162" s="435"/>
      <c r="V162" s="435"/>
      <c r="W162" s="435"/>
      <c r="X162" s="435"/>
      <c r="Y162" s="435"/>
      <c r="Z162" s="435"/>
      <c r="AA162" s="435"/>
      <c r="AB162" s="435"/>
      <c r="AC162" s="435"/>
      <c r="AD162" s="435"/>
      <c r="AE162" s="435"/>
      <c r="AF162" s="435"/>
      <c r="AG162" s="435"/>
      <c r="AH162" s="435"/>
      <c r="AI162" s="435"/>
      <c r="AJ162" s="435"/>
      <c r="AK162" s="435"/>
      <c r="AL162" s="435"/>
      <c r="AM162" s="435"/>
      <c r="AN162" s="435"/>
      <c r="AO162" s="435"/>
      <c r="AP162" s="435"/>
      <c r="AQ162" s="435"/>
      <c r="AR162" s="435"/>
      <c r="AS162" s="435"/>
      <c r="AT162" s="435"/>
      <c r="AU162" s="435"/>
      <c r="AV162" s="435"/>
      <c r="AW162" s="435"/>
      <c r="AX162" s="435"/>
      <c r="AY162" s="435"/>
      <c r="AZ162" s="435"/>
      <c r="BA162" s="435"/>
      <c r="BB162" s="435"/>
      <c r="BC162" s="435"/>
      <c r="BD162" s="435"/>
      <c r="BE162" s="435"/>
      <c r="BF162" s="435"/>
      <c r="BG162" s="435"/>
      <c r="BH162" s="435"/>
      <c r="BI162" s="435"/>
      <c r="BJ162" s="435"/>
    </row>
    <row r="163" spans="16:62" ht="18.75" customHeight="1">
      <c r="P163" s="435"/>
      <c r="Q163" s="435"/>
      <c r="R163" s="435"/>
      <c r="S163" s="435"/>
      <c r="T163" s="435"/>
      <c r="U163" s="435"/>
      <c r="V163" s="435"/>
      <c r="W163" s="435"/>
      <c r="X163" s="435"/>
      <c r="Y163" s="435"/>
      <c r="Z163" s="435"/>
      <c r="AA163" s="435"/>
      <c r="AB163" s="435"/>
      <c r="AC163" s="435"/>
      <c r="AD163" s="435"/>
      <c r="AE163" s="435"/>
      <c r="AF163" s="435"/>
      <c r="AG163" s="435"/>
      <c r="AH163" s="435"/>
      <c r="AI163" s="435"/>
      <c r="AJ163" s="435"/>
      <c r="AK163" s="435"/>
      <c r="AL163" s="435"/>
      <c r="AM163" s="435"/>
      <c r="AN163" s="435"/>
      <c r="AO163" s="435"/>
      <c r="AP163" s="435"/>
      <c r="AQ163" s="435"/>
      <c r="AR163" s="435"/>
      <c r="AS163" s="435"/>
      <c r="AT163" s="435"/>
      <c r="AU163" s="435"/>
      <c r="AV163" s="435"/>
      <c r="AW163" s="435"/>
      <c r="AX163" s="435"/>
      <c r="AY163" s="435"/>
      <c r="AZ163" s="435"/>
      <c r="BA163" s="435"/>
      <c r="BB163" s="435"/>
      <c r="BC163" s="435"/>
      <c r="BD163" s="435"/>
      <c r="BE163" s="435"/>
      <c r="BF163" s="435"/>
      <c r="BG163" s="435"/>
      <c r="BH163" s="435"/>
      <c r="BI163" s="435"/>
      <c r="BJ163" s="435"/>
    </row>
    <row r="164" spans="16:62" ht="18.75" customHeight="1">
      <c r="P164" s="435"/>
      <c r="Q164" s="435"/>
      <c r="R164" s="435"/>
      <c r="S164" s="435"/>
      <c r="T164" s="435"/>
      <c r="U164" s="435"/>
      <c r="V164" s="435"/>
      <c r="W164" s="435"/>
      <c r="X164" s="435"/>
      <c r="Y164" s="435"/>
      <c r="Z164" s="435"/>
      <c r="AA164" s="435"/>
      <c r="AB164" s="435"/>
      <c r="AC164" s="435"/>
      <c r="AD164" s="435"/>
      <c r="AE164" s="435"/>
      <c r="AF164" s="435"/>
      <c r="AG164" s="435"/>
      <c r="AH164" s="435"/>
      <c r="AI164" s="435"/>
      <c r="AJ164" s="435"/>
      <c r="AK164" s="435"/>
      <c r="AL164" s="435"/>
      <c r="AM164" s="435"/>
      <c r="AN164" s="435"/>
      <c r="AO164" s="435"/>
      <c r="AP164" s="435"/>
      <c r="AQ164" s="435"/>
      <c r="AR164" s="435"/>
      <c r="AS164" s="435"/>
      <c r="AT164" s="435"/>
      <c r="AU164" s="435"/>
      <c r="AV164" s="435"/>
      <c r="AW164" s="435"/>
      <c r="AX164" s="435"/>
      <c r="AY164" s="435"/>
      <c r="AZ164" s="435"/>
      <c r="BA164" s="435"/>
      <c r="BB164" s="435"/>
      <c r="BC164" s="435"/>
      <c r="BD164" s="435"/>
      <c r="BE164" s="435"/>
      <c r="BF164" s="435"/>
      <c r="BG164" s="435"/>
      <c r="BH164" s="435"/>
      <c r="BI164" s="435"/>
      <c r="BJ164" s="435"/>
    </row>
    <row r="165" spans="16:62" ht="18.75" customHeight="1"/>
    <row r="166" spans="16:62" ht="18.75" customHeight="1"/>
    <row r="167" spans="16:62" ht="18.75" customHeight="1"/>
    <row r="168" spans="16:62" ht="18.75" customHeight="1"/>
    <row r="169" spans="16:62" ht="18.75" customHeight="1"/>
    <row r="170" spans="16:62" ht="18.75" customHeight="1"/>
    <row r="171" spans="16:62" ht="18.75" customHeight="1"/>
    <row r="172" spans="16:62" ht="18.75" customHeight="1"/>
    <row r="173" spans="16:62" ht="18.75" customHeight="1"/>
    <row r="174" spans="16:62" ht="18.75" customHeight="1"/>
    <row r="175" spans="16:62" ht="18.75" customHeight="1"/>
    <row r="176" spans="16:62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</sheetData>
  <mergeCells count="252">
    <mergeCell ref="BP26:BP27"/>
    <mergeCell ref="BQ26:BQ27"/>
    <mergeCell ref="BR26:BR27"/>
    <mergeCell ref="BS26:BT26"/>
    <mergeCell ref="BI26:BI27"/>
    <mergeCell ref="BJ26:BJ27"/>
    <mergeCell ref="BK26:BK27"/>
    <mergeCell ref="BL26:BL27"/>
    <mergeCell ref="BM26:BM27"/>
    <mergeCell ref="BN26:BO26"/>
    <mergeCell ref="BC26:BC27"/>
    <mergeCell ref="BD26:BD27"/>
    <mergeCell ref="BE26:BE27"/>
    <mergeCell ref="BF26:BF27"/>
    <mergeCell ref="BG26:BG27"/>
    <mergeCell ref="BH26:BH27"/>
    <mergeCell ref="AU26:AV26"/>
    <mergeCell ref="AW26:AW27"/>
    <mergeCell ref="AX26:AX27"/>
    <mergeCell ref="AY26:AY27"/>
    <mergeCell ref="AZ26:BA26"/>
    <mergeCell ref="BB26:BB27"/>
    <mergeCell ref="AO26:AO27"/>
    <mergeCell ref="AP26:AP27"/>
    <mergeCell ref="AQ26:AQ27"/>
    <mergeCell ref="AR26:AR27"/>
    <mergeCell ref="AS26:AS27"/>
    <mergeCell ref="AT26:AT27"/>
    <mergeCell ref="AI26:AI27"/>
    <mergeCell ref="AJ26:AJ27"/>
    <mergeCell ref="AK26:AK27"/>
    <mergeCell ref="AL26:AL27"/>
    <mergeCell ref="AM26:AM27"/>
    <mergeCell ref="AN26:AN27"/>
    <mergeCell ref="AE26:AE27"/>
    <mergeCell ref="AF26:AF27"/>
    <mergeCell ref="AG26:AH26"/>
    <mergeCell ref="U26:U27"/>
    <mergeCell ref="V26:V27"/>
    <mergeCell ref="W26:W27"/>
    <mergeCell ref="X26:X27"/>
    <mergeCell ref="Y26:Y27"/>
    <mergeCell ref="Z26:Z27"/>
    <mergeCell ref="B26:B27"/>
    <mergeCell ref="C26:C27"/>
    <mergeCell ref="D26:D27"/>
    <mergeCell ref="E26:E27"/>
    <mergeCell ref="F26:F27"/>
    <mergeCell ref="G26:G27"/>
    <mergeCell ref="AW25:BA25"/>
    <mergeCell ref="BB25:BD25"/>
    <mergeCell ref="BE25:BG25"/>
    <mergeCell ref="N26:O26"/>
    <mergeCell ref="P26:P27"/>
    <mergeCell ref="Q26:Q27"/>
    <mergeCell ref="R26:R27"/>
    <mergeCell ref="S26:S27"/>
    <mergeCell ref="T26:T27"/>
    <mergeCell ref="H26:H27"/>
    <mergeCell ref="I26:I27"/>
    <mergeCell ref="J26:J27"/>
    <mergeCell ref="K26:K27"/>
    <mergeCell ref="L26:L27"/>
    <mergeCell ref="M26:M27"/>
    <mergeCell ref="AA26:AA27"/>
    <mergeCell ref="AB26:AC26"/>
    <mergeCell ref="AD26:AD27"/>
    <mergeCell ref="BH25:BJ25"/>
    <mergeCell ref="BK25:BO25"/>
    <mergeCell ref="BP25:BT25"/>
    <mergeCell ref="Y25:AC25"/>
    <mergeCell ref="AD25:AH25"/>
    <mergeCell ref="AI25:AK25"/>
    <mergeCell ref="AL25:AN25"/>
    <mergeCell ref="AO25:AQ25"/>
    <mergeCell ref="AR25:AV25"/>
    <mergeCell ref="BR15:BR16"/>
    <mergeCell ref="BS15:BT15"/>
    <mergeCell ref="A25:A27"/>
    <mergeCell ref="B25:D25"/>
    <mergeCell ref="E25:G25"/>
    <mergeCell ref="H25:J25"/>
    <mergeCell ref="K25:O25"/>
    <mergeCell ref="P25:R25"/>
    <mergeCell ref="S25:U25"/>
    <mergeCell ref="V25:X25"/>
    <mergeCell ref="BK15:BK16"/>
    <mergeCell ref="BL15:BL16"/>
    <mergeCell ref="BM15:BM16"/>
    <mergeCell ref="BN15:BO15"/>
    <mergeCell ref="BP15:BP16"/>
    <mergeCell ref="BQ15:BQ16"/>
    <mergeCell ref="BE15:BE16"/>
    <mergeCell ref="BF15:BF16"/>
    <mergeCell ref="BG15:BG16"/>
    <mergeCell ref="BH15:BH16"/>
    <mergeCell ref="BI15:BI16"/>
    <mergeCell ref="BJ15:BJ16"/>
    <mergeCell ref="AX15:AX16"/>
    <mergeCell ref="AY15:AY16"/>
    <mergeCell ref="AZ15:BA15"/>
    <mergeCell ref="BB15:BB16"/>
    <mergeCell ref="BC15:BC16"/>
    <mergeCell ref="BD15:BD16"/>
    <mergeCell ref="AQ15:AQ16"/>
    <mergeCell ref="AR15:AR16"/>
    <mergeCell ref="AS15:AS16"/>
    <mergeCell ref="AT15:AT16"/>
    <mergeCell ref="AU15:AV15"/>
    <mergeCell ref="AW15:AW16"/>
    <mergeCell ref="AK15:AK16"/>
    <mergeCell ref="AL15:AL16"/>
    <mergeCell ref="AM15:AM16"/>
    <mergeCell ref="AN15:AN16"/>
    <mergeCell ref="AO15:AO16"/>
    <mergeCell ref="AP15:AP16"/>
    <mergeCell ref="AD15:AD16"/>
    <mergeCell ref="AE15:AE16"/>
    <mergeCell ref="AF15:AF16"/>
    <mergeCell ref="AG15:AH15"/>
    <mergeCell ref="AI15:AI16"/>
    <mergeCell ref="AJ15:AJ16"/>
    <mergeCell ref="W15:W16"/>
    <mergeCell ref="X15:X16"/>
    <mergeCell ref="Y15:Y16"/>
    <mergeCell ref="Z15:Z16"/>
    <mergeCell ref="AA15:AA16"/>
    <mergeCell ref="AB15:AC15"/>
    <mergeCell ref="Q15:Q16"/>
    <mergeCell ref="R15:R16"/>
    <mergeCell ref="S15:S16"/>
    <mergeCell ref="T15:T16"/>
    <mergeCell ref="U15:U16"/>
    <mergeCell ref="V15:V16"/>
    <mergeCell ref="J15:J16"/>
    <mergeCell ref="K15:K16"/>
    <mergeCell ref="L15:L16"/>
    <mergeCell ref="M15:M16"/>
    <mergeCell ref="N15:O15"/>
    <mergeCell ref="P15:P16"/>
    <mergeCell ref="BK14:BO14"/>
    <mergeCell ref="BP14:BT14"/>
    <mergeCell ref="B15:B16"/>
    <mergeCell ref="C15:C16"/>
    <mergeCell ref="D15:D16"/>
    <mergeCell ref="E15:E16"/>
    <mergeCell ref="F15:F16"/>
    <mergeCell ref="G15:G16"/>
    <mergeCell ref="H15:H16"/>
    <mergeCell ref="I15:I16"/>
    <mergeCell ref="AO14:AQ14"/>
    <mergeCell ref="AR14:AV14"/>
    <mergeCell ref="AW14:BA14"/>
    <mergeCell ref="BB14:BD14"/>
    <mergeCell ref="BE14:BG14"/>
    <mergeCell ref="BH14:BJ14"/>
    <mergeCell ref="S14:U14"/>
    <mergeCell ref="V14:X14"/>
    <mergeCell ref="Y14:AC14"/>
    <mergeCell ref="AD14:AH14"/>
    <mergeCell ref="AI14:AK14"/>
    <mergeCell ref="AL14:AN14"/>
    <mergeCell ref="BP6:BP7"/>
    <mergeCell ref="BQ6:BQ7"/>
    <mergeCell ref="BR6:BR7"/>
    <mergeCell ref="BS6:BT6"/>
    <mergeCell ref="A14:A16"/>
    <mergeCell ref="B14:D14"/>
    <mergeCell ref="E14:G14"/>
    <mergeCell ref="H14:J14"/>
    <mergeCell ref="K14:O14"/>
    <mergeCell ref="P14:R14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18"/>
  <sheetViews>
    <sheetView topLeftCell="A40" zoomScale="55" zoomScaleNormal="55" zoomScalePageLayoutView="90" workbookViewId="0">
      <selection activeCell="A5" sqref="A5"/>
    </sheetView>
  </sheetViews>
  <sheetFormatPr defaultRowHeight="12.75"/>
  <cols>
    <col min="1" max="1" width="57" customWidth="1"/>
    <col min="2" max="2" width="17.28515625" customWidth="1"/>
    <col min="3" max="3" width="15.28515625" customWidth="1"/>
    <col min="4" max="4" width="15.5703125" customWidth="1"/>
    <col min="5" max="7" width="11.7109375" customWidth="1"/>
    <col min="8" max="8" width="12.28515625" customWidth="1"/>
    <col min="9" max="11" width="11.7109375" customWidth="1"/>
    <col min="12" max="13" width="12.28515625" customWidth="1"/>
    <col min="14" max="16" width="11.7109375" customWidth="1"/>
    <col min="17" max="18" width="12.28515625" customWidth="1"/>
    <col min="19" max="21" width="11.7109375" customWidth="1"/>
    <col min="22" max="22" width="12.28515625" customWidth="1"/>
    <col min="23" max="23" width="11.7109375" customWidth="1"/>
  </cols>
  <sheetData>
    <row r="1" spans="1:23" ht="23.25">
      <c r="R1" s="3778" t="s">
        <v>1724</v>
      </c>
      <c r="S1" s="3778"/>
    </row>
    <row r="2" spans="1:23" ht="23.25">
      <c r="R2" s="3778" t="s">
        <v>1779</v>
      </c>
      <c r="S2" s="3778"/>
    </row>
    <row r="3" spans="1:23" ht="31.5" customHeight="1">
      <c r="R3" s="3778" t="s">
        <v>1780</v>
      </c>
      <c r="S3" s="3778"/>
    </row>
    <row r="4" spans="1:23" ht="30.75" customHeight="1">
      <c r="R4" s="3778" t="s">
        <v>1781</v>
      </c>
      <c r="S4" s="3778"/>
    </row>
    <row r="5" spans="1:23" ht="23.25">
      <c r="R5" s="3778"/>
      <c r="S5" s="3778"/>
    </row>
    <row r="7" spans="1:23" ht="23.25">
      <c r="A7" s="4398" t="s">
        <v>1786</v>
      </c>
      <c r="B7" s="4398"/>
      <c r="C7" s="4398"/>
      <c r="D7" s="4398"/>
      <c r="E7" s="4399"/>
      <c r="F7" s="4399"/>
      <c r="G7" s="4399"/>
      <c r="H7" s="4399"/>
      <c r="I7" s="4399"/>
      <c r="J7" s="4399"/>
      <c r="K7" s="4399"/>
      <c r="L7" s="4399"/>
      <c r="M7" s="4399"/>
      <c r="N7" s="4399"/>
      <c r="O7" s="4399"/>
      <c r="P7" s="4399"/>
      <c r="Q7" s="4399"/>
      <c r="R7" s="4399"/>
      <c r="S7" s="4399"/>
      <c r="T7" s="4399"/>
      <c r="U7" s="4399"/>
      <c r="V7" s="4399"/>
    </row>
    <row r="8" spans="1:23" ht="12.75" customHeight="1">
      <c r="A8" s="3752"/>
      <c r="B8" s="3752"/>
      <c r="C8" s="3752"/>
      <c r="D8" s="3752"/>
      <c r="E8" s="3753"/>
      <c r="F8" s="3753"/>
      <c r="G8" s="3753"/>
      <c r="H8" s="3753"/>
      <c r="I8" s="3753"/>
      <c r="J8" s="3753"/>
      <c r="K8" s="3753"/>
      <c r="L8" s="3753"/>
      <c r="M8" s="3753"/>
      <c r="N8" s="3753"/>
      <c r="O8" s="3753"/>
      <c r="P8" s="3753"/>
      <c r="Q8" s="3753"/>
      <c r="R8" s="3753"/>
      <c r="S8" s="3753"/>
      <c r="T8" s="3753"/>
      <c r="U8" s="3753"/>
      <c r="V8" s="3753"/>
    </row>
    <row r="9" spans="1:23" ht="18.75" customHeight="1">
      <c r="A9" s="4400" t="s">
        <v>1769</v>
      </c>
      <c r="B9" s="4400"/>
      <c r="C9" s="4400"/>
      <c r="D9" s="4400"/>
      <c r="E9" s="4401"/>
      <c r="F9" s="4401"/>
      <c r="G9" s="4401"/>
      <c r="H9" s="4401"/>
      <c r="I9" s="4401"/>
      <c r="J9" s="4401"/>
      <c r="K9" s="4401"/>
      <c r="L9" s="4401"/>
      <c r="M9" s="4401"/>
      <c r="N9" s="4401"/>
      <c r="O9" s="4401"/>
      <c r="P9" s="4401"/>
      <c r="Q9" s="4401"/>
      <c r="R9" s="4401"/>
      <c r="S9" s="4401"/>
      <c r="T9" s="4401"/>
      <c r="U9" s="4401"/>
      <c r="V9" s="4401"/>
      <c r="W9" s="3835"/>
    </row>
    <row r="10" spans="1:23" ht="19.5" customHeight="1">
      <c r="A10" s="4383" t="s">
        <v>546</v>
      </c>
      <c r="B10" s="4389" t="s">
        <v>1782</v>
      </c>
      <c r="C10" s="4389" t="s">
        <v>1561</v>
      </c>
      <c r="D10" s="4402"/>
      <c r="E10" s="4383" t="s">
        <v>587</v>
      </c>
      <c r="F10" s="4383" t="s">
        <v>588</v>
      </c>
      <c r="G10" s="4383" t="s">
        <v>589</v>
      </c>
      <c r="H10" s="4384" t="s">
        <v>601</v>
      </c>
      <c r="I10" s="4383" t="s">
        <v>590</v>
      </c>
      <c r="J10" s="4383" t="s">
        <v>591</v>
      </c>
      <c r="K10" s="4383" t="s">
        <v>592</v>
      </c>
      <c r="L10" s="4384" t="s">
        <v>600</v>
      </c>
      <c r="M10" s="4384" t="s">
        <v>599</v>
      </c>
      <c r="N10" s="4383" t="s">
        <v>593</v>
      </c>
      <c r="O10" s="4383" t="s">
        <v>594</v>
      </c>
      <c r="P10" s="4383" t="s">
        <v>595</v>
      </c>
      <c r="Q10" s="4384" t="s">
        <v>225</v>
      </c>
      <c r="R10" s="4384" t="s">
        <v>229</v>
      </c>
      <c r="S10" s="4383" t="s">
        <v>596</v>
      </c>
      <c r="T10" s="4383" t="s">
        <v>597</v>
      </c>
      <c r="U10" s="4383" t="s">
        <v>598</v>
      </c>
      <c r="V10" s="4384" t="s">
        <v>135</v>
      </c>
      <c r="W10" s="4385" t="s">
        <v>602</v>
      </c>
    </row>
    <row r="11" spans="1:23" ht="41.25" customHeight="1">
      <c r="A11" s="4383"/>
      <c r="B11" s="4389"/>
      <c r="C11" s="3848" t="s">
        <v>352</v>
      </c>
      <c r="D11" s="3848" t="s">
        <v>1770</v>
      </c>
      <c r="E11" s="4383"/>
      <c r="F11" s="4383"/>
      <c r="G11" s="4383"/>
      <c r="H11" s="4384"/>
      <c r="I11" s="4383"/>
      <c r="J11" s="4383"/>
      <c r="K11" s="4383"/>
      <c r="L11" s="4384"/>
      <c r="M11" s="4384"/>
      <c r="N11" s="4383"/>
      <c r="O11" s="4383"/>
      <c r="P11" s="4383"/>
      <c r="Q11" s="4384"/>
      <c r="R11" s="4384"/>
      <c r="S11" s="4383"/>
      <c r="T11" s="4383"/>
      <c r="U11" s="4383"/>
      <c r="V11" s="4384"/>
      <c r="W11" s="4385"/>
    </row>
    <row r="12" spans="1:23" ht="18.75" customHeight="1">
      <c r="A12" s="3811" t="s">
        <v>1771</v>
      </c>
      <c r="B12" s="4014">
        <f>SUM('Произв. прогр. Стоки'!B12)</f>
        <v>4142.6875</v>
      </c>
      <c r="C12" s="4014">
        <f>SUM('Произв. прогр. Стоки'!C12)</f>
        <v>4119.6875</v>
      </c>
      <c r="D12" s="4014">
        <f>SUM('Произв. прогр. Стоки'!D12)</f>
        <v>23</v>
      </c>
      <c r="E12" s="4018">
        <f>SUM('Произв. прогр. Стоки'!E12)</f>
        <v>349.79415625000001</v>
      </c>
      <c r="F12" s="4018">
        <f>SUM('Произв. прогр. Стоки'!F12)</f>
        <v>350.78140625000003</v>
      </c>
      <c r="G12" s="4018">
        <f>SUM('Произв. прогр. Стоки'!G12)</f>
        <v>352.06450000000007</v>
      </c>
      <c r="H12" s="4014">
        <f>SUM('Произв. прогр. Стоки'!H12)</f>
        <v>1052.6400625000001</v>
      </c>
      <c r="I12" s="4018">
        <f>SUM('Произв. прогр. Стоки'!I12)</f>
        <v>347.16806249999996</v>
      </c>
      <c r="J12" s="4018">
        <f>SUM('Произв. прогр. Стоки'!J12)</f>
        <v>340.61103124999994</v>
      </c>
      <c r="K12" s="4018">
        <f>SUM('Произв. прогр. Стоки'!K12)</f>
        <v>328.56956249999996</v>
      </c>
      <c r="L12" s="4014">
        <f>SUM('Произв. прогр. Стоки'!L12)</f>
        <v>1016.3486562499999</v>
      </c>
      <c r="M12" s="4014">
        <f>SUM('Произв. прогр. Стоки'!M12)</f>
        <v>2068.9887187499999</v>
      </c>
      <c r="N12" s="4018">
        <f>SUM('Произв. прогр. Стоки'!N12)</f>
        <v>319.22134374999996</v>
      </c>
      <c r="O12" s="4018">
        <f>SUM('Произв. прогр. Стоки'!O12)</f>
        <v>330.33724999999998</v>
      </c>
      <c r="P12" s="4018">
        <f>SUM('Произв. прогр. Стоки'!P12)</f>
        <v>344.94668750000005</v>
      </c>
      <c r="Q12" s="4014">
        <f>SUM('Произв. прогр. Стоки'!Q12)</f>
        <v>994.50528124999994</v>
      </c>
      <c r="R12" s="4014">
        <f>SUM('Произв. прогр. Стоки'!R12)</f>
        <v>3063.4940000000001</v>
      </c>
      <c r="S12" s="4018">
        <f>SUM('Произв. прогр. Стоки'!S12)</f>
        <v>352.06450000000007</v>
      </c>
      <c r="T12" s="4018">
        <f>SUM('Произв. прогр. Стоки'!T12)</f>
        <v>352.06450000000007</v>
      </c>
      <c r="U12" s="4018">
        <f>SUM('Произв. прогр. Стоки'!U12)</f>
        <v>352.06450000000007</v>
      </c>
      <c r="V12" s="4014">
        <f>SUM('Произв. прогр. Стоки'!V12)</f>
        <v>1056.1935000000001</v>
      </c>
      <c r="W12" s="3788">
        <f>SUM(E12+F12+G12+I12+J12+K12+N12+O12+P12+S12+T12+U12)</f>
        <v>4119.6875</v>
      </c>
    </row>
    <row r="13" spans="1:23" ht="18.75" customHeight="1">
      <c r="A13" s="3785" t="s">
        <v>1777</v>
      </c>
      <c r="B13" s="4014">
        <f>SUM('Произв. прогр. Стоки'!B13)</f>
        <v>3295.75</v>
      </c>
      <c r="C13" s="4014">
        <f>SUM('Произв. прогр. Стоки'!C13)</f>
        <v>3272.75</v>
      </c>
      <c r="D13" s="4014">
        <f>SUM('Произв. прогр. Стоки'!D13)</f>
        <v>23</v>
      </c>
      <c r="E13" s="4018">
        <f>SUM('Произв. прогр. Стоки'!E13)</f>
        <v>279.83532500000001</v>
      </c>
      <c r="F13" s="4018">
        <f>SUM('Произв. прогр. Стоки'!F13)</f>
        <v>280.62512500000003</v>
      </c>
      <c r="G13" s="4018">
        <f>SUM('Произв. прогр. Стоки'!G13)</f>
        <v>281.65160000000003</v>
      </c>
      <c r="H13" s="4014">
        <f>SUM('Произв. прогр. Стоки'!H13)</f>
        <v>842.11205000000007</v>
      </c>
      <c r="I13" s="4018">
        <f>SUM('Произв. прогр. Стоки'!I13)</f>
        <v>277.73444999999998</v>
      </c>
      <c r="J13" s="4018">
        <f>SUM('Произв. прогр. Стоки'!J13)</f>
        <v>272.48882499999996</v>
      </c>
      <c r="K13" s="4018">
        <f>SUM('Произв. прогр. Стоки'!K13)</f>
        <v>262.85564999999997</v>
      </c>
      <c r="L13" s="4014">
        <f>SUM('Произв. прогр. Стоки'!L13)</f>
        <v>813.07892499999991</v>
      </c>
      <c r="M13" s="4014">
        <f>SUM('Произв. прогр. Стоки'!M13)</f>
        <v>1655.190975</v>
      </c>
      <c r="N13" s="4018">
        <f>SUM('Произв. прогр. Стоки'!N13)</f>
        <v>255.37707499999999</v>
      </c>
      <c r="O13" s="4018">
        <f>SUM('Произв. прогр. Стоки'!O13)</f>
        <v>264.26979999999998</v>
      </c>
      <c r="P13" s="4018">
        <f>SUM('Произв. прогр. Стоки'!P13)</f>
        <v>275.95735000000002</v>
      </c>
      <c r="Q13" s="4014">
        <f>SUM('Произв. прогр. Стоки'!Q13)</f>
        <v>795.60422499999993</v>
      </c>
      <c r="R13" s="4014">
        <f>SUM('Произв. прогр. Стоки'!R13)</f>
        <v>2450.7952</v>
      </c>
      <c r="S13" s="4018">
        <f>SUM('Произв. прогр. Стоки'!S13)</f>
        <v>281.65160000000003</v>
      </c>
      <c r="T13" s="4018">
        <f>SUM('Произв. прогр. Стоки'!T13)</f>
        <v>281.65160000000003</v>
      </c>
      <c r="U13" s="4018">
        <f>SUM('Произв. прогр. Стоки'!U13)</f>
        <v>281.65160000000003</v>
      </c>
      <c r="V13" s="4014">
        <f>SUM('Произв. прогр. Стоки'!V13)</f>
        <v>844.95480000000009</v>
      </c>
      <c r="W13" s="3788">
        <f>SUM(E13+F13+G13+I13+J13+K13+N13+O13+P13+S13+T13+U13)</f>
        <v>3295.7500000000005</v>
      </c>
    </row>
    <row r="14" spans="1:23" ht="18.75" customHeight="1">
      <c r="A14" s="3789" t="s">
        <v>264</v>
      </c>
      <c r="B14" s="3915">
        <f>SUM('Произв. прогр. Стоки'!B14)</f>
        <v>2300</v>
      </c>
      <c r="C14" s="3915">
        <f>SUM('Произв. прогр. Стоки'!C14)</f>
        <v>2300</v>
      </c>
      <c r="D14" s="3915">
        <f>SUM('Произв. прогр. Стоки'!D14)</f>
        <v>0</v>
      </c>
      <c r="E14" s="3930">
        <f>SUM('Произв. прогр. Стоки'!E14)</f>
        <v>197.79999999999998</v>
      </c>
      <c r="F14" s="3930">
        <f>SUM('Произв. прогр. Стоки'!F14)</f>
        <v>195.5</v>
      </c>
      <c r="G14" s="3930">
        <f>SUM('Произв. прогр. Стоки'!G14)</f>
        <v>196.42</v>
      </c>
      <c r="H14" s="3915">
        <f>SUM('Произв. прогр. Стоки'!H14)</f>
        <v>589.71999999999991</v>
      </c>
      <c r="I14" s="3930">
        <f>SUM('Произв. прогр. Стоки'!I14)</f>
        <v>193.89</v>
      </c>
      <c r="J14" s="3930">
        <f>SUM('Произв. прогр. Стоки'!J14)</f>
        <v>188.59999999999997</v>
      </c>
      <c r="K14" s="3930">
        <f>SUM('Произв. прогр. Стоки'!K14)</f>
        <v>181.47</v>
      </c>
      <c r="L14" s="3915">
        <f>SUM('Произв. прогр. Стоки'!L14)</f>
        <v>563.95999999999992</v>
      </c>
      <c r="M14" s="3915">
        <f>SUM('Произв. прогр. Стоки'!M14)</f>
        <v>1153.6799999999998</v>
      </c>
      <c r="N14" s="3930">
        <f>SUM('Произв. прогр. Стоки'!N14)</f>
        <v>179.17</v>
      </c>
      <c r="O14" s="3930">
        <f>SUM('Произв. прогр. Стоки'!O14)</f>
        <v>186.52999999999997</v>
      </c>
      <c r="P14" s="3930">
        <f>SUM('Произв. прогр. Стоки'!P14)</f>
        <v>191.35999999999999</v>
      </c>
      <c r="Q14" s="3915">
        <f>SUM('Произв. прогр. Стоки'!Q14)</f>
        <v>557.05999999999995</v>
      </c>
      <c r="R14" s="3915">
        <f>SUM('Произв. прогр. Стоки'!R14)</f>
        <v>1710.7399999999998</v>
      </c>
      <c r="S14" s="3930">
        <f>SUM('Произв. прогр. Стоки'!S14)</f>
        <v>196.42</v>
      </c>
      <c r="T14" s="3930">
        <f>SUM('Произв. прогр. Стоки'!T14)</f>
        <v>196.42</v>
      </c>
      <c r="U14" s="3930">
        <f>SUM('Произв. прогр. Стоки'!U14)</f>
        <v>196.42</v>
      </c>
      <c r="V14" s="3915">
        <f>SUM('Произв. прогр. Стоки'!V14)</f>
        <v>589.26</v>
      </c>
      <c r="W14" s="3792">
        <f>SUM(E14+F14+G14+I14+J14+K14+N14+O14+P14+S14+T14+U14)</f>
        <v>2300</v>
      </c>
    </row>
    <row r="15" spans="1:23" ht="18.75" customHeight="1">
      <c r="A15" s="3789" t="s">
        <v>1773</v>
      </c>
      <c r="B15" s="3915">
        <f>SUM('Произв. прогр. Стоки'!B15)</f>
        <v>23</v>
      </c>
      <c r="C15" s="3915">
        <f>SUM('Произв. прогр. Стоки'!C15)</f>
        <v>0</v>
      </c>
      <c r="D15" s="3915">
        <f>SUM('Произв. прогр. Стоки'!D15)</f>
        <v>23</v>
      </c>
      <c r="E15" s="3930">
        <f>SUM('Произв. прогр. Стоки'!E15)</f>
        <v>1.9779999999999998</v>
      </c>
      <c r="F15" s="3930">
        <f>SUM('Произв. прогр. Стоки'!F15)</f>
        <v>1.9550000000000001</v>
      </c>
      <c r="G15" s="3930">
        <f>SUM('Произв. прогр. Стоки'!G15)</f>
        <v>1.9641999999999997</v>
      </c>
      <c r="H15" s="3915">
        <f>SUM('Произв. прогр. Стоки'!H15)</f>
        <v>5.8971999999999998</v>
      </c>
      <c r="I15" s="3930">
        <f>SUM('Произв. прогр. Стоки'!I15)</f>
        <v>1.9389000000000001</v>
      </c>
      <c r="J15" s="3930">
        <f>SUM('Произв. прогр. Стоки'!J15)</f>
        <v>1.8859999999999997</v>
      </c>
      <c r="K15" s="3930">
        <f>SUM('Произв. прогр. Стоки'!K15)</f>
        <v>1.8147</v>
      </c>
      <c r="L15" s="3915">
        <f>SUM('Произв. прогр. Стоки'!L15)</f>
        <v>5.6395999999999997</v>
      </c>
      <c r="M15" s="3915">
        <f>SUM('Произв. прогр. Стоки'!M15)</f>
        <v>11.536799999999999</v>
      </c>
      <c r="N15" s="3930">
        <f>SUM('Произв. прогр. Стоки'!N15)</f>
        <v>1.7916999999999998</v>
      </c>
      <c r="O15" s="3930">
        <f>SUM('Произв. прогр. Стоки'!O15)</f>
        <v>1.8652999999999997</v>
      </c>
      <c r="P15" s="3930">
        <f>SUM('Произв. прогр. Стоки'!P15)</f>
        <v>1.9136</v>
      </c>
      <c r="Q15" s="3915">
        <f>SUM('Произв. прогр. Стоки'!Q15)</f>
        <v>5.5705999999999998</v>
      </c>
      <c r="R15" s="3915">
        <f>SUM('Произв. прогр. Стоки'!R15)</f>
        <v>17.107399999999998</v>
      </c>
      <c r="S15" s="3930">
        <f>SUM('Произв. прогр. Стоки'!S15)</f>
        <v>1.9641999999999997</v>
      </c>
      <c r="T15" s="3930">
        <f>SUM('Произв. прогр. Стоки'!T15)</f>
        <v>1.9641999999999997</v>
      </c>
      <c r="U15" s="3930">
        <f>SUM('Произв. прогр. Стоки'!U15)</f>
        <v>1.9641999999999997</v>
      </c>
      <c r="V15" s="3915">
        <f>SUM('Произв. прогр. Стоки'!V15)</f>
        <v>5.8925999999999989</v>
      </c>
      <c r="W15" s="3792">
        <f>SUM(E15+F15+G15+I15+J15+K15+N15+O15+P15+S15+T15+U15)</f>
        <v>22.999999999999993</v>
      </c>
    </row>
    <row r="16" spans="1:23" ht="18.75" customHeight="1">
      <c r="A16" s="3789" t="s">
        <v>1774</v>
      </c>
      <c r="B16" s="3915">
        <f>SUM('Произв. прогр. Стоки'!B16)</f>
        <v>972.75</v>
      </c>
      <c r="C16" s="3915">
        <f>SUM('Произв. прогр. Стоки'!C16)</f>
        <v>972.75</v>
      </c>
      <c r="D16" s="3915">
        <f>SUM('Произв. прогр. Стоки'!D16)</f>
        <v>0</v>
      </c>
      <c r="E16" s="3930">
        <f>SUM('Произв. прогр. Стоки'!E16)</f>
        <v>80.057324999999992</v>
      </c>
      <c r="F16" s="3930">
        <f>SUM('Произв. прогр. Стоки'!F16)</f>
        <v>83.170125000000013</v>
      </c>
      <c r="G16" s="3930">
        <f>SUM('Произв. прогр. Стоки'!G16)</f>
        <v>83.267400000000009</v>
      </c>
      <c r="H16" s="3915">
        <f>SUM('Произв. прогр. Стоки'!H16)</f>
        <v>246.49485000000001</v>
      </c>
      <c r="I16" s="3930">
        <f>SUM('Произв. прогр. Стоки'!I16)</f>
        <v>81.905549999999991</v>
      </c>
      <c r="J16" s="3930">
        <f>SUM('Произв. прогр. Стоки'!J16)</f>
        <v>82.002825000000001</v>
      </c>
      <c r="K16" s="3930">
        <f>SUM('Произв. прогр. Стоки'!K16)</f>
        <v>79.570949999999996</v>
      </c>
      <c r="L16" s="3915">
        <f>SUM('Произв. прогр. Стоки'!L16)</f>
        <v>243.47932499999996</v>
      </c>
      <c r="M16" s="3915">
        <f>SUM('Произв. прогр. Стоки'!M16)</f>
        <v>489.97417499999995</v>
      </c>
      <c r="N16" s="3930">
        <f>SUM('Произв. прогр. Стоки'!N16)</f>
        <v>74.415374999999997</v>
      </c>
      <c r="O16" s="3930">
        <f>SUM('Произв. прогр. Стоки'!O16)</f>
        <v>75.874499999999998</v>
      </c>
      <c r="P16" s="3930">
        <f>SUM('Произв. прогр. Стоки'!P16)</f>
        <v>82.683750000000003</v>
      </c>
      <c r="Q16" s="3915">
        <f>SUM('Произв. прогр. Стоки'!Q16)</f>
        <v>232.973625</v>
      </c>
      <c r="R16" s="3915">
        <f>SUM('Произв. прогр. Стоки'!R16)</f>
        <v>722.94779999999992</v>
      </c>
      <c r="S16" s="3930">
        <f>SUM('Произв. прогр. Стоки'!S16)</f>
        <v>83.267400000000009</v>
      </c>
      <c r="T16" s="3930">
        <f>SUM('Произв. прогр. Стоки'!T16)</f>
        <v>83.267400000000009</v>
      </c>
      <c r="U16" s="3930">
        <f>SUM('Произв. прогр. Стоки'!U16)</f>
        <v>83.267400000000009</v>
      </c>
      <c r="V16" s="3915">
        <f>SUM('Произв. прогр. Стоки'!V16)</f>
        <v>249.80220000000003</v>
      </c>
      <c r="W16" s="3792">
        <f>SUM(E16+F16+G16+I16+J16+K16+N16+O16+P16+S16+T16+U16)</f>
        <v>972.75</v>
      </c>
    </row>
    <row r="17" spans="1:23" ht="18.75" customHeight="1">
      <c r="A17" s="4386" t="s">
        <v>1731</v>
      </c>
      <c r="B17" s="4394"/>
      <c r="C17" s="4394"/>
      <c r="D17" s="4394"/>
      <c r="E17" s="4394"/>
      <c r="F17" s="4394"/>
      <c r="G17" s="4394"/>
      <c r="H17" s="4394"/>
      <c r="I17" s="4394"/>
      <c r="J17" s="4394"/>
      <c r="K17" s="4394"/>
      <c r="L17" s="4394"/>
      <c r="M17" s="4394"/>
      <c r="N17" s="4394"/>
      <c r="O17" s="4394"/>
      <c r="P17" s="4394"/>
      <c r="Q17" s="4394"/>
      <c r="R17" s="4394"/>
      <c r="S17" s="4394"/>
      <c r="T17" s="4394"/>
      <c r="U17" s="4394"/>
      <c r="V17" s="4395"/>
      <c r="W17" s="3792"/>
    </row>
    <row r="18" spans="1:23" ht="18.75" customHeight="1">
      <c r="A18" s="4396" t="s">
        <v>546</v>
      </c>
      <c r="B18" s="4389" t="s">
        <v>1782</v>
      </c>
      <c r="C18" s="4389" t="s">
        <v>576</v>
      </c>
      <c r="D18" s="4389"/>
      <c r="E18" s="4383" t="s">
        <v>587</v>
      </c>
      <c r="F18" s="4383" t="s">
        <v>588</v>
      </c>
      <c r="G18" s="4383" t="s">
        <v>589</v>
      </c>
      <c r="H18" s="4384" t="s">
        <v>601</v>
      </c>
      <c r="I18" s="4383" t="s">
        <v>590</v>
      </c>
      <c r="J18" s="4383" t="s">
        <v>591</v>
      </c>
      <c r="K18" s="4383" t="s">
        <v>592</v>
      </c>
      <c r="L18" s="4384" t="s">
        <v>600</v>
      </c>
      <c r="M18" s="4384" t="s">
        <v>599</v>
      </c>
      <c r="N18" s="4383" t="s">
        <v>593</v>
      </c>
      <c r="O18" s="4383" t="s">
        <v>594</v>
      </c>
      <c r="P18" s="4383" t="s">
        <v>595</v>
      </c>
      <c r="Q18" s="4384" t="s">
        <v>225</v>
      </c>
      <c r="R18" s="4384" t="s">
        <v>229</v>
      </c>
      <c r="S18" s="4383" t="s">
        <v>596</v>
      </c>
      <c r="T18" s="4383" t="s">
        <v>597</v>
      </c>
      <c r="U18" s="4383" t="s">
        <v>598</v>
      </c>
      <c r="V18" s="4384" t="s">
        <v>135</v>
      </c>
      <c r="W18" s="4385" t="s">
        <v>602</v>
      </c>
    </row>
    <row r="19" spans="1:23" ht="18.75" customHeight="1">
      <c r="A19" s="4397"/>
      <c r="B19" s="4389"/>
      <c r="C19" s="3927" t="s">
        <v>352</v>
      </c>
      <c r="D19" s="3927" t="s">
        <v>1770</v>
      </c>
      <c r="E19" s="4383"/>
      <c r="F19" s="4383"/>
      <c r="G19" s="4383"/>
      <c r="H19" s="4384"/>
      <c r="I19" s="4383"/>
      <c r="J19" s="4383"/>
      <c r="K19" s="4383"/>
      <c r="L19" s="4384"/>
      <c r="M19" s="4384"/>
      <c r="N19" s="4383"/>
      <c r="O19" s="4383"/>
      <c r="P19" s="4383"/>
      <c r="Q19" s="4384"/>
      <c r="R19" s="4384"/>
      <c r="S19" s="4383"/>
      <c r="T19" s="4383"/>
      <c r="U19" s="4383"/>
      <c r="V19" s="4384"/>
      <c r="W19" s="4385"/>
    </row>
    <row r="20" spans="1:23" ht="18.75" customHeight="1">
      <c r="A20" s="3805" t="s">
        <v>1732</v>
      </c>
      <c r="B20" s="3799">
        <f>SUM(C20:D20)</f>
        <v>52861.930399999997</v>
      </c>
      <c r="C20" s="3799">
        <f>SUM(H20+L20+Q20+V20)</f>
        <v>52861.930399999997</v>
      </c>
      <c r="D20" s="3898">
        <v>0</v>
      </c>
      <c r="E20" s="3801">
        <f>SUM(E14*E27)</f>
        <v>4450.5</v>
      </c>
      <c r="F20" s="3801">
        <f>SUM(F14*F27)</f>
        <v>4398.75</v>
      </c>
      <c r="G20" s="3801">
        <f>SUM(G14*G27)</f>
        <v>4419.45</v>
      </c>
      <c r="H20" s="3799">
        <f>SUM(E20:G20)</f>
        <v>13268.7</v>
      </c>
      <c r="I20" s="3801">
        <f>SUM(I14*I27)</f>
        <v>4362.5249999999996</v>
      </c>
      <c r="J20" s="3801">
        <f>SUM(J14*J27)</f>
        <v>4243.4999999999991</v>
      </c>
      <c r="K20" s="3801">
        <f>SUM(K14*K27)</f>
        <v>4083.0749999999998</v>
      </c>
      <c r="L20" s="3799">
        <f>SUM(I20:K20)</f>
        <v>12689.099999999999</v>
      </c>
      <c r="M20" s="3799">
        <f>SUM(H20+L20)</f>
        <v>25957.8</v>
      </c>
      <c r="N20" s="3801">
        <f>SUM(N14*N27)</f>
        <v>4205.1198999999997</v>
      </c>
      <c r="O20" s="3801">
        <f>SUM(O14*O27)</f>
        <v>4377.8590999999988</v>
      </c>
      <c r="P20" s="3801">
        <f>SUM(P14*P27)</f>
        <v>4491.2191999999995</v>
      </c>
      <c r="Q20" s="3799">
        <f>SUM(N20:P20)</f>
        <v>13074.198199999999</v>
      </c>
      <c r="R20" s="3799">
        <f>SUM(M20+Q20)</f>
        <v>39031.998200000002</v>
      </c>
      <c r="S20" s="3801">
        <f>SUM(S14*S27)</f>
        <v>4609.9773999999998</v>
      </c>
      <c r="T20" s="3801">
        <f>SUM(T14*T27)</f>
        <v>4609.9773999999998</v>
      </c>
      <c r="U20" s="3801">
        <f>SUM(U14*U27)</f>
        <v>4609.9773999999998</v>
      </c>
      <c r="V20" s="3799">
        <f>SUM(S20:U20)</f>
        <v>13829.932199999999</v>
      </c>
      <c r="W20" s="3792">
        <f t="shared" ref="W20:W25" si="0">SUM(E20+F20+G20+I20+J20+K20+N20+O20+P20+S20+T20+U20)</f>
        <v>52861.930400000012</v>
      </c>
    </row>
    <row r="21" spans="1:23" ht="18.75" customHeight="1">
      <c r="A21" s="3805" t="s">
        <v>1733</v>
      </c>
      <c r="B21" s="3799">
        <f t="shared" ref="B21:B25" si="1">SUM(C21:D21)</f>
        <v>6668.0128000000004</v>
      </c>
      <c r="C21" s="3799">
        <f t="shared" ref="C21:C23" si="2">SUM(H21+L21+Q21+V21)</f>
        <v>6668.0128000000004</v>
      </c>
      <c r="D21" s="3898">
        <v>0</v>
      </c>
      <c r="E21" s="3801">
        <f>SUM(E14*E28)</f>
        <v>520.21399999999971</v>
      </c>
      <c r="F21" s="3801">
        <f>SUM(F14*F28)</f>
        <v>514.16499999999985</v>
      </c>
      <c r="G21" s="3801">
        <f>SUM(G14*G28)</f>
        <v>516.5845999999998</v>
      </c>
      <c r="H21" s="3799">
        <f>SUM(E21:G21)</f>
        <v>1550.9635999999991</v>
      </c>
      <c r="I21" s="3801">
        <f>SUM(I14*I28)</f>
        <v>509.93069999999977</v>
      </c>
      <c r="J21" s="3801">
        <f>SUM(J14*J28)</f>
        <v>496.01799999999974</v>
      </c>
      <c r="K21" s="3801">
        <f>SUM(K14*K28)</f>
        <v>477.26609999999982</v>
      </c>
      <c r="L21" s="3799">
        <f>SUM(I21:K21)</f>
        <v>1483.2147999999993</v>
      </c>
      <c r="M21" s="3799">
        <f t="shared" ref="M21:M25" si="3">SUM(H21+L21)</f>
        <v>3034.1783999999984</v>
      </c>
      <c r="N21" s="3801">
        <f>SUM(N14*N28)</f>
        <v>567.9689000000003</v>
      </c>
      <c r="O21" s="3801">
        <f>SUM(O14*O28)</f>
        <v>591.30010000000027</v>
      </c>
      <c r="P21" s="3801">
        <f>SUM(P14*P28)</f>
        <v>606.61120000000028</v>
      </c>
      <c r="Q21" s="3799">
        <f>SUM(N21:P21)</f>
        <v>1765.880200000001</v>
      </c>
      <c r="R21" s="3799">
        <f t="shared" ref="R21:R25" si="4">SUM(M21+Q21)</f>
        <v>4800.0585999999994</v>
      </c>
      <c r="S21" s="3801">
        <f>SUM(S14*S28)</f>
        <v>622.65140000000031</v>
      </c>
      <c r="T21" s="3801">
        <f>SUM(T14*T28)</f>
        <v>622.65140000000031</v>
      </c>
      <c r="U21" s="3801">
        <f>SUM(U14*U28)</f>
        <v>622.65140000000031</v>
      </c>
      <c r="V21" s="3799">
        <f>SUM(S21:U21)</f>
        <v>1867.954200000001</v>
      </c>
      <c r="W21" s="3792">
        <f t="shared" si="0"/>
        <v>6668.0128000000013</v>
      </c>
    </row>
    <row r="22" spans="1:23" ht="18.75" customHeight="1">
      <c r="A22" s="3805" t="s">
        <v>1775</v>
      </c>
      <c r="B22" s="3799">
        <f t="shared" si="1"/>
        <v>335.20328799999993</v>
      </c>
      <c r="C22" s="3799">
        <v>0</v>
      </c>
      <c r="D22" s="3799">
        <f>SUM(H22+L22+Q22+V22)</f>
        <v>335.20328799999993</v>
      </c>
      <c r="E22" s="3801">
        <f>SUM(E15*E29)</f>
        <v>28.245839999999994</v>
      </c>
      <c r="F22" s="3801">
        <f t="shared" ref="F22:K23" si="5">SUM(F15*F29)</f>
        <v>27.917400000000001</v>
      </c>
      <c r="G22" s="3801">
        <f t="shared" si="5"/>
        <v>28.048775999999993</v>
      </c>
      <c r="H22" s="3799">
        <f t="shared" ref="H22:H25" si="6">SUM(E22:G22)</f>
        <v>84.212015999999991</v>
      </c>
      <c r="I22" s="3801">
        <f t="shared" si="5"/>
        <v>27.687491999999999</v>
      </c>
      <c r="J22" s="3801">
        <f t="shared" si="5"/>
        <v>26.932079999999996</v>
      </c>
      <c r="K22" s="3801">
        <f t="shared" si="5"/>
        <v>25.913915999999997</v>
      </c>
      <c r="L22" s="3799">
        <f t="shared" ref="L22:L25" si="7">SUM(I22:K22)</f>
        <v>80.533487999999991</v>
      </c>
      <c r="M22" s="3799">
        <f t="shared" si="3"/>
        <v>164.74550399999998</v>
      </c>
      <c r="N22" s="3801">
        <f t="shared" ref="N22:P23" si="8">SUM(N15*N29)</f>
        <v>26.642578999999998</v>
      </c>
      <c r="O22" s="3801">
        <f t="shared" si="8"/>
        <v>27.737010999999995</v>
      </c>
      <c r="P22" s="3801">
        <f t="shared" si="8"/>
        <v>28.455231999999999</v>
      </c>
      <c r="Q22" s="3799">
        <f t="shared" ref="Q22:Q25" si="9">SUM(N22:P22)</f>
        <v>82.834821999999988</v>
      </c>
      <c r="R22" s="3799">
        <f t="shared" si="4"/>
        <v>247.58032599999996</v>
      </c>
      <c r="S22" s="3801">
        <f t="shared" ref="S22:U23" si="10">SUM(S15*S29)</f>
        <v>29.207653999999994</v>
      </c>
      <c r="T22" s="3801">
        <f t="shared" si="10"/>
        <v>29.207653999999994</v>
      </c>
      <c r="U22" s="3801">
        <f t="shared" si="10"/>
        <v>29.207653999999994</v>
      </c>
      <c r="V22" s="3799">
        <f t="shared" ref="V22:V25" si="11">SUM(S22:U22)</f>
        <v>87.622961999999987</v>
      </c>
      <c r="W22" s="3792">
        <f t="shared" si="0"/>
        <v>335.20328799999999</v>
      </c>
    </row>
    <row r="23" spans="1:23" ht="18.75" customHeight="1">
      <c r="A23" s="3805" t="s">
        <v>1734</v>
      </c>
      <c r="B23" s="3799">
        <f t="shared" si="1"/>
        <v>25174.198995750001</v>
      </c>
      <c r="C23" s="3799">
        <f t="shared" si="2"/>
        <v>25174.198995750001</v>
      </c>
      <c r="D23" s="3898">
        <v>0</v>
      </c>
      <c r="E23" s="3801">
        <f>SUM(E16*E30)</f>
        <v>2011.8405772499998</v>
      </c>
      <c r="F23" s="3801">
        <f t="shared" si="5"/>
        <v>2090.0652412500003</v>
      </c>
      <c r="G23" s="3801">
        <f t="shared" si="5"/>
        <v>2092.5097620000001</v>
      </c>
      <c r="H23" s="3799">
        <f t="shared" si="6"/>
        <v>6194.4155805000009</v>
      </c>
      <c r="I23" s="3801">
        <f t="shared" si="5"/>
        <v>2058.2864714999996</v>
      </c>
      <c r="J23" s="3801">
        <f t="shared" si="5"/>
        <v>2060.7309922499999</v>
      </c>
      <c r="K23" s="3801">
        <f t="shared" si="5"/>
        <v>1999.6179734999998</v>
      </c>
      <c r="L23" s="3799">
        <f t="shared" si="7"/>
        <v>6118.6354372499991</v>
      </c>
      <c r="M23" s="3799">
        <f t="shared" si="3"/>
        <v>12313.05101775</v>
      </c>
      <c r="N23" s="3801">
        <f t="shared" si="8"/>
        <v>1982.4255900000001</v>
      </c>
      <c r="O23" s="3801">
        <f t="shared" si="8"/>
        <v>2021.2966799999999</v>
      </c>
      <c r="P23" s="3801">
        <f t="shared" si="8"/>
        <v>2202.6950999999999</v>
      </c>
      <c r="Q23" s="3799">
        <f t="shared" si="9"/>
        <v>6206.4173700000001</v>
      </c>
      <c r="R23" s="3799">
        <f t="shared" si="4"/>
        <v>18519.468387749999</v>
      </c>
      <c r="S23" s="3801">
        <f t="shared" si="10"/>
        <v>2218.2435360000004</v>
      </c>
      <c r="T23" s="3801">
        <f t="shared" si="10"/>
        <v>2218.2435360000004</v>
      </c>
      <c r="U23" s="3801">
        <f t="shared" si="10"/>
        <v>2218.2435360000004</v>
      </c>
      <c r="V23" s="3799">
        <f t="shared" si="11"/>
        <v>6654.7306080000017</v>
      </c>
      <c r="W23" s="3792">
        <f t="shared" si="0"/>
        <v>25174.198995750005</v>
      </c>
    </row>
    <row r="24" spans="1:23" ht="18.75" customHeight="1">
      <c r="A24" s="3807" t="s">
        <v>1737</v>
      </c>
      <c r="B24" s="3797">
        <f>SUM(B20+B21+B22+B23)</f>
        <v>85039.345483749988</v>
      </c>
      <c r="C24" s="3797">
        <f>SUM(C20+C21+C22+C23)</f>
        <v>84704.142195749999</v>
      </c>
      <c r="D24" s="3797">
        <f>SUM(D20+D21+D22+D23)</f>
        <v>335.20328799999993</v>
      </c>
      <c r="E24" s="3808">
        <f>SUM(E20+E21+E22+E23)</f>
        <v>7010.8004172499996</v>
      </c>
      <c r="F24" s="3808">
        <f t="shared" ref="F24:G24" si="12">SUM(F20+F21+F22+F23)</f>
        <v>7030.8976412500006</v>
      </c>
      <c r="G24" s="3808">
        <f t="shared" si="12"/>
        <v>7056.5931380000002</v>
      </c>
      <c r="H24" s="3797">
        <f t="shared" si="6"/>
        <v>21098.291196500002</v>
      </c>
      <c r="I24" s="3808">
        <f t="shared" ref="I24:K24" si="13">SUM(I20+I21+I22+I23)</f>
        <v>6958.4296634999992</v>
      </c>
      <c r="J24" s="3808">
        <f t="shared" si="13"/>
        <v>6827.1810722499986</v>
      </c>
      <c r="K24" s="3808">
        <f t="shared" si="13"/>
        <v>6585.8729894999997</v>
      </c>
      <c r="L24" s="3797">
        <f t="shared" si="7"/>
        <v>20371.483725249996</v>
      </c>
      <c r="M24" s="3797">
        <f t="shared" si="3"/>
        <v>41469.774921749995</v>
      </c>
      <c r="N24" s="3808">
        <f t="shared" ref="N24:P24" si="14">SUM(N20+N21+N22+N23)</f>
        <v>6782.1569689999997</v>
      </c>
      <c r="O24" s="3808">
        <f t="shared" si="14"/>
        <v>7018.1928909999988</v>
      </c>
      <c r="P24" s="3808">
        <f t="shared" si="14"/>
        <v>7328.980732</v>
      </c>
      <c r="Q24" s="3797">
        <f t="shared" si="9"/>
        <v>21129.330591999998</v>
      </c>
      <c r="R24" s="3797">
        <f t="shared" si="4"/>
        <v>62599.105513749993</v>
      </c>
      <c r="S24" s="3808">
        <f t="shared" ref="S24:U24" si="15">SUM(S20+S21+S22+S23)</f>
        <v>7480.0799900000002</v>
      </c>
      <c r="T24" s="3808">
        <f t="shared" si="15"/>
        <v>7480.0799900000002</v>
      </c>
      <c r="U24" s="3808">
        <f t="shared" si="15"/>
        <v>7480.0799900000002</v>
      </c>
      <c r="V24" s="3797">
        <f t="shared" si="11"/>
        <v>22440.239970000002</v>
      </c>
      <c r="W24" s="3788">
        <f t="shared" si="0"/>
        <v>85039.345483749988</v>
      </c>
    </row>
    <row r="25" spans="1:23" ht="18.75" customHeight="1">
      <c r="A25" s="3806" t="s">
        <v>1738</v>
      </c>
      <c r="B25" s="3803">
        <f t="shared" si="1"/>
        <v>0</v>
      </c>
      <c r="C25" s="3803">
        <f>SUM(H25+L25+Q25+V25)</f>
        <v>0</v>
      </c>
      <c r="D25" s="3899">
        <v>0</v>
      </c>
      <c r="E25" s="3802">
        <f>SUM(E143)</f>
        <v>0</v>
      </c>
      <c r="F25" s="3802">
        <f t="shared" ref="F25:K25" si="16">SUM(F143)</f>
        <v>0</v>
      </c>
      <c r="G25" s="3802">
        <f t="shared" si="16"/>
        <v>0</v>
      </c>
      <c r="H25" s="3803">
        <f t="shared" si="6"/>
        <v>0</v>
      </c>
      <c r="I25" s="3802">
        <f t="shared" si="16"/>
        <v>0</v>
      </c>
      <c r="J25" s="3802">
        <f t="shared" si="16"/>
        <v>0</v>
      </c>
      <c r="K25" s="3802">
        <f t="shared" si="16"/>
        <v>0</v>
      </c>
      <c r="L25" s="3803">
        <f t="shared" si="7"/>
        <v>0</v>
      </c>
      <c r="M25" s="3803">
        <f t="shared" si="3"/>
        <v>0</v>
      </c>
      <c r="N25" s="3802">
        <f t="shared" ref="N25:P25" si="17">SUM(N143)</f>
        <v>0</v>
      </c>
      <c r="O25" s="3802">
        <f t="shared" si="17"/>
        <v>0</v>
      </c>
      <c r="P25" s="3802">
        <f t="shared" si="17"/>
        <v>0</v>
      </c>
      <c r="Q25" s="3803">
        <f t="shared" si="9"/>
        <v>0</v>
      </c>
      <c r="R25" s="3803">
        <f t="shared" si="4"/>
        <v>0</v>
      </c>
      <c r="S25" s="3802">
        <f t="shared" ref="S25:U25" si="18">SUM(S143)</f>
        <v>0</v>
      </c>
      <c r="T25" s="3802">
        <f t="shared" si="18"/>
        <v>0</v>
      </c>
      <c r="U25" s="3802">
        <f t="shared" si="18"/>
        <v>0</v>
      </c>
      <c r="V25" s="3803">
        <f t="shared" si="11"/>
        <v>0</v>
      </c>
      <c r="W25" s="3792">
        <f t="shared" si="0"/>
        <v>0</v>
      </c>
    </row>
    <row r="26" spans="1:23" ht="18.75" customHeight="1">
      <c r="A26" s="3807" t="s">
        <v>1739</v>
      </c>
      <c r="B26" s="3797">
        <f>SUM(B24/B13)</f>
        <v>25.802729419327918</v>
      </c>
      <c r="C26" s="3797">
        <f>SUM(C24/C13)</f>
        <v>25.881641492857689</v>
      </c>
      <c r="D26" s="3797">
        <f>SUM(D24/D13)</f>
        <v>14.574055999999997</v>
      </c>
      <c r="E26" s="3808">
        <f>SUM(E24/E13)</f>
        <v>25.053307395161777</v>
      </c>
      <c r="F26" s="3808">
        <f t="shared" ref="F26:V26" si="19">SUM(F24/F13)</f>
        <v>25.054412505829617</v>
      </c>
      <c r="G26" s="3808">
        <f t="shared" si="19"/>
        <v>25.054333573819569</v>
      </c>
      <c r="H26" s="3797">
        <f t="shared" si="19"/>
        <v>25.054018876110369</v>
      </c>
      <c r="I26" s="3808">
        <f t="shared" si="19"/>
        <v>25.054254751256099</v>
      </c>
      <c r="J26" s="3808">
        <f t="shared" si="19"/>
        <v>25.054902975378898</v>
      </c>
      <c r="K26" s="3808">
        <f t="shared" si="19"/>
        <v>25.055093887082133</v>
      </c>
      <c r="L26" s="3797">
        <f t="shared" si="19"/>
        <v>25.054743271386599</v>
      </c>
      <c r="M26" s="3797">
        <f t="shared" si="19"/>
        <v>25.054374720566607</v>
      </c>
      <c r="N26" s="3808">
        <f t="shared" si="19"/>
        <v>26.557422857944474</v>
      </c>
      <c r="O26" s="3808">
        <f t="shared" si="19"/>
        <v>26.55692360988656</v>
      </c>
      <c r="P26" s="3808">
        <f t="shared" si="19"/>
        <v>26.55838205432832</v>
      </c>
      <c r="Q26" s="3797">
        <f t="shared" si="19"/>
        <v>26.557589726223487</v>
      </c>
      <c r="R26" s="3797">
        <f t="shared" si="19"/>
        <v>25.542364989840845</v>
      </c>
      <c r="S26" s="3808">
        <f t="shared" si="19"/>
        <v>26.557917618788601</v>
      </c>
      <c r="T26" s="3808">
        <f t="shared" si="19"/>
        <v>26.557917618788601</v>
      </c>
      <c r="U26" s="3808">
        <f t="shared" si="19"/>
        <v>26.557917618788601</v>
      </c>
      <c r="V26" s="3797">
        <f t="shared" si="19"/>
        <v>26.557917618788604</v>
      </c>
      <c r="W26" s="3809">
        <f>SUM(W24/W13)</f>
        <v>25.802729419327914</v>
      </c>
    </row>
    <row r="27" spans="1:23" ht="18.75" customHeight="1">
      <c r="A27" s="3806" t="s">
        <v>264</v>
      </c>
      <c r="B27" s="3803">
        <f>SUM(B20/B14)</f>
        <v>22.983447999999999</v>
      </c>
      <c r="C27" s="3803">
        <f>SUM(C20/C14)</f>
        <v>22.983447999999999</v>
      </c>
      <c r="D27" s="3899">
        <v>0</v>
      </c>
      <c r="E27" s="3802">
        <v>22.5</v>
      </c>
      <c r="F27" s="3802">
        <f>SUM(E27)</f>
        <v>22.5</v>
      </c>
      <c r="G27" s="3802">
        <f>SUM(E27)</f>
        <v>22.5</v>
      </c>
      <c r="H27" s="3803">
        <f>SUM(G27)</f>
        <v>22.5</v>
      </c>
      <c r="I27" s="3802">
        <f>SUM(E27)</f>
        <v>22.5</v>
      </c>
      <c r="J27" s="3802">
        <f>SUM(E27)</f>
        <v>22.5</v>
      </c>
      <c r="K27" s="3802">
        <f>SUM(E27)</f>
        <v>22.5</v>
      </c>
      <c r="L27" s="3803">
        <f>SUM(K27)</f>
        <v>22.5</v>
      </c>
      <c r="M27" s="3803">
        <f>SUM(L27)</f>
        <v>22.5</v>
      </c>
      <c r="N27" s="3802">
        <v>23.47</v>
      </c>
      <c r="O27" s="3802">
        <f>SUM(N27)</f>
        <v>23.47</v>
      </c>
      <c r="P27" s="3802">
        <f>SUM(N27)</f>
        <v>23.47</v>
      </c>
      <c r="Q27" s="3803">
        <f>SUM(P27)</f>
        <v>23.47</v>
      </c>
      <c r="R27" s="3803">
        <f>SUM(Q27)</f>
        <v>23.47</v>
      </c>
      <c r="S27" s="3802">
        <f>SUM(N27)</f>
        <v>23.47</v>
      </c>
      <c r="T27" s="3802">
        <f>SUM(S27)</f>
        <v>23.47</v>
      </c>
      <c r="U27" s="3802">
        <f>SUM(S27)</f>
        <v>23.47</v>
      </c>
      <c r="V27" s="3803">
        <f>SUM(U27)</f>
        <v>23.47</v>
      </c>
      <c r="W27" s="3810">
        <f>SUM(W20/W14)</f>
        <v>22.983448000000006</v>
      </c>
    </row>
    <row r="28" spans="1:23" ht="18.75" customHeight="1">
      <c r="A28" s="3806" t="s">
        <v>1740</v>
      </c>
      <c r="B28" s="3803">
        <f>SUM(B21/B14)</f>
        <v>2.8991360000000004</v>
      </c>
      <c r="C28" s="3803">
        <f>SUM(C21/C14)</f>
        <v>2.8991360000000004</v>
      </c>
      <c r="D28" s="3899">
        <v>0</v>
      </c>
      <c r="E28" s="3802">
        <f>SUM(E30-E27)</f>
        <v>2.629999999999999</v>
      </c>
      <c r="F28" s="3802">
        <f t="shared" ref="F28:U28" si="20">SUM(F30-F27)</f>
        <v>2.629999999999999</v>
      </c>
      <c r="G28" s="3802">
        <f t="shared" si="20"/>
        <v>2.629999999999999</v>
      </c>
      <c r="H28" s="3803">
        <f t="shared" ref="H28:H30" si="21">SUM(G28)</f>
        <v>2.629999999999999</v>
      </c>
      <c r="I28" s="3802">
        <f t="shared" si="20"/>
        <v>2.629999999999999</v>
      </c>
      <c r="J28" s="3802">
        <f t="shared" si="20"/>
        <v>2.629999999999999</v>
      </c>
      <c r="K28" s="3802">
        <f t="shared" si="20"/>
        <v>2.629999999999999</v>
      </c>
      <c r="L28" s="3803">
        <f t="shared" ref="L28:M30" si="22">SUM(K28)</f>
        <v>2.629999999999999</v>
      </c>
      <c r="M28" s="3803">
        <f t="shared" si="22"/>
        <v>2.629999999999999</v>
      </c>
      <c r="N28" s="3802">
        <f t="shared" si="20"/>
        <v>3.1700000000000017</v>
      </c>
      <c r="O28" s="3802">
        <f t="shared" si="20"/>
        <v>3.1700000000000017</v>
      </c>
      <c r="P28" s="3802">
        <f t="shared" si="20"/>
        <v>3.1700000000000017</v>
      </c>
      <c r="Q28" s="3803">
        <f t="shared" ref="Q28:R30" si="23">SUM(P28)</f>
        <v>3.1700000000000017</v>
      </c>
      <c r="R28" s="3803">
        <f t="shared" si="23"/>
        <v>3.1700000000000017</v>
      </c>
      <c r="S28" s="3802">
        <f t="shared" si="20"/>
        <v>3.1700000000000017</v>
      </c>
      <c r="T28" s="3802">
        <f t="shared" si="20"/>
        <v>3.1700000000000017</v>
      </c>
      <c r="U28" s="3802">
        <f t="shared" si="20"/>
        <v>3.1700000000000017</v>
      </c>
      <c r="V28" s="3803">
        <f t="shared" ref="V28:V30" si="24">SUM(U28)</f>
        <v>3.1700000000000017</v>
      </c>
      <c r="W28" s="3810">
        <f>SUM(W21/W14)</f>
        <v>2.8991360000000004</v>
      </c>
    </row>
    <row r="29" spans="1:23" ht="18.75" customHeight="1">
      <c r="A29" s="3806" t="s">
        <v>1773</v>
      </c>
      <c r="B29" s="3803">
        <f>SUM(B22/B15)</f>
        <v>14.574055999999997</v>
      </c>
      <c r="C29" s="3803">
        <v>0</v>
      </c>
      <c r="D29" s="3803">
        <f>SUM(D22/D15)</f>
        <v>14.574055999999997</v>
      </c>
      <c r="E29" s="3802">
        <v>14.28</v>
      </c>
      <c r="F29" s="3802">
        <f>SUM(E29)</f>
        <v>14.28</v>
      </c>
      <c r="G29" s="3802">
        <f>SUM(E29)</f>
        <v>14.28</v>
      </c>
      <c r="H29" s="3803">
        <f>SUM(G29)</f>
        <v>14.28</v>
      </c>
      <c r="I29" s="3802">
        <f>SUM(E29)</f>
        <v>14.28</v>
      </c>
      <c r="J29" s="3802">
        <f>SUM(E29)</f>
        <v>14.28</v>
      </c>
      <c r="K29" s="3802">
        <f>SUM(E29)</f>
        <v>14.28</v>
      </c>
      <c r="L29" s="3803">
        <f>SUM(K29)</f>
        <v>14.28</v>
      </c>
      <c r="M29" s="3803">
        <f>SUM(L29)</f>
        <v>14.28</v>
      </c>
      <c r="N29" s="3802">
        <v>14.87</v>
      </c>
      <c r="O29" s="3802">
        <f>SUM(N29)</f>
        <v>14.87</v>
      </c>
      <c r="P29" s="3802">
        <f>SUM(N29)</f>
        <v>14.87</v>
      </c>
      <c r="Q29" s="3803">
        <f>SUM(P29)</f>
        <v>14.87</v>
      </c>
      <c r="R29" s="3803">
        <f>SUM(Q29)</f>
        <v>14.87</v>
      </c>
      <c r="S29" s="3802">
        <f>SUM(N29)</f>
        <v>14.87</v>
      </c>
      <c r="T29" s="3802">
        <f>SUM(S29)</f>
        <v>14.87</v>
      </c>
      <c r="U29" s="3802">
        <f>SUM(S29)</f>
        <v>14.87</v>
      </c>
      <c r="V29" s="3803">
        <f>SUM(U29)</f>
        <v>14.87</v>
      </c>
      <c r="W29" s="3810">
        <f>SUM(W22/W15)</f>
        <v>14.574056000000004</v>
      </c>
    </row>
    <row r="30" spans="1:23" ht="18.75" customHeight="1">
      <c r="A30" s="3806" t="s">
        <v>265</v>
      </c>
      <c r="B30" s="3803">
        <f>SUM(B23/B16)</f>
        <v>25.879413</v>
      </c>
      <c r="C30" s="3803">
        <f>SUM(C23/C16)</f>
        <v>25.879413</v>
      </c>
      <c r="D30" s="3803">
        <v>0</v>
      </c>
      <c r="E30" s="3802">
        <v>25.13</v>
      </c>
      <c r="F30" s="3802">
        <f>SUM(E30)</f>
        <v>25.13</v>
      </c>
      <c r="G30" s="3802">
        <f>SUM(E30)</f>
        <v>25.13</v>
      </c>
      <c r="H30" s="3803">
        <f t="shared" si="21"/>
        <v>25.13</v>
      </c>
      <c r="I30" s="3802">
        <f>SUM(E30)</f>
        <v>25.13</v>
      </c>
      <c r="J30" s="3802">
        <f>SUM(E30)</f>
        <v>25.13</v>
      </c>
      <c r="K30" s="3802">
        <f>SUM(E30)</f>
        <v>25.13</v>
      </c>
      <c r="L30" s="3803">
        <f t="shared" si="22"/>
        <v>25.13</v>
      </c>
      <c r="M30" s="3803">
        <f t="shared" si="22"/>
        <v>25.13</v>
      </c>
      <c r="N30" s="3802">
        <v>26.64</v>
      </c>
      <c r="O30" s="3802">
        <f>SUM(N30)</f>
        <v>26.64</v>
      </c>
      <c r="P30" s="3802">
        <f>SUM(N30)</f>
        <v>26.64</v>
      </c>
      <c r="Q30" s="3803">
        <f t="shared" si="23"/>
        <v>26.64</v>
      </c>
      <c r="R30" s="3803">
        <f t="shared" si="23"/>
        <v>26.64</v>
      </c>
      <c r="S30" s="3802">
        <f>SUM(N30)</f>
        <v>26.64</v>
      </c>
      <c r="T30" s="3802">
        <f>SUM(N30)</f>
        <v>26.64</v>
      </c>
      <c r="U30" s="3802">
        <f>SUM(N30)</f>
        <v>26.64</v>
      </c>
      <c r="V30" s="3803">
        <f t="shared" si="24"/>
        <v>26.64</v>
      </c>
      <c r="W30" s="3810">
        <f>SUM(W23/W16)</f>
        <v>25.879413000000003</v>
      </c>
    </row>
    <row r="31" spans="1:23" ht="18.75" customHeight="1">
      <c r="A31" s="4391" t="s">
        <v>1741</v>
      </c>
      <c r="B31" s="4387"/>
      <c r="C31" s="4387"/>
      <c r="D31" s="4392"/>
      <c r="E31" s="4392"/>
      <c r="F31" s="4392"/>
      <c r="G31" s="4392"/>
      <c r="H31" s="4392"/>
      <c r="I31" s="4392"/>
      <c r="J31" s="4392"/>
      <c r="K31" s="4392"/>
      <c r="L31" s="4392"/>
      <c r="M31" s="4392"/>
      <c r="N31" s="4392"/>
      <c r="O31" s="4392"/>
      <c r="P31" s="4392"/>
      <c r="Q31" s="4392"/>
      <c r="R31" s="4392"/>
      <c r="S31" s="4392"/>
      <c r="T31" s="4392"/>
      <c r="U31" s="4392"/>
      <c r="V31" s="4393"/>
      <c r="W31" s="3835"/>
    </row>
    <row r="32" spans="1:23" ht="19.5" customHeight="1">
      <c r="A32" s="4383" t="s">
        <v>546</v>
      </c>
      <c r="B32" s="4389" t="s">
        <v>1782</v>
      </c>
      <c r="C32" s="4389" t="s">
        <v>1561</v>
      </c>
      <c r="D32" s="4390"/>
      <c r="E32" s="4383" t="s">
        <v>587</v>
      </c>
      <c r="F32" s="4383" t="s">
        <v>588</v>
      </c>
      <c r="G32" s="4383" t="s">
        <v>589</v>
      </c>
      <c r="H32" s="4384" t="s">
        <v>601</v>
      </c>
      <c r="I32" s="4383" t="s">
        <v>590</v>
      </c>
      <c r="J32" s="4383" t="s">
        <v>591</v>
      </c>
      <c r="K32" s="4383" t="s">
        <v>592</v>
      </c>
      <c r="L32" s="4384" t="s">
        <v>600</v>
      </c>
      <c r="M32" s="4384" t="s">
        <v>599</v>
      </c>
      <c r="N32" s="4383" t="s">
        <v>593</v>
      </c>
      <c r="O32" s="4383" t="s">
        <v>594</v>
      </c>
      <c r="P32" s="4383" t="s">
        <v>595</v>
      </c>
      <c r="Q32" s="4384" t="s">
        <v>225</v>
      </c>
      <c r="R32" s="4384" t="s">
        <v>229</v>
      </c>
      <c r="S32" s="4383" t="s">
        <v>596</v>
      </c>
      <c r="T32" s="4383" t="s">
        <v>597</v>
      </c>
      <c r="U32" s="4383" t="s">
        <v>598</v>
      </c>
      <c r="V32" s="4384" t="s">
        <v>135</v>
      </c>
      <c r="W32" s="4385" t="s">
        <v>602</v>
      </c>
    </row>
    <row r="33" spans="1:23" ht="41.25" customHeight="1">
      <c r="A33" s="4383"/>
      <c r="B33" s="4389"/>
      <c r="C33" s="3927" t="s">
        <v>352</v>
      </c>
      <c r="D33" s="3927" t="s">
        <v>1770</v>
      </c>
      <c r="E33" s="4383"/>
      <c r="F33" s="4383"/>
      <c r="G33" s="4383"/>
      <c r="H33" s="4384"/>
      <c r="I33" s="4383"/>
      <c r="J33" s="4383"/>
      <c r="K33" s="4383"/>
      <c r="L33" s="4384"/>
      <c r="M33" s="4384"/>
      <c r="N33" s="4383"/>
      <c r="O33" s="4383"/>
      <c r="P33" s="4383"/>
      <c r="Q33" s="4384"/>
      <c r="R33" s="4384"/>
      <c r="S33" s="4383"/>
      <c r="T33" s="4383"/>
      <c r="U33" s="4383"/>
      <c r="V33" s="4384"/>
      <c r="W33" s="4385"/>
    </row>
    <row r="34" spans="1:23" ht="18.75" customHeight="1">
      <c r="A34" s="3789" t="s">
        <v>1</v>
      </c>
      <c r="B34" s="3790">
        <f t="shared" ref="B34:B40" si="25">SUM(C34:D34)</f>
        <v>7536.43</v>
      </c>
      <c r="C34" s="3790">
        <f>SUM('Произв. прогр. Стоки'!C35+'Произв. прогр. Стоки'!C54)</f>
        <v>7465.7000000000007</v>
      </c>
      <c r="D34" s="3790">
        <f>SUM('Произв. прогр. Стоки'!D35+'Произв. прогр. Стоки'!D54)</f>
        <v>70.73</v>
      </c>
      <c r="E34" s="3819">
        <f>SUM('Произв. прогр. Стоки'!E35+'Произв. прогр. Стоки'!E54)</f>
        <v>618.45494198187612</v>
      </c>
      <c r="F34" s="3819">
        <f>SUM('Произв. прогр. Стоки'!F35+'Произв. прогр. Стоки'!F54)</f>
        <v>620.20045325061005</v>
      </c>
      <c r="G34" s="3819">
        <f>SUM('Произв. прогр. Стоки'!G35+'Произв. прогр. Стоки'!G54)</f>
        <v>622.46903223209074</v>
      </c>
      <c r="H34" s="3790">
        <f>SUM('Произв. прогр. Стоки'!H35+'Произв. прогр. Стоки'!H54)</f>
        <v>1861.1244274645769</v>
      </c>
      <c r="I34" s="3819">
        <f>SUM('Произв. прогр. Стоки'!I35+'Произв. прогр. Стоки'!I54)</f>
        <v>613.8118665365721</v>
      </c>
      <c r="J34" s="3819">
        <f>SUM('Произв. прогр. Стоки'!J35+'Произв. прогр. Стоки'!J54)</f>
        <v>602.21868149092541</v>
      </c>
      <c r="K34" s="3819">
        <f>SUM('Произв. прогр. Стоки'!K35+'Произв. прогр. Стоки'!K54)</f>
        <v>580.92871502323135</v>
      </c>
      <c r="L34" s="3790">
        <f>SUM('Произв. прогр. Стоки'!L35+'Произв. прогр. Стоки'!L54)</f>
        <v>1796.9592630507286</v>
      </c>
      <c r="M34" s="3790">
        <f>SUM('Произв. прогр. Стоки'!M35+'Произв. прогр. Стоки'!M54)</f>
        <v>3658.0836905153055</v>
      </c>
      <c r="N34" s="3819">
        <f>SUM('Произв. прогр. Стоки'!N35+'Произв. прогр. Стоки'!N54)</f>
        <v>603.72148793483666</v>
      </c>
      <c r="O34" s="3819">
        <f>SUM('Произв. прогр. Стоки'!O35+'Произв. прогр. Стоки'!O54)</f>
        <v>624.74424093173468</v>
      </c>
      <c r="P34" s="3819">
        <f>SUM('Произв. прогр. Стоки'!P35+'Произв. прогр. Стоки'!P54)</f>
        <v>652.37407057213147</v>
      </c>
      <c r="Q34" s="3790">
        <f>SUM('Произв. прогр. Стоки'!Q35+'Произв. прогр. Стоки'!Q54)</f>
        <v>1880.8397994387026</v>
      </c>
      <c r="R34" s="3790">
        <f>SUM('Произв. прогр. Стоки'!R35+'Произв. прогр. Стоки'!R54)</f>
        <v>5542.2073298244586</v>
      </c>
      <c r="S34" s="3819">
        <f>SUM('Произв. прогр. Стоки'!S35+'Произв. прогр. Стоки'!S54)</f>
        <v>665.83550238887904</v>
      </c>
      <c r="T34" s="3819">
        <f>SUM('Произв. прогр. Стоки'!T35+'Произв. прогр. Стоки'!T54)</f>
        <v>665.83550238887904</v>
      </c>
      <c r="U34" s="3819">
        <f>SUM('Произв. прогр. Стоки'!U35+'Произв. прогр. Стоки'!U54)</f>
        <v>665.83550238887904</v>
      </c>
      <c r="V34" s="3790">
        <f>SUM('Произв. прогр. Стоки'!V35+'Произв. прогр. Стоки'!V54)</f>
        <v>1997.5065071666374</v>
      </c>
      <c r="W34" s="3792">
        <f t="shared" ref="W34:W66" si="26">SUM(E34+F34+G34+I34+J34+K34+N34+O34+P34+S34+T34+U34)</f>
        <v>7536.4299971206447</v>
      </c>
    </row>
    <row r="35" spans="1:23" ht="18.75" customHeight="1">
      <c r="A35" s="3789" t="s">
        <v>2</v>
      </c>
      <c r="B35" s="3790">
        <f t="shared" si="25"/>
        <v>5180.71</v>
      </c>
      <c r="C35" s="3790">
        <f>SUM('Произв. прогр. Стоки'!C36+'Произв. прогр. Стоки'!C56+'Произв. прогр. Стоки'!C93+'Произв. прогр. Стоки'!C108)</f>
        <v>5175.59</v>
      </c>
      <c r="D35" s="3790">
        <f>SUM('Произв. прогр. Стоки'!D36+'Произв. прогр. Стоки'!D56+'Произв. прогр. Стоки'!D93+'Произв. прогр. Стоки'!D108)</f>
        <v>5.12</v>
      </c>
      <c r="E35" s="3819">
        <f>SUM('Произв. прогр. Стоки'!E36+'Произв. прогр. Стоки'!E56+'Произв. прогр. Стоки'!E93+'Произв. прогр. Стоки'!E108)</f>
        <v>431.7258333333333</v>
      </c>
      <c r="F35" s="3819">
        <f>SUM('Произв. прогр. Стоки'!F36+'Произв. прогр. Стоки'!F56+'Произв. прогр. Стоки'!F93+'Произв. прогр. Стоки'!F108)</f>
        <v>431.7258333333333</v>
      </c>
      <c r="G35" s="3819">
        <f>SUM('Произв. прогр. Стоки'!G36+'Произв. прогр. Стоки'!G56+'Произв. прогр. Стоки'!G93+'Произв. прогр. Стоки'!G108)</f>
        <v>431.7258333333333</v>
      </c>
      <c r="H35" s="3790">
        <f>SUM('Произв. прогр. Стоки'!H36+'Произв. прогр. Стоки'!H56+'Произв. прогр. Стоки'!H93+'Произв. прогр. Стоки'!H108)</f>
        <v>1295.1774999999998</v>
      </c>
      <c r="I35" s="3819">
        <f>SUM('Произв. прогр. Стоки'!I36+'Произв. прогр. Стоки'!I56+'Произв. прогр. Стоки'!I93+'Произв. прогр. Стоки'!I108)</f>
        <v>431.7258333333333</v>
      </c>
      <c r="J35" s="3819">
        <f>SUM('Произв. прогр. Стоки'!J36+'Произв. прогр. Стоки'!J56+'Произв. прогр. Стоки'!J93+'Произв. прогр. Стоки'!J108)</f>
        <v>431.7258333333333</v>
      </c>
      <c r="K35" s="3819">
        <f>SUM('Произв. прогр. Стоки'!K36+'Произв. прогр. Стоки'!K56+'Произв. прогр. Стоки'!K93+'Произв. прогр. Стоки'!K108)</f>
        <v>431.7258333333333</v>
      </c>
      <c r="L35" s="3790">
        <f>SUM('Произв. прогр. Стоки'!L36+'Произв. прогр. Стоки'!L56+'Произв. прогр. Стоки'!L93+'Произв. прогр. Стоки'!L108)</f>
        <v>1295.1774999999998</v>
      </c>
      <c r="M35" s="3790">
        <f>SUM('Произв. прогр. Стоки'!M36+'Произв. прогр. Стоки'!M56+'Произв. прогр. Стоки'!M93+'Произв. прогр. Стоки'!M108)</f>
        <v>2590.3549999999996</v>
      </c>
      <c r="N35" s="3819">
        <f>SUM('Произв. прогр. Стоки'!N36+'Произв. прогр. Стоки'!N56+'Произв. прогр. Стоки'!N93+'Произв. прогр. Стоки'!N108)</f>
        <v>431.7258333333333</v>
      </c>
      <c r="O35" s="3819">
        <f>SUM('Произв. прогр. Стоки'!O36+'Произв. прогр. Стоки'!O56+'Произв. прогр. Стоки'!O93+'Произв. прогр. Стоки'!O108)</f>
        <v>431.7258333333333</v>
      </c>
      <c r="P35" s="3819">
        <f>SUM('Произв. прогр. Стоки'!P36+'Произв. прогр. Стоки'!P56+'Произв. прогр. Стоки'!P93+'Произв. прогр. Стоки'!P108)</f>
        <v>431.7258333333333</v>
      </c>
      <c r="Q35" s="3790">
        <f>SUM('Произв. прогр. Стоки'!Q36+'Произв. прогр. Стоки'!Q56+'Произв. прогр. Стоки'!Q93+'Произв. прогр. Стоки'!Q108)</f>
        <v>1295.1774999999998</v>
      </c>
      <c r="R35" s="3790">
        <f>SUM('Произв. прогр. Стоки'!R36+'Произв. прогр. Стоки'!R56+'Произв. прогр. Стоки'!R93+'Произв. прогр. Стоки'!R108)</f>
        <v>3885.5324999999993</v>
      </c>
      <c r="S35" s="3819">
        <f>SUM('Произв. прогр. Стоки'!S36+'Произв. прогр. Стоки'!S56+'Произв. прогр. Стоки'!S93+'Произв. прогр. Стоки'!S108)</f>
        <v>431.7258333333333</v>
      </c>
      <c r="T35" s="3819">
        <f>SUM('Произв. прогр. Стоки'!T36+'Произв. прогр. Стоки'!T56+'Произв. прогр. Стоки'!T93+'Произв. прогр. Стоки'!T108)</f>
        <v>431.7258333333333</v>
      </c>
      <c r="U35" s="3819">
        <f>SUM('Произв. прогр. Стоки'!U36+'Произв. прогр. Стоки'!U56+'Произв. прогр. Стоки'!U93+'Произв. прогр. Стоки'!U108)</f>
        <v>431.7258333333333</v>
      </c>
      <c r="V35" s="3790">
        <f>SUM('Произв. прогр. Стоки'!V36+'Произв. прогр. Стоки'!V56+'Произв. прогр. Стоки'!V93+'Произв. прогр. Стоки'!V108)</f>
        <v>1295.1774999999998</v>
      </c>
      <c r="W35" s="3792">
        <f t="shared" si="26"/>
        <v>5180.7099999999991</v>
      </c>
    </row>
    <row r="36" spans="1:23" ht="18.75" customHeight="1">
      <c r="A36" s="3789" t="s">
        <v>219</v>
      </c>
      <c r="B36" s="3790">
        <f t="shared" si="25"/>
        <v>0</v>
      </c>
      <c r="C36" s="3790">
        <v>0</v>
      </c>
      <c r="D36" s="3790">
        <v>0</v>
      </c>
      <c r="E36" s="3819">
        <v>0</v>
      </c>
      <c r="F36" s="3819">
        <v>0</v>
      </c>
      <c r="G36" s="3819">
        <v>0</v>
      </c>
      <c r="H36" s="3799">
        <f t="shared" ref="H36:H66" si="27">SUM(E36+F36+G36)</f>
        <v>0</v>
      </c>
      <c r="I36" s="3819">
        <v>0</v>
      </c>
      <c r="J36" s="3819">
        <v>0</v>
      </c>
      <c r="K36" s="3819">
        <v>0</v>
      </c>
      <c r="L36" s="3799">
        <f t="shared" ref="L36" si="28">SUM(I36+J36+K36)</f>
        <v>0</v>
      </c>
      <c r="M36" s="3799">
        <f t="shared" ref="M36" si="29">SUM(H36+L36)</f>
        <v>0</v>
      </c>
      <c r="N36" s="3819">
        <v>0</v>
      </c>
      <c r="O36" s="3819">
        <v>0</v>
      </c>
      <c r="P36" s="3819">
        <v>0</v>
      </c>
      <c r="Q36" s="3799">
        <f t="shared" ref="Q36" si="30">SUM(N36+O36+P36)</f>
        <v>0</v>
      </c>
      <c r="R36" s="3799">
        <f t="shared" ref="R36" si="31">SUM(M36+Q36)</f>
        <v>0</v>
      </c>
      <c r="S36" s="3819">
        <v>0</v>
      </c>
      <c r="T36" s="3819">
        <v>0</v>
      </c>
      <c r="U36" s="3819">
        <v>0</v>
      </c>
      <c r="V36" s="3799">
        <f t="shared" ref="V36:V66" si="32">SUM(S36+T36+U36)</f>
        <v>0</v>
      </c>
      <c r="W36" s="3792">
        <f t="shared" si="26"/>
        <v>0</v>
      </c>
    </row>
    <row r="37" spans="1:23" ht="18.75" customHeight="1">
      <c r="A37" s="3789" t="s">
        <v>8</v>
      </c>
      <c r="B37" s="3790">
        <f t="shared" si="25"/>
        <v>310.00924898576147</v>
      </c>
      <c r="C37" s="3790">
        <f>SUM('Произв. прогр. Стоки'!C55)</f>
        <v>307.84579219241471</v>
      </c>
      <c r="D37" s="3790">
        <f>SUM('Произв. прогр. Стоки'!D55)</f>
        <v>2.1634567933467679</v>
      </c>
      <c r="E37" s="3819">
        <f>SUM('Произв. прогр. Стоки'!E55)</f>
        <v>25.834104082146791</v>
      </c>
      <c r="F37" s="3819">
        <f>SUM('Произв. прогр. Стоки'!F55)</f>
        <v>25.834104082146791</v>
      </c>
      <c r="G37" s="3819">
        <f>SUM('Произв. прогр. Стоки'!G55)</f>
        <v>25.834104082146791</v>
      </c>
      <c r="H37" s="3790">
        <f>SUM('Произв. прогр. Стоки'!H55)</f>
        <v>77.502312246440368</v>
      </c>
      <c r="I37" s="3819">
        <f>SUM('Произв. прогр. Стоки'!I55)</f>
        <v>25.834104082146791</v>
      </c>
      <c r="J37" s="3819">
        <f>SUM('Произв. прогр. Стоки'!J55)</f>
        <v>25.834104082146791</v>
      </c>
      <c r="K37" s="3819">
        <f>SUM('Произв. прогр. Стоки'!K55)</f>
        <v>25.834104082146791</v>
      </c>
      <c r="L37" s="3790">
        <f>SUM('Произв. прогр. Стоки'!L55)</f>
        <v>77.502312246440368</v>
      </c>
      <c r="M37" s="3790">
        <f>SUM('Произв. прогр. Стоки'!M55)</f>
        <v>155.00462449288074</v>
      </c>
      <c r="N37" s="3819">
        <f>SUM('Произв. прогр. Стоки'!N55)</f>
        <v>25.834104082146791</v>
      </c>
      <c r="O37" s="3819">
        <f>SUM('Произв. прогр. Стоки'!O55)</f>
        <v>25.834104082146791</v>
      </c>
      <c r="P37" s="3819">
        <f>SUM('Произв. прогр. Стоки'!P55)</f>
        <v>25.834104082146791</v>
      </c>
      <c r="Q37" s="3790">
        <f>SUM('Произв. прогр. Стоки'!Q55)</f>
        <v>77.502312246440368</v>
      </c>
      <c r="R37" s="3790">
        <f>SUM('Произв. прогр. Стоки'!R55)</f>
        <v>232.50693673932111</v>
      </c>
      <c r="S37" s="3819">
        <f>SUM('Произв. прогр. Стоки'!S55)</f>
        <v>25.834104082146791</v>
      </c>
      <c r="T37" s="3819">
        <f>SUM('Произв. прогр. Стоки'!T55)</f>
        <v>25.834104082146791</v>
      </c>
      <c r="U37" s="3819">
        <f>SUM('Произв. прогр. Стоки'!U55)</f>
        <v>25.834104082146791</v>
      </c>
      <c r="V37" s="3790">
        <f>SUM('Произв. прогр. Стоки'!V55)</f>
        <v>77.502312246440368</v>
      </c>
      <c r="W37" s="3839">
        <f t="shared" si="26"/>
        <v>310.00924898576142</v>
      </c>
    </row>
    <row r="38" spans="1:23" ht="18.75" customHeight="1">
      <c r="A38" s="3789" t="s">
        <v>3</v>
      </c>
      <c r="B38" s="3790">
        <f t="shared" si="25"/>
        <v>319.4394627935593</v>
      </c>
      <c r="C38" s="3790">
        <f>SUM('Произв. прогр. Стоки'!C38+'Произв. прогр. Стоки'!C58+'Произв. прогр. Стоки'!C89+'Произв. прогр. Стоки'!C110)</f>
        <v>319.4394627935593</v>
      </c>
      <c r="D38" s="3790">
        <f>SUM('Произв. прогр. Стоки'!D38+'Произв. прогр. Стоки'!D58+'Произв. прогр. Стоки'!D89+'Произв. прогр. Стоки'!D110)</f>
        <v>0</v>
      </c>
      <c r="E38" s="3819">
        <f>SUM('Произв. прогр. Стоки'!E38+'Произв. прогр. Стоки'!E58+'Произв. прогр. Стоки'!E89+'Произв. прогр. Стоки'!E110)</f>
        <v>26.619955232796606</v>
      </c>
      <c r="F38" s="3819">
        <f>SUM('Произв. прогр. Стоки'!F38+'Произв. прогр. Стоки'!F58+'Произв. прогр. Стоки'!F89+'Произв. прогр. Стоки'!F110)</f>
        <v>26.619955232796606</v>
      </c>
      <c r="G38" s="3819">
        <f>SUM('Произв. прогр. Стоки'!G38+'Произв. прогр. Стоки'!G58+'Произв. прогр. Стоки'!G89+'Произв. прогр. Стоки'!G110)</f>
        <v>26.619955232796606</v>
      </c>
      <c r="H38" s="3790">
        <f>SUM('Произв. прогр. Стоки'!H38+'Произв. прогр. Стоки'!H58+'Произв. прогр. Стоки'!H89+'Произв. прогр. Стоки'!H110)</f>
        <v>79.859865698389825</v>
      </c>
      <c r="I38" s="3819">
        <f>SUM('Произв. прогр. Стоки'!I38+'Произв. прогр. Стоки'!I58+'Произв. прогр. Стоки'!I89+'Произв. прогр. Стоки'!I110)</f>
        <v>26.619955232796606</v>
      </c>
      <c r="J38" s="3819">
        <f>SUM('Произв. прогр. Стоки'!J38+'Произв. прогр. Стоки'!J58+'Произв. прогр. Стоки'!J89+'Произв. прогр. Стоки'!J110)</f>
        <v>26.619955232796606</v>
      </c>
      <c r="K38" s="3819">
        <f>SUM('Произв. прогр. Стоки'!K38+'Произв. прогр. Стоки'!K58+'Произв. прогр. Стоки'!K89+'Произв. прогр. Стоки'!K110)</f>
        <v>26.619955232796606</v>
      </c>
      <c r="L38" s="3790">
        <f>SUM('Произв. прогр. Стоки'!L38+'Произв. прогр. Стоки'!L58+'Произв. прогр. Стоки'!L89+'Произв. прогр. Стоки'!L110)</f>
        <v>79.859865698389825</v>
      </c>
      <c r="M38" s="3790">
        <f>SUM('Произв. прогр. Стоки'!M38+'Произв. прогр. Стоки'!M58+'Произв. прогр. Стоки'!M89+'Произв. прогр. Стоки'!M110)</f>
        <v>159.71973139677965</v>
      </c>
      <c r="N38" s="3819">
        <f>SUM('Произв. прогр. Стоки'!N38+'Произв. прогр. Стоки'!N58+'Произв. прогр. Стоки'!N89+'Произв. прогр. Стоки'!N110)</f>
        <v>26.619955232796606</v>
      </c>
      <c r="O38" s="3819">
        <f>SUM('Произв. прогр. Стоки'!O38+'Произв. прогр. Стоки'!O58+'Произв. прогр. Стоки'!O89+'Произв. прогр. Стоки'!O110)</f>
        <v>26.619955232796606</v>
      </c>
      <c r="P38" s="3819">
        <f>SUM('Произв. прогр. Стоки'!P38+'Произв. прогр. Стоки'!P58+'Произв. прогр. Стоки'!P89+'Произв. прогр. Стоки'!P110)</f>
        <v>26.619955232796606</v>
      </c>
      <c r="Q38" s="3790">
        <f>SUM('Произв. прогр. Стоки'!Q38+'Произв. прогр. Стоки'!Q58+'Произв. прогр. Стоки'!Q89+'Произв. прогр. Стоки'!Q110)</f>
        <v>79.859865698389825</v>
      </c>
      <c r="R38" s="3790">
        <f>SUM('Произв. прогр. Стоки'!R38+'Произв. прогр. Стоки'!R58+'Произв. прогр. Стоки'!R89+'Произв. прогр. Стоки'!R110)</f>
        <v>239.57959709516945</v>
      </c>
      <c r="S38" s="3819">
        <f>SUM('Произв. прогр. Стоки'!S38+'Произв. прогр. Стоки'!S58+'Произв. прогр. Стоки'!S89+'Произв. прогр. Стоки'!S110)</f>
        <v>26.619955232796606</v>
      </c>
      <c r="T38" s="3819">
        <f>SUM('Произв. прогр. Стоки'!T38+'Произв. прогр. Стоки'!T58+'Произв. прогр. Стоки'!T89+'Произв. прогр. Стоки'!T110)</f>
        <v>26.619955232796606</v>
      </c>
      <c r="U38" s="3819">
        <f>SUM('Произв. прогр. Стоки'!U38+'Произв. прогр. Стоки'!U58+'Произв. прогр. Стоки'!U89+'Произв. прогр. Стоки'!U110)</f>
        <v>26.619955232796606</v>
      </c>
      <c r="V38" s="3790">
        <f>SUM('Произв. прогр. Стоки'!V38+'Произв. прогр. Стоки'!V58+'Произв. прогр. Стоки'!V89+'Произв. прогр. Стоки'!V110)</f>
        <v>79.859865698389825</v>
      </c>
      <c r="W38" s="3839">
        <f t="shared" si="26"/>
        <v>319.43946279355924</v>
      </c>
    </row>
    <row r="39" spans="1:23" ht="18.75" customHeight="1">
      <c r="A39" s="3789" t="s">
        <v>4</v>
      </c>
      <c r="B39" s="3790">
        <f t="shared" si="25"/>
        <v>34213.777003679221</v>
      </c>
      <c r="C39" s="3790">
        <f>SUM('Произв. прогр. Стоки'!C39+'Произв. прогр. Стоки'!C59+'Произв. прогр. Стоки'!C90+'Произв. прогр. Стоки'!C111)</f>
        <v>34083.900978710328</v>
      </c>
      <c r="D39" s="3790">
        <f>SUM('Произв. прогр. Стоки'!D39+'Произв. прогр. Стоки'!D59+'Произв. прогр. Стоки'!D90+'Произв. прогр. Стоки'!D111)</f>
        <v>129.87602496889303</v>
      </c>
      <c r="E39" s="3819">
        <f>SUM('Произв. прогр. Стоки'!E39+'Произв. прогр. Стоки'!E59+'Произв. прогр. Стоки'!E90+'Произв. прогр. Стоки'!E111)</f>
        <v>2767.7018721933068</v>
      </c>
      <c r="F39" s="3819">
        <f>SUM('Произв. прогр. Стоки'!F39+'Произв. прогр. Стоки'!F59+'Произв. прогр. Стоки'!F90+'Произв. прогр. Стоки'!F111)</f>
        <v>2767.7018721933068</v>
      </c>
      <c r="G39" s="3819">
        <f>SUM('Произв. прогр. Стоки'!G39+'Произв. прогр. Стоки'!G59+'Произв. прогр. Стоки'!G90+'Произв. прогр. Стоки'!G111)</f>
        <v>2767.7018721933068</v>
      </c>
      <c r="H39" s="3790">
        <f>SUM('Произв. прогр. Стоки'!H39+'Произв. прогр. Стоки'!H59+'Произв. прогр. Стоки'!H90+'Произв. прогр. Стоки'!H111)</f>
        <v>8303.10561657992</v>
      </c>
      <c r="I39" s="3819">
        <f>SUM('Произв. прогр. Стоки'!I39+'Произв. прогр. Стоки'!I59+'Произв. прогр. Стоки'!I90+'Произв. прогр. Стоки'!I111)</f>
        <v>2767.7018721933068</v>
      </c>
      <c r="J39" s="3819">
        <f>SUM('Произв. прогр. Стоки'!J39+'Произв. прогр. Стоки'!J59+'Произв. прогр. Стоки'!J90+'Произв. прогр. Стоки'!J111)</f>
        <v>2767.7018721933068</v>
      </c>
      <c r="K39" s="3819">
        <f>SUM('Произв. прогр. Стоки'!K39+'Произв. прогр. Стоки'!K59+'Произв. прогр. Стоки'!K90+'Произв. прогр. Стоки'!K111)</f>
        <v>2767.7018721933068</v>
      </c>
      <c r="L39" s="3790">
        <f>SUM('Произв. прогр. Стоки'!L39+'Произв. прогр. Стоки'!L59+'Произв. прогр. Стоки'!L90+'Произв. прогр. Стоки'!L111)</f>
        <v>8303.10561657992</v>
      </c>
      <c r="M39" s="3790">
        <f>SUM('Произв. прогр. Стоки'!M39+'Произв. прогр. Стоки'!M59+'Произв. прогр. Стоки'!M90+'Произв. прогр. Стоки'!M111)</f>
        <v>16606.21123315984</v>
      </c>
      <c r="N39" s="3819">
        <f>SUM('Произв. прогр. Стоки'!N39+'Произв. прогр. Стоки'!N59+'Произв. прогр. Стоки'!N90+'Произв. прогр. Стоки'!N111)</f>
        <v>2934.5942950865629</v>
      </c>
      <c r="O39" s="3819">
        <f>SUM('Произв. прогр. Стоки'!O39+'Произв. прогр. Стоки'!O59+'Произв. прогр. Стоки'!O90+'Произв. прогр. Стоки'!O111)</f>
        <v>2934.5942950865629</v>
      </c>
      <c r="P39" s="3819">
        <f>SUM('Произв. прогр. Стоки'!P39+'Произв. прогр. Стоки'!P59+'Произв. прогр. Стоки'!P90+'Произв. прогр. Стоки'!P111)</f>
        <v>2934.5942950865629</v>
      </c>
      <c r="Q39" s="3790">
        <f>SUM('Произв. прогр. Стоки'!Q39+'Произв. прогр. Стоки'!Q59+'Произв. прогр. Стоки'!Q90+'Произв. прогр. Стоки'!Q111)</f>
        <v>8803.7828852596904</v>
      </c>
      <c r="R39" s="3790">
        <f>SUM('Произв. прогр. Стоки'!R39+'Произв. прогр. Стоки'!R59+'Произв. прогр. Стоки'!R90+'Произв. прогр. Стоки'!R111)</f>
        <v>25409.994118419534</v>
      </c>
      <c r="S39" s="3819">
        <f>SUM('Произв. прогр. Стоки'!S39+'Произв. прогр. Стоки'!S59+'Произв. прогр. Стоки'!S90+'Произв. прогр. Стоки'!S111)</f>
        <v>2934.5942950865629</v>
      </c>
      <c r="T39" s="3819">
        <f>SUM('Произв. прогр. Стоки'!T39+'Произв. прогр. Стоки'!T59+'Произв. прогр. Стоки'!T90+'Произв. прогр. Стоки'!T111)</f>
        <v>2934.5942950865629</v>
      </c>
      <c r="U39" s="3819">
        <f>SUM('Произв. прогр. Стоки'!U39+'Произв. прогр. Стоки'!U59+'Произв. прогр. Стоки'!U90+'Произв. прогр. Стоки'!U111)</f>
        <v>2934.5942950865629</v>
      </c>
      <c r="V39" s="3790">
        <f>SUM('Произв. прогр. Стоки'!V39+'Произв. прогр. Стоки'!V59+'Произв. прогр. Стоки'!V90+'Произв. прогр. Стоки'!V111)</f>
        <v>8803.7828852596904</v>
      </c>
      <c r="W39" s="3839">
        <f t="shared" si="26"/>
        <v>34213.777003679228</v>
      </c>
    </row>
    <row r="40" spans="1:23" ht="18.75" customHeight="1">
      <c r="A40" s="3789" t="s">
        <v>121</v>
      </c>
      <c r="B40" s="3790">
        <f t="shared" si="25"/>
        <v>10270.308174024558</v>
      </c>
      <c r="C40" s="3790">
        <f>SUM('Произв. прогр. Стоки'!C40+'Произв. прогр. Стоки'!C60+'Произв. прогр. Стоки'!C91+'Произв. прогр. Стоки'!C112)</f>
        <v>10231.184288298076</v>
      </c>
      <c r="D40" s="3790">
        <f>SUM('Произв. прогр. Стоки'!D40+'Произв. прогр. Стоки'!D60+'Произв. прогр. Стоки'!D91+'Произв. прогр. Стоки'!D112)</f>
        <v>39.123885726482513</v>
      </c>
      <c r="E40" s="3819">
        <f>SUM('Произв. прогр. Стоки'!E40+'Произв. прогр. Стоки'!E60+'Произв. прогр. Стоки'!E91+'Произв. прогр. Стоки'!E112)</f>
        <v>830.81009028010146</v>
      </c>
      <c r="F40" s="3819">
        <f>SUM('Произв. прогр. Стоки'!F40+'Произв. прогр. Стоки'!F60+'Произв. прогр. Стоки'!F91+'Произв. прогр. Стоки'!F112)</f>
        <v>830.81009028010146</v>
      </c>
      <c r="G40" s="3819">
        <f>SUM('Произв. прогр. Стоки'!G40+'Произв. прогр. Стоки'!G60+'Произв. прогр. Стоки'!G91+'Произв. прогр. Стоки'!G112)</f>
        <v>830.81009028010146</v>
      </c>
      <c r="H40" s="3790">
        <f>SUM('Произв. прогр. Стоки'!H40+'Произв. прогр. Стоки'!H60+'Произв. прогр. Стоки'!H91+'Произв. прогр. Стоки'!H112)</f>
        <v>2492.4302708403047</v>
      </c>
      <c r="I40" s="3819">
        <f>SUM('Произв. прогр. Стоки'!I40+'Произв. прогр. Стоки'!I60+'Произв. прогр. Стоки'!I91+'Произв. прогр. Стоки'!I112)</f>
        <v>830.81009028010146</v>
      </c>
      <c r="J40" s="3819">
        <f>SUM('Произв. прогр. Стоки'!J40+'Произв. прогр. Стоки'!J60+'Произв. прогр. Стоки'!J91+'Произв. прогр. Стоки'!J112)</f>
        <v>830.81009028010146</v>
      </c>
      <c r="K40" s="3819">
        <f>SUM('Произв. прогр. Стоки'!K40+'Произв. прогр. Стоки'!K60+'Произв. прогр. Стоки'!K91+'Произв. прогр. Стоки'!K112)</f>
        <v>830.81009028010146</v>
      </c>
      <c r="L40" s="3790">
        <f>SUM('Произв. прогр. Стоки'!L40+'Произв. прогр. Стоки'!L60+'Произв. прогр. Стоки'!L91+'Произв. прогр. Стоки'!L112)</f>
        <v>2492.4302708403047</v>
      </c>
      <c r="M40" s="3790">
        <f>SUM('Произв. прогр. Стоки'!M40+'Произв. прогр. Стоки'!M60+'Произв. прогр. Стоки'!M91+'Произв. прогр. Стоки'!M112)</f>
        <v>4984.8605416806095</v>
      </c>
      <c r="N40" s="3819">
        <f>SUM('Произв. прогр. Стоки'!N40+'Произв. прогр. Стоки'!N60+'Произв. прогр. Стоки'!N91+'Произв. прогр. Стоки'!N112)</f>
        <v>880.90793872399172</v>
      </c>
      <c r="O40" s="3819">
        <f>SUM('Произв. прогр. Стоки'!O40+'Произв. прогр. Стоки'!O60+'Произв. прогр. Стоки'!O91+'Произв. прогр. Стоки'!O112)</f>
        <v>880.90793872399172</v>
      </c>
      <c r="P40" s="3819">
        <f>SUM('Произв. прогр. Стоки'!P40+'Произв. прогр. Стоки'!P60+'Произв. прогр. Стоки'!P91+'Произв. прогр. Стоки'!P112)</f>
        <v>880.90793872399172</v>
      </c>
      <c r="Q40" s="3790">
        <f>SUM('Произв. прогр. Стоки'!Q40+'Произв. прогр. Стоки'!Q60+'Произв. прогр. Стоки'!Q91+'Произв. прогр. Стоки'!Q112)</f>
        <v>2642.7238161719752</v>
      </c>
      <c r="R40" s="3790">
        <f>SUM('Произв. прогр. Стоки'!R40+'Произв. прогр. Стоки'!R60+'Произв. прогр. Стоки'!R91+'Произв. прогр. Стоки'!R112)</f>
        <v>7627.5843578525828</v>
      </c>
      <c r="S40" s="3819">
        <f>SUM('Произв. прогр. Стоки'!S40+'Произв. прогр. Стоки'!S60+'Произв. прогр. Стоки'!S91+'Произв. прогр. Стоки'!S112)</f>
        <v>880.90793872399172</v>
      </c>
      <c r="T40" s="3819">
        <f>SUM('Произв. прогр. Стоки'!T40+'Произв. прогр. Стоки'!T60+'Произв. прогр. Стоки'!T91+'Произв. прогр. Стоки'!T112)</f>
        <v>880.90793872399172</v>
      </c>
      <c r="U40" s="3819">
        <f>SUM('Произв. прогр. Стоки'!U40+'Произв. прогр. Стоки'!U60+'Произв. прогр. Стоки'!U91+'Произв. прогр. Стоки'!U112)</f>
        <v>880.90793872399172</v>
      </c>
      <c r="V40" s="3790">
        <f>SUM('Произв. прогр. Стоки'!V40+'Произв. прогр. Стоки'!V60+'Произв. прогр. Стоки'!V91+'Произв. прогр. Стоки'!V112)</f>
        <v>2642.7238161719752</v>
      </c>
      <c r="W40" s="3839">
        <f t="shared" si="26"/>
        <v>10270.308174024558</v>
      </c>
    </row>
    <row r="41" spans="1:23" ht="18.75" customHeight="1">
      <c r="A41" s="3793" t="s">
        <v>322</v>
      </c>
      <c r="B41" s="3846">
        <f>SUM(B40/B39)</f>
        <v>0.30018048498182848</v>
      </c>
      <c r="C41" s="3846">
        <f t="shared" ref="C41:W41" si="33">SUM(C40/C39)</f>
        <v>0.30017644678315236</v>
      </c>
      <c r="D41" s="3846">
        <f t="shared" si="33"/>
        <v>0.30124024611819761</v>
      </c>
      <c r="E41" s="3847">
        <f t="shared" si="33"/>
        <v>0.30018048498182848</v>
      </c>
      <c r="F41" s="3847">
        <f t="shared" si="33"/>
        <v>0.30018048498182848</v>
      </c>
      <c r="G41" s="3847">
        <f t="shared" si="33"/>
        <v>0.30018048498182848</v>
      </c>
      <c r="H41" s="3846">
        <f t="shared" si="33"/>
        <v>0.30018048498182853</v>
      </c>
      <c r="I41" s="3847">
        <f t="shared" si="33"/>
        <v>0.30018048498182848</v>
      </c>
      <c r="J41" s="3847">
        <f t="shared" si="33"/>
        <v>0.30018048498182848</v>
      </c>
      <c r="K41" s="3847">
        <f t="shared" si="33"/>
        <v>0.30018048498182848</v>
      </c>
      <c r="L41" s="3846">
        <f t="shared" si="33"/>
        <v>0.30018048498182853</v>
      </c>
      <c r="M41" s="3846">
        <f t="shared" si="33"/>
        <v>0.30018048498182853</v>
      </c>
      <c r="N41" s="3847">
        <f t="shared" si="33"/>
        <v>0.30018048498182853</v>
      </c>
      <c r="O41" s="3847">
        <f t="shared" si="33"/>
        <v>0.30018048498182853</v>
      </c>
      <c r="P41" s="3847">
        <f t="shared" si="33"/>
        <v>0.30018048498182853</v>
      </c>
      <c r="Q41" s="3846">
        <f t="shared" si="33"/>
        <v>0.30018048498182848</v>
      </c>
      <c r="R41" s="3846">
        <f t="shared" si="33"/>
        <v>0.30018048498182842</v>
      </c>
      <c r="S41" s="3847">
        <f t="shared" si="33"/>
        <v>0.30018048498182853</v>
      </c>
      <c r="T41" s="3847">
        <f t="shared" si="33"/>
        <v>0.30018048498182853</v>
      </c>
      <c r="U41" s="3847">
        <f t="shared" si="33"/>
        <v>0.30018048498182853</v>
      </c>
      <c r="V41" s="3846">
        <f t="shared" si="33"/>
        <v>0.30018048498182848</v>
      </c>
      <c r="W41" s="3855">
        <f t="shared" si="33"/>
        <v>0.30018048498182837</v>
      </c>
    </row>
    <row r="42" spans="1:23" ht="18.75" customHeight="1">
      <c r="A42" s="3813" t="s">
        <v>1765</v>
      </c>
      <c r="B42" s="3790">
        <f>SUM(C42:D42)</f>
        <v>11039.518331530622</v>
      </c>
      <c r="C42" s="3790">
        <f>SUM('Произв. прогр. Стоки'!C42+'Произв. прогр. Стоки'!C62+'Произв. прогр. Стоки'!C94+'Произв. прогр. Стоки'!C114)</f>
        <v>10984.527030553405</v>
      </c>
      <c r="D42" s="3790">
        <f>SUM('Произв. прогр. Стоки'!D42+'Произв. прогр. Стоки'!D62+'Произв. прогр. Стоки'!D94+'Произв. прогр. Стоки'!D114)</f>
        <v>54.991300977217634</v>
      </c>
      <c r="E42" s="3819">
        <f>SUM('Произв. прогр. Стоки'!E42+'Произв. прогр. Стоки'!E62+'Произв. прогр. Стоки'!E94+'Произв. прогр. Стоки'!E114)</f>
        <v>932.81796737054208</v>
      </c>
      <c r="F42" s="3819">
        <f>SUM('Произв. прогр. Стоки'!F42+'Произв. прогр. Стоки'!F62+'Произв. прогр. Стоки'!F94+'Произв. прогр. Стоки'!F114)</f>
        <v>923.64433880422916</v>
      </c>
      <c r="G42" s="3819">
        <f>SUM('Произв. прогр. Стоки'!G42+'Произв. прогр. Стоки'!G62+'Произв. прогр. Стоки'!G94+'Произв. прогр. Стоки'!G114)</f>
        <v>919.67146562048163</v>
      </c>
      <c r="H42" s="3790">
        <f>SUM('Произв. прогр. Стоки'!H42+'Произв. прогр. Стоки'!H62+'Произв. прогр. Стоки'!H94+'Произв. прогр. Стоки'!H114)</f>
        <v>2776.1337717952529</v>
      </c>
      <c r="I42" s="3819">
        <f>SUM('Произв. прогр. Стоки'!I42+'Произв. прогр. Стоки'!I62+'Произв. прогр. Стоки'!I94+'Произв. прогр. Стоки'!I114)</f>
        <v>906.00433515744317</v>
      </c>
      <c r="J42" s="3819">
        <f>SUM('Произв. прогр. Стоки'!J42+'Произв. прогр. Стоки'!J62+'Произв. прогр. Стоки'!J94+'Произв. прогр. Стоки'!J114)</f>
        <v>881.14458024685257</v>
      </c>
      <c r="K42" s="3819">
        <f>SUM('Произв. прогр. Стоки'!K42+'Произв. прогр. Стоки'!K62+'Произв. прогр. Стоки'!K94+'Произв. прогр. Стоки'!K114)</f>
        <v>875.29350312348947</v>
      </c>
      <c r="L42" s="3790">
        <f>SUM('Произв. прогр. Стоки'!L42+'Произв. прогр. Стоки'!L62+'Произв. прогр. Стоки'!L94+'Произв. прогр. Стоки'!L114)</f>
        <v>2662.4424185277858</v>
      </c>
      <c r="M42" s="3790">
        <f>SUM('Произв. прогр. Стоки'!M42+'Произв. прогр. Стоки'!M62+'Произв. прогр. Стоки'!M94+'Произв. прогр. Стоки'!M114)</f>
        <v>5438.5761903230386</v>
      </c>
      <c r="N42" s="3819">
        <f>SUM('Произв. прогр. Стоки'!N42+'Произв. прогр. Стоки'!N62+'Произв. прогр. Стоки'!N94+'Произв. прогр. Стоки'!N114)</f>
        <v>910.22968826503791</v>
      </c>
      <c r="O42" s="3819">
        <f>SUM('Произв. прогр. Стоки'!O42+'Произв. прогр. Стоки'!O62+'Произв. прогр. Стоки'!O94+'Произв. прогр. Стоки'!O114)</f>
        <v>909.39474776933832</v>
      </c>
      <c r="P42" s="3819">
        <f>SUM('Произв. прогр. Стоки'!P42+'Произв. прогр. Стоки'!P62+'Произв. прогр. Стоки'!P94+'Произв. прогр. Стоки'!P114)</f>
        <v>922.43383308941145</v>
      </c>
      <c r="Q42" s="3790">
        <f>SUM('Произв. прогр. Стоки'!Q42+'Произв. прогр. Стоки'!Q62+'Произв. прогр. Стоки'!Q94+'Произв. прогр. Стоки'!Q114)</f>
        <v>2742.0582691237878</v>
      </c>
      <c r="R42" s="3790">
        <f>SUM('Произв. прогр. Стоки'!R42+'Произв. прогр. Стоки'!R62+'Произв. прогр. Стоки'!R94+'Произв. прогр. Стоки'!R114)</f>
        <v>8180.6344594468264</v>
      </c>
      <c r="S42" s="3819">
        <f>SUM('Произв. прогр. Стоки'!S42+'Произв. прогр. Стоки'!S62+'Произв. прогр. Стоки'!S94+'Произв. прогр. Стоки'!S114)</f>
        <v>942.12209552333854</v>
      </c>
      <c r="T42" s="3819">
        <f>SUM('Произв. прогр. Стоки'!T42+'Произв. прогр. Стоки'!T62+'Произв. прогр. Стоки'!T94+'Произв. прогр. Стоки'!T114)</f>
        <v>952.13508448752555</v>
      </c>
      <c r="U42" s="3819">
        <f>SUM('Произв. прогр. Стоки'!U42+'Произв. прогр. Стоки'!U62+'Произв. прогр. Стоки'!U94+'Произв. прогр. Стоки'!U114)</f>
        <v>964.62669207293322</v>
      </c>
      <c r="V42" s="3790">
        <f>SUM('Произв. прогр. Стоки'!V42+'Произв. прогр. Стоки'!V62+'Произв. прогр. Стоки'!V94+'Произв. прогр. Стоки'!V114)</f>
        <v>2858.8838720837971</v>
      </c>
      <c r="W42" s="3839">
        <f t="shared" si="26"/>
        <v>11039.518331530624</v>
      </c>
    </row>
    <row r="43" spans="1:23" ht="18.75" customHeight="1">
      <c r="A43" s="3815" t="s">
        <v>1766</v>
      </c>
      <c r="B43" s="3794">
        <f t="shared" ref="B43:B55" si="34">SUM(C43:D43)</f>
        <v>5377.4796524036574</v>
      </c>
      <c r="C43" s="3794">
        <f>SUM('Произв. прогр. Стоки'!C43+'Произв. прогр. Стоки'!C63+'Произв. прогр. Стоки'!C95+'Произв. прогр. Стоки'!C115)</f>
        <v>5354.5089326340567</v>
      </c>
      <c r="D43" s="3794">
        <f>SUM('Произв. прогр. Стоки'!D43+'Произв. прогр. Стоки'!D63+'Произв. прогр. Стоки'!D95+'Произв. прогр. Стоки'!D115)</f>
        <v>22.970719769601146</v>
      </c>
      <c r="E43" s="3821">
        <f>SUM('Произв. прогр. Стоки'!E43+'Произв. прогр. Стоки'!E63+'Произв. прогр. Стоки'!E95+'Произв. прогр. Стоки'!E115)</f>
        <v>435.00781863512259</v>
      </c>
      <c r="F43" s="3821">
        <f>SUM('Произв. прогр. Стоки'!F43+'Произв. прогр. Стоки'!F63+'Произв. прогр. Стоки'!F95+'Произв. прогр. Стоки'!F115)</f>
        <v>435.00781863512259</v>
      </c>
      <c r="G43" s="3821">
        <f>SUM('Произв. прогр. Стоки'!G43+'Произв. прогр. Стоки'!G63+'Произв. прогр. Стоки'!G95+'Произв. прогр. Стоки'!G115)</f>
        <v>435.00781863512259</v>
      </c>
      <c r="H43" s="3794">
        <f>SUM('Произв. прогр. Стоки'!H43+'Произв. прогр. Стоки'!H63+'Произв. прогр. Стоки'!H95+'Произв. прогр. Стоки'!H115)</f>
        <v>1305.0234559053677</v>
      </c>
      <c r="I43" s="3821">
        <f>SUM('Произв. прогр. Стоки'!I43+'Произв. прогр. Стоки'!I63+'Произв. прогр. Стоки'!I95+'Произв. прогр. Стоки'!I115)</f>
        <v>435.00781863512259</v>
      </c>
      <c r="J43" s="3821">
        <f>SUM('Произв. прогр. Стоки'!J43+'Произв. прогр. Стоки'!J63+'Произв. прогр. Стоки'!J95+'Произв. прогр. Стоки'!J115)</f>
        <v>435.00781863512259</v>
      </c>
      <c r="K43" s="3821">
        <f>SUM('Произв. прогр. Стоки'!K43+'Произв. прогр. Стоки'!K63+'Произв. прогр. Стоки'!K95+'Произв. прогр. Стоки'!K115)</f>
        <v>435.00781863512259</v>
      </c>
      <c r="L43" s="3794">
        <f>SUM('Произв. прогр. Стоки'!L43+'Произв. прогр. Стоки'!L63+'Произв. прогр. Стоки'!L95+'Произв. прогр. Стоки'!L115)</f>
        <v>1305.0234559053677</v>
      </c>
      <c r="M43" s="3794">
        <f>SUM('Произв. прогр. Стоки'!M43+'Произв. прогр. Стоки'!M63+'Произв. прогр. Стоки'!M95+'Произв. прогр. Стоки'!M115)</f>
        <v>2610.0469118107353</v>
      </c>
      <c r="N43" s="3821">
        <f>SUM('Произв. прогр. Стоки'!N43+'Произв. прогр. Стоки'!N63+'Произв. прогр. Стоки'!N95+'Произв. прогр. Стоки'!N115)</f>
        <v>461.23879009882046</v>
      </c>
      <c r="O43" s="3821">
        <f>SUM('Произв. прогр. Стоки'!O43+'Произв. прогр. Стоки'!O63+'Произв. прогр. Стоки'!O95+'Произв. прогр. Стоки'!O115)</f>
        <v>461.23879009882046</v>
      </c>
      <c r="P43" s="3821">
        <f>SUM('Произв. прогр. Стоки'!P43+'Произв. прогр. Стоки'!P63+'Произв. прогр. Стоки'!P95+'Произв. прогр. Стоки'!P115)</f>
        <v>461.23879009882046</v>
      </c>
      <c r="Q43" s="3794">
        <f>SUM('Произв. прогр. Стоки'!Q43+'Произв. прогр. Стоки'!Q63+'Произв. прогр. Стоки'!Q95+'Произв. прогр. Стоки'!Q115)</f>
        <v>1383.7163702964615</v>
      </c>
      <c r="R43" s="3794">
        <f>SUM('Произв. прогр. Стоки'!R43+'Произв. прогр. Стоки'!R63+'Произв. прогр. Стоки'!R95+'Произв. прогр. Стоки'!R115)</f>
        <v>3993.7632821071966</v>
      </c>
      <c r="S43" s="3821">
        <f>SUM('Произв. прогр. Стоки'!S43+'Произв. прогр. Стоки'!S63+'Произв. прогр. Стоки'!S95+'Произв. прогр. Стоки'!S115)</f>
        <v>461.23879009882046</v>
      </c>
      <c r="T43" s="3821">
        <f>SUM('Произв. прогр. Стоки'!T43+'Произв. прогр. Стоки'!T63+'Произв. прогр. Стоки'!T95+'Произв. прогр. Стоки'!T115)</f>
        <v>461.23879009882046</v>
      </c>
      <c r="U43" s="3821">
        <f>SUM('Произв. прогр. Стоки'!U43+'Произв. прогр. Стоки'!U63+'Произв. прогр. Стоки'!U95+'Произв. прогр. Стоки'!U115)</f>
        <v>461.23879009882046</v>
      </c>
      <c r="V43" s="3794">
        <f>SUM('Произв. прогр. Стоки'!V43+'Произв. прогр. Стоки'!V63+'Произв. прогр. Стоки'!V95+'Произв. прогр. Стоки'!V115)</f>
        <v>1383.7163702964615</v>
      </c>
      <c r="W43" s="3839">
        <f t="shared" si="26"/>
        <v>5377.4796524036583</v>
      </c>
    </row>
    <row r="44" spans="1:23" ht="18.75" customHeight="1">
      <c r="A44" s="3815" t="s">
        <v>1767</v>
      </c>
      <c r="B44" s="3794">
        <f t="shared" si="34"/>
        <v>1613.4451579288793</v>
      </c>
      <c r="C44" s="3794">
        <f>SUM('Произв. прогр. Стоки'!C44+'Произв. прогр. Стоки'!C64+'Произв. прогр. Стоки'!C96+'Произв. прогр. Стоки'!C116)</f>
        <v>1608.0563217748177</v>
      </c>
      <c r="D44" s="3794">
        <f>SUM('Произв. прогр. Стоки'!D44+'Произв. прогр. Стоки'!D64+'Произв. прогр. Стоки'!D96+'Произв. прогр. Стоки'!D116)</f>
        <v>5.388836154061778</v>
      </c>
      <c r="E44" s="3821">
        <f>SUM('Произв. прогр. Стоки'!E44+'Произв. прогр. Стоки'!E64+'Произв. прогр. Стоки'!E96+'Произв. прогр. Стоки'!E116)</f>
        <v>130.51862656966458</v>
      </c>
      <c r="F44" s="3821">
        <f>SUM('Произв. прогр. Стоки'!F44+'Произв. прогр. Стоки'!F64+'Произв. прогр. Стоки'!F96+'Произв. прогр. Стоки'!F116)</f>
        <v>130.51862656966458</v>
      </c>
      <c r="G44" s="3821">
        <f>SUM('Произв. прогр. Стоки'!G44+'Произв. прогр. Стоки'!G64+'Произв. прогр. Стоки'!G96+'Произв. прогр. Стоки'!G116)</f>
        <v>130.51862656966458</v>
      </c>
      <c r="H44" s="3794">
        <f>SUM('Произв. прогр. Стоки'!H44+'Произв. прогр. Стоки'!H64+'Произв. прогр. Стоки'!H96+'Произв. прогр. Стоки'!H116)</f>
        <v>391.5558797089937</v>
      </c>
      <c r="I44" s="3821">
        <f>SUM('Произв. прогр. Стоки'!I44+'Произв. прогр. Стоки'!I64+'Произв. прогр. Стоки'!I96+'Произв. прогр. Стоки'!I116)</f>
        <v>130.51862656966458</v>
      </c>
      <c r="J44" s="3821">
        <f>SUM('Произв. прогр. Стоки'!J44+'Произв. прогр. Стоки'!J64+'Произв. прогр. Стоки'!J96+'Произв. прогр. Стоки'!J116)</f>
        <v>130.51862656966458</v>
      </c>
      <c r="K44" s="3821">
        <f>SUM('Произв. прогр. Стоки'!K44+'Произв. прогр. Стоки'!K64+'Произв. прогр. Стоки'!K96+'Произв. прогр. Стоки'!K116)</f>
        <v>130.51862656966458</v>
      </c>
      <c r="L44" s="3794">
        <f>SUM('Произв. прогр. Стоки'!L44+'Произв. прогр. Стоки'!L64+'Произв. прогр. Стоки'!L96+'Произв. прогр. Стоки'!L116)</f>
        <v>391.5558797089937</v>
      </c>
      <c r="M44" s="3794">
        <f>SUM('Произв. прогр. Стоки'!M44+'Произв. прогр. Стоки'!M64+'Произв. прогр. Стоки'!M96+'Произв. прогр. Стоки'!M116)</f>
        <v>783.1117594179874</v>
      </c>
      <c r="N44" s="3821">
        <f>SUM('Произв. прогр. Стоки'!N44+'Произв. прогр. Стоки'!N64+'Произв. прогр. Стоки'!N96+'Произв. прогр. Стоки'!N116)</f>
        <v>138.38889975181536</v>
      </c>
      <c r="O44" s="3821">
        <f>SUM('Произв. прогр. Стоки'!O44+'Произв. прогр. Стоки'!O64+'Произв. прогр. Стоки'!O96+'Произв. прогр. Стоки'!O116)</f>
        <v>138.38889975181536</v>
      </c>
      <c r="P44" s="3821">
        <f>SUM('Произв. прогр. Стоки'!P44+'Произв. прогр. Стоки'!P64+'Произв. прогр. Стоки'!P96+'Произв. прогр. Стоки'!P116)</f>
        <v>138.38889975181536</v>
      </c>
      <c r="Q44" s="3794">
        <f>SUM('Произв. прогр. Стоки'!Q44+'Произв. прогр. Стоки'!Q64+'Произв. прогр. Стоки'!Q96+'Произв. прогр. Стоки'!Q116)</f>
        <v>415.16669925544602</v>
      </c>
      <c r="R44" s="3794">
        <f>SUM('Произв. прогр. Стоки'!R44+'Произв. прогр. Стоки'!R64+'Произв. прогр. Стоки'!R96+'Произв. прогр. Стоки'!R116)</f>
        <v>1198.2784586734335</v>
      </c>
      <c r="S44" s="3821">
        <f>SUM('Произв. прогр. Стоки'!S44+'Произв. прогр. Стоки'!S64+'Произв. прогр. Стоки'!S96+'Произв. прогр. Стоки'!S116)</f>
        <v>138.38889975181536</v>
      </c>
      <c r="T44" s="3821">
        <f>SUM('Произв. прогр. Стоки'!T44+'Произв. прогр. Стоки'!T64+'Произв. прогр. Стоки'!T96+'Произв. прогр. Стоки'!T116)</f>
        <v>138.38889975181536</v>
      </c>
      <c r="U44" s="3821">
        <f>SUM('Произв. прогр. Стоки'!U44+'Произв. прогр. Стоки'!U64+'Произв. прогр. Стоки'!U96+'Произв. прогр. Стоки'!U116)</f>
        <v>138.38889975181536</v>
      </c>
      <c r="V44" s="3794">
        <f>SUM('Произв. прогр. Стоки'!V44+'Произв. прогр. Стоки'!V64+'Произв. прогр. Стоки'!V96+'Произв. прогр. Стоки'!V116)</f>
        <v>415.16669925544602</v>
      </c>
      <c r="W44" s="3839">
        <f t="shared" si="26"/>
        <v>1613.4451579288798</v>
      </c>
    </row>
    <row r="45" spans="1:23" ht="18.75" customHeight="1">
      <c r="A45" s="3815" t="s">
        <v>300</v>
      </c>
      <c r="B45" s="3794">
        <f t="shared" si="34"/>
        <v>4048.5935211980855</v>
      </c>
      <c r="C45" s="3794">
        <f>SUM(C42-C43-C44)</f>
        <v>4021.9617761445306</v>
      </c>
      <c r="D45" s="3794">
        <f>SUM(D42-D43-D44)</f>
        <v>26.63174505355471</v>
      </c>
      <c r="E45" s="3821">
        <f>SUM(E42-E43-E44)</f>
        <v>367.29152216575494</v>
      </c>
      <c r="F45" s="3821">
        <f t="shared" ref="F45:G45" si="35">SUM(F42-F43-F44)</f>
        <v>358.11789359944203</v>
      </c>
      <c r="G45" s="3821">
        <f t="shared" si="35"/>
        <v>354.14502041569449</v>
      </c>
      <c r="H45" s="3803">
        <f t="shared" si="27"/>
        <v>1079.5544361808916</v>
      </c>
      <c r="I45" s="3821">
        <f t="shared" ref="I45:K45" si="36">SUM(I42-I43-I44)</f>
        <v>340.47788995265603</v>
      </c>
      <c r="J45" s="3821">
        <f t="shared" si="36"/>
        <v>315.61813504206543</v>
      </c>
      <c r="K45" s="3821">
        <f t="shared" si="36"/>
        <v>309.76705791870233</v>
      </c>
      <c r="L45" s="3803">
        <f t="shared" ref="L45" si="37">SUM(I45+J45+K45)</f>
        <v>965.8630829134238</v>
      </c>
      <c r="M45" s="3803">
        <f t="shared" ref="M45:M57" si="38">SUM(H45+L45)</f>
        <v>2045.4175190943154</v>
      </c>
      <c r="N45" s="3821">
        <f t="shared" ref="N45:P45" si="39">SUM(N42-N43-N44)</f>
        <v>310.60199841440209</v>
      </c>
      <c r="O45" s="3821">
        <f t="shared" si="39"/>
        <v>309.76705791870251</v>
      </c>
      <c r="P45" s="3821">
        <f t="shared" si="39"/>
        <v>322.80614323877563</v>
      </c>
      <c r="Q45" s="3803">
        <f t="shared" ref="Q45" si="40">SUM(N45+O45+P45)</f>
        <v>943.17519957188028</v>
      </c>
      <c r="R45" s="3803">
        <f t="shared" ref="R45:R57" si="41">SUM(M45+Q45)</f>
        <v>2988.5927186661957</v>
      </c>
      <c r="S45" s="3821">
        <f t="shared" ref="S45:U45" si="42">SUM(S42-S43-S44)</f>
        <v>342.49440567270273</v>
      </c>
      <c r="T45" s="3821">
        <f t="shared" si="42"/>
        <v>352.50739463688973</v>
      </c>
      <c r="U45" s="3821">
        <f t="shared" si="42"/>
        <v>364.99900222229741</v>
      </c>
      <c r="V45" s="3803">
        <f t="shared" si="32"/>
        <v>1060.0008025318898</v>
      </c>
      <c r="W45" s="3839">
        <f t="shared" si="26"/>
        <v>4048.5935211980855</v>
      </c>
    </row>
    <row r="46" spans="1:23" ht="18.75" customHeight="1">
      <c r="A46" s="3813" t="s">
        <v>1744</v>
      </c>
      <c r="B46" s="3790">
        <f>SUM(C46:D46)</f>
        <v>1794.0400000000002</v>
      </c>
      <c r="C46" s="3790">
        <f>SUM('Произв. прогр. Стоки'!C125)</f>
        <v>1783.5700000000002</v>
      </c>
      <c r="D46" s="3790">
        <f>SUM('Произв. прогр. Стоки'!D125)</f>
        <v>10.469999999999999</v>
      </c>
      <c r="E46" s="3819">
        <f>SUM('Произв. прогр. Стоки'!E125)</f>
        <v>0</v>
      </c>
      <c r="F46" s="3819">
        <f>SUM('Произв. прогр. Стоки'!F125)</f>
        <v>0</v>
      </c>
      <c r="G46" s="3819">
        <f>SUM('Произв. прогр. Стоки'!G125)</f>
        <v>448.51</v>
      </c>
      <c r="H46" s="3790">
        <f>SUM('Произв. прогр. Стоки'!H125)</f>
        <v>448.51</v>
      </c>
      <c r="I46" s="3819">
        <f>SUM('Произв. прогр. Стоки'!I125)</f>
        <v>0</v>
      </c>
      <c r="J46" s="3819">
        <f>SUM('Произв. прогр. Стоки'!J125)</f>
        <v>0</v>
      </c>
      <c r="K46" s="3819">
        <f>SUM('Произв. прогр. Стоки'!K125)</f>
        <v>448.51</v>
      </c>
      <c r="L46" s="3790">
        <f>SUM('Произв. прогр. Стоки'!L125)</f>
        <v>448.51</v>
      </c>
      <c r="M46" s="3790">
        <f>SUM('Произв. прогр. Стоки'!M125)</f>
        <v>897.02</v>
      </c>
      <c r="N46" s="3819">
        <f>SUM('Произв. прогр. Стоки'!N125)</f>
        <v>0</v>
      </c>
      <c r="O46" s="3819">
        <f>SUM('Произв. прогр. Стоки'!O125)</f>
        <v>0</v>
      </c>
      <c r="P46" s="3819">
        <f>SUM('Произв. прогр. Стоки'!P125)</f>
        <v>448.51</v>
      </c>
      <c r="Q46" s="3790">
        <f>SUM('Произв. прогр. Стоки'!Q125)</f>
        <v>448.51</v>
      </c>
      <c r="R46" s="3790">
        <f>SUM('Произв. прогр. Стоки'!R125)</f>
        <v>1345.53</v>
      </c>
      <c r="S46" s="3819">
        <f>SUM('Произв. прогр. Стоки'!S125)</f>
        <v>0</v>
      </c>
      <c r="T46" s="3819">
        <f>SUM('Произв. прогр. Стоки'!T125)</f>
        <v>0</v>
      </c>
      <c r="U46" s="3819">
        <f>SUM('Произв. прогр. Стоки'!U125)</f>
        <v>448.51</v>
      </c>
      <c r="V46" s="3790">
        <f>SUM('Произв. прогр. Стоки'!V125)</f>
        <v>448.51</v>
      </c>
      <c r="W46" s="3839">
        <f t="shared" si="26"/>
        <v>1794.04</v>
      </c>
    </row>
    <row r="47" spans="1:23" ht="39.75" customHeight="1">
      <c r="A47" s="3793" t="s">
        <v>1776</v>
      </c>
      <c r="B47" s="3852">
        <f t="shared" si="34"/>
        <v>348.31</v>
      </c>
      <c r="C47" s="3852">
        <f>SUM('Произв. прогр. Стоки'!C126)</f>
        <v>348.31</v>
      </c>
      <c r="D47" s="3852">
        <f>SUM('Произв. прогр. Стоки'!D126)</f>
        <v>0</v>
      </c>
      <c r="E47" s="3856">
        <f>SUM('Произв. прогр. Стоки'!E126)</f>
        <v>0</v>
      </c>
      <c r="F47" s="3856">
        <f>SUM('Произв. прогр. Стоки'!F126)</f>
        <v>0</v>
      </c>
      <c r="G47" s="3856">
        <f>SUM('Произв. прогр. Стоки'!G126)</f>
        <v>87.077500000000001</v>
      </c>
      <c r="H47" s="3852">
        <f>SUM('Произв. прогр. Стоки'!H126)</f>
        <v>87.077500000000001</v>
      </c>
      <c r="I47" s="3856">
        <f>SUM('Произв. прогр. Стоки'!I126)</f>
        <v>0</v>
      </c>
      <c r="J47" s="3856">
        <f>SUM('Произв. прогр. Стоки'!J126)</f>
        <v>0</v>
      </c>
      <c r="K47" s="3856">
        <f>SUM('Произв. прогр. Стоки'!K126)</f>
        <v>87.077500000000001</v>
      </c>
      <c r="L47" s="3852">
        <f>SUM('Произв. прогр. Стоки'!L126)</f>
        <v>87.077500000000001</v>
      </c>
      <c r="M47" s="3852">
        <f>SUM('Произв. прогр. Стоки'!M126)</f>
        <v>174.155</v>
      </c>
      <c r="N47" s="3856">
        <f>SUM('Произв. прогр. Стоки'!N126)</f>
        <v>0</v>
      </c>
      <c r="O47" s="3856">
        <f>SUM('Произв. прогр. Стоки'!O126)</f>
        <v>0</v>
      </c>
      <c r="P47" s="3856">
        <f>SUM('Произв. прогр. Стоки'!P126)</f>
        <v>87.077500000000001</v>
      </c>
      <c r="Q47" s="3852">
        <f>SUM('Произв. прогр. Стоки'!Q126)</f>
        <v>87.077500000000001</v>
      </c>
      <c r="R47" s="3852">
        <f>SUM('Произв. прогр. Стоки'!R126)</f>
        <v>261.23250000000002</v>
      </c>
      <c r="S47" s="3856">
        <f>SUM('Произв. прогр. Стоки'!S126)</f>
        <v>0</v>
      </c>
      <c r="T47" s="3856">
        <f>SUM('Произв. прогр. Стоки'!T126)</f>
        <v>0</v>
      </c>
      <c r="U47" s="3856">
        <f>SUM('Произв. прогр. Стоки'!U126)</f>
        <v>87.077500000000001</v>
      </c>
      <c r="V47" s="3852">
        <f>SUM('Произв. прогр. Стоки'!V126)</f>
        <v>87.077500000000001</v>
      </c>
      <c r="W47" s="3857">
        <f t="shared" si="26"/>
        <v>348.31</v>
      </c>
    </row>
    <row r="48" spans="1:23" ht="18.75" customHeight="1">
      <c r="A48" s="3793" t="s">
        <v>543</v>
      </c>
      <c r="B48" s="3794">
        <f t="shared" si="34"/>
        <v>26.05</v>
      </c>
      <c r="C48" s="3794">
        <f>SUM('Произв. прогр. Стоки'!C127)</f>
        <v>25.87</v>
      </c>
      <c r="D48" s="3794">
        <f>SUM('Произв. прогр. Стоки'!D127)</f>
        <v>0.18</v>
      </c>
      <c r="E48" s="3821">
        <f>SUM('Произв. прогр. Стоки'!E127)</f>
        <v>0</v>
      </c>
      <c r="F48" s="3821">
        <f>SUM('Произв. прогр. Стоки'!F127)</f>
        <v>0</v>
      </c>
      <c r="G48" s="3821">
        <f>SUM('Произв. прогр. Стоки'!G127)</f>
        <v>6.5125000000000002</v>
      </c>
      <c r="H48" s="3794">
        <f>SUM('Произв. прогр. Стоки'!H127)</f>
        <v>6.5125000000000002</v>
      </c>
      <c r="I48" s="3821">
        <f>SUM('Произв. прогр. Стоки'!I127)</f>
        <v>0</v>
      </c>
      <c r="J48" s="3821">
        <f>SUM('Произв. прогр. Стоки'!J127)</f>
        <v>0</v>
      </c>
      <c r="K48" s="3821">
        <f>SUM('Произв. прогр. Стоки'!K127)</f>
        <v>6.5125000000000002</v>
      </c>
      <c r="L48" s="3794">
        <f>SUM('Произв. прогр. Стоки'!L127)</f>
        <v>6.5125000000000002</v>
      </c>
      <c r="M48" s="3794">
        <f>SUM('Произв. прогр. Стоки'!M127)</f>
        <v>13.025</v>
      </c>
      <c r="N48" s="3821">
        <f>SUM('Произв. прогр. Стоки'!N127)</f>
        <v>0</v>
      </c>
      <c r="O48" s="3821">
        <f>SUM('Произв. прогр. Стоки'!O127)</f>
        <v>0</v>
      </c>
      <c r="P48" s="3821">
        <f>SUM('Произв. прогр. Стоки'!P127)</f>
        <v>6.5125000000000002</v>
      </c>
      <c r="Q48" s="3794">
        <f>SUM('Произв. прогр. Стоки'!Q127)</f>
        <v>6.5125000000000002</v>
      </c>
      <c r="R48" s="3794">
        <f>SUM('Произв. прогр. Стоки'!R127)</f>
        <v>19.537500000000001</v>
      </c>
      <c r="S48" s="3821">
        <f>SUM('Произв. прогр. Стоки'!S127)</f>
        <v>0</v>
      </c>
      <c r="T48" s="3821">
        <f>SUM('Произв. прогр. Стоки'!T127)</f>
        <v>0</v>
      </c>
      <c r="U48" s="3821">
        <f>SUM('Произв. прогр. Стоки'!U127)</f>
        <v>6.5125000000000002</v>
      </c>
      <c r="V48" s="3794">
        <f>SUM('Произв. прогр. Стоки'!V127)</f>
        <v>6.5125000000000002</v>
      </c>
      <c r="W48" s="3839">
        <f t="shared" si="26"/>
        <v>26.05</v>
      </c>
    </row>
    <row r="49" spans="1:23" ht="18.75" customHeight="1">
      <c r="A49" s="3793" t="s">
        <v>545</v>
      </c>
      <c r="B49" s="3794">
        <f t="shared" si="34"/>
        <v>1419.68</v>
      </c>
      <c r="C49" s="3794">
        <f>SUM('Произв. прогр. Стоки'!C128)</f>
        <v>1409.39</v>
      </c>
      <c r="D49" s="3794">
        <f>SUM('Произв. прогр. Стоки'!D128)</f>
        <v>10.29</v>
      </c>
      <c r="E49" s="3821">
        <f>SUM('Произв. прогр. Стоки'!E128)</f>
        <v>0</v>
      </c>
      <c r="F49" s="3821">
        <f>SUM('Произв. прогр. Стоки'!F128)</f>
        <v>0</v>
      </c>
      <c r="G49" s="3821">
        <f>SUM('Произв. прогр. Стоки'!G128)</f>
        <v>354.92</v>
      </c>
      <c r="H49" s="3794">
        <f>SUM('Произв. прогр. Стоки'!H128)</f>
        <v>354.92</v>
      </c>
      <c r="I49" s="3821">
        <f>SUM('Произв. прогр. Стоки'!I128)</f>
        <v>0</v>
      </c>
      <c r="J49" s="3821">
        <f>SUM('Произв. прогр. Стоки'!J128)</f>
        <v>0</v>
      </c>
      <c r="K49" s="3821">
        <f>SUM('Произв. прогр. Стоки'!K128)</f>
        <v>354.92</v>
      </c>
      <c r="L49" s="3794">
        <f>SUM('Произв. прогр. Стоки'!L128)</f>
        <v>354.92</v>
      </c>
      <c r="M49" s="3794">
        <f>SUM('Произв. прогр. Стоки'!M128)</f>
        <v>709.84</v>
      </c>
      <c r="N49" s="3821">
        <f>SUM('Произв. прогр. Стоки'!N128)</f>
        <v>0</v>
      </c>
      <c r="O49" s="3821">
        <f>SUM('Произв. прогр. Стоки'!O128)</f>
        <v>0</v>
      </c>
      <c r="P49" s="3821">
        <f>SUM('Произв. прогр. Стоки'!P128)</f>
        <v>354.92</v>
      </c>
      <c r="Q49" s="3794">
        <f>SUM('Произв. прогр. Стоки'!Q128)</f>
        <v>354.92</v>
      </c>
      <c r="R49" s="3794">
        <f>SUM('Произв. прогр. Стоки'!R128)</f>
        <v>1064.76</v>
      </c>
      <c r="S49" s="3821">
        <f>SUM('Произв. прогр. Стоки'!S128)</f>
        <v>0</v>
      </c>
      <c r="T49" s="3821">
        <f>SUM('Произв. прогр. Стоки'!T128)</f>
        <v>0</v>
      </c>
      <c r="U49" s="3821">
        <f>SUM('Произв. прогр. Стоки'!U128)</f>
        <v>354.92</v>
      </c>
      <c r="V49" s="3794">
        <f>SUM('Произв. прогр. Стоки'!V128)</f>
        <v>354.92</v>
      </c>
      <c r="W49" s="3839">
        <f t="shared" si="26"/>
        <v>1419.68</v>
      </c>
    </row>
    <row r="50" spans="1:23" ht="18.75" customHeight="1">
      <c r="A50" s="3813" t="s">
        <v>1768</v>
      </c>
      <c r="B50" s="3790">
        <f>SUM(C50:D50)</f>
        <v>14681.99</v>
      </c>
      <c r="C50" s="3790">
        <f>SUM('Произв. прогр. Стоки'!C129)</f>
        <v>14675.18</v>
      </c>
      <c r="D50" s="3790">
        <f>SUM('Произв. прогр. Стоки'!D129)</f>
        <v>6.81</v>
      </c>
      <c r="E50" s="3819">
        <f>SUM('Произв. прогр. Стоки'!E129)</f>
        <v>1190.9632808539122</v>
      </c>
      <c r="F50" s="3819">
        <f>SUM('Произв. прогр. Стоки'!F129)</f>
        <v>1190.9632808539122</v>
      </c>
      <c r="G50" s="3819">
        <f>SUM('Произв. прогр. Стоки'!G129)</f>
        <v>1190.9632808539122</v>
      </c>
      <c r="H50" s="3790">
        <f>SUM('Произв. прогр. Стоки'!H129)</f>
        <v>3572.8898425617367</v>
      </c>
      <c r="I50" s="3819">
        <f>SUM('Произв. прогр. Стоки'!I129)</f>
        <v>1190.9632808539122</v>
      </c>
      <c r="J50" s="3819">
        <f>SUM('Произв. прогр. Стоки'!J129)</f>
        <v>1190.9632808539122</v>
      </c>
      <c r="K50" s="3819">
        <f>SUM('Произв. прогр. Стоки'!K129)</f>
        <v>1190.9632808539122</v>
      </c>
      <c r="L50" s="3790">
        <f>SUM('Произв. прогр. Стоки'!L129)</f>
        <v>3572.8898425617367</v>
      </c>
      <c r="M50" s="3790">
        <f>SUM('Произв. прогр. Стоки'!M129)</f>
        <v>7145.7796851234734</v>
      </c>
      <c r="N50" s="3819">
        <f>SUM('Произв. прогр. Стоки'!N129)</f>
        <v>1256.0350524794212</v>
      </c>
      <c r="O50" s="3819">
        <f>SUM('Произв. прогр. Стоки'!O129)</f>
        <v>1256.0350524794212</v>
      </c>
      <c r="P50" s="3819">
        <f>SUM('Произв. прогр. Стоки'!P129)</f>
        <v>1256.0350524794212</v>
      </c>
      <c r="Q50" s="3790">
        <f>SUM('Произв. прогр. Стоки'!Q129)</f>
        <v>3768.1051574382636</v>
      </c>
      <c r="R50" s="3790">
        <f>SUM('Произв. прогр. Стоки'!R129)</f>
        <v>10913.884842561736</v>
      </c>
      <c r="S50" s="3819">
        <f>SUM('Произв. прогр. Стоки'!S129)</f>
        <v>1256.0350524794212</v>
      </c>
      <c r="T50" s="3819">
        <f>SUM('Произв. прогр. Стоки'!T129)</f>
        <v>1256.0350524794212</v>
      </c>
      <c r="U50" s="3819">
        <f>SUM('Произв. прогр. Стоки'!U129)</f>
        <v>1256.0350524794212</v>
      </c>
      <c r="V50" s="3790">
        <f>SUM('Произв. прогр. Стоки'!V129)</f>
        <v>3768.1051574382636</v>
      </c>
      <c r="W50" s="3839">
        <f t="shared" si="26"/>
        <v>14681.99</v>
      </c>
    </row>
    <row r="51" spans="1:23" ht="18.75" customHeight="1">
      <c r="A51" s="3820" t="s">
        <v>1747</v>
      </c>
      <c r="B51" s="3794">
        <f t="shared" si="34"/>
        <v>10423.29593721353</v>
      </c>
      <c r="C51" s="3794">
        <f>SUM('Произв. прогр. Стоки'!C130)</f>
        <v>10423.29593721353</v>
      </c>
      <c r="D51" s="3794">
        <f>SUM('Произв. прогр. Стоки'!D130)</f>
        <v>0</v>
      </c>
      <c r="E51" s="3821">
        <f>SUM('Произв. прогр. Стоки'!E130)</f>
        <v>843.18593871552127</v>
      </c>
      <c r="F51" s="3821">
        <f>SUM('Произв. прогр. Стоки'!F130)</f>
        <v>843.18593871552127</v>
      </c>
      <c r="G51" s="3821">
        <f>SUM('Произв. прогр. Стоки'!G130)</f>
        <v>843.18593871552127</v>
      </c>
      <c r="H51" s="3794">
        <f>SUM('Произв. прогр. Стоки'!H130)</f>
        <v>2529.5578161465637</v>
      </c>
      <c r="I51" s="3821">
        <f>SUM('Произв. прогр. Стоки'!I130)</f>
        <v>843.18593871552127</v>
      </c>
      <c r="J51" s="3821">
        <f>SUM('Произв. прогр. Стоки'!J130)</f>
        <v>843.18593871552127</v>
      </c>
      <c r="K51" s="3821">
        <f>SUM('Произв. прогр. Стоки'!K130)</f>
        <v>843.18593871552127</v>
      </c>
      <c r="L51" s="3794">
        <f>SUM('Произв. прогр. Стоки'!L130)</f>
        <v>2529.5578161465637</v>
      </c>
      <c r="M51" s="3794">
        <f>SUM('Произв. прогр. Стоки'!M130)</f>
        <v>5059.1156322931274</v>
      </c>
      <c r="N51" s="3821">
        <f>SUM('Произв. прогр. Стоки'!N130)</f>
        <v>894.03005082006712</v>
      </c>
      <c r="O51" s="3821">
        <f>SUM('Произв. прогр. Стоки'!O130)</f>
        <v>894.03005082006712</v>
      </c>
      <c r="P51" s="3821">
        <f>SUM('Произв. прогр. Стоки'!P130)</f>
        <v>894.03005082006712</v>
      </c>
      <c r="Q51" s="3794">
        <f>SUM('Произв. прогр. Стоки'!Q130)</f>
        <v>2682.0901524602014</v>
      </c>
      <c r="R51" s="3794">
        <f>SUM('Произв. прогр. Стоки'!R130)</f>
        <v>7741.2057847533288</v>
      </c>
      <c r="S51" s="3821">
        <f>SUM('Произв. прогр. Стоки'!S130)</f>
        <v>894.03005082006712</v>
      </c>
      <c r="T51" s="3821">
        <f>SUM('Произв. прогр. Стоки'!T130)</f>
        <v>894.03005082006712</v>
      </c>
      <c r="U51" s="3821">
        <f>SUM('Произв. прогр. Стоки'!U130)</f>
        <v>894.03005082006712</v>
      </c>
      <c r="V51" s="3794">
        <f>SUM('Произв. прогр. Стоки'!V130)</f>
        <v>2682.0901524602014</v>
      </c>
      <c r="W51" s="3839">
        <f t="shared" si="26"/>
        <v>10423.29593721353</v>
      </c>
    </row>
    <row r="52" spans="1:23" ht="18.75" customHeight="1">
      <c r="A52" s="3820" t="s">
        <v>1748</v>
      </c>
      <c r="B52" s="3794">
        <f t="shared" si="34"/>
        <v>2916.7409861731821</v>
      </c>
      <c r="C52" s="3794">
        <f>SUM('Произв. прогр. Стоки'!C131)</f>
        <v>2916.7409861731821</v>
      </c>
      <c r="D52" s="3794">
        <f>SUM('Произв. прогр. Стоки'!D131)</f>
        <v>0</v>
      </c>
      <c r="E52" s="3821">
        <f>SUM('Произв. прогр. Стоки'!E131)</f>
        <v>235.94791908728359</v>
      </c>
      <c r="F52" s="3821">
        <f>SUM('Произв. прогр. Стоки'!F131)</f>
        <v>235.94791908728359</v>
      </c>
      <c r="G52" s="3821">
        <f>SUM('Произв. прогр. Стоки'!G131)</f>
        <v>235.94791908728359</v>
      </c>
      <c r="H52" s="3794">
        <f>SUM('Произв. прогр. Стоки'!H131)</f>
        <v>707.84375726185078</v>
      </c>
      <c r="I52" s="3821">
        <f>SUM('Произв. прогр. Стоки'!I131)</f>
        <v>235.94791908728359</v>
      </c>
      <c r="J52" s="3821">
        <f>SUM('Произв. прогр. Стоки'!J131)</f>
        <v>235.94791908728359</v>
      </c>
      <c r="K52" s="3821">
        <f>SUM('Произв. прогр. Стоки'!K131)</f>
        <v>235.94791908728359</v>
      </c>
      <c r="L52" s="3794">
        <f>SUM('Произв. прогр. Стоки'!L131)</f>
        <v>707.84375726185078</v>
      </c>
      <c r="M52" s="3794">
        <f>SUM('Произв. прогр. Стоки'!M131)</f>
        <v>1415.6875145237016</v>
      </c>
      <c r="N52" s="3821">
        <f>SUM('Произв. прогр. Стоки'!N131)</f>
        <v>250.17557860824675</v>
      </c>
      <c r="O52" s="3821">
        <f>SUM('Произв. прогр. Стоки'!O131)</f>
        <v>250.17557860824675</v>
      </c>
      <c r="P52" s="3821">
        <f>SUM('Произв. прогр. Стоки'!P131)</f>
        <v>250.17557860824675</v>
      </c>
      <c r="Q52" s="3794">
        <f>SUM('Произв. прогр. Стоки'!Q131)</f>
        <v>750.52673582474029</v>
      </c>
      <c r="R52" s="3794">
        <f>SUM('Произв. прогр. Стоки'!R131)</f>
        <v>2166.214250348442</v>
      </c>
      <c r="S52" s="3821">
        <f>SUM('Произв. прогр. Стоки'!S131)</f>
        <v>250.17557860824675</v>
      </c>
      <c r="T52" s="3821">
        <f>SUM('Произв. прогр. Стоки'!T131)</f>
        <v>250.17557860824675</v>
      </c>
      <c r="U52" s="3821">
        <f>SUM('Произв. прогр. Стоки'!U131)</f>
        <v>250.17557860824675</v>
      </c>
      <c r="V52" s="3794">
        <f>SUM('Произв. прогр. Стоки'!V131)</f>
        <v>750.52673582474029</v>
      </c>
      <c r="W52" s="3839">
        <f t="shared" si="26"/>
        <v>2916.7409861731817</v>
      </c>
    </row>
    <row r="53" spans="1:23" ht="18.75" customHeight="1">
      <c r="A53" s="3815" t="s">
        <v>1749</v>
      </c>
      <c r="B53" s="3794">
        <f t="shared" si="34"/>
        <v>1341.953076613288</v>
      </c>
      <c r="C53" s="3794">
        <f>SUM(C50-C51-C52)</f>
        <v>1335.143076613288</v>
      </c>
      <c r="D53" s="3794">
        <f t="shared" ref="D53:V53" si="43">SUM(D50-D51-D52)</f>
        <v>6.81</v>
      </c>
      <c r="E53" s="3821">
        <f t="shared" si="43"/>
        <v>111.82942305110737</v>
      </c>
      <c r="F53" s="3821">
        <f t="shared" si="43"/>
        <v>111.82942305110737</v>
      </c>
      <c r="G53" s="3821">
        <f t="shared" si="43"/>
        <v>111.82942305110737</v>
      </c>
      <c r="H53" s="3794">
        <f t="shared" si="43"/>
        <v>335.48826915332222</v>
      </c>
      <c r="I53" s="3821">
        <f t="shared" si="43"/>
        <v>111.82942305110737</v>
      </c>
      <c r="J53" s="3821">
        <f t="shared" si="43"/>
        <v>111.82942305110737</v>
      </c>
      <c r="K53" s="3821">
        <f t="shared" si="43"/>
        <v>111.82942305110737</v>
      </c>
      <c r="L53" s="3794">
        <f t="shared" si="43"/>
        <v>335.48826915332222</v>
      </c>
      <c r="M53" s="3794">
        <f t="shared" si="43"/>
        <v>670.97653830664444</v>
      </c>
      <c r="N53" s="3821">
        <f t="shared" si="43"/>
        <v>111.82942305110734</v>
      </c>
      <c r="O53" s="3821">
        <f t="shared" si="43"/>
        <v>111.82942305110734</v>
      </c>
      <c r="P53" s="3821">
        <f t="shared" si="43"/>
        <v>111.82942305110734</v>
      </c>
      <c r="Q53" s="3794">
        <f t="shared" si="43"/>
        <v>335.48826915332199</v>
      </c>
      <c r="R53" s="3794">
        <f t="shared" si="43"/>
        <v>1006.4648074599654</v>
      </c>
      <c r="S53" s="3821">
        <f t="shared" si="43"/>
        <v>111.82942305110734</v>
      </c>
      <c r="T53" s="3821">
        <f t="shared" si="43"/>
        <v>111.82942305110734</v>
      </c>
      <c r="U53" s="3821">
        <f t="shared" si="43"/>
        <v>111.82942305110734</v>
      </c>
      <c r="V53" s="3794">
        <f t="shared" si="43"/>
        <v>335.48826915332199</v>
      </c>
      <c r="W53" s="3839">
        <f t="shared" si="26"/>
        <v>1341.9530766132884</v>
      </c>
    </row>
    <row r="54" spans="1:23" ht="18.75" customHeight="1">
      <c r="A54" s="3789" t="s">
        <v>1778</v>
      </c>
      <c r="B54" s="3790">
        <f t="shared" si="34"/>
        <v>361.57999999999993</v>
      </c>
      <c r="C54" s="3790">
        <f>SUM('Произв. прогр. Стоки'!C133)</f>
        <v>361.57999999999993</v>
      </c>
      <c r="D54" s="3790">
        <f>SUM('Произв. прогр. Стоки'!D133)</f>
        <v>0</v>
      </c>
      <c r="E54" s="3819">
        <f>SUM('Произв. прогр. Стоки'!E133)</f>
        <v>30.131666666666661</v>
      </c>
      <c r="F54" s="3819">
        <f>SUM('Произв. прогр. Стоки'!F133)</f>
        <v>30.131666666666661</v>
      </c>
      <c r="G54" s="3819">
        <f>SUM('Произв. прогр. Стоки'!G133)</f>
        <v>30.131666666666661</v>
      </c>
      <c r="H54" s="3790">
        <f>SUM('Произв. прогр. Стоки'!H133)</f>
        <v>90.394999999999982</v>
      </c>
      <c r="I54" s="3819">
        <f>SUM('Произв. прогр. Стоки'!I133)</f>
        <v>30.131666666666661</v>
      </c>
      <c r="J54" s="3819">
        <f>SUM('Произв. прогр. Стоки'!J133)</f>
        <v>30.131666666666661</v>
      </c>
      <c r="K54" s="3819">
        <f>SUM('Произв. прогр. Стоки'!K133)</f>
        <v>30.131666666666661</v>
      </c>
      <c r="L54" s="3790">
        <f>SUM('Произв. прогр. Стоки'!L133)</f>
        <v>90.394999999999982</v>
      </c>
      <c r="M54" s="3790">
        <f>SUM('Произв. прогр. Стоки'!M133)</f>
        <v>180.78999999999996</v>
      </c>
      <c r="N54" s="3819">
        <f>SUM('Произв. прогр. Стоки'!N133)</f>
        <v>30.131666666666661</v>
      </c>
      <c r="O54" s="3819">
        <f>SUM('Произв. прогр. Стоки'!O133)</f>
        <v>30.131666666666661</v>
      </c>
      <c r="P54" s="3819">
        <f>SUM('Произв. прогр. Стоки'!P133)</f>
        <v>30.131666666666661</v>
      </c>
      <c r="Q54" s="3790">
        <f>SUM('Произв. прогр. Стоки'!Q133)</f>
        <v>90.394999999999982</v>
      </c>
      <c r="R54" s="3790">
        <f>SUM('Произв. прогр. Стоки'!R133)</f>
        <v>271.18499999999995</v>
      </c>
      <c r="S54" s="3819">
        <f>SUM('Произв. прогр. Стоки'!S133)</f>
        <v>30.131666666666661</v>
      </c>
      <c r="T54" s="3819">
        <f>SUM('Произв. прогр. Стоки'!T133)</f>
        <v>30.131666666666661</v>
      </c>
      <c r="U54" s="3819">
        <f>SUM('Произв. прогр. Стоки'!U133)</f>
        <v>30.131666666666661</v>
      </c>
      <c r="V54" s="3790">
        <f>SUM('Произв. прогр. Стоки'!V133)</f>
        <v>90.394999999999982</v>
      </c>
      <c r="W54" s="3839">
        <f t="shared" si="26"/>
        <v>361.57999999999993</v>
      </c>
    </row>
    <row r="55" spans="1:23" ht="18.75" customHeight="1">
      <c r="A55" s="3793" t="s">
        <v>286</v>
      </c>
      <c r="B55" s="3794">
        <f t="shared" si="34"/>
        <v>361.57999999999993</v>
      </c>
      <c r="C55" s="3794">
        <f>SUM('Произв. прогр. Стоки'!C134)</f>
        <v>361.57999999999993</v>
      </c>
      <c r="D55" s="3794">
        <f>SUM('Произв. прогр. Стоки'!D134)</f>
        <v>0</v>
      </c>
      <c r="E55" s="3821">
        <f>SUM('Произв. прогр. Стоки'!E134)</f>
        <v>30.131666666666661</v>
      </c>
      <c r="F55" s="3821">
        <f>SUM('Произв. прогр. Стоки'!F134)</f>
        <v>30.131666666666661</v>
      </c>
      <c r="G55" s="3821">
        <f>SUM('Произв. прогр. Стоки'!G134)</f>
        <v>30.131666666666661</v>
      </c>
      <c r="H55" s="3794">
        <f>SUM('Произв. прогр. Стоки'!H134)</f>
        <v>90.394999999999982</v>
      </c>
      <c r="I55" s="3821">
        <f>SUM('Произв. прогр. Стоки'!I134)</f>
        <v>30.131666666666661</v>
      </c>
      <c r="J55" s="3821">
        <f>SUM('Произв. прогр. Стоки'!J134)</f>
        <v>30.131666666666661</v>
      </c>
      <c r="K55" s="3821">
        <f>SUM('Произв. прогр. Стоки'!K134)</f>
        <v>30.131666666666661</v>
      </c>
      <c r="L55" s="3794">
        <f>SUM('Произв. прогр. Стоки'!L134)</f>
        <v>90.394999999999982</v>
      </c>
      <c r="M55" s="3794">
        <f>SUM('Произв. прогр. Стоки'!M134)</f>
        <v>180.78999999999996</v>
      </c>
      <c r="N55" s="3821">
        <f>SUM('Произв. прогр. Стоки'!N134)</f>
        <v>30.131666666666661</v>
      </c>
      <c r="O55" s="3821">
        <f>SUM('Произв. прогр. Стоки'!O134)</f>
        <v>30.131666666666661</v>
      </c>
      <c r="P55" s="3821">
        <f>SUM('Произв. прогр. Стоки'!P134)</f>
        <v>30.131666666666661</v>
      </c>
      <c r="Q55" s="3794">
        <f>SUM('Произв. прогр. Стоки'!Q134)</f>
        <v>90.394999999999982</v>
      </c>
      <c r="R55" s="3794">
        <f>SUM('Произв. прогр. Стоки'!R134)</f>
        <v>271.18499999999995</v>
      </c>
      <c r="S55" s="3821">
        <f>SUM('Произв. прогр. Стоки'!S134)</f>
        <v>30.131666666666661</v>
      </c>
      <c r="T55" s="3821">
        <f>SUM('Произв. прогр. Стоки'!T134)</f>
        <v>30.131666666666661</v>
      </c>
      <c r="U55" s="3821">
        <f>SUM('Произв. прогр. Стоки'!U134)</f>
        <v>30.131666666666661</v>
      </c>
      <c r="V55" s="3794">
        <f>SUM('Произв. прогр. Стоки'!V134)</f>
        <v>90.394999999999982</v>
      </c>
      <c r="W55" s="3839">
        <f t="shared" si="26"/>
        <v>361.57999999999993</v>
      </c>
    </row>
    <row r="56" spans="1:23" ht="18.75" customHeight="1">
      <c r="A56" s="3789" t="s">
        <v>1751</v>
      </c>
      <c r="B56" s="3790">
        <f>SUM(C56:D56)</f>
        <v>265.39999999999998</v>
      </c>
      <c r="C56" s="3790">
        <f>SUM('Произв. прогр. Стоки'!C135)</f>
        <v>265.39999999999998</v>
      </c>
      <c r="D56" s="3790">
        <f>SUM('Произв. прогр. Стоки'!D135)</f>
        <v>0</v>
      </c>
      <c r="E56" s="3819">
        <f>SUM('Произв. прогр. Стоки'!E135)</f>
        <v>22.116666666666664</v>
      </c>
      <c r="F56" s="3819">
        <f>SUM('Произв. прогр. Стоки'!F135)</f>
        <v>22.116666666666664</v>
      </c>
      <c r="G56" s="3819">
        <f>SUM('Произв. прогр. Стоки'!G135)</f>
        <v>22.116666666666664</v>
      </c>
      <c r="H56" s="3790">
        <f>SUM('Произв. прогр. Стоки'!H135)</f>
        <v>66.349999999999994</v>
      </c>
      <c r="I56" s="3819">
        <f>SUM('Произв. прогр. Стоки'!I135)</f>
        <v>22.116666666666664</v>
      </c>
      <c r="J56" s="3819">
        <f>SUM('Произв. прогр. Стоки'!J135)</f>
        <v>22.116666666666664</v>
      </c>
      <c r="K56" s="3819">
        <f>SUM('Произв. прогр. Стоки'!K135)</f>
        <v>22.116666666666664</v>
      </c>
      <c r="L56" s="3790">
        <f>SUM('Произв. прогр. Стоки'!L135)</f>
        <v>66.349999999999994</v>
      </c>
      <c r="M56" s="3790">
        <f>SUM('Произв. прогр. Стоки'!M135)</f>
        <v>132.69999999999999</v>
      </c>
      <c r="N56" s="3819">
        <f>SUM('Произв. прогр. Стоки'!N135)</f>
        <v>22.116666666666664</v>
      </c>
      <c r="O56" s="3819">
        <f>SUM('Произв. прогр. Стоки'!O135)</f>
        <v>22.116666666666664</v>
      </c>
      <c r="P56" s="3819">
        <f>SUM('Произв. прогр. Стоки'!P135)</f>
        <v>22.116666666666664</v>
      </c>
      <c r="Q56" s="3790">
        <f>SUM('Произв. прогр. Стоки'!Q135)</f>
        <v>66.349999999999994</v>
      </c>
      <c r="R56" s="3790">
        <f>SUM('Произв. прогр. Стоки'!R135)</f>
        <v>199.04999999999998</v>
      </c>
      <c r="S56" s="3819">
        <f>SUM('Произв. прогр. Стоки'!S135)</f>
        <v>22.116666666666664</v>
      </c>
      <c r="T56" s="3819">
        <f>SUM('Произв. прогр. Стоки'!T135)</f>
        <v>22.116666666666664</v>
      </c>
      <c r="U56" s="3819">
        <f>SUM('Произв. прогр. Стоки'!U135)</f>
        <v>22.116666666666664</v>
      </c>
      <c r="V56" s="3790">
        <f>SUM('Произв. прогр. Стоки'!V135)</f>
        <v>66.349999999999994</v>
      </c>
      <c r="W56" s="3839">
        <f t="shared" si="26"/>
        <v>265.40000000000003</v>
      </c>
    </row>
    <row r="57" spans="1:23" ht="18.75" customHeight="1">
      <c r="A57" s="3785" t="s">
        <v>12</v>
      </c>
      <c r="B57" s="3787">
        <f>SUM(B34+B35+B37+B38+B39+B40+B42+B46+B50+B54+B56)</f>
        <v>85973.202221013707</v>
      </c>
      <c r="C57" s="3787">
        <f t="shared" ref="C57:G57" si="44">SUM(C34+C35+C37+C38+C39+C40+C42+C46+C50+C54+C56)</f>
        <v>85653.917552547777</v>
      </c>
      <c r="D57" s="3787">
        <f t="shared" si="44"/>
        <v>319.28466846594</v>
      </c>
      <c r="E57" s="3800">
        <f t="shared" si="44"/>
        <v>6877.1763786613483</v>
      </c>
      <c r="F57" s="3800">
        <f t="shared" si="44"/>
        <v>6869.7482613637694</v>
      </c>
      <c r="G57" s="3800">
        <f t="shared" si="44"/>
        <v>7316.5539671615024</v>
      </c>
      <c r="H57" s="3797">
        <f t="shared" ref="H57" si="45">SUM(E57+F57+G57)</f>
        <v>21063.478607186618</v>
      </c>
      <c r="I57" s="3800">
        <f t="shared" ref="I57:K57" si="46">SUM(I34+I35+I37+I38+I39+I40+I42+I46+I50+I54+I56)</f>
        <v>6845.7196710029457</v>
      </c>
      <c r="J57" s="3800">
        <f t="shared" si="46"/>
        <v>6809.2667310467077</v>
      </c>
      <c r="K57" s="3800">
        <f t="shared" si="46"/>
        <v>7230.6356874556514</v>
      </c>
      <c r="L57" s="3797">
        <f t="shared" ref="L57" si="47">SUM(I57+J57+K57)</f>
        <v>20885.622089505305</v>
      </c>
      <c r="M57" s="3797">
        <f t="shared" si="38"/>
        <v>41949.100696691923</v>
      </c>
      <c r="N57" s="3800">
        <f t="shared" ref="N57:P57" si="48">SUM(N34+N35+N37+N38+N39+N40+N42+N46+N50+N54+N56)</f>
        <v>7121.9166884714614</v>
      </c>
      <c r="O57" s="3800">
        <f t="shared" si="48"/>
        <v>7142.1045009726586</v>
      </c>
      <c r="P57" s="3800">
        <f t="shared" si="48"/>
        <v>7631.2834159331287</v>
      </c>
      <c r="Q57" s="3797">
        <f t="shared" ref="Q57" si="49">SUM(N57+O57+P57)</f>
        <v>21895.304605377249</v>
      </c>
      <c r="R57" s="3797">
        <f t="shared" si="41"/>
        <v>63844.405302069172</v>
      </c>
      <c r="S57" s="3800">
        <f t="shared" ref="S57:U57" si="50">SUM(S34+S35+S37+S38+S39+S40+S42+S46+S50+S54+S56)</f>
        <v>7215.9231101838031</v>
      </c>
      <c r="T57" s="3800">
        <f t="shared" si="50"/>
        <v>7225.9360991479898</v>
      </c>
      <c r="U57" s="3800">
        <f t="shared" si="50"/>
        <v>7686.937706733399</v>
      </c>
      <c r="V57" s="3797">
        <f t="shared" si="32"/>
        <v>22128.796916065192</v>
      </c>
      <c r="W57" s="3843">
        <f t="shared" si="26"/>
        <v>85973.202218134378</v>
      </c>
    </row>
    <row r="58" spans="1:23" ht="18.75" customHeight="1">
      <c r="A58" s="3912" t="s">
        <v>1791</v>
      </c>
      <c r="B58" s="3787">
        <f>SUM(C58:D58)</f>
        <v>-5234.7</v>
      </c>
      <c r="C58" s="3931">
        <f>SUM('Произв. прогр. Стоки'!C137)</f>
        <v>-5234.7</v>
      </c>
      <c r="D58" s="3931">
        <f>SUM('Произв. прогр. Стоки'!D137)</f>
        <v>0</v>
      </c>
      <c r="E58" s="3932">
        <f>SUM('Произв. прогр. Стоки'!E137)</f>
        <v>-436.22499999999997</v>
      </c>
      <c r="F58" s="3932">
        <f>SUM('Произв. прогр. Стоки'!F137)</f>
        <v>-436.22499999999997</v>
      </c>
      <c r="G58" s="3932">
        <f>SUM('Произв. прогр. Стоки'!G137)</f>
        <v>-436.22499999999997</v>
      </c>
      <c r="H58" s="3931">
        <f>SUM('Произв. прогр. Стоки'!H137)</f>
        <v>-1308.675</v>
      </c>
      <c r="I58" s="3932">
        <f>SUM('Произв. прогр. Стоки'!I137)</f>
        <v>-436.22499999999997</v>
      </c>
      <c r="J58" s="3932">
        <f>SUM('Произв. прогр. Стоки'!J137)</f>
        <v>-436.22499999999997</v>
      </c>
      <c r="K58" s="3932">
        <f>SUM('Произв. прогр. Стоки'!K137)</f>
        <v>-436.22499999999997</v>
      </c>
      <c r="L58" s="3931">
        <f>SUM('Произв. прогр. Стоки'!L137)</f>
        <v>-1308.675</v>
      </c>
      <c r="M58" s="3931">
        <f>SUM('Произв. прогр. Стоки'!M137)</f>
        <v>-2617.35</v>
      </c>
      <c r="N58" s="3932">
        <f>SUM('Произв. прогр. Стоки'!N137)</f>
        <v>-436.22499999999997</v>
      </c>
      <c r="O58" s="3932">
        <f>SUM('Произв. прогр. Стоки'!O137)</f>
        <v>-436.22499999999997</v>
      </c>
      <c r="P58" s="3932">
        <f>SUM('Произв. прогр. Стоки'!P137)</f>
        <v>-436.22499999999997</v>
      </c>
      <c r="Q58" s="3931">
        <f>SUM('Произв. прогр. Стоки'!Q137)</f>
        <v>-1308.675</v>
      </c>
      <c r="R58" s="3931">
        <f>SUM('Произв. прогр. Стоки'!R137)</f>
        <v>-3926.0249999999996</v>
      </c>
      <c r="S58" s="3932">
        <f>SUM('Произв. прогр. Стоки'!S137)</f>
        <v>-436.22499999999997</v>
      </c>
      <c r="T58" s="3932">
        <f>SUM('Произв. прогр. Стоки'!T137)</f>
        <v>-436.22499999999997</v>
      </c>
      <c r="U58" s="3932">
        <f>SUM('Произв. прогр. Стоки'!U137)</f>
        <v>-436.22499999999997</v>
      </c>
      <c r="V58" s="3931">
        <f>SUM('Произв. прогр. Стоки'!V137)</f>
        <v>-1308.675</v>
      </c>
      <c r="W58" s="3839">
        <f t="shared" si="26"/>
        <v>-5234.7000000000007</v>
      </c>
    </row>
    <row r="59" spans="1:23" ht="18.75" customHeight="1">
      <c r="A59" s="3785" t="s">
        <v>13</v>
      </c>
      <c r="B59" s="3787">
        <f t="shared" ref="B59:B61" si="51">SUM(C59:D59)</f>
        <v>3295.75</v>
      </c>
      <c r="C59" s="3787">
        <f>SUM('Произв. прогр. Стоки'!C138)</f>
        <v>3272.75</v>
      </c>
      <c r="D59" s="3787">
        <f>SUM('Произв. прогр. Стоки'!D138)</f>
        <v>23</v>
      </c>
      <c r="E59" s="3800">
        <f>SUM('Произв. прогр. Стоки'!E138)</f>
        <v>279.83532500000001</v>
      </c>
      <c r="F59" s="3800">
        <f>SUM('Произв. прогр. Стоки'!F138)</f>
        <v>280.62512500000003</v>
      </c>
      <c r="G59" s="3800">
        <f>SUM('Произв. прогр. Стоки'!G138)</f>
        <v>281.65160000000003</v>
      </c>
      <c r="H59" s="3787">
        <f>SUM('Произв. прогр. Стоки'!H138)</f>
        <v>842.11205000000007</v>
      </c>
      <c r="I59" s="3800">
        <f>SUM('Произв. прогр. Стоки'!I138)</f>
        <v>277.73444999999998</v>
      </c>
      <c r="J59" s="3800">
        <f>SUM('Произв. прогр. Стоки'!J138)</f>
        <v>272.48882499999996</v>
      </c>
      <c r="K59" s="3800">
        <f>SUM('Произв. прогр. Стоки'!K138)</f>
        <v>262.85564999999997</v>
      </c>
      <c r="L59" s="3787">
        <f>SUM('Произв. прогр. Стоки'!L138)</f>
        <v>813.07892499999991</v>
      </c>
      <c r="M59" s="3787">
        <f>SUM('Произв. прогр. Стоки'!M138)</f>
        <v>1655.190975</v>
      </c>
      <c r="N59" s="3800">
        <f>SUM('Произв. прогр. Стоки'!N138)</f>
        <v>255.37707499999999</v>
      </c>
      <c r="O59" s="3800">
        <f>SUM('Произв. прогр. Стоки'!O138)</f>
        <v>264.26979999999998</v>
      </c>
      <c r="P59" s="3800">
        <f>SUM('Произв. прогр. Стоки'!P138)</f>
        <v>275.95735000000002</v>
      </c>
      <c r="Q59" s="3787">
        <f>SUM('Произв. прогр. Стоки'!Q138)</f>
        <v>795.60422499999993</v>
      </c>
      <c r="R59" s="3787">
        <f>SUM('Произв. прогр. Стоки'!R138)</f>
        <v>2450.7952</v>
      </c>
      <c r="S59" s="3800">
        <f>SUM('Произв. прогр. Стоки'!S138)</f>
        <v>281.65160000000003</v>
      </c>
      <c r="T59" s="3800">
        <f>SUM('Произв. прогр. Стоки'!T138)</f>
        <v>281.65160000000003</v>
      </c>
      <c r="U59" s="3800">
        <f>SUM('Произв. прогр. Стоки'!U138)</f>
        <v>281.65160000000003</v>
      </c>
      <c r="V59" s="3787">
        <f>SUM('Произв. прогр. Стоки'!V138)</f>
        <v>844.95480000000009</v>
      </c>
      <c r="W59" s="3843">
        <f t="shared" si="26"/>
        <v>3295.7500000000005</v>
      </c>
    </row>
    <row r="60" spans="1:23" ht="18.75" customHeight="1">
      <c r="A60" s="3785" t="s">
        <v>14</v>
      </c>
      <c r="B60" s="3787">
        <f>SUM(B57/B59)</f>
        <v>26.086081232197134</v>
      </c>
      <c r="C60" s="3787">
        <f>SUM(C57/C59)</f>
        <v>26.171848614329775</v>
      </c>
      <c r="D60" s="3787">
        <f>SUM(D57/D59)</f>
        <v>13.881942107214783</v>
      </c>
      <c r="E60" s="3823">
        <f>SUM(E57/E59)</f>
        <v>24.575797850615707</v>
      </c>
      <c r="F60" s="3823">
        <f t="shared" ref="F60:W60" si="52">SUM(F57/F59)</f>
        <v>24.480161073830324</v>
      </c>
      <c r="G60" s="3823">
        <f t="shared" si="52"/>
        <v>25.977320800455249</v>
      </c>
      <c r="H60" s="3797">
        <f t="shared" si="52"/>
        <v>25.0126792594722</v>
      </c>
      <c r="I60" s="3823">
        <f t="shared" si="52"/>
        <v>24.648435478576555</v>
      </c>
      <c r="J60" s="3823">
        <f t="shared" si="52"/>
        <v>24.989159577632986</v>
      </c>
      <c r="K60" s="3823">
        <f t="shared" si="52"/>
        <v>27.508009386351986</v>
      </c>
      <c r="L60" s="3797">
        <f t="shared" si="52"/>
        <v>25.687078397100635</v>
      </c>
      <c r="M60" s="3797">
        <f t="shared" si="52"/>
        <v>25.343964128786965</v>
      </c>
      <c r="N60" s="3823">
        <f t="shared" si="52"/>
        <v>27.887846583219975</v>
      </c>
      <c r="O60" s="3823">
        <f t="shared" si="52"/>
        <v>27.025806584682243</v>
      </c>
      <c r="P60" s="3823">
        <f t="shared" si="52"/>
        <v>27.653850915487947</v>
      </c>
      <c r="Q60" s="3797">
        <f t="shared" si="52"/>
        <v>27.52034732517572</v>
      </c>
      <c r="R60" s="3797">
        <f t="shared" si="52"/>
        <v>26.050485696262655</v>
      </c>
      <c r="S60" s="3823">
        <f t="shared" si="52"/>
        <v>25.620032373981907</v>
      </c>
      <c r="T60" s="3823">
        <f t="shared" si="52"/>
        <v>25.655583348889156</v>
      </c>
      <c r="U60" s="3823">
        <f t="shared" si="52"/>
        <v>27.292363000009225</v>
      </c>
      <c r="V60" s="3797">
        <f t="shared" si="52"/>
        <v>26.189326240960096</v>
      </c>
      <c r="W60" s="3809">
        <f t="shared" si="52"/>
        <v>26.086081231323483</v>
      </c>
    </row>
    <row r="61" spans="1:23" ht="18.75" customHeight="1">
      <c r="A61" s="3834" t="s">
        <v>436</v>
      </c>
      <c r="B61" s="3787">
        <f t="shared" si="51"/>
        <v>4298.66</v>
      </c>
      <c r="C61" s="3787">
        <f>SUM('Произв. прогр. Стоки'!C140)</f>
        <v>4282.7</v>
      </c>
      <c r="D61" s="3787">
        <f>SUM('Произв. прогр. Стоки'!D140)</f>
        <v>15.96</v>
      </c>
      <c r="E61" s="3800">
        <f>SUM('Произв. прогр. Стоки'!E140)</f>
        <v>343.85881004989068</v>
      </c>
      <c r="F61" s="3800">
        <f>SUM('Произв. прогр. Стоки'!F140)</f>
        <v>343.48740419460654</v>
      </c>
      <c r="G61" s="3800">
        <f>SUM('Произв. прогр. Стоки'!G140)</f>
        <v>365.82768890735895</v>
      </c>
      <c r="H61" s="3787">
        <f>SUM('Произв. прогр. Стоки'!H140)</f>
        <v>1053.1739031518562</v>
      </c>
      <c r="I61" s="3800">
        <f>SUM('Произв. прогр. Стоки'!I140)</f>
        <v>342.28597470760275</v>
      </c>
      <c r="J61" s="3800">
        <f>SUM('Произв. прогр. Стоки'!J140)</f>
        <v>340.46332775687682</v>
      </c>
      <c r="K61" s="3800">
        <f>SUM('Произв. прогр. Стоки'!K140)</f>
        <v>361.53177503304607</v>
      </c>
      <c r="L61" s="3787">
        <f>SUM('Произв. прогр. Стоки'!L140)</f>
        <v>1044.2810774975255</v>
      </c>
      <c r="M61" s="3787">
        <f>SUM('Произв. прогр. Стоки'!M140)</f>
        <v>2097.4549806493815</v>
      </c>
      <c r="N61" s="3800">
        <f>SUM('Произв. прогр. Стоки'!N140)</f>
        <v>356.09582522426768</v>
      </c>
      <c r="O61" s="3800">
        <f>SUM('Произв. прогр. Стоки'!O140)</f>
        <v>357.10521582325123</v>
      </c>
      <c r="P61" s="3800">
        <f>SUM('Произв. прогр. Стоки'!P140)</f>
        <v>381.56416093940743</v>
      </c>
      <c r="Q61" s="3787">
        <f>SUM('Произв. прогр. Стоки'!Q140)</f>
        <v>1094.7652019869263</v>
      </c>
      <c r="R61" s="3787">
        <f>SUM('Произв. прогр. Стоки'!R140)</f>
        <v>3192.220182636308</v>
      </c>
      <c r="S61" s="3800">
        <f>SUM('Произв. прогр. Стоки'!S140)</f>
        <v>360.79614618845773</v>
      </c>
      <c r="T61" s="3800">
        <f>SUM('Произв. прогр. Стоки'!T140)</f>
        <v>361.29679562373337</v>
      </c>
      <c r="U61" s="3800">
        <f>SUM('Произв. прогр. Стоки'!U140)</f>
        <v>384.34687540753288</v>
      </c>
      <c r="V61" s="3787">
        <f>SUM('Произв. прогр. Стоки'!V140)</f>
        <v>1106.4398172197241</v>
      </c>
      <c r="W61" s="3843">
        <f t="shared" si="26"/>
        <v>4298.6599998560323</v>
      </c>
    </row>
    <row r="62" spans="1:23" ht="18.75" customHeight="1">
      <c r="A62" s="3834" t="s">
        <v>548</v>
      </c>
      <c r="B62" s="3787">
        <f>SUM(C62:D62)</f>
        <v>90271.862221013711</v>
      </c>
      <c r="C62" s="3787">
        <f>SUM(C57+C61)</f>
        <v>89936.617552547774</v>
      </c>
      <c r="D62" s="3787">
        <f>SUM(D57+D61)</f>
        <v>335.24466846593998</v>
      </c>
      <c r="E62" s="3800">
        <f>SUM(E57+E61)</f>
        <v>7221.0351887112392</v>
      </c>
      <c r="F62" s="3800">
        <f t="shared" ref="F62:G62" si="53">SUM(F57+F61)</f>
        <v>7213.2356655583762</v>
      </c>
      <c r="G62" s="3800">
        <f t="shared" si="53"/>
        <v>7682.381656068861</v>
      </c>
      <c r="H62" s="3797">
        <f t="shared" si="27"/>
        <v>22116.652510338477</v>
      </c>
      <c r="I62" s="3800">
        <f t="shared" ref="I62:K62" si="54">SUM(I57+I61)</f>
        <v>7188.0056457105484</v>
      </c>
      <c r="J62" s="3800">
        <f t="shared" si="54"/>
        <v>7149.7300588035841</v>
      </c>
      <c r="K62" s="3800">
        <f t="shared" si="54"/>
        <v>7592.1674624886973</v>
      </c>
      <c r="L62" s="3797">
        <f t="shared" ref="L62:L66" si="55">SUM(I62+J62+K62)</f>
        <v>21929.903167002831</v>
      </c>
      <c r="M62" s="3797">
        <f t="shared" ref="M62:M66" si="56">SUM(H62+L62)</f>
        <v>44046.555677341312</v>
      </c>
      <c r="N62" s="3800">
        <f t="shared" ref="N62:P62" si="57">SUM(N57+N61)</f>
        <v>7478.0125136957295</v>
      </c>
      <c r="O62" s="3800">
        <f t="shared" si="57"/>
        <v>7499.20971679591</v>
      </c>
      <c r="P62" s="3800">
        <f t="shared" si="57"/>
        <v>8012.8475768725366</v>
      </c>
      <c r="Q62" s="3797">
        <f t="shared" ref="Q62:Q66" si="58">SUM(N62+O62+P62)</f>
        <v>22990.069807364176</v>
      </c>
      <c r="R62" s="3797">
        <f t="shared" ref="R62:R66" si="59">SUM(M62+Q62)</f>
        <v>67036.625484705495</v>
      </c>
      <c r="S62" s="3800">
        <f t="shared" ref="S62:U62" si="60">SUM(S57+S61)</f>
        <v>7576.719256372261</v>
      </c>
      <c r="T62" s="3800">
        <f t="shared" si="60"/>
        <v>7587.2328947717233</v>
      </c>
      <c r="U62" s="3800">
        <f t="shared" si="60"/>
        <v>8071.2845821409319</v>
      </c>
      <c r="V62" s="3797">
        <f t="shared" si="32"/>
        <v>23235.236733284917</v>
      </c>
      <c r="W62" s="3843">
        <f t="shared" si="26"/>
        <v>90271.86221799039</v>
      </c>
    </row>
    <row r="63" spans="1:23" ht="18.75" hidden="1" customHeight="1">
      <c r="A63" s="3834" t="s">
        <v>70</v>
      </c>
      <c r="B63" s="3787">
        <f>SUM(B62/B59)</f>
        <v>27.390385260111874</v>
      </c>
      <c r="C63" s="3787">
        <f>SUM(C62/C59)</f>
        <v>27.480442304651369</v>
      </c>
      <c r="D63" s="3787">
        <f>SUM(D62/D59)</f>
        <v>14.575855150693043</v>
      </c>
      <c r="E63" s="3825"/>
      <c r="F63" s="3825"/>
      <c r="G63" s="3825"/>
      <c r="H63" s="3797">
        <f t="shared" si="27"/>
        <v>0</v>
      </c>
      <c r="I63" s="3825"/>
      <c r="J63" s="3825"/>
      <c r="K63" s="3825"/>
      <c r="L63" s="3797">
        <f t="shared" si="55"/>
        <v>0</v>
      </c>
      <c r="M63" s="3797">
        <f t="shared" si="56"/>
        <v>0</v>
      </c>
      <c r="N63" s="3825"/>
      <c r="O63" s="3825"/>
      <c r="P63" s="3825"/>
      <c r="Q63" s="3797">
        <f t="shared" si="58"/>
        <v>0</v>
      </c>
      <c r="R63" s="3797">
        <f t="shared" si="59"/>
        <v>0</v>
      </c>
      <c r="S63" s="3825"/>
      <c r="T63" s="3825"/>
      <c r="U63" s="3825"/>
      <c r="V63" s="3797">
        <f t="shared" si="32"/>
        <v>0</v>
      </c>
      <c r="W63" s="3843">
        <f t="shared" si="26"/>
        <v>0</v>
      </c>
    </row>
    <row r="64" spans="1:23" ht="18.75" customHeight="1">
      <c r="A64" s="3834" t="s">
        <v>70</v>
      </c>
      <c r="B64" s="3787">
        <f>SUM(B62/B59)</f>
        <v>27.390385260111874</v>
      </c>
      <c r="C64" s="3787">
        <f t="shared" ref="C64:W64" si="61">SUM(C62/C59)</f>
        <v>27.480442304651369</v>
      </c>
      <c r="D64" s="3787">
        <f t="shared" si="61"/>
        <v>14.575855150693043</v>
      </c>
      <c r="E64" s="3800">
        <f t="shared" si="61"/>
        <v>25.804587711402192</v>
      </c>
      <c r="F64" s="3800">
        <f t="shared" si="61"/>
        <v>25.704169095901072</v>
      </c>
      <c r="G64" s="3800">
        <f t="shared" si="61"/>
        <v>27.276186806923377</v>
      </c>
      <c r="H64" s="3787">
        <f t="shared" si="61"/>
        <v>26.263313190137197</v>
      </c>
      <c r="I64" s="3800">
        <f t="shared" si="61"/>
        <v>25.880857220667256</v>
      </c>
      <c r="J64" s="3800">
        <f t="shared" si="61"/>
        <v>26.2386175242364</v>
      </c>
      <c r="K64" s="3800">
        <f t="shared" si="61"/>
        <v>28.883409820137775</v>
      </c>
      <c r="L64" s="3787">
        <f t="shared" si="61"/>
        <v>26.971432283775936</v>
      </c>
      <c r="M64" s="3787">
        <f t="shared" si="61"/>
        <v>26.611162302489785</v>
      </c>
      <c r="N64" s="3800">
        <f t="shared" si="61"/>
        <v>29.282238876358537</v>
      </c>
      <c r="O64" s="3800">
        <f t="shared" si="61"/>
        <v>28.377096879007404</v>
      </c>
      <c r="P64" s="3800">
        <f t="shared" si="61"/>
        <v>29.036543425542156</v>
      </c>
      <c r="Q64" s="3787">
        <f t="shared" si="61"/>
        <v>28.89636465588676</v>
      </c>
      <c r="R64" s="3787">
        <f t="shared" si="61"/>
        <v>27.353009947426653</v>
      </c>
      <c r="S64" s="3800">
        <f t="shared" si="61"/>
        <v>26.901033959587874</v>
      </c>
      <c r="T64" s="3800">
        <f t="shared" si="61"/>
        <v>26.938362483194567</v>
      </c>
      <c r="U64" s="3800">
        <f t="shared" si="61"/>
        <v>28.656981114756427</v>
      </c>
      <c r="V64" s="3787">
        <f t="shared" si="61"/>
        <v>27.498792519179624</v>
      </c>
      <c r="W64" s="3809">
        <f t="shared" si="61"/>
        <v>27.390385259194531</v>
      </c>
    </row>
    <row r="65" spans="1:23" ht="18.75" customHeight="1">
      <c r="A65" s="3834" t="s">
        <v>327</v>
      </c>
      <c r="B65" s="3787">
        <f>SUM(C65:D65)</f>
        <v>0</v>
      </c>
      <c r="C65" s="3787">
        <f>SUM('Произв. прогр. Стоки'!C143)</f>
        <v>0</v>
      </c>
      <c r="D65" s="3787">
        <f>SUM('Произв. прогр. Стоки'!D143)</f>
        <v>0</v>
      </c>
      <c r="E65" s="3800">
        <f>SUM('Произв. прогр. Стоки'!E143)</f>
        <v>0</v>
      </c>
      <c r="F65" s="3800">
        <f>SUM('Произв. прогр. Стоки'!F143)</f>
        <v>0</v>
      </c>
      <c r="G65" s="3800">
        <f>SUM('Произв. прогр. Стоки'!G143)</f>
        <v>0</v>
      </c>
      <c r="H65" s="3787">
        <f>SUM('Произв. прогр. Стоки'!H143)</f>
        <v>0</v>
      </c>
      <c r="I65" s="3800">
        <f>SUM('Произв. прогр. Стоки'!I143)</f>
        <v>0</v>
      </c>
      <c r="J65" s="3800">
        <f>SUM('Произв. прогр. Стоки'!J143)</f>
        <v>0</v>
      </c>
      <c r="K65" s="3800">
        <f>SUM('Произв. прогр. Стоки'!K143)</f>
        <v>0</v>
      </c>
      <c r="L65" s="3787">
        <f>SUM('Произв. прогр. Стоки'!L143)</f>
        <v>0</v>
      </c>
      <c r="M65" s="3787">
        <f>SUM('Произв. прогр. Стоки'!M143)</f>
        <v>0</v>
      </c>
      <c r="N65" s="3800">
        <f>SUM('Произв. прогр. Стоки'!N143)</f>
        <v>0</v>
      </c>
      <c r="O65" s="3800">
        <f>SUM('Произв. прогр. Стоки'!O143)</f>
        <v>0</v>
      </c>
      <c r="P65" s="3800">
        <f>SUM('Произв. прогр. Стоки'!P143)</f>
        <v>0</v>
      </c>
      <c r="Q65" s="3787">
        <f>SUM('Произв. прогр. Стоки'!Q143)</f>
        <v>0</v>
      </c>
      <c r="R65" s="3787">
        <f>SUM('Произв. прогр. Стоки'!R143)</f>
        <v>0</v>
      </c>
      <c r="S65" s="3800">
        <f>SUM('Произв. прогр. Стоки'!S143)</f>
        <v>0</v>
      </c>
      <c r="T65" s="3800">
        <f>SUM('Произв. прогр. Стоки'!T143)</f>
        <v>0</v>
      </c>
      <c r="U65" s="3800">
        <f>SUM('Произв. прогр. Стоки'!U143)</f>
        <v>0</v>
      </c>
      <c r="V65" s="3787">
        <f>SUM('Произв. прогр. Стоки'!V143)</f>
        <v>0</v>
      </c>
      <c r="W65" s="3843">
        <f t="shared" si="26"/>
        <v>0</v>
      </c>
    </row>
    <row r="66" spans="1:23" ht="18.75" customHeight="1">
      <c r="A66" s="3913" t="s">
        <v>1720</v>
      </c>
      <c r="B66" s="3787">
        <f>SUM(B62+B65+B58)</f>
        <v>85037.162221013714</v>
      </c>
      <c r="C66" s="3787">
        <f t="shared" ref="C66:G66" si="62">SUM(C62+C65+C58)</f>
        <v>84701.917552547777</v>
      </c>
      <c r="D66" s="3787">
        <f t="shared" si="62"/>
        <v>335.24466846593998</v>
      </c>
      <c r="E66" s="3800">
        <f t="shared" si="62"/>
        <v>6784.8101887112389</v>
      </c>
      <c r="F66" s="3800">
        <f t="shared" si="62"/>
        <v>6777.0106655583759</v>
      </c>
      <c r="G66" s="3800">
        <f t="shared" si="62"/>
        <v>7246.1566560688607</v>
      </c>
      <c r="H66" s="3797">
        <f t="shared" si="27"/>
        <v>20807.977510338475</v>
      </c>
      <c r="I66" s="3800">
        <f t="shared" ref="I66" si="63">SUM(I62+I65+I58)</f>
        <v>6751.780645710548</v>
      </c>
      <c r="J66" s="3800">
        <f t="shared" ref="J66" si="64">SUM(J62+J65+J58)</f>
        <v>6713.5050588035838</v>
      </c>
      <c r="K66" s="3800">
        <f t="shared" ref="K66" si="65">SUM(K62+K65+K58)</f>
        <v>7155.9424624886969</v>
      </c>
      <c r="L66" s="3797">
        <f t="shared" si="55"/>
        <v>20621.228167002828</v>
      </c>
      <c r="M66" s="3797">
        <f t="shared" si="56"/>
        <v>41429.205677341306</v>
      </c>
      <c r="N66" s="3800">
        <f t="shared" ref="N66" si="66">SUM(N62+N65+N58)</f>
        <v>7041.7875136957291</v>
      </c>
      <c r="O66" s="3800">
        <f t="shared" ref="O66" si="67">SUM(O62+O65+O58)</f>
        <v>7062.9847167959097</v>
      </c>
      <c r="P66" s="3800">
        <f t="shared" ref="P66" si="68">SUM(P62+P65+P58)</f>
        <v>7576.6225768725362</v>
      </c>
      <c r="Q66" s="3797">
        <f t="shared" si="58"/>
        <v>21681.394807364173</v>
      </c>
      <c r="R66" s="3797">
        <f t="shared" si="59"/>
        <v>63110.600484705479</v>
      </c>
      <c r="S66" s="3800">
        <f t="shared" ref="S66" si="69">SUM(S62+S65+S58)</f>
        <v>7140.4942563722607</v>
      </c>
      <c r="T66" s="3800">
        <f t="shared" ref="T66" si="70">SUM(T62+T65+T58)</f>
        <v>7151.0078947717229</v>
      </c>
      <c r="U66" s="3800">
        <f t="shared" ref="U66" si="71">SUM(U62+U65+U58)</f>
        <v>7635.0595821409315</v>
      </c>
      <c r="V66" s="3797">
        <f t="shared" si="32"/>
        <v>21926.561733284914</v>
      </c>
      <c r="W66" s="3843">
        <f t="shared" si="26"/>
        <v>85037.162217990393</v>
      </c>
    </row>
    <row r="67" spans="1:23" ht="18.75" customHeight="1">
      <c r="A67" s="3834" t="s">
        <v>328</v>
      </c>
      <c r="B67" s="3787">
        <f>SUM(B66/B59)</f>
        <v>25.802066971406724</v>
      </c>
      <c r="C67" s="3787">
        <f>SUM(C66/C59)</f>
        <v>25.880961745488587</v>
      </c>
      <c r="D67" s="3787">
        <f>SUM(D66/D59)</f>
        <v>14.575855150693043</v>
      </c>
      <c r="E67" s="3823">
        <f>SUM(E66/E59)</f>
        <v>24.245724476390674</v>
      </c>
      <c r="F67" s="3823">
        <f t="shared" ref="F67:W67" si="72">SUM(F66/F59)</f>
        <v>24.149693173618633</v>
      </c>
      <c r="G67" s="3823">
        <f t="shared" si="72"/>
        <v>25.72737614864911</v>
      </c>
      <c r="H67" s="3797">
        <f t="shared" si="72"/>
        <v>24.709274152220566</v>
      </c>
      <c r="I67" s="3823">
        <f t="shared" si="72"/>
        <v>24.310202229901794</v>
      </c>
      <c r="J67" s="3823">
        <f t="shared" si="72"/>
        <v>24.637726184931015</v>
      </c>
      <c r="K67" s="3823">
        <f t="shared" si="72"/>
        <v>27.223848764478518</v>
      </c>
      <c r="L67" s="3797">
        <f t="shared" si="72"/>
        <v>25.361902188035227</v>
      </c>
      <c r="M67" s="3797">
        <f t="shared" si="72"/>
        <v>25.029864410263176</v>
      </c>
      <c r="N67" s="3823">
        <f t="shared" si="72"/>
        <v>27.574078502135439</v>
      </c>
      <c r="O67" s="3823">
        <f t="shared" si="72"/>
        <v>26.726416400193706</v>
      </c>
      <c r="P67" s="3823">
        <f t="shared" si="72"/>
        <v>27.45577378849498</v>
      </c>
      <c r="Q67" s="3797">
        <f t="shared" si="72"/>
        <v>27.251482742395158</v>
      </c>
      <c r="R67" s="3797">
        <f t="shared" si="72"/>
        <v>25.751070707460777</v>
      </c>
      <c r="S67" s="3823">
        <f t="shared" si="72"/>
        <v>25.352223301313607</v>
      </c>
      <c r="T67" s="3823">
        <f t="shared" si="72"/>
        <v>25.3895518249203</v>
      </c>
      <c r="U67" s="3823">
        <f t="shared" si="72"/>
        <v>27.10817045648216</v>
      </c>
      <c r="V67" s="3797">
        <f t="shared" si="72"/>
        <v>25.949981860905353</v>
      </c>
      <c r="W67" s="3809">
        <f t="shared" si="72"/>
        <v>25.802066970489381</v>
      </c>
    </row>
    <row r="68" spans="1:23" ht="18.75" customHeight="1">
      <c r="A68" s="4386" t="s">
        <v>1752</v>
      </c>
      <c r="B68" s="4387"/>
      <c r="C68" s="4387"/>
      <c r="D68" s="4387"/>
      <c r="E68" s="4387"/>
      <c r="F68" s="4387"/>
      <c r="G68" s="4387"/>
      <c r="H68" s="4387"/>
      <c r="I68" s="4387"/>
      <c r="J68" s="4387"/>
      <c r="K68" s="4387"/>
      <c r="L68" s="4387"/>
      <c r="M68" s="4387"/>
      <c r="N68" s="4387"/>
      <c r="O68" s="4387"/>
      <c r="P68" s="4387"/>
      <c r="Q68" s="4387"/>
      <c r="R68" s="4387"/>
      <c r="S68" s="4387"/>
      <c r="T68" s="4387"/>
      <c r="U68" s="4387"/>
      <c r="V68" s="4388"/>
      <c r="W68" s="3837"/>
    </row>
    <row r="69" spans="1:23" ht="19.5" customHeight="1">
      <c r="A69" s="4383" t="s">
        <v>546</v>
      </c>
      <c r="B69" s="4389" t="s">
        <v>1782</v>
      </c>
      <c r="C69" s="4389" t="s">
        <v>1561</v>
      </c>
      <c r="D69" s="4390"/>
      <c r="E69" s="4383" t="s">
        <v>587</v>
      </c>
      <c r="F69" s="4383" t="s">
        <v>588</v>
      </c>
      <c r="G69" s="4383" t="s">
        <v>589</v>
      </c>
      <c r="H69" s="4384" t="s">
        <v>601</v>
      </c>
      <c r="I69" s="4383" t="s">
        <v>590</v>
      </c>
      <c r="J69" s="4383" t="s">
        <v>591</v>
      </c>
      <c r="K69" s="4383" t="s">
        <v>592</v>
      </c>
      <c r="L69" s="4384" t="s">
        <v>600</v>
      </c>
      <c r="M69" s="4384" t="s">
        <v>599</v>
      </c>
      <c r="N69" s="4383" t="s">
        <v>593</v>
      </c>
      <c r="O69" s="4383" t="s">
        <v>594</v>
      </c>
      <c r="P69" s="4383" t="s">
        <v>595</v>
      </c>
      <c r="Q69" s="4384" t="s">
        <v>225</v>
      </c>
      <c r="R69" s="4384" t="s">
        <v>229</v>
      </c>
      <c r="S69" s="4383" t="s">
        <v>596</v>
      </c>
      <c r="T69" s="4383" t="s">
        <v>597</v>
      </c>
      <c r="U69" s="4383" t="s">
        <v>598</v>
      </c>
      <c r="V69" s="4384" t="s">
        <v>135</v>
      </c>
      <c r="W69" s="4385" t="s">
        <v>602</v>
      </c>
    </row>
    <row r="70" spans="1:23" ht="41.25" customHeight="1">
      <c r="A70" s="4383"/>
      <c r="B70" s="4389"/>
      <c r="C70" s="3927" t="s">
        <v>352</v>
      </c>
      <c r="D70" s="3927" t="s">
        <v>1770</v>
      </c>
      <c r="E70" s="4383"/>
      <c r="F70" s="4383"/>
      <c r="G70" s="4383"/>
      <c r="H70" s="4384"/>
      <c r="I70" s="4383"/>
      <c r="J70" s="4383"/>
      <c r="K70" s="4383"/>
      <c r="L70" s="4384"/>
      <c r="M70" s="4384"/>
      <c r="N70" s="4383"/>
      <c r="O70" s="4383"/>
      <c r="P70" s="4383"/>
      <c r="Q70" s="4384"/>
      <c r="R70" s="4384"/>
      <c r="S70" s="4383"/>
      <c r="T70" s="4383"/>
      <c r="U70" s="4383"/>
      <c r="V70" s="4384"/>
      <c r="W70" s="4385"/>
    </row>
    <row r="71" spans="1:23" ht="18.75" customHeight="1">
      <c r="A71" s="3822" t="s">
        <v>1753</v>
      </c>
      <c r="B71" s="3787">
        <f>SUM('Произв. прогр. Стоки'!B149)</f>
        <v>90271.862221013726</v>
      </c>
      <c r="C71" s="3787">
        <f>SUM('Произв. прогр. Стоки'!C149)</f>
        <v>89936.617552547803</v>
      </c>
      <c r="D71" s="3787">
        <f>SUM('Произв. прогр. Стоки'!D149)</f>
        <v>335.24466846593998</v>
      </c>
      <c r="E71" s="3800">
        <f>SUM('Произв. прогр. Стоки'!E149)</f>
        <v>7221.0351887112411</v>
      </c>
      <c r="F71" s="3800">
        <f>SUM('Произв. прогр. Стоки'!F149)</f>
        <v>7213.2356655583781</v>
      </c>
      <c r="G71" s="3800">
        <f>SUM('Произв. прогр. Стоки'!G149)</f>
        <v>7682.3816560688629</v>
      </c>
      <c r="H71" s="3787">
        <f>SUM('Произв. прогр. Стоки'!H149)</f>
        <v>22116.652510338485</v>
      </c>
      <c r="I71" s="3800">
        <f>SUM('Произв. прогр. Стоки'!I149)</f>
        <v>7188.0056457105484</v>
      </c>
      <c r="J71" s="3800">
        <f>SUM('Произв. прогр. Стоки'!J149)</f>
        <v>7149.730058803586</v>
      </c>
      <c r="K71" s="3800">
        <f>SUM('Произв. прогр. Стоки'!K149)</f>
        <v>7592.1674624886973</v>
      </c>
      <c r="L71" s="3787">
        <f>SUM('Произв. прогр. Стоки'!L149)</f>
        <v>21929.903167002831</v>
      </c>
      <c r="M71" s="3787">
        <f>SUM('Произв. прогр. Стоки'!M149)</f>
        <v>44046.555677341312</v>
      </c>
      <c r="N71" s="3800">
        <f>SUM('Произв. прогр. Стоки'!N149)</f>
        <v>7478.0125136957276</v>
      </c>
      <c r="O71" s="3800">
        <f>SUM('Произв. прогр. Стоки'!O149)</f>
        <v>7499.20971679591</v>
      </c>
      <c r="P71" s="3800">
        <f>SUM('Произв. прогр. Стоки'!P149)</f>
        <v>8012.8475768725366</v>
      </c>
      <c r="Q71" s="3787">
        <f>SUM('Произв. прогр. Стоки'!Q149)</f>
        <v>22990.069807364176</v>
      </c>
      <c r="R71" s="3787">
        <f>SUM('Произв. прогр. Стоки'!R149)</f>
        <v>67036.625484705495</v>
      </c>
      <c r="S71" s="3800">
        <f>SUM('Произв. прогр. Стоки'!S149)</f>
        <v>7576.719256372261</v>
      </c>
      <c r="T71" s="3800">
        <f>SUM('Произв. прогр. Стоки'!T149)</f>
        <v>7587.2328947717233</v>
      </c>
      <c r="U71" s="3800">
        <f>SUM('Произв. прогр. Стоки'!U149)</f>
        <v>8071.2845821409319</v>
      </c>
      <c r="V71" s="3787">
        <f>SUM('Произв. прогр. Стоки'!V149)</f>
        <v>23235.236733284917</v>
      </c>
      <c r="W71" s="3812">
        <f t="shared" ref="W71:W79" si="73">SUM(E71+F71+G71+I71+J71+K71+N71+O71+P71+S71+T71+U71)</f>
        <v>90271.86221799039</v>
      </c>
    </row>
    <row r="72" spans="1:23" ht="18.75" customHeight="1">
      <c r="A72" s="3786" t="s">
        <v>391</v>
      </c>
      <c r="B72" s="3790">
        <f>SUM('Произв. прогр. Стоки'!B150)</f>
        <v>41280.35763186391</v>
      </c>
      <c r="C72" s="3790">
        <f>SUM('Произв. прогр. Стоки'!C150)</f>
        <v>41116.152089317548</v>
      </c>
      <c r="D72" s="3790">
        <f>SUM('Произв. прогр. Стоки'!D150)</f>
        <v>164.20554254636119</v>
      </c>
      <c r="E72" s="3819">
        <f>SUM('Произв. прогр. Стоки'!E150)</f>
        <v>3505.0299003349369</v>
      </c>
      <c r="F72" s="3819">
        <f>SUM('Произв. прогр. Стоки'!F150)</f>
        <v>3514.9224062767244</v>
      </c>
      <c r="G72" s="3819">
        <f>SUM('Произв. прогр. Стоки'!G150)</f>
        <v>3527.7793447884951</v>
      </c>
      <c r="H72" s="3790">
        <f>SUM('Произв. прогр. Стоки'!H150)</f>
        <v>10547.731651400158</v>
      </c>
      <c r="I72" s="3819">
        <f>SUM('Произв. прогр. Стоки'!I150)</f>
        <v>3478.7157468524692</v>
      </c>
      <c r="J72" s="3819">
        <f>SUM('Произв. прогр. Стоки'!J150)</f>
        <v>3413.0125606269826</v>
      </c>
      <c r="K72" s="3819">
        <f>SUM('Произв. прогр. Стоки'!K150)</f>
        <v>3292.3538610501546</v>
      </c>
      <c r="L72" s="3790">
        <f>SUM('Произв. прогр. Стоки'!L150)</f>
        <v>10184.082168529607</v>
      </c>
      <c r="M72" s="3790">
        <f>SUM('Произв. прогр. Стоки'!M150)</f>
        <v>20731.813819929765</v>
      </c>
      <c r="N72" s="3819">
        <f>SUM('Произв. прогр. Стоки'!N150)</f>
        <v>3198.6822383309814</v>
      </c>
      <c r="O72" s="3819">
        <f>SUM('Произв. прогр. Стоки'!O150)</f>
        <v>3310.0665570207534</v>
      </c>
      <c r="P72" s="3819">
        <f>SUM('Произв. прогр. Стоки'!P150)</f>
        <v>3456.4569822169283</v>
      </c>
      <c r="Q72" s="3790">
        <f>SUM('Произв. прогр. Стоки'!Q150)</f>
        <v>9965.2057775686626</v>
      </c>
      <c r="R72" s="3790">
        <f>SUM('Произв. прогр. Стоки'!R150)</f>
        <v>30697.019597498427</v>
      </c>
      <c r="S72" s="3819">
        <f>SUM('Произв. прогр. Стоки'!S150)</f>
        <v>3527.7793447884951</v>
      </c>
      <c r="T72" s="3819">
        <f>SUM('Произв. прогр. Стоки'!T150)</f>
        <v>3527.7793447884951</v>
      </c>
      <c r="U72" s="3819">
        <f>SUM('Произв. прогр. Стоки'!U150)</f>
        <v>3527.7793447884951</v>
      </c>
      <c r="V72" s="3790">
        <f>SUM('Произв. прогр. Стоки'!V150)</f>
        <v>10583.338034365486</v>
      </c>
      <c r="W72" s="3814">
        <f t="shared" si="73"/>
        <v>41280.357631863917</v>
      </c>
    </row>
    <row r="73" spans="1:23" ht="18.75" customHeight="1">
      <c r="A73" s="3786" t="s">
        <v>1754</v>
      </c>
      <c r="B73" s="3790">
        <f>SUM('Произв. прогр. Стоки'!B151)</f>
        <v>48991.504589149816</v>
      </c>
      <c r="C73" s="3790">
        <f>SUM('Произв. прогр. Стоки'!C151)</f>
        <v>48820.465463230255</v>
      </c>
      <c r="D73" s="3790">
        <f>SUM('Произв. прогр. Стоки'!D151)</f>
        <v>171.03912591957879</v>
      </c>
      <c r="E73" s="3819">
        <f>SUM('Произв. прогр. Стоки'!E151)</f>
        <v>3716.0052883763042</v>
      </c>
      <c r="F73" s="3819">
        <f>SUM('Произв. прогр. Стоки'!F151)</f>
        <v>3698.3132592816537</v>
      </c>
      <c r="G73" s="3819">
        <f>SUM('Произв. прогр. Стоки'!G151)</f>
        <v>4154.6023112803678</v>
      </c>
      <c r="H73" s="3790">
        <f>SUM('Произв. прогр. Стоки'!H151)</f>
        <v>11568.920858938327</v>
      </c>
      <c r="I73" s="3819">
        <f>SUM('Произв. прогр. Стоки'!I151)</f>
        <v>3709.2898988580791</v>
      </c>
      <c r="J73" s="3819">
        <f>SUM('Произв. прогр. Стоки'!J151)</f>
        <v>3736.7174981766034</v>
      </c>
      <c r="K73" s="3819">
        <f>SUM('Произв. прогр. Стоки'!K151)</f>
        <v>4299.8136014385427</v>
      </c>
      <c r="L73" s="3790">
        <f>SUM('Произв. прогр. Стоки'!L151)</f>
        <v>11745.820998473224</v>
      </c>
      <c r="M73" s="3790">
        <f>SUM('Произв. прогр. Стоки'!M151)</f>
        <v>23314.741857411551</v>
      </c>
      <c r="N73" s="3819">
        <f>SUM('Произв. прогр. Стоки'!N151)</f>
        <v>4279.3302753647458</v>
      </c>
      <c r="O73" s="3819">
        <f>SUM('Произв. прогр. Стоки'!O151)</f>
        <v>4189.1431597751562</v>
      </c>
      <c r="P73" s="3819">
        <f>SUM('Произв. прогр. Стоки'!P151)</f>
        <v>4556.3905946556079</v>
      </c>
      <c r="Q73" s="3790">
        <f>SUM('Произв. прогр. Стоки'!Q151)</f>
        <v>13024.86402979551</v>
      </c>
      <c r="R73" s="3790">
        <f>SUM('Произв. прогр. Стоки'!R151)</f>
        <v>36339.605887207057</v>
      </c>
      <c r="S73" s="3819">
        <f>SUM('Произв. прогр. Стоки'!S151)</f>
        <v>4048.9399115837659</v>
      </c>
      <c r="T73" s="3819">
        <f>SUM('Произв. прогр. Стоки'!T151)</f>
        <v>4059.4535499832282</v>
      </c>
      <c r="U73" s="3819">
        <f>SUM('Произв. прогр. Стоки'!U151)</f>
        <v>4543.5052373524368</v>
      </c>
      <c r="V73" s="3790">
        <f>SUM('Произв. прогр. Стоки'!V151)</f>
        <v>12651.898698919431</v>
      </c>
      <c r="W73" s="3814">
        <f t="shared" si="73"/>
        <v>48991.504586126488</v>
      </c>
    </row>
    <row r="74" spans="1:23" ht="18.75" customHeight="1">
      <c r="A74" s="3822" t="s">
        <v>1755</v>
      </c>
      <c r="B74" s="3787">
        <f>SUM('Произв. прогр. Стоки'!B152)</f>
        <v>3295.75</v>
      </c>
      <c r="C74" s="3787">
        <f>SUM('Произв. прогр. Стоки'!C152)</f>
        <v>3272.75</v>
      </c>
      <c r="D74" s="3787">
        <f>SUM('Произв. прогр. Стоки'!D152)</f>
        <v>23</v>
      </c>
      <c r="E74" s="3800">
        <f>SUM('Произв. прогр. Стоки'!E152)</f>
        <v>279.83532500000001</v>
      </c>
      <c r="F74" s="3800">
        <f>SUM('Произв. прогр. Стоки'!F152)</f>
        <v>280.62512500000003</v>
      </c>
      <c r="G74" s="3800">
        <f>SUM('Произв. прогр. Стоки'!G152)</f>
        <v>281.65160000000003</v>
      </c>
      <c r="H74" s="3787">
        <f>SUM('Произв. прогр. Стоки'!H152)</f>
        <v>842.11205000000007</v>
      </c>
      <c r="I74" s="3800">
        <f>SUM('Произв. прогр. Стоки'!I152)</f>
        <v>277.73444999999998</v>
      </c>
      <c r="J74" s="3800">
        <f>SUM('Произв. прогр. Стоки'!J152)</f>
        <v>272.48882499999996</v>
      </c>
      <c r="K74" s="3800">
        <f>SUM('Произв. прогр. Стоки'!K152)</f>
        <v>262.85564999999997</v>
      </c>
      <c r="L74" s="3787">
        <f>SUM('Произв. прогр. Стоки'!L152)</f>
        <v>813.07892499999991</v>
      </c>
      <c r="M74" s="3787">
        <f>SUM('Произв. прогр. Стоки'!M152)</f>
        <v>1655.190975</v>
      </c>
      <c r="N74" s="3800">
        <f>SUM('Произв. прогр. Стоки'!N152)</f>
        <v>255.37707499999999</v>
      </c>
      <c r="O74" s="3800">
        <f>SUM('Произв. прогр. Стоки'!O152)</f>
        <v>264.26979999999998</v>
      </c>
      <c r="P74" s="3800">
        <f>SUM('Произв. прогр. Стоки'!P152)</f>
        <v>275.95735000000002</v>
      </c>
      <c r="Q74" s="3787">
        <f>SUM('Произв. прогр. Стоки'!Q152)</f>
        <v>795.60422499999993</v>
      </c>
      <c r="R74" s="3787">
        <f>SUM('Произв. прогр. Стоки'!R152)</f>
        <v>2450.7952</v>
      </c>
      <c r="S74" s="3800">
        <f>SUM('Произв. прогр. Стоки'!S152)</f>
        <v>281.65160000000003</v>
      </c>
      <c r="T74" s="3800">
        <f>SUM('Произв. прогр. Стоки'!T152)</f>
        <v>281.65160000000003</v>
      </c>
      <c r="U74" s="3800">
        <f>SUM('Произв. прогр. Стоки'!U152)</f>
        <v>281.65160000000003</v>
      </c>
      <c r="V74" s="3787">
        <f>SUM('Произв. прогр. Стоки'!V152)</f>
        <v>844.95480000000009</v>
      </c>
      <c r="W74" s="3812">
        <f t="shared" si="73"/>
        <v>3295.7500000000005</v>
      </c>
    </row>
    <row r="75" spans="1:23" ht="18.75" customHeight="1">
      <c r="A75" s="3786" t="s">
        <v>391</v>
      </c>
      <c r="B75" s="3790">
        <f>SUM('Произв. прогр. Стоки'!B153)</f>
        <v>1647.875</v>
      </c>
      <c r="C75" s="3790">
        <f>SUM('Произв. прогр. Стоки'!C153)</f>
        <v>1636.375</v>
      </c>
      <c r="D75" s="3790">
        <f>SUM('Произв. прогр. Стоки'!D153)</f>
        <v>11.5</v>
      </c>
      <c r="E75" s="3819">
        <f>SUM('Произв. прогр. Стоки'!E153)</f>
        <v>139.91766250000001</v>
      </c>
      <c r="F75" s="3819">
        <f>SUM('Произв. прогр. Стоки'!F153)</f>
        <v>140.31256250000001</v>
      </c>
      <c r="G75" s="3819">
        <f>SUM('Произв. прогр. Стоки'!G153)</f>
        <v>140.82580000000002</v>
      </c>
      <c r="H75" s="3790">
        <f>SUM('Произв. прогр. Стоки'!H153)</f>
        <v>421.05602500000003</v>
      </c>
      <c r="I75" s="3819">
        <f>SUM('Произв. прогр. Стоки'!I153)</f>
        <v>138.86722499999999</v>
      </c>
      <c r="J75" s="3819">
        <f>SUM('Произв. прогр. Стоки'!J153)</f>
        <v>136.24441249999998</v>
      </c>
      <c r="K75" s="3819">
        <f>SUM('Произв. прогр. Стоки'!K153)</f>
        <v>131.42782499999998</v>
      </c>
      <c r="L75" s="3790">
        <f>SUM('Произв. прогр. Стоки'!L153)</f>
        <v>406.53946249999996</v>
      </c>
      <c r="M75" s="3790">
        <f>SUM('Произв. прогр. Стоки'!M153)</f>
        <v>827.59548749999999</v>
      </c>
      <c r="N75" s="3819">
        <f>SUM('Произв. прогр. Стоки'!N153)</f>
        <v>127.6885375</v>
      </c>
      <c r="O75" s="3819">
        <f>SUM('Произв. прогр. Стоки'!O153)</f>
        <v>132.13489999999999</v>
      </c>
      <c r="P75" s="3819">
        <f>SUM('Произв. прогр. Стоки'!P153)</f>
        <v>137.97867500000001</v>
      </c>
      <c r="Q75" s="3790">
        <f>SUM('Произв. прогр. Стоки'!Q153)</f>
        <v>397.80211249999996</v>
      </c>
      <c r="R75" s="3790">
        <f>SUM('Произв. прогр. Стоки'!R153)</f>
        <v>1225.3976</v>
      </c>
      <c r="S75" s="3819">
        <f>SUM('Произв. прогр. Стоки'!S153)</f>
        <v>140.82580000000002</v>
      </c>
      <c r="T75" s="3819">
        <f>SUM('Произв. прогр. Стоки'!T153)</f>
        <v>140.82580000000002</v>
      </c>
      <c r="U75" s="3819">
        <f>SUM('Произв. прогр. Стоки'!U153)</f>
        <v>140.82580000000002</v>
      </c>
      <c r="V75" s="3790">
        <f>SUM('Произв. прогр. Стоки'!V153)</f>
        <v>422.47740000000005</v>
      </c>
      <c r="W75" s="3814">
        <f t="shared" si="73"/>
        <v>1647.8750000000002</v>
      </c>
    </row>
    <row r="76" spans="1:23" ht="18.75" customHeight="1">
      <c r="A76" s="3786" t="s">
        <v>1754</v>
      </c>
      <c r="B76" s="3790">
        <f>SUM('Произв. прогр. Стоки'!B154)</f>
        <v>1647.875</v>
      </c>
      <c r="C76" s="3790">
        <f>SUM('Произв. прогр. Стоки'!C154)</f>
        <v>1636.375</v>
      </c>
      <c r="D76" s="3790">
        <f>SUM('Произв. прогр. Стоки'!D154)</f>
        <v>11.5</v>
      </c>
      <c r="E76" s="3819">
        <f>SUM('Произв. прогр. Стоки'!E154)</f>
        <v>139.91766250000001</v>
      </c>
      <c r="F76" s="3819">
        <f>SUM('Произв. прогр. Стоки'!F154)</f>
        <v>140.31256250000001</v>
      </c>
      <c r="G76" s="3819">
        <f>SUM('Произв. прогр. Стоки'!G154)</f>
        <v>140.82580000000002</v>
      </c>
      <c r="H76" s="3790">
        <f>SUM('Произв. прогр. Стоки'!H154)</f>
        <v>421.05602500000003</v>
      </c>
      <c r="I76" s="3819">
        <f>SUM('Произв. прогр. Стоки'!I154)</f>
        <v>138.86722499999999</v>
      </c>
      <c r="J76" s="3819">
        <f>SUM('Произв. прогр. Стоки'!J154)</f>
        <v>136.24441249999998</v>
      </c>
      <c r="K76" s="3819">
        <f>SUM('Произв. прогр. Стоки'!K154)</f>
        <v>131.42782499999998</v>
      </c>
      <c r="L76" s="3790">
        <f>SUM('Произв. прогр. Стоки'!L154)</f>
        <v>406.53946249999996</v>
      </c>
      <c r="M76" s="3790">
        <f>SUM('Произв. прогр. Стоки'!M154)</f>
        <v>827.59548749999999</v>
      </c>
      <c r="N76" s="3819">
        <f>SUM('Произв. прогр. Стоки'!N154)</f>
        <v>127.6885375</v>
      </c>
      <c r="O76" s="3819">
        <f>SUM('Произв. прогр. Стоки'!O154)</f>
        <v>132.13489999999999</v>
      </c>
      <c r="P76" s="3819">
        <f>SUM('Произв. прогр. Стоки'!P154)</f>
        <v>137.97867500000001</v>
      </c>
      <c r="Q76" s="3790">
        <f>SUM('Произв. прогр. Стоки'!Q154)</f>
        <v>397.80211249999996</v>
      </c>
      <c r="R76" s="3790">
        <f>SUM('Произв. прогр. Стоки'!R154)</f>
        <v>1225.3976</v>
      </c>
      <c r="S76" s="3819">
        <f>SUM('Произв. прогр. Стоки'!S154)</f>
        <v>140.82580000000002</v>
      </c>
      <c r="T76" s="3819">
        <f>SUM('Произв. прогр. Стоки'!T154)</f>
        <v>140.82580000000002</v>
      </c>
      <c r="U76" s="3819">
        <f>SUM('Произв. прогр. Стоки'!U154)</f>
        <v>140.82580000000002</v>
      </c>
      <c r="V76" s="3790">
        <f>SUM('Произв. прогр. Стоки'!V154)</f>
        <v>422.47740000000005</v>
      </c>
      <c r="W76" s="3814">
        <f t="shared" si="73"/>
        <v>1647.8750000000002</v>
      </c>
    </row>
    <row r="77" spans="1:23" ht="18.75" customHeight="1">
      <c r="A77" s="3822" t="s">
        <v>1756</v>
      </c>
      <c r="B77" s="3787">
        <f>SUM('Произв. прогр. Стоки'!B155)</f>
        <v>2300</v>
      </c>
      <c r="C77" s="3787">
        <f>SUM('Произв. прогр. Стоки'!C155)</f>
        <v>2300</v>
      </c>
      <c r="D77" s="3787">
        <f>SUM('Произв. прогр. Стоки'!D155)</f>
        <v>0</v>
      </c>
      <c r="E77" s="3800">
        <f>SUM('Произв. прогр. Стоки'!E155)</f>
        <v>197.79999999999998</v>
      </c>
      <c r="F77" s="3800">
        <f>SUM('Произв. прогр. Стоки'!F155)</f>
        <v>195.5</v>
      </c>
      <c r="G77" s="3800">
        <f>SUM('Произв. прогр. Стоки'!G155)</f>
        <v>196.42</v>
      </c>
      <c r="H77" s="3787">
        <f>SUM('Произв. прогр. Стоки'!H155)</f>
        <v>589.71999999999991</v>
      </c>
      <c r="I77" s="3800">
        <f>SUM('Произв. прогр. Стоки'!I155)</f>
        <v>193.89</v>
      </c>
      <c r="J77" s="3800">
        <f>SUM('Произв. прогр. Стоки'!J155)</f>
        <v>188.59999999999997</v>
      </c>
      <c r="K77" s="3800">
        <f>SUM('Произв. прогр. Стоки'!K155)</f>
        <v>181.47</v>
      </c>
      <c r="L77" s="3787">
        <f>SUM('Произв. прогр. Стоки'!L155)</f>
        <v>563.95999999999992</v>
      </c>
      <c r="M77" s="3787">
        <f>SUM('Произв. прогр. Стоки'!M155)</f>
        <v>1153.6799999999998</v>
      </c>
      <c r="N77" s="3800">
        <f>SUM('Произв. прогр. Стоки'!N155)</f>
        <v>179.17</v>
      </c>
      <c r="O77" s="3800">
        <f>SUM('Произв. прогр. Стоки'!O155)</f>
        <v>186.52999999999997</v>
      </c>
      <c r="P77" s="3800">
        <f>SUM('Произв. прогр. Стоки'!P155)</f>
        <v>191.35999999999999</v>
      </c>
      <c r="Q77" s="3787">
        <f>SUM('Произв. прогр. Стоки'!Q155)</f>
        <v>557.05999999999995</v>
      </c>
      <c r="R77" s="3787">
        <f>SUM('Произв. прогр. Стоки'!R155)</f>
        <v>1710.7399999999998</v>
      </c>
      <c r="S77" s="3800">
        <f>SUM('Произв. прогр. Стоки'!S155)</f>
        <v>196.42</v>
      </c>
      <c r="T77" s="3800">
        <f>SUM('Произв. прогр. Стоки'!T155)</f>
        <v>196.42</v>
      </c>
      <c r="U77" s="3800">
        <f>SUM('Произв. прогр. Стоки'!U155)</f>
        <v>196.42</v>
      </c>
      <c r="V77" s="3787">
        <f>SUM('Произв. прогр. Стоки'!V155)</f>
        <v>589.26</v>
      </c>
      <c r="W77" s="3812">
        <f t="shared" si="73"/>
        <v>2300</v>
      </c>
    </row>
    <row r="78" spans="1:23" ht="18.75" customHeight="1">
      <c r="A78" s="3786" t="s">
        <v>391</v>
      </c>
      <c r="B78" s="3790">
        <f>SUM('Произв. прогр. Стоки'!B156)</f>
        <v>1150</v>
      </c>
      <c r="C78" s="3790">
        <f>SUM('Произв. прогр. Стоки'!C156)</f>
        <v>1150</v>
      </c>
      <c r="D78" s="3790">
        <f>SUM('Произв. прогр. Стоки'!D156)</f>
        <v>0</v>
      </c>
      <c r="E78" s="3819">
        <f>SUM('Произв. прогр. Стоки'!E156)</f>
        <v>98.899999999999991</v>
      </c>
      <c r="F78" s="3819">
        <f>SUM('Произв. прогр. Стоки'!F156)</f>
        <v>97.75</v>
      </c>
      <c r="G78" s="3819">
        <f>SUM('Произв. прогр. Стоки'!G156)</f>
        <v>98.21</v>
      </c>
      <c r="H78" s="3790">
        <f>SUM('Произв. прогр. Стоки'!H156)</f>
        <v>294.85999999999996</v>
      </c>
      <c r="I78" s="3819">
        <f>SUM('Произв. прогр. Стоки'!I156)</f>
        <v>96.944999999999993</v>
      </c>
      <c r="J78" s="3819">
        <f>SUM('Произв. прогр. Стоки'!J156)</f>
        <v>94.299999999999983</v>
      </c>
      <c r="K78" s="3819">
        <f>SUM('Произв. прогр. Стоки'!K156)</f>
        <v>90.734999999999999</v>
      </c>
      <c r="L78" s="3790">
        <f>SUM('Произв. прогр. Стоки'!L156)</f>
        <v>281.97999999999996</v>
      </c>
      <c r="M78" s="3790">
        <f>SUM('Произв. прогр. Стоки'!M156)</f>
        <v>576.83999999999992</v>
      </c>
      <c r="N78" s="3819">
        <f>SUM('Произв. прогр. Стоки'!N156)</f>
        <v>89.584999999999994</v>
      </c>
      <c r="O78" s="3819">
        <f>SUM('Произв. прогр. Стоки'!O156)</f>
        <v>93.264999999999986</v>
      </c>
      <c r="P78" s="3819">
        <f>SUM('Произв. прогр. Стоки'!P156)</f>
        <v>95.679999999999993</v>
      </c>
      <c r="Q78" s="3790">
        <f>SUM('Произв. прогр. Стоки'!Q156)</f>
        <v>278.52999999999997</v>
      </c>
      <c r="R78" s="3790">
        <f>SUM('Произв. прогр. Стоки'!R156)</f>
        <v>855.36999999999989</v>
      </c>
      <c r="S78" s="3819">
        <f>SUM('Произв. прогр. Стоки'!S156)</f>
        <v>98.21</v>
      </c>
      <c r="T78" s="3819">
        <f>SUM('Произв. прогр. Стоки'!T156)</f>
        <v>98.21</v>
      </c>
      <c r="U78" s="3819">
        <f>SUM('Произв. прогр. Стоки'!U156)</f>
        <v>98.21</v>
      </c>
      <c r="V78" s="3790">
        <f>SUM('Произв. прогр. Стоки'!V156)</f>
        <v>294.63</v>
      </c>
      <c r="W78" s="3839">
        <f t="shared" si="73"/>
        <v>1150</v>
      </c>
    </row>
    <row r="79" spans="1:23" ht="18.75" customHeight="1">
      <c r="A79" s="3786" t="s">
        <v>1754</v>
      </c>
      <c r="B79" s="3790">
        <f>SUM('Произв. прогр. Стоки'!B157)</f>
        <v>1150</v>
      </c>
      <c r="C79" s="3790">
        <f>SUM('Произв. прогр. Стоки'!C157)</f>
        <v>1150</v>
      </c>
      <c r="D79" s="3790">
        <f>SUM('Произв. прогр. Стоки'!D157)</f>
        <v>0</v>
      </c>
      <c r="E79" s="3819">
        <f>SUM('Произв. прогр. Стоки'!E157)</f>
        <v>98.899999999999991</v>
      </c>
      <c r="F79" s="3819">
        <f>SUM('Произв. прогр. Стоки'!F157)</f>
        <v>97.75</v>
      </c>
      <c r="G79" s="3819">
        <f>SUM('Произв. прогр. Стоки'!G157)</f>
        <v>98.21</v>
      </c>
      <c r="H79" s="3790">
        <f>SUM('Произв. прогр. Стоки'!H157)</f>
        <v>294.85999999999996</v>
      </c>
      <c r="I79" s="3819">
        <f>SUM('Произв. прогр. Стоки'!I157)</f>
        <v>96.944999999999993</v>
      </c>
      <c r="J79" s="3819">
        <f>SUM('Произв. прогр. Стоки'!J157)</f>
        <v>94.299999999999983</v>
      </c>
      <c r="K79" s="3819">
        <f>SUM('Произв. прогр. Стоки'!K157)</f>
        <v>90.734999999999999</v>
      </c>
      <c r="L79" s="3790">
        <f>SUM('Произв. прогр. Стоки'!L157)</f>
        <v>281.97999999999996</v>
      </c>
      <c r="M79" s="3790">
        <f>SUM('Произв. прогр. Стоки'!M157)</f>
        <v>576.83999999999992</v>
      </c>
      <c r="N79" s="3819">
        <f>SUM('Произв. прогр. Стоки'!N157)</f>
        <v>89.584999999999994</v>
      </c>
      <c r="O79" s="3819">
        <f>SUM('Произв. прогр. Стоки'!O157)</f>
        <v>93.264999999999986</v>
      </c>
      <c r="P79" s="3819">
        <f>SUM('Произв. прогр. Стоки'!P157)</f>
        <v>95.679999999999993</v>
      </c>
      <c r="Q79" s="3790">
        <f>SUM('Произв. прогр. Стоки'!Q157)</f>
        <v>278.52999999999997</v>
      </c>
      <c r="R79" s="3790">
        <f>SUM('Произв. прогр. Стоки'!R157)</f>
        <v>855.36999999999989</v>
      </c>
      <c r="S79" s="3819">
        <f>SUM('Произв. прогр. Стоки'!S157)</f>
        <v>98.21</v>
      </c>
      <c r="T79" s="3819">
        <f>SUM('Произв. прогр. Стоки'!T157)</f>
        <v>98.21</v>
      </c>
      <c r="U79" s="3819">
        <f>SUM('Произв. прогр. Стоки'!U157)</f>
        <v>98.21</v>
      </c>
      <c r="V79" s="3790">
        <f>SUM('Произв. прогр. Стоки'!V157)</f>
        <v>294.63</v>
      </c>
      <c r="W79" s="3839">
        <f t="shared" si="73"/>
        <v>1150</v>
      </c>
    </row>
    <row r="80" spans="1:23" ht="18.75" customHeight="1">
      <c r="A80" s="3822" t="s">
        <v>1757</v>
      </c>
      <c r="B80" s="3787">
        <f>SUM('Произв. прогр. Стоки'!B158)</f>
        <v>27.390385260111881</v>
      </c>
      <c r="C80" s="3787">
        <f>SUM('Произв. прогр. Стоки'!C158)</f>
        <v>27.48044230465138</v>
      </c>
      <c r="D80" s="3787">
        <f>SUM('Произв. прогр. Стоки'!D158)</f>
        <v>14.575855150693043</v>
      </c>
      <c r="E80" s="3800">
        <f>SUM('Произв. прогр. Стоки'!E158)</f>
        <v>25.804587711402199</v>
      </c>
      <c r="F80" s="3800">
        <f>SUM('Произв. прогр. Стоки'!F158)</f>
        <v>25.704169095901079</v>
      </c>
      <c r="G80" s="3800">
        <f>SUM('Произв. прогр. Стоки'!G158)</f>
        <v>27.276186806923384</v>
      </c>
      <c r="H80" s="3787">
        <f>SUM('Произв. прогр. Стоки'!H158)</f>
        <v>26.263313190137207</v>
      </c>
      <c r="I80" s="3800">
        <f>SUM('Произв. прогр. Стоки'!I158)</f>
        <v>25.880857220667256</v>
      </c>
      <c r="J80" s="3800">
        <f>SUM('Произв. прогр. Стоки'!J158)</f>
        <v>26.238617524236403</v>
      </c>
      <c r="K80" s="3800">
        <f>SUM('Произв. прогр. Стоки'!K158)</f>
        <v>28.883409820137775</v>
      </c>
      <c r="L80" s="3787">
        <f>SUM('Произв. прогр. Стоки'!L158)</f>
        <v>26.971432283775936</v>
      </c>
      <c r="M80" s="3787">
        <f>SUM('Произв. прогр. Стоки'!M158)</f>
        <v>26.611162302489785</v>
      </c>
      <c r="N80" s="3800">
        <f>SUM('Произв. прогр. Стоки'!N158)</f>
        <v>29.28223887635853</v>
      </c>
      <c r="O80" s="3800">
        <f>SUM('Произв. прогр. Стоки'!O158)</f>
        <v>28.377096879007404</v>
      </c>
      <c r="P80" s="3800">
        <f>SUM('Произв. прогр. Стоки'!P158)</f>
        <v>29.036543425542156</v>
      </c>
      <c r="Q80" s="3787">
        <f>SUM('Произв. прогр. Стоки'!Q158)</f>
        <v>28.89636465588676</v>
      </c>
      <c r="R80" s="3787">
        <f>SUM('Произв. прогр. Стоки'!R158)</f>
        <v>27.353009947426653</v>
      </c>
      <c r="S80" s="3800">
        <f>SUM('Произв. прогр. Стоки'!S158)</f>
        <v>26.901033959587874</v>
      </c>
      <c r="T80" s="3800">
        <f>SUM('Произв. прогр. Стоки'!T158)</f>
        <v>26.938362483194567</v>
      </c>
      <c r="U80" s="3800">
        <f>SUM('Произв. прогр. Стоки'!U158)</f>
        <v>28.656981114756427</v>
      </c>
      <c r="V80" s="3787">
        <f>SUM('Произв. прогр. Стоки'!V158)</f>
        <v>27.498792519179624</v>
      </c>
      <c r="W80" s="3809">
        <f t="shared" ref="W80" si="74">SUM(W64)</f>
        <v>27.390385259194531</v>
      </c>
    </row>
    <row r="81" spans="1:23" ht="18.75" customHeight="1">
      <c r="A81" s="3786" t="s">
        <v>391</v>
      </c>
      <c r="B81" s="3790">
        <f>SUM('Произв. прогр. Стоки'!B159)</f>
        <v>25.050660779406151</v>
      </c>
      <c r="C81" s="3790">
        <f>SUM('Произв. прогр. Стоки'!C159)</f>
        <v>25.126362899285034</v>
      </c>
      <c r="D81" s="3790">
        <f>SUM('Произв. прогр. Стоки'!D159)</f>
        <v>14.278742830118365</v>
      </c>
      <c r="E81" s="3819">
        <f>SUM('Произв. прогр. Стоки'!E159)</f>
        <v>25.050660779406151</v>
      </c>
      <c r="F81" s="3819">
        <f>SUM('Произв. прогр. Стоки'!F159)</f>
        <v>25.050660779406151</v>
      </c>
      <c r="G81" s="3819">
        <f>SUM('Произв. прогр. Стоки'!G159)</f>
        <v>25.050660779406151</v>
      </c>
      <c r="H81" s="3790">
        <f>SUM('Произв. прогр. Стоки'!H159)</f>
        <v>25.050660779406151</v>
      </c>
      <c r="I81" s="3819">
        <f>SUM('Произв. прогр. Стоки'!I159)</f>
        <v>25.050660779406151</v>
      </c>
      <c r="J81" s="3819">
        <f>SUM('Произв. прогр. Стоки'!J159)</f>
        <v>25.050660779406151</v>
      </c>
      <c r="K81" s="3819">
        <f>SUM('Произв. прогр. Стоки'!K159)</f>
        <v>25.050660779406151</v>
      </c>
      <c r="L81" s="3790">
        <f>SUM('Произв. прогр. Стоки'!L159)</f>
        <v>25.050660779406151</v>
      </c>
      <c r="M81" s="3790">
        <f>SUM('Произв. прогр. Стоки'!M159)</f>
        <v>25.050660779406151</v>
      </c>
      <c r="N81" s="3819">
        <f>SUM('Произв. прогр. Стоки'!N159)</f>
        <v>25.050660779406151</v>
      </c>
      <c r="O81" s="3819">
        <f>SUM('Произв. прогр. Стоки'!O159)</f>
        <v>25.050660779406151</v>
      </c>
      <c r="P81" s="3819">
        <f>SUM('Произв. прогр. Стоки'!P159)</f>
        <v>25.050660779406151</v>
      </c>
      <c r="Q81" s="3790">
        <f>SUM('Произв. прогр. Стоки'!Q159)</f>
        <v>25.050660779406151</v>
      </c>
      <c r="R81" s="3790">
        <f>SUM('Произв. прогр. Стоки'!R159)</f>
        <v>25.050660779406151</v>
      </c>
      <c r="S81" s="3819">
        <f>SUM('Произв. прогр. Стоки'!S159)</f>
        <v>25.050660779406151</v>
      </c>
      <c r="T81" s="3819">
        <f>SUM('Произв. прогр. Стоки'!T159)</f>
        <v>25.050660779406151</v>
      </c>
      <c r="U81" s="3819">
        <f>SUM('Произв. прогр. Стоки'!U159)</f>
        <v>25.050660779406151</v>
      </c>
      <c r="V81" s="3790">
        <f>SUM('Произв. прогр. Стоки'!V159)</f>
        <v>25.050660779406151</v>
      </c>
      <c r="W81" s="3858">
        <f>SUM(E81)</f>
        <v>25.050660779406151</v>
      </c>
    </row>
    <row r="82" spans="1:23" ht="18.75" customHeight="1">
      <c r="A82" s="3786" t="s">
        <v>1754</v>
      </c>
      <c r="B82" s="3790">
        <f>SUM('Произв. прогр. Стоки'!B160)</f>
        <v>29.730109740817607</v>
      </c>
      <c r="C82" s="3790">
        <f>SUM('Произв. прогр. Стоки'!C160)</f>
        <v>29.834521710017725</v>
      </c>
      <c r="D82" s="3790">
        <f>SUM('Произв. прогр. Стоки'!D160)</f>
        <v>14.872967471267721</v>
      </c>
      <c r="E82" s="3819">
        <f>SUM('Произв. прогр. Стоки'!E160)</f>
        <v>26.558514643398247</v>
      </c>
      <c r="F82" s="3819">
        <f>SUM('Произв. прогр. Стоки'!F160)</f>
        <v>26.357677412396008</v>
      </c>
      <c r="G82" s="3819">
        <f>SUM('Произв. прогр. Стоки'!G160)</f>
        <v>29.501712834440617</v>
      </c>
      <c r="H82" s="3790">
        <f>SUM('Произв. прогр. Стоки'!H160)</f>
        <v>27.47596560086826</v>
      </c>
      <c r="I82" s="3819">
        <f>SUM('Произв. прогр. Стоки'!I160)</f>
        <v>26.711053661928361</v>
      </c>
      <c r="J82" s="3819">
        <f>SUM('Произв. прогр. Стоки'!J160)</f>
        <v>27.426574269066659</v>
      </c>
      <c r="K82" s="3819">
        <f>SUM('Произв. прогр. Стоки'!K160)</f>
        <v>32.716158860869406</v>
      </c>
      <c r="L82" s="3790">
        <f>SUM('Произв. прогр. Стоки'!L160)</f>
        <v>28.892203788145721</v>
      </c>
      <c r="M82" s="3790">
        <f>SUM('Произв. прогр. Стоки'!M160)</f>
        <v>28.171663825573422</v>
      </c>
      <c r="N82" s="3819">
        <f>SUM('Произв. прогр. Стоки'!N160)</f>
        <v>33.513816973310902</v>
      </c>
      <c r="O82" s="3819">
        <f>SUM('Произв. прогр. Стоки'!O160)</f>
        <v>31.703532978608653</v>
      </c>
      <c r="P82" s="3819">
        <f>SUM('Произв. прогр. Стоки'!P160)</f>
        <v>33.022426071678161</v>
      </c>
      <c r="Q82" s="3790">
        <f>SUM('Произв. прогр. Стоки'!Q160)</f>
        <v>32.742068532367362</v>
      </c>
      <c r="R82" s="3790">
        <f>SUM('Произв. прогр. Стоки'!R160)</f>
        <v>29.655359115447148</v>
      </c>
      <c r="S82" s="3819">
        <f>SUM('Произв. прогр. Стоки'!S160)</f>
        <v>28.751407139769597</v>
      </c>
      <c r="T82" s="3819">
        <f>SUM('Произв. прогр. Стоки'!T160)</f>
        <v>28.826064186982979</v>
      </c>
      <c r="U82" s="3819">
        <f>SUM('Произв. прогр. Стоки'!U160)</f>
        <v>32.263301450106702</v>
      </c>
      <c r="V82" s="3790">
        <f>SUM('Произв. прогр. Стоки'!V160)</f>
        <v>29.946924258953093</v>
      </c>
      <c r="W82" s="3859">
        <f t="shared" ref="W82" si="75">SUM(W73/W76)</f>
        <v>29.730109738982922</v>
      </c>
    </row>
    <row r="83" spans="1:23" ht="18.75" customHeight="1">
      <c r="A83" s="3826" t="s">
        <v>1758</v>
      </c>
      <c r="B83" s="3795">
        <f>SUM('Произв. прогр. Стоки'!B161)</f>
        <v>1.1867994222834384</v>
      </c>
      <c r="C83" s="3795">
        <f>SUM('Произв. прогр. Стоки'!C161)</f>
        <v>1.1873792410626474</v>
      </c>
      <c r="D83" s="3795">
        <f>SUM('Произв. прогр. Стоки'!D161)</f>
        <v>1.0416160335835694</v>
      </c>
      <c r="E83" s="3824">
        <f>SUM('Произв. прогр. Стоки'!E161)</f>
        <v>1.0601921792510833</v>
      </c>
      <c r="F83" s="3824">
        <f>SUM('Произв. прогр. Стоки'!F161)</f>
        <v>1.0521749364018509</v>
      </c>
      <c r="G83" s="3824">
        <f>SUM('Произв. прогр. Стоки'!G161)</f>
        <v>1.1776820218129185</v>
      </c>
      <c r="H83" s="3795">
        <f>SUM('Произв. прогр. Стоки'!H161)</f>
        <v>1.0968160018938871</v>
      </c>
      <c r="I83" s="3824">
        <f>SUM('Произв. прогр. Стоки'!I161)</f>
        <v>1.0662814006042987</v>
      </c>
      <c r="J83" s="3824">
        <f>SUM('Произв. прогр. Стоки'!J161)</f>
        <v>1.0948443440507454</v>
      </c>
      <c r="K83" s="3824">
        <f>SUM('Произв. прогр. Стоки'!K161)</f>
        <v>1.3059998356516396</v>
      </c>
      <c r="L83" s="3795">
        <f>SUM('Произв. прогр. Стоки'!L161)</f>
        <v>1.1533509651728491</v>
      </c>
      <c r="M83" s="3795">
        <f>SUM('Произв. прогр. Стоки'!M161)</f>
        <v>1.1245876535413792</v>
      </c>
      <c r="N83" s="3824">
        <f>SUM('Произв. прогр. Стоки'!N161)</f>
        <v>1.3378416349345248</v>
      </c>
      <c r="O83" s="3824">
        <f>SUM('Произв. прогр. Стоки'!O161)</f>
        <v>1.2655767150330721</v>
      </c>
      <c r="P83" s="3824">
        <f>SUM('Произв. прогр. Стоки'!P161)</f>
        <v>1.3182257491117961</v>
      </c>
      <c r="Q83" s="3795">
        <f>SUM('Произв. прогр. Стоки'!Q161)</f>
        <v>1.3070341265921506</v>
      </c>
      <c r="R83" s="3795">
        <f>SUM('Произв. прогр. Стоки'!R161)</f>
        <v>1.1838154440950501</v>
      </c>
      <c r="S83" s="3824">
        <f>SUM('Произв. прогр. Стоки'!S161)</f>
        <v>1.1477304887464599</v>
      </c>
      <c r="T83" s="3824">
        <f>SUM('Произв. прогр. Стоки'!T161)</f>
        <v>1.1507107313784131</v>
      </c>
      <c r="U83" s="3824">
        <f>SUM('Произв. прогр. Стоки'!U161)</f>
        <v>1.2879221723616161</v>
      </c>
      <c r="V83" s="3795">
        <f>SUM('Произв. прогр. Стоки'!V161)</f>
        <v>1.1954544641621629</v>
      </c>
      <c r="W83" s="3816">
        <f t="shared" ref="W83" si="76">SUM(W82/W81)</f>
        <v>1.1867994222101994</v>
      </c>
    </row>
    <row r="84" spans="1:23" ht="18.75" customHeight="1">
      <c r="A84" s="3822" t="s">
        <v>1759</v>
      </c>
      <c r="B84" s="3787">
        <f>SUM('Произв. прогр. Стоки'!B162)</f>
        <v>22.984999999999999</v>
      </c>
      <c r="C84" s="3787">
        <f>SUM('Произв. прогр. Стоки'!C162)</f>
        <v>22.984999999999999</v>
      </c>
      <c r="D84" s="3787">
        <f>SUM('Произв. прогр. Стоки'!D162)</f>
        <v>0</v>
      </c>
      <c r="E84" s="3800">
        <f>SUM('Произв. прогр. Стоки'!E162)</f>
        <v>22.984999999999996</v>
      </c>
      <c r="F84" s="3800">
        <f>SUM('Произв. прогр. Стоки'!F162)</f>
        <v>22.985000000000007</v>
      </c>
      <c r="G84" s="3800">
        <f>SUM('Произв. прогр. Стоки'!G162)</f>
        <v>22.985000000000003</v>
      </c>
      <c r="H84" s="3787">
        <f>SUM('Произв. прогр. Стоки'!H162)</f>
        <v>22.984999999999999</v>
      </c>
      <c r="I84" s="3800">
        <f>SUM('Произв. прогр. Стоки'!I162)</f>
        <v>22.984999999999999</v>
      </c>
      <c r="J84" s="3800">
        <f>SUM('Произв. прогр. Стоки'!J162)</f>
        <v>22.985000000000003</v>
      </c>
      <c r="K84" s="3800">
        <f>SUM('Произв. прогр. Стоки'!K162)</f>
        <v>22.984999999999999</v>
      </c>
      <c r="L84" s="3787">
        <f>SUM('Произв. прогр. Стоки'!L162)</f>
        <v>22.984999999999999</v>
      </c>
      <c r="M84" s="3787">
        <f>SUM('Произв. прогр. Стоки'!M162)</f>
        <v>22.984999999999999</v>
      </c>
      <c r="N84" s="3800">
        <f>SUM('Произв. прогр. Стоки'!N162)</f>
        <v>22.985000000000003</v>
      </c>
      <c r="O84" s="3800">
        <f>SUM('Произв. прогр. Стоки'!O162)</f>
        <v>22.984999999999999</v>
      </c>
      <c r="P84" s="3800">
        <f>SUM('Произв. прогр. Стоки'!P162)</f>
        <v>22.985000000000003</v>
      </c>
      <c r="Q84" s="3787">
        <f>SUM('Произв. прогр. Стоки'!Q162)</f>
        <v>22.984999999999999</v>
      </c>
      <c r="R84" s="3787">
        <f>SUM('Произв. прогр. Стоки'!R162)</f>
        <v>22.984999999999999</v>
      </c>
      <c r="S84" s="3800">
        <f>SUM('Произв. прогр. Стоки'!S162)</f>
        <v>22.985000000000003</v>
      </c>
      <c r="T84" s="3800">
        <f>SUM('Произв. прогр. Стоки'!T162)</f>
        <v>22.985000000000003</v>
      </c>
      <c r="U84" s="3800">
        <f>SUM('Произв. прогр. Стоки'!U162)</f>
        <v>22.985000000000003</v>
      </c>
      <c r="V84" s="3787">
        <f>SUM('Произв. прогр. Стоки'!V162)</f>
        <v>22.985000000000003</v>
      </c>
      <c r="W84" s="3833">
        <f t="shared" ref="W84" si="77">SUM((W85*W78)+(W86*W79))/W77</f>
        <v>22.984999999999999</v>
      </c>
    </row>
    <row r="85" spans="1:23" ht="18.75" customHeight="1">
      <c r="A85" s="3786" t="s">
        <v>391</v>
      </c>
      <c r="B85" s="3790">
        <f>SUM('Произв. прогр. Стоки'!B163)</f>
        <v>22.500000000000004</v>
      </c>
      <c r="C85" s="3790">
        <f>SUM('Произв. прогр. Стоки'!C163)</f>
        <v>22.500000000000004</v>
      </c>
      <c r="D85" s="3790">
        <f>SUM('Произв. прогр. Стоки'!D163)</f>
        <v>0</v>
      </c>
      <c r="E85" s="3819">
        <f>SUM('Произв. прогр. Стоки'!E163)</f>
        <v>22.500000000000004</v>
      </c>
      <c r="F85" s="3819">
        <f>SUM('Произв. прогр. Стоки'!F163)</f>
        <v>22.500000000000004</v>
      </c>
      <c r="G85" s="3819">
        <f>SUM('Произв. прогр. Стоки'!G163)</f>
        <v>22.500000000000004</v>
      </c>
      <c r="H85" s="3790">
        <f>SUM('Произв. прогр. Стоки'!H163)</f>
        <v>22.500000000000004</v>
      </c>
      <c r="I85" s="3819">
        <f>SUM('Произв. прогр. Стоки'!I163)</f>
        <v>22.500000000000004</v>
      </c>
      <c r="J85" s="3819">
        <f>SUM('Произв. прогр. Стоки'!J163)</f>
        <v>22.500000000000004</v>
      </c>
      <c r="K85" s="3819">
        <f>SUM('Произв. прогр. Стоки'!K163)</f>
        <v>22.500000000000004</v>
      </c>
      <c r="L85" s="3790">
        <f>SUM('Произв. прогр. Стоки'!L163)</f>
        <v>22.500000000000004</v>
      </c>
      <c r="M85" s="3790">
        <f>SUM('Произв. прогр. Стоки'!M163)</f>
        <v>22.500000000000004</v>
      </c>
      <c r="N85" s="3819">
        <f>SUM('Произв. прогр. Стоки'!N163)</f>
        <v>22.500000000000004</v>
      </c>
      <c r="O85" s="3819">
        <f>SUM('Произв. прогр. Стоки'!O163)</f>
        <v>22.500000000000004</v>
      </c>
      <c r="P85" s="3819">
        <f>SUM('Произв. прогр. Стоки'!P163)</f>
        <v>22.500000000000004</v>
      </c>
      <c r="Q85" s="3790">
        <f>SUM('Произв. прогр. Стоки'!Q163)</f>
        <v>22.500000000000004</v>
      </c>
      <c r="R85" s="3790">
        <f>SUM('Произв. прогр. Стоки'!R163)</f>
        <v>22.500000000000004</v>
      </c>
      <c r="S85" s="3819">
        <f>SUM('Произв. прогр. Стоки'!S163)</f>
        <v>22.500000000000004</v>
      </c>
      <c r="T85" s="3819">
        <f>SUM('Произв. прогр. Стоки'!T163)</f>
        <v>22.500000000000004</v>
      </c>
      <c r="U85" s="3819">
        <f>SUM('Произв. прогр. Стоки'!U163)</f>
        <v>22.500000000000004</v>
      </c>
      <c r="V85" s="3790">
        <f>SUM('Произв. прогр. Стоки'!V163)</f>
        <v>22.500000000000004</v>
      </c>
      <c r="W85" s="3836">
        <f>SUM(E85)</f>
        <v>22.500000000000004</v>
      </c>
    </row>
    <row r="86" spans="1:23" ht="18.75" customHeight="1">
      <c r="A86" s="3786" t="s">
        <v>1754</v>
      </c>
      <c r="B86" s="3790">
        <f>SUM('Произв. прогр. Стоки'!B164)</f>
        <v>23.47</v>
      </c>
      <c r="C86" s="3790">
        <f>SUM('Произв. прогр. Стоки'!C164)</f>
        <v>23.47</v>
      </c>
      <c r="D86" s="3790">
        <f>SUM('Произв. прогр. Стоки'!D164)</f>
        <v>0</v>
      </c>
      <c r="E86" s="3819">
        <f>SUM('Произв. прогр. Стоки'!E164)</f>
        <v>23.47</v>
      </c>
      <c r="F86" s="3819">
        <f>SUM('Произв. прогр. Стоки'!F164)</f>
        <v>23.47</v>
      </c>
      <c r="G86" s="3819">
        <f>SUM('Произв. прогр. Стоки'!G164)</f>
        <v>23.47</v>
      </c>
      <c r="H86" s="3790">
        <f>SUM('Произв. прогр. Стоки'!H164)</f>
        <v>23.47</v>
      </c>
      <c r="I86" s="3819">
        <f>SUM('Произв. прогр. Стоки'!I164)</f>
        <v>23.47</v>
      </c>
      <c r="J86" s="3819">
        <f>SUM('Произв. прогр. Стоки'!J164)</f>
        <v>23.47</v>
      </c>
      <c r="K86" s="3819">
        <f>SUM('Произв. прогр. Стоки'!K164)</f>
        <v>23.47</v>
      </c>
      <c r="L86" s="3790">
        <f>SUM('Произв. прогр. Стоки'!L164)</f>
        <v>23.47</v>
      </c>
      <c r="M86" s="3790">
        <f>SUM('Произв. прогр. Стоки'!M164)</f>
        <v>23.47</v>
      </c>
      <c r="N86" s="3819">
        <f>SUM('Произв. прогр. Стоки'!N164)</f>
        <v>23.47</v>
      </c>
      <c r="O86" s="3819">
        <f>SUM('Произв. прогр. Стоки'!O164)</f>
        <v>23.47</v>
      </c>
      <c r="P86" s="3819">
        <f>SUM('Произв. прогр. Стоки'!P164)</f>
        <v>23.47</v>
      </c>
      <c r="Q86" s="3790">
        <f>SUM('Произв. прогр. Стоки'!Q164)</f>
        <v>23.47</v>
      </c>
      <c r="R86" s="3790">
        <f>SUM('Произв. прогр. Стоки'!R164)</f>
        <v>23.47</v>
      </c>
      <c r="S86" s="3819">
        <f>SUM('Произв. прогр. Стоки'!S164)</f>
        <v>23.47</v>
      </c>
      <c r="T86" s="3819">
        <f>SUM('Произв. прогр. Стоки'!T164)</f>
        <v>23.47</v>
      </c>
      <c r="U86" s="3819">
        <f>SUM('Произв. прогр. Стоки'!U164)</f>
        <v>23.47</v>
      </c>
      <c r="V86" s="3790">
        <f>SUM('Произв. прогр. Стоки'!V164)</f>
        <v>23.47</v>
      </c>
      <c r="W86" s="3836">
        <f>SUM(E86)</f>
        <v>23.47</v>
      </c>
    </row>
    <row r="87" spans="1:23" ht="18.75" customHeight="1">
      <c r="A87" s="3826" t="s">
        <v>1760</v>
      </c>
      <c r="B87" s="3795">
        <f>SUM('Произв. прогр. Стоки'!B165)</f>
        <v>1.0431111111111109</v>
      </c>
      <c r="C87" s="3795">
        <f>SUM('Произв. прогр. Стоки'!C165)</f>
        <v>1.0431111111111109</v>
      </c>
      <c r="D87" s="3795">
        <f>SUM('Произв. прогр. Стоки'!D165)</f>
        <v>0</v>
      </c>
      <c r="E87" s="3824">
        <f>SUM('Произв. прогр. Стоки'!E165)</f>
        <v>1.0431111111111109</v>
      </c>
      <c r="F87" s="3824">
        <f>SUM('Произв. прогр. Стоки'!F165)</f>
        <v>1.0431111111111109</v>
      </c>
      <c r="G87" s="3824">
        <f>SUM('Произв. прогр. Стоки'!G165)</f>
        <v>1.0431111111111109</v>
      </c>
      <c r="H87" s="3795">
        <f>SUM('Произв. прогр. Стоки'!H165)</f>
        <v>1.0431111111111109</v>
      </c>
      <c r="I87" s="3824">
        <f>SUM('Произв. прогр. Стоки'!I165)</f>
        <v>1.0431111111111109</v>
      </c>
      <c r="J87" s="3824">
        <f>SUM('Произв. прогр. Стоки'!J165)</f>
        <v>1.0431111111111109</v>
      </c>
      <c r="K87" s="3824">
        <f>SUM('Произв. прогр. Стоки'!K165)</f>
        <v>1.0431111111111109</v>
      </c>
      <c r="L87" s="3795">
        <f>SUM('Произв. прогр. Стоки'!L165)</f>
        <v>1.0431111111111109</v>
      </c>
      <c r="M87" s="3795">
        <f>SUM('Произв. прогр. Стоки'!M165)</f>
        <v>1.0431111111111109</v>
      </c>
      <c r="N87" s="3824">
        <f>SUM('Произв. прогр. Стоки'!N165)</f>
        <v>1.0431111111111109</v>
      </c>
      <c r="O87" s="3824">
        <f>SUM('Произв. прогр. Стоки'!O165)</f>
        <v>1.0431111111111109</v>
      </c>
      <c r="P87" s="3824">
        <f>SUM('Произв. прогр. Стоки'!P165)</f>
        <v>1.0431111111111109</v>
      </c>
      <c r="Q87" s="3795">
        <f>SUM('Произв. прогр. Стоки'!Q165)</f>
        <v>1.0431111111111109</v>
      </c>
      <c r="R87" s="3795">
        <f>SUM('Произв. прогр. Стоки'!R165)</f>
        <v>1.0431111111111109</v>
      </c>
      <c r="S87" s="3824">
        <f>SUM('Произв. прогр. Стоки'!S165)</f>
        <v>1.0431111111111109</v>
      </c>
      <c r="T87" s="3824">
        <f>SUM('Произв. прогр. Стоки'!T165)</f>
        <v>1.0431111111111109</v>
      </c>
      <c r="U87" s="3824">
        <f>SUM('Произв. прогр. Стоки'!U165)</f>
        <v>1.0431111111111109</v>
      </c>
      <c r="V87" s="3795">
        <f>SUM('Произв. прогр. Стоки'!V165)</f>
        <v>1.0431111111111109</v>
      </c>
      <c r="W87" s="3816">
        <f t="shared" ref="W87" si="78">SUM(W86/W85)</f>
        <v>1.0431111111111109</v>
      </c>
    </row>
    <row r="88" spans="1:23" ht="18.75" customHeight="1">
      <c r="A88" s="3822" t="s">
        <v>1761</v>
      </c>
      <c r="B88" s="3787">
        <f>SUM('Произв. прогр. Стоки'!B166)</f>
        <v>10339.517300698169</v>
      </c>
      <c r="C88" s="3787">
        <f>SUM('Произв. прогр. Стоки'!C166)</f>
        <v>10339.517300698169</v>
      </c>
      <c r="D88" s="3787">
        <f>SUM('Произв. прогр. Стоки'!D166)</f>
        <v>0</v>
      </c>
      <c r="E88" s="3800">
        <f>SUM('Произв. прогр. Стоки'!E166)</f>
        <v>889.19848786004252</v>
      </c>
      <c r="F88" s="3800">
        <f>SUM('Произв. прогр. Стоки'!F166)</f>
        <v>878.85897055934447</v>
      </c>
      <c r="G88" s="3800">
        <f>SUM('Произв. прогр. Стоки'!G166)</f>
        <v>882.99477747962374</v>
      </c>
      <c r="H88" s="3787">
        <f>SUM('Произв. прогр. Стоки'!H166)</f>
        <v>2651.0522358990106</v>
      </c>
      <c r="I88" s="3800">
        <f>SUM('Произв. прогр. Стоки'!I166)</f>
        <v>871.62130844885564</v>
      </c>
      <c r="J88" s="3800">
        <f>SUM('Произв. прогр. Стоки'!J166)</f>
        <v>847.84041865724987</v>
      </c>
      <c r="K88" s="3800">
        <f>SUM('Произв. прогр. Стоки'!K166)</f>
        <v>815.78791502508557</v>
      </c>
      <c r="L88" s="3787">
        <f>SUM('Произв. прогр. Стоки'!L166)</f>
        <v>2535.2496421311912</v>
      </c>
      <c r="M88" s="3787">
        <f>SUM('Произв. прогр. Стоки'!M166)</f>
        <v>5186.3018780302018</v>
      </c>
      <c r="N88" s="3800">
        <f>SUM('Произв. прогр. Стоки'!N166)</f>
        <v>805.44839772438741</v>
      </c>
      <c r="O88" s="3800">
        <f>SUM('Произв. прогр. Стоки'!O166)</f>
        <v>838.53485308662152</v>
      </c>
      <c r="P88" s="3800">
        <f>SUM('Произв. прогр. Стоки'!P166)</f>
        <v>860.24783941808778</v>
      </c>
      <c r="Q88" s="3787">
        <f>SUM('Произв. прогр. Стоки'!Q166)</f>
        <v>2504.2310902290965</v>
      </c>
      <c r="R88" s="3787">
        <f>SUM('Произв. прогр. Стоки'!R166)</f>
        <v>7690.5329682592983</v>
      </c>
      <c r="S88" s="3800">
        <f>SUM('Произв. прогр. Стоки'!S166)</f>
        <v>882.99477747962374</v>
      </c>
      <c r="T88" s="3800">
        <f>SUM('Произв. прогр. Стоки'!T166)</f>
        <v>882.99477747962374</v>
      </c>
      <c r="U88" s="3800">
        <f>SUM('Произв. прогр. Стоки'!U166)</f>
        <v>882.99477747962374</v>
      </c>
      <c r="V88" s="3787">
        <f>SUM('Произв. прогр. Стоки'!V166)</f>
        <v>2648.9843324388712</v>
      </c>
      <c r="W88" s="3812">
        <f t="shared" ref="W88:W90" si="79">SUM(E88+F88+G88+I88+J88+K88+N88+O88+P88+S88+T88+U88)</f>
        <v>10339.517300698169</v>
      </c>
    </row>
    <row r="89" spans="1:23" ht="18.75" customHeight="1">
      <c r="A89" s="3786" t="s">
        <v>391</v>
      </c>
      <c r="B89" s="3790">
        <f>SUM('Произв. прогр. Стоки'!B167)</f>
        <v>3020.3173341777851</v>
      </c>
      <c r="C89" s="3790">
        <f>SUM('Произв. прогр. Стоки'!C167)</f>
        <v>3020.3173341777851</v>
      </c>
      <c r="D89" s="3790">
        <f>SUM('Произв. прогр. Стоки'!D167)</f>
        <v>0</v>
      </c>
      <c r="E89" s="3819">
        <f>SUM('Произв. прогр. Стоки'!E167)</f>
        <v>259.7472907392895</v>
      </c>
      <c r="F89" s="3819">
        <f>SUM('Произв. прогр. Стоки'!F167)</f>
        <v>256.72697340511178</v>
      </c>
      <c r="G89" s="3819">
        <f>SUM('Произв. прогр. Стоки'!G167)</f>
        <v>257.93510033878283</v>
      </c>
      <c r="H89" s="3790">
        <f>SUM('Произв. прогр. Стоки'!H167)</f>
        <v>774.40936448318416</v>
      </c>
      <c r="I89" s="3819">
        <f>SUM('Произв. прогр. Стоки'!I167)</f>
        <v>254.61275127118728</v>
      </c>
      <c r="J89" s="3819">
        <f>SUM('Произв. прогр. Стоки'!J167)</f>
        <v>247.66602140257837</v>
      </c>
      <c r="K89" s="3819">
        <f>SUM('Произв. прогр. Стоки'!K167)</f>
        <v>238.30303766662726</v>
      </c>
      <c r="L89" s="3790">
        <f>SUM('Произв. прогр. Стоки'!L167)</f>
        <v>740.58181034039285</v>
      </c>
      <c r="M89" s="3790">
        <f>SUM('Произв. прогр. Стоки'!M167)</f>
        <v>1514.991174823577</v>
      </c>
      <c r="N89" s="3819">
        <f>SUM('Произв. прогр. Стоки'!N167)</f>
        <v>235.28272033244946</v>
      </c>
      <c r="O89" s="3819">
        <f>SUM('Произв. прогр. Стоки'!O167)</f>
        <v>244.94773580181837</v>
      </c>
      <c r="P89" s="3819">
        <f>SUM('Произв. прогр. Стоки'!P167)</f>
        <v>251.29040220359173</v>
      </c>
      <c r="Q89" s="3790">
        <f>SUM('Произв. прогр. Стоки'!Q167)</f>
        <v>731.52085833785952</v>
      </c>
      <c r="R89" s="3790">
        <f>SUM('Произв. прогр. Стоки'!R167)</f>
        <v>2246.5120331614366</v>
      </c>
      <c r="S89" s="3819">
        <f>SUM('Произв. прогр. Стоки'!S167)</f>
        <v>257.93510033878283</v>
      </c>
      <c r="T89" s="3819">
        <f>SUM('Произв. прогр. Стоки'!T167)</f>
        <v>257.93510033878283</v>
      </c>
      <c r="U89" s="3819">
        <f>SUM('Произв. прогр. Стоки'!U167)</f>
        <v>257.93510033878283</v>
      </c>
      <c r="V89" s="3790">
        <f>SUM('Произв. прогр. Стоки'!V167)</f>
        <v>773.80530101634849</v>
      </c>
      <c r="W89" s="3814">
        <f t="shared" si="79"/>
        <v>3020.3173341777851</v>
      </c>
    </row>
    <row r="90" spans="1:23" ht="18.75" customHeight="1">
      <c r="A90" s="3786" t="s">
        <v>1754</v>
      </c>
      <c r="B90" s="3790">
        <f>SUM('Произв. прогр. Стоки'!B168)</f>
        <v>7319.1999665203848</v>
      </c>
      <c r="C90" s="3790">
        <f>SUM('Произв. прогр. Стоки'!C168)</f>
        <v>7319.1999665203848</v>
      </c>
      <c r="D90" s="3790">
        <f>SUM('Произв. прогр. Стоки'!D168)</f>
        <v>0</v>
      </c>
      <c r="E90" s="3819">
        <f>SUM('Произв. прогр. Стоки'!E168)</f>
        <v>629.45119712075302</v>
      </c>
      <c r="F90" s="3819">
        <f>SUM('Произв. прогр. Стоки'!F168)</f>
        <v>622.13199715423275</v>
      </c>
      <c r="G90" s="3819">
        <f>SUM('Произв. прогр. Стоки'!G168)</f>
        <v>625.0596771408409</v>
      </c>
      <c r="H90" s="3790">
        <f>SUM('Произв. прогр. Стоки'!H168)</f>
        <v>1876.6428714158267</v>
      </c>
      <c r="I90" s="3819">
        <f>SUM('Произв. прогр. Стоки'!I168)</f>
        <v>617.00855717766842</v>
      </c>
      <c r="J90" s="3819">
        <f>SUM('Произв. прогр. Стоки'!J168)</f>
        <v>600.17439725467148</v>
      </c>
      <c r="K90" s="3819">
        <f>SUM('Произв. прогр. Стоки'!K168)</f>
        <v>577.48487735845833</v>
      </c>
      <c r="L90" s="3790">
        <f>SUM('Произв. прогр. Стоки'!L168)</f>
        <v>1794.6678317907983</v>
      </c>
      <c r="M90" s="3790">
        <f>SUM('Произв. прогр. Стоки'!M168)</f>
        <v>3671.310703206625</v>
      </c>
      <c r="N90" s="3819">
        <f>SUM('Произв. прогр. Стоки'!N168)</f>
        <v>570.16567739193795</v>
      </c>
      <c r="O90" s="3819">
        <f>SUM('Произв. прогр. Стоки'!O168)</f>
        <v>593.58711728480318</v>
      </c>
      <c r="P90" s="3819">
        <f>SUM('Произв. прогр. Стоки'!P168)</f>
        <v>608.95743721449605</v>
      </c>
      <c r="Q90" s="3790">
        <f>SUM('Произв. прогр. Стоки'!Q168)</f>
        <v>1772.7102318912371</v>
      </c>
      <c r="R90" s="3790">
        <f>SUM('Произв. прогр. Стоки'!R168)</f>
        <v>5444.0209350978621</v>
      </c>
      <c r="S90" s="3819">
        <f>SUM('Произв. прогр. Стоки'!S168)</f>
        <v>625.0596771408409</v>
      </c>
      <c r="T90" s="3819">
        <f>SUM('Произв. прогр. Стоки'!T168)</f>
        <v>625.0596771408409</v>
      </c>
      <c r="U90" s="3819">
        <f>SUM('Произв. прогр. Стоки'!U168)</f>
        <v>625.0596771408409</v>
      </c>
      <c r="V90" s="3790">
        <f>SUM('Произв. прогр. Стоки'!V168)</f>
        <v>1875.1790314225227</v>
      </c>
      <c r="W90" s="3814">
        <f t="shared" si="79"/>
        <v>7319.1999665203839</v>
      </c>
    </row>
    <row r="91" spans="1:23" ht="18.75" customHeight="1">
      <c r="A91" s="4386" t="s">
        <v>1762</v>
      </c>
      <c r="B91" s="4387"/>
      <c r="C91" s="4387"/>
      <c r="D91" s="4387"/>
      <c r="E91" s="4387"/>
      <c r="F91" s="4387"/>
      <c r="G91" s="4387"/>
      <c r="H91" s="4387"/>
      <c r="I91" s="4387"/>
      <c r="J91" s="4387"/>
      <c r="K91" s="4387"/>
      <c r="L91" s="4387"/>
      <c r="M91" s="4387"/>
      <c r="N91" s="4387"/>
      <c r="O91" s="4387"/>
      <c r="P91" s="4387"/>
      <c r="Q91" s="4387"/>
      <c r="R91" s="4387"/>
      <c r="S91" s="4387"/>
      <c r="T91" s="4387"/>
      <c r="U91" s="4387"/>
      <c r="V91" s="4388"/>
      <c r="W91" s="3835"/>
    </row>
    <row r="92" spans="1:23" ht="19.5" customHeight="1">
      <c r="A92" s="4383" t="s">
        <v>546</v>
      </c>
      <c r="B92" s="4389" t="s">
        <v>1782</v>
      </c>
      <c r="C92" s="4389" t="s">
        <v>1561</v>
      </c>
      <c r="D92" s="4390"/>
      <c r="E92" s="4383" t="s">
        <v>587</v>
      </c>
      <c r="F92" s="4383" t="s">
        <v>588</v>
      </c>
      <c r="G92" s="4383" t="s">
        <v>589</v>
      </c>
      <c r="H92" s="4384" t="s">
        <v>601</v>
      </c>
      <c r="I92" s="4383" t="s">
        <v>590</v>
      </c>
      <c r="J92" s="4383" t="s">
        <v>591</v>
      </c>
      <c r="K92" s="4383" t="s">
        <v>592</v>
      </c>
      <c r="L92" s="4384" t="s">
        <v>600</v>
      </c>
      <c r="M92" s="4384" t="s">
        <v>599</v>
      </c>
      <c r="N92" s="4383" t="s">
        <v>593</v>
      </c>
      <c r="O92" s="4383" t="s">
        <v>594</v>
      </c>
      <c r="P92" s="4383" t="s">
        <v>595</v>
      </c>
      <c r="Q92" s="4384" t="s">
        <v>225</v>
      </c>
      <c r="R92" s="4384" t="s">
        <v>229</v>
      </c>
      <c r="S92" s="4383" t="s">
        <v>596</v>
      </c>
      <c r="T92" s="4383" t="s">
        <v>597</v>
      </c>
      <c r="U92" s="4383" t="s">
        <v>598</v>
      </c>
      <c r="V92" s="4384" t="s">
        <v>135</v>
      </c>
      <c r="W92" s="4385" t="s">
        <v>602</v>
      </c>
    </row>
    <row r="93" spans="1:23" ht="41.25" customHeight="1">
      <c r="A93" s="4383"/>
      <c r="B93" s="4389"/>
      <c r="C93" s="3927" t="s">
        <v>352</v>
      </c>
      <c r="D93" s="3927" t="s">
        <v>1770</v>
      </c>
      <c r="E93" s="4383"/>
      <c r="F93" s="4383"/>
      <c r="G93" s="4383"/>
      <c r="H93" s="4384"/>
      <c r="I93" s="4383"/>
      <c r="J93" s="4383"/>
      <c r="K93" s="4383"/>
      <c r="L93" s="4384"/>
      <c r="M93" s="4384"/>
      <c r="N93" s="4383"/>
      <c r="O93" s="4383"/>
      <c r="P93" s="4383"/>
      <c r="Q93" s="4384"/>
      <c r="R93" s="4384"/>
      <c r="S93" s="4383"/>
      <c r="T93" s="4383"/>
      <c r="U93" s="4383"/>
      <c r="V93" s="4384"/>
      <c r="W93" s="4385"/>
    </row>
    <row r="94" spans="1:23" ht="18.75" customHeight="1">
      <c r="A94" s="3822" t="s">
        <v>1753</v>
      </c>
      <c r="B94" s="3787">
        <f>SUM('Произв. прогр. Стоки'!B172)</f>
        <v>85037.162221013728</v>
      </c>
      <c r="C94" s="3787">
        <f>SUM('Произв. прогр. Стоки'!C172)</f>
        <v>84701.917552547806</v>
      </c>
      <c r="D94" s="3787">
        <f>SUM('Произв. прогр. Стоки'!D172)</f>
        <v>335.24466846593998</v>
      </c>
      <c r="E94" s="3800">
        <f>SUM('Произв. прогр. Стоки'!E172)</f>
        <v>6784.8101887112407</v>
      </c>
      <c r="F94" s="3800">
        <f>SUM('Произв. прогр. Стоки'!F172)</f>
        <v>6777.0106655583777</v>
      </c>
      <c r="G94" s="3800">
        <f>SUM('Произв. прогр. Стоки'!G172)</f>
        <v>7246.1566560688625</v>
      </c>
      <c r="H94" s="3787">
        <f>SUM('Произв. прогр. Стоки'!H172)</f>
        <v>20807.977510338482</v>
      </c>
      <c r="I94" s="3800">
        <f>SUM('Произв. прогр. Стоки'!I172)</f>
        <v>6751.780645710548</v>
      </c>
      <c r="J94" s="3800">
        <f>SUM('Произв. прогр. Стоки'!J172)</f>
        <v>6713.5050588035856</v>
      </c>
      <c r="K94" s="3800">
        <f>SUM('Произв. прогр. Стоки'!K172)</f>
        <v>7155.9424624886969</v>
      </c>
      <c r="L94" s="3787">
        <f>SUM('Произв. прогр. Стоки'!L172)</f>
        <v>20621.228167002831</v>
      </c>
      <c r="M94" s="3787">
        <f>SUM('Произв. прогр. Стоки'!M172)</f>
        <v>41429.205677341313</v>
      </c>
      <c r="N94" s="3800">
        <f>SUM('Произв. прогр. Стоки'!N172)</f>
        <v>7041.7875136957273</v>
      </c>
      <c r="O94" s="3800">
        <f>SUM('Произв. прогр. Стоки'!O172)</f>
        <v>7062.9847167959097</v>
      </c>
      <c r="P94" s="3800">
        <f>SUM('Произв. прогр. Стоки'!P172)</f>
        <v>7576.6225768725362</v>
      </c>
      <c r="Q94" s="3787">
        <f>SUM('Произв. прогр. Стоки'!Q172)</f>
        <v>21681.394807364173</v>
      </c>
      <c r="R94" s="3787">
        <f>SUM('Произв. прогр. Стоки'!R172)</f>
        <v>63110.600484705486</v>
      </c>
      <c r="S94" s="3800">
        <f>SUM('Произв. прогр. Стоки'!S172)</f>
        <v>7140.4942563722607</v>
      </c>
      <c r="T94" s="3800">
        <f>SUM('Произв. прогр. Стоки'!T172)</f>
        <v>7151.0078947717229</v>
      </c>
      <c r="U94" s="3800">
        <f>SUM('Произв. прогр. Стоки'!U172)</f>
        <v>7635.0595821409315</v>
      </c>
      <c r="V94" s="3787">
        <f>SUM('Произв. прогр. Стоки'!V172)</f>
        <v>21926.561733284914</v>
      </c>
      <c r="W94" s="3812">
        <f t="shared" ref="W94:W102" si="80">SUM(E94+F94+G94+I94+J94+K94+N94+O94+P94+S94+T94+U94)</f>
        <v>85037.162217990408</v>
      </c>
    </row>
    <row r="95" spans="1:23" ht="18.75" customHeight="1">
      <c r="A95" s="3786" t="s">
        <v>391</v>
      </c>
      <c r="B95" s="3790">
        <f>SUM('Произв. прогр. Стоки'!B173)</f>
        <v>41280.35763186391</v>
      </c>
      <c r="C95" s="3790">
        <f>SUM('Произв. прогр. Стоки'!C173)</f>
        <v>41116.152089317548</v>
      </c>
      <c r="D95" s="3790">
        <f>SUM('Произв. прогр. Стоки'!D173)</f>
        <v>164.20554254636119</v>
      </c>
      <c r="E95" s="3819">
        <f>SUM('Произв. прогр. Стоки'!E173)</f>
        <v>3390.6881033368868</v>
      </c>
      <c r="F95" s="3819">
        <f>SUM('Произв. прогр. Стоки'!F173)</f>
        <v>3400.2578939414702</v>
      </c>
      <c r="G95" s="3819">
        <f>SUM('Произв. прогр. Стоки'!G173)</f>
        <v>3412.6954107949009</v>
      </c>
      <c r="H95" s="3790">
        <f>SUM('Произв. прогр. Стоки'!H173)</f>
        <v>10203.641408073257</v>
      </c>
      <c r="I95" s="3819">
        <f>SUM('Произв. прогр. Стоки'!I173)</f>
        <v>3365.2323755116095</v>
      </c>
      <c r="J95" s="3819">
        <f>SUM('Произв. прогр. Стоки'!J173)</f>
        <v>3301.6725719661972</v>
      </c>
      <c r="K95" s="3819">
        <f>SUM('Произв. прогр. Стоки'!K173)</f>
        <v>3184.9500249830303</v>
      </c>
      <c r="L95" s="3790">
        <f>SUM('Произв. прогр. Стоки'!L173)</f>
        <v>9851.8549724608365</v>
      </c>
      <c r="M95" s="3790">
        <f>SUM('Произв. прогр. Стоки'!M173)</f>
        <v>20055.496380534096</v>
      </c>
      <c r="N95" s="3819">
        <f>SUM('Произв. прогр. Стоки'!N173)</f>
        <v>3094.3341769573653</v>
      </c>
      <c r="O95" s="3819">
        <f>SUM('Произв. прогр. Стоки'!O173)</f>
        <v>3202.084893789654</v>
      </c>
      <c r="P95" s="3819">
        <f>SUM('Произв. прогр. Стоки'!P173)</f>
        <v>3343.6997408149718</v>
      </c>
      <c r="Q95" s="3790">
        <f>SUM('Произв. прогр. Стоки'!Q173)</f>
        <v>9640.1188115619916</v>
      </c>
      <c r="R95" s="3790">
        <f>SUM('Произв. прогр. Стоки'!R173)</f>
        <v>29695.615192096087</v>
      </c>
      <c r="S95" s="3819">
        <f>SUM('Произв. прогр. Стоки'!S173)</f>
        <v>3412.6954107949009</v>
      </c>
      <c r="T95" s="3819">
        <f>SUM('Произв. прогр. Стоки'!T173)</f>
        <v>3412.6954107949009</v>
      </c>
      <c r="U95" s="3819">
        <f>SUM('Произв. прогр. Стоки'!U173)</f>
        <v>3412.6954107949009</v>
      </c>
      <c r="V95" s="3790">
        <f>SUM('Произв. прогр. Стоки'!V173)</f>
        <v>10238.086232384703</v>
      </c>
      <c r="W95" s="3814">
        <f t="shared" si="80"/>
        <v>39933.701424480787</v>
      </c>
    </row>
    <row r="96" spans="1:23" ht="18.75" customHeight="1">
      <c r="A96" s="3786" t="s">
        <v>1754</v>
      </c>
      <c r="B96" s="3790">
        <f>SUM('Произв. прогр. Стоки'!B174)</f>
        <v>43756.804589149819</v>
      </c>
      <c r="C96" s="3790">
        <f>SUM('Произв. прогр. Стоки'!C174)</f>
        <v>43585.765463230258</v>
      </c>
      <c r="D96" s="3790">
        <f>SUM('Произв. прогр. Стоки'!D174)</f>
        <v>171.03912591957879</v>
      </c>
      <c r="E96" s="3819">
        <f>SUM('Произв. прогр. Стоки'!E174)</f>
        <v>3394.1220853743539</v>
      </c>
      <c r="F96" s="3819">
        <f>SUM('Произв. прогр. Стоки'!F174)</f>
        <v>3376.7527716169075</v>
      </c>
      <c r="G96" s="3819">
        <f>SUM('Произв. прогр. Стоки'!G174)</f>
        <v>3833.4612452739616</v>
      </c>
      <c r="H96" s="3790">
        <f>SUM('Произв. прогр. Стоки'!H174)</f>
        <v>10604.336102265223</v>
      </c>
      <c r="I96" s="3819">
        <f>SUM('Произв. прогр. Стоки'!I174)</f>
        <v>3386.5482701989386</v>
      </c>
      <c r="J96" s="3819">
        <f>SUM('Произв. прогр. Стоки'!J174)</f>
        <v>3411.8324868373884</v>
      </c>
      <c r="K96" s="3819">
        <f>SUM('Произв. прогр. Стоки'!K174)</f>
        <v>3970.9924375056667</v>
      </c>
      <c r="L96" s="3790">
        <f>SUM('Произв. прогр. Стоки'!L174)</f>
        <v>10769.373194541993</v>
      </c>
      <c r="M96" s="3790">
        <f>SUM('Произв. прогр. Стоки'!M174)</f>
        <v>21373.709296807217</v>
      </c>
      <c r="N96" s="3819">
        <f>SUM('Произв. прогр. Стоки'!N174)</f>
        <v>3947.4533367383619</v>
      </c>
      <c r="O96" s="3819">
        <f>SUM('Произв. прогр. Стоки'!O174)</f>
        <v>3860.8998230062557</v>
      </c>
      <c r="P96" s="3819">
        <f>SUM('Произв. прогр. Стоки'!P174)</f>
        <v>4232.9228360575644</v>
      </c>
      <c r="Q96" s="3790">
        <f>SUM('Произв. прогр. Стоки'!Q174)</f>
        <v>12041.275995802182</v>
      </c>
      <c r="R96" s="3790">
        <f>SUM('Произв. прогр. Стоки'!R174)</f>
        <v>33414.985292609403</v>
      </c>
      <c r="S96" s="3819">
        <f>SUM('Произв. прогр. Стоки'!S174)</f>
        <v>3727.7988455773598</v>
      </c>
      <c r="T96" s="3819">
        <f>SUM('Произв. прогр. Стоки'!T174)</f>
        <v>3738.312483976822</v>
      </c>
      <c r="U96" s="3819">
        <f>SUM('Произв. прогр. Стоки'!U174)</f>
        <v>4222.3641713460311</v>
      </c>
      <c r="V96" s="3790">
        <f>SUM('Произв. прогр. Стоки'!V174)</f>
        <v>11688.475500900213</v>
      </c>
      <c r="W96" s="3814">
        <f t="shared" si="80"/>
        <v>45103.460793509606</v>
      </c>
    </row>
    <row r="97" spans="1:23" ht="18.75" customHeight="1">
      <c r="A97" s="3822" t="s">
        <v>1755</v>
      </c>
      <c r="B97" s="3787">
        <f>SUM('Произв. прогр. Стоки'!B175)</f>
        <v>3295.75</v>
      </c>
      <c r="C97" s="3787">
        <f>SUM('Произв. прогр. Стоки'!C175)</f>
        <v>3272.75</v>
      </c>
      <c r="D97" s="3787">
        <f>SUM('Произв. прогр. Стоки'!D175)</f>
        <v>23</v>
      </c>
      <c r="E97" s="3800">
        <f>SUM('Произв. прогр. Стоки'!E175)</f>
        <v>279.83532500000001</v>
      </c>
      <c r="F97" s="3800">
        <f>SUM('Произв. прогр. Стоки'!F175)</f>
        <v>280.62512500000003</v>
      </c>
      <c r="G97" s="3800">
        <f>SUM('Произв. прогр. Стоки'!G175)</f>
        <v>281.65160000000003</v>
      </c>
      <c r="H97" s="3787">
        <f>SUM('Произв. прогр. Стоки'!H175)</f>
        <v>842.11205000000007</v>
      </c>
      <c r="I97" s="3800">
        <f>SUM('Произв. прогр. Стоки'!I175)</f>
        <v>277.73444999999998</v>
      </c>
      <c r="J97" s="3800">
        <f>SUM('Произв. прогр. Стоки'!J175)</f>
        <v>272.48882499999996</v>
      </c>
      <c r="K97" s="3800">
        <f>SUM('Произв. прогр. Стоки'!K175)</f>
        <v>262.85564999999997</v>
      </c>
      <c r="L97" s="3787">
        <f>SUM('Произв. прогр. Стоки'!L175)</f>
        <v>813.07892499999991</v>
      </c>
      <c r="M97" s="3787">
        <f>SUM('Произв. прогр. Стоки'!M175)</f>
        <v>1655.190975</v>
      </c>
      <c r="N97" s="3800">
        <f>SUM('Произв. прогр. Стоки'!N175)</f>
        <v>255.37707499999999</v>
      </c>
      <c r="O97" s="3800">
        <f>SUM('Произв. прогр. Стоки'!O175)</f>
        <v>264.26979999999998</v>
      </c>
      <c r="P97" s="3800">
        <f>SUM('Произв. прогр. Стоки'!P175)</f>
        <v>275.95735000000002</v>
      </c>
      <c r="Q97" s="3787">
        <f>SUM('Произв. прогр. Стоки'!Q175)</f>
        <v>795.60422499999993</v>
      </c>
      <c r="R97" s="3787">
        <f>SUM('Произв. прогр. Стоки'!R175)</f>
        <v>2450.7952</v>
      </c>
      <c r="S97" s="3800">
        <f>SUM('Произв. прогр. Стоки'!S175)</f>
        <v>281.65160000000003</v>
      </c>
      <c r="T97" s="3800">
        <f>SUM('Произв. прогр. Стоки'!T175)</f>
        <v>281.65160000000003</v>
      </c>
      <c r="U97" s="3800">
        <f>SUM('Произв. прогр. Стоки'!U175)</f>
        <v>281.65160000000003</v>
      </c>
      <c r="V97" s="3787">
        <f>SUM('Произв. прогр. Стоки'!V175)</f>
        <v>844.95480000000009</v>
      </c>
      <c r="W97" s="3812">
        <f t="shared" si="80"/>
        <v>3295.7500000000005</v>
      </c>
    </row>
    <row r="98" spans="1:23" ht="18.75" customHeight="1">
      <c r="A98" s="3786" t="s">
        <v>391</v>
      </c>
      <c r="B98" s="3790">
        <f>SUM('Произв. прогр. Стоки'!B176)</f>
        <v>1647.875</v>
      </c>
      <c r="C98" s="3790">
        <f>SUM('Произв. прогр. Стоки'!C176)</f>
        <v>1636.375</v>
      </c>
      <c r="D98" s="3790">
        <f>SUM('Произв. прогр. Стоки'!D176)</f>
        <v>11.5</v>
      </c>
      <c r="E98" s="3819">
        <f>SUM('Произв. прогр. Стоки'!E176)</f>
        <v>139.91766250000001</v>
      </c>
      <c r="F98" s="3819">
        <f>SUM('Произв. прогр. Стоки'!F176)</f>
        <v>140.31256250000001</v>
      </c>
      <c r="G98" s="3819">
        <f>SUM('Произв. прогр. Стоки'!G176)</f>
        <v>140.82580000000002</v>
      </c>
      <c r="H98" s="3790">
        <f>SUM('Произв. прогр. Стоки'!H176)</f>
        <v>421.05602500000003</v>
      </c>
      <c r="I98" s="3819">
        <f>SUM('Произв. прогр. Стоки'!I176)</f>
        <v>138.86722499999999</v>
      </c>
      <c r="J98" s="3819">
        <f>SUM('Произв. прогр. Стоки'!J176)</f>
        <v>136.24441249999998</v>
      </c>
      <c r="K98" s="3819">
        <f>SUM('Произв. прогр. Стоки'!K176)</f>
        <v>131.42782499999998</v>
      </c>
      <c r="L98" s="3790">
        <f>SUM('Произв. прогр. Стоки'!L176)</f>
        <v>406.53946249999996</v>
      </c>
      <c r="M98" s="3790">
        <f>SUM('Произв. прогр. Стоки'!M176)</f>
        <v>827.59548749999999</v>
      </c>
      <c r="N98" s="3819">
        <f>SUM('Произв. прогр. Стоки'!N176)</f>
        <v>127.6885375</v>
      </c>
      <c r="O98" s="3819">
        <f>SUM('Произв. прогр. Стоки'!O176)</f>
        <v>132.13489999999999</v>
      </c>
      <c r="P98" s="3819">
        <f>SUM('Произв. прогр. Стоки'!P176)</f>
        <v>137.97867500000001</v>
      </c>
      <c r="Q98" s="3790">
        <f>SUM('Произв. прогр. Стоки'!Q176)</f>
        <v>397.80211249999996</v>
      </c>
      <c r="R98" s="3790">
        <f>SUM('Произв. прогр. Стоки'!R176)</f>
        <v>1225.3976</v>
      </c>
      <c r="S98" s="3819">
        <f>SUM('Произв. прогр. Стоки'!S176)</f>
        <v>140.82580000000002</v>
      </c>
      <c r="T98" s="3819">
        <f>SUM('Произв. прогр. Стоки'!T176)</f>
        <v>140.82580000000002</v>
      </c>
      <c r="U98" s="3819">
        <f>SUM('Произв. прогр. Стоки'!U176)</f>
        <v>140.82580000000002</v>
      </c>
      <c r="V98" s="3790">
        <f>SUM('Произв. прогр. Стоки'!V176)</f>
        <v>422.47740000000005</v>
      </c>
      <c r="W98" s="3814">
        <f t="shared" si="80"/>
        <v>1647.8750000000002</v>
      </c>
    </row>
    <row r="99" spans="1:23" ht="18.75" customHeight="1">
      <c r="A99" s="3786" t="s">
        <v>1754</v>
      </c>
      <c r="B99" s="3790">
        <f>SUM('Произв. прогр. Стоки'!B177)</f>
        <v>1647.875</v>
      </c>
      <c r="C99" s="3790">
        <f>SUM('Произв. прогр. Стоки'!C177)</f>
        <v>1636.375</v>
      </c>
      <c r="D99" s="3790">
        <f>SUM('Произв. прогр. Стоки'!D177)</f>
        <v>11.5</v>
      </c>
      <c r="E99" s="3819">
        <f>SUM('Произв. прогр. Стоки'!E177)</f>
        <v>139.91766250000001</v>
      </c>
      <c r="F99" s="3819">
        <f>SUM('Произв. прогр. Стоки'!F177)</f>
        <v>140.31256250000001</v>
      </c>
      <c r="G99" s="3819">
        <f>SUM('Произв. прогр. Стоки'!G177)</f>
        <v>140.82580000000002</v>
      </c>
      <c r="H99" s="3790">
        <f>SUM('Произв. прогр. Стоки'!H177)</f>
        <v>421.05602500000003</v>
      </c>
      <c r="I99" s="3819">
        <f>SUM('Произв. прогр. Стоки'!I177)</f>
        <v>138.86722499999999</v>
      </c>
      <c r="J99" s="3819">
        <f>SUM('Произв. прогр. Стоки'!J177)</f>
        <v>136.24441249999998</v>
      </c>
      <c r="K99" s="3819">
        <f>SUM('Произв. прогр. Стоки'!K177)</f>
        <v>131.42782499999998</v>
      </c>
      <c r="L99" s="3790">
        <f>SUM('Произв. прогр. Стоки'!L177)</f>
        <v>406.53946249999996</v>
      </c>
      <c r="M99" s="3790">
        <f>SUM('Произв. прогр. Стоки'!M177)</f>
        <v>827.59548749999999</v>
      </c>
      <c r="N99" s="3819">
        <f>SUM('Произв. прогр. Стоки'!N177)</f>
        <v>127.6885375</v>
      </c>
      <c r="O99" s="3819">
        <f>SUM('Произв. прогр. Стоки'!O177)</f>
        <v>132.13489999999999</v>
      </c>
      <c r="P99" s="3819">
        <f>SUM('Произв. прогр. Стоки'!P177)</f>
        <v>137.97867500000001</v>
      </c>
      <c r="Q99" s="3790">
        <f>SUM('Произв. прогр. Стоки'!Q177)</f>
        <v>397.80211249999996</v>
      </c>
      <c r="R99" s="3790">
        <f>SUM('Произв. прогр. Стоки'!R177)</f>
        <v>1225.3976</v>
      </c>
      <c r="S99" s="3819">
        <f>SUM('Произв. прогр. Стоки'!S177)</f>
        <v>140.82580000000002</v>
      </c>
      <c r="T99" s="3819">
        <f>SUM('Произв. прогр. Стоки'!T177)</f>
        <v>140.82580000000002</v>
      </c>
      <c r="U99" s="3819">
        <f>SUM('Произв. прогр. Стоки'!U177)</f>
        <v>140.82580000000002</v>
      </c>
      <c r="V99" s="3790">
        <f>SUM('Произв. прогр. Стоки'!V177)</f>
        <v>422.47740000000005</v>
      </c>
      <c r="W99" s="3814">
        <f t="shared" si="80"/>
        <v>1647.8750000000002</v>
      </c>
    </row>
    <row r="100" spans="1:23" ht="18.75" customHeight="1">
      <c r="A100" s="3822" t="s">
        <v>1756</v>
      </c>
      <c r="B100" s="3787">
        <f>SUM('Произв. прогр. Стоки'!B178)</f>
        <v>2300</v>
      </c>
      <c r="C100" s="3787">
        <f>SUM('Произв. прогр. Стоки'!C178)</f>
        <v>2300</v>
      </c>
      <c r="D100" s="3787">
        <f>SUM('Произв. прогр. Стоки'!D178)</f>
        <v>0</v>
      </c>
      <c r="E100" s="3800">
        <f>SUM('Произв. прогр. Стоки'!E178)</f>
        <v>197.79999999999998</v>
      </c>
      <c r="F100" s="3800">
        <f>SUM('Произв. прогр. Стоки'!F178)</f>
        <v>195.5</v>
      </c>
      <c r="G100" s="3800">
        <f>SUM('Произв. прогр. Стоки'!G178)</f>
        <v>196.42</v>
      </c>
      <c r="H100" s="3787">
        <f>SUM('Произв. прогр. Стоки'!H178)</f>
        <v>589.71999999999991</v>
      </c>
      <c r="I100" s="3800">
        <f>SUM('Произв. прогр. Стоки'!I178)</f>
        <v>193.89</v>
      </c>
      <c r="J100" s="3800">
        <f>SUM('Произв. прогр. Стоки'!J178)</f>
        <v>188.59999999999997</v>
      </c>
      <c r="K100" s="3800">
        <f>SUM('Произв. прогр. Стоки'!K178)</f>
        <v>181.47</v>
      </c>
      <c r="L100" s="3787">
        <f>SUM('Произв. прогр. Стоки'!L178)</f>
        <v>563.95999999999992</v>
      </c>
      <c r="M100" s="3787">
        <f>SUM('Произв. прогр. Стоки'!M178)</f>
        <v>1153.6799999999998</v>
      </c>
      <c r="N100" s="3800">
        <f>SUM('Произв. прогр. Стоки'!N178)</f>
        <v>179.17</v>
      </c>
      <c r="O100" s="3800">
        <f>SUM('Произв. прогр. Стоки'!O178)</f>
        <v>186.52999999999997</v>
      </c>
      <c r="P100" s="3800">
        <f>SUM('Произв. прогр. Стоки'!P178)</f>
        <v>191.35999999999999</v>
      </c>
      <c r="Q100" s="3787">
        <f>SUM('Произв. прогр. Стоки'!Q178)</f>
        <v>557.05999999999995</v>
      </c>
      <c r="R100" s="3787">
        <f>SUM('Произв. прогр. Стоки'!R178)</f>
        <v>1710.7399999999998</v>
      </c>
      <c r="S100" s="3800">
        <f>SUM('Произв. прогр. Стоки'!S178)</f>
        <v>196.42</v>
      </c>
      <c r="T100" s="3800">
        <f>SUM('Произв. прогр. Стоки'!T178)</f>
        <v>196.42</v>
      </c>
      <c r="U100" s="3800">
        <f>SUM('Произв. прогр. Стоки'!U178)</f>
        <v>196.42</v>
      </c>
      <c r="V100" s="3787">
        <f>SUM('Произв. прогр. Стоки'!V178)</f>
        <v>589.26</v>
      </c>
      <c r="W100" s="3812">
        <f t="shared" si="80"/>
        <v>2300</v>
      </c>
    </row>
    <row r="101" spans="1:23" ht="18.75" customHeight="1">
      <c r="A101" s="3786" t="s">
        <v>391</v>
      </c>
      <c r="B101" s="3790">
        <f>SUM('Произв. прогр. Стоки'!B179)</f>
        <v>1150</v>
      </c>
      <c r="C101" s="3790">
        <f>SUM('Произв. прогр. Стоки'!C179)</f>
        <v>1150</v>
      </c>
      <c r="D101" s="3790">
        <f>SUM('Произв. прогр. Стоки'!D179)</f>
        <v>0</v>
      </c>
      <c r="E101" s="3819">
        <f>SUM('Произв. прогр. Стоки'!E179)</f>
        <v>98.899999999999991</v>
      </c>
      <c r="F101" s="3819">
        <f>SUM('Произв. прогр. Стоки'!F179)</f>
        <v>97.75</v>
      </c>
      <c r="G101" s="3819">
        <f>SUM('Произв. прогр. Стоки'!G179)</f>
        <v>98.21</v>
      </c>
      <c r="H101" s="3790">
        <f>SUM('Произв. прогр. Стоки'!H179)</f>
        <v>294.85999999999996</v>
      </c>
      <c r="I101" s="3819">
        <f>SUM('Произв. прогр. Стоки'!I179)</f>
        <v>96.944999999999993</v>
      </c>
      <c r="J101" s="3819">
        <f>SUM('Произв. прогр. Стоки'!J179)</f>
        <v>94.299999999999983</v>
      </c>
      <c r="K101" s="3819">
        <f>SUM('Произв. прогр. Стоки'!K179)</f>
        <v>90.734999999999999</v>
      </c>
      <c r="L101" s="3790">
        <f>SUM('Произв. прогр. Стоки'!L179)</f>
        <v>281.97999999999996</v>
      </c>
      <c r="M101" s="3790">
        <f>SUM('Произв. прогр. Стоки'!M179)</f>
        <v>576.83999999999992</v>
      </c>
      <c r="N101" s="3819">
        <f>SUM('Произв. прогр. Стоки'!N179)</f>
        <v>89.584999999999994</v>
      </c>
      <c r="O101" s="3819">
        <f>SUM('Произв. прогр. Стоки'!O179)</f>
        <v>93.264999999999986</v>
      </c>
      <c r="P101" s="3819">
        <f>SUM('Произв. прогр. Стоки'!P179)</f>
        <v>95.679999999999993</v>
      </c>
      <c r="Q101" s="3790">
        <f>SUM('Произв. прогр. Стоки'!Q179)</f>
        <v>278.52999999999997</v>
      </c>
      <c r="R101" s="3790">
        <f>SUM('Произв. прогр. Стоки'!R179)</f>
        <v>855.36999999999989</v>
      </c>
      <c r="S101" s="3819">
        <f>SUM('Произв. прогр. Стоки'!S179)</f>
        <v>98.21</v>
      </c>
      <c r="T101" s="3819">
        <f>SUM('Произв. прогр. Стоки'!T179)</f>
        <v>98.21</v>
      </c>
      <c r="U101" s="3819">
        <f>SUM('Произв. прогр. Стоки'!U179)</f>
        <v>98.21</v>
      </c>
      <c r="V101" s="3790">
        <f>SUM('Произв. прогр. Стоки'!V179)</f>
        <v>294.63</v>
      </c>
      <c r="W101" s="3814">
        <f t="shared" si="80"/>
        <v>1150</v>
      </c>
    </row>
    <row r="102" spans="1:23" ht="18.75" customHeight="1">
      <c r="A102" s="3786" t="s">
        <v>1754</v>
      </c>
      <c r="B102" s="3790">
        <f>SUM('Произв. прогр. Стоки'!B180)</f>
        <v>1150</v>
      </c>
      <c r="C102" s="3790">
        <f>SUM('Произв. прогр. Стоки'!C180)</f>
        <v>1150</v>
      </c>
      <c r="D102" s="3790">
        <f>SUM('Произв. прогр. Стоки'!D180)</f>
        <v>0</v>
      </c>
      <c r="E102" s="3819">
        <f>SUM('Произв. прогр. Стоки'!E180)</f>
        <v>98.899999999999991</v>
      </c>
      <c r="F102" s="3819">
        <f>SUM('Произв. прогр. Стоки'!F180)</f>
        <v>97.75</v>
      </c>
      <c r="G102" s="3819">
        <f>SUM('Произв. прогр. Стоки'!G180)</f>
        <v>98.21</v>
      </c>
      <c r="H102" s="3790">
        <f>SUM('Произв. прогр. Стоки'!H180)</f>
        <v>294.85999999999996</v>
      </c>
      <c r="I102" s="3819">
        <f>SUM('Произв. прогр. Стоки'!I180)</f>
        <v>96.944999999999993</v>
      </c>
      <c r="J102" s="3819">
        <f>SUM('Произв. прогр. Стоки'!J180)</f>
        <v>94.299999999999983</v>
      </c>
      <c r="K102" s="3819">
        <f>SUM('Произв. прогр. Стоки'!K180)</f>
        <v>90.734999999999999</v>
      </c>
      <c r="L102" s="3790">
        <f>SUM('Произв. прогр. Стоки'!L180)</f>
        <v>281.97999999999996</v>
      </c>
      <c r="M102" s="3790">
        <f>SUM('Произв. прогр. Стоки'!M180)</f>
        <v>576.83999999999992</v>
      </c>
      <c r="N102" s="3819">
        <f>SUM('Произв. прогр. Стоки'!N180)</f>
        <v>89.584999999999994</v>
      </c>
      <c r="O102" s="3819">
        <f>SUM('Произв. прогр. Стоки'!O180)</f>
        <v>93.264999999999986</v>
      </c>
      <c r="P102" s="3819">
        <f>SUM('Произв. прогр. Стоки'!P180)</f>
        <v>95.679999999999993</v>
      </c>
      <c r="Q102" s="3790">
        <f>SUM('Произв. прогр. Стоки'!Q180)</f>
        <v>278.52999999999997</v>
      </c>
      <c r="R102" s="3790">
        <f>SUM('Произв. прогр. Стоки'!R180)</f>
        <v>855.36999999999989</v>
      </c>
      <c r="S102" s="3819">
        <f>SUM('Произв. прогр. Стоки'!S180)</f>
        <v>98.21</v>
      </c>
      <c r="T102" s="3819">
        <f>SUM('Произв. прогр. Стоки'!T180)</f>
        <v>98.21</v>
      </c>
      <c r="U102" s="3819">
        <f>SUM('Произв. прогр. Стоки'!U180)</f>
        <v>98.21</v>
      </c>
      <c r="V102" s="3790">
        <f>SUM('Произв. прогр. Стоки'!V180)</f>
        <v>294.63</v>
      </c>
      <c r="W102" s="3814">
        <f t="shared" si="80"/>
        <v>1150</v>
      </c>
    </row>
    <row r="103" spans="1:23" ht="18.75" customHeight="1">
      <c r="A103" s="3822" t="s">
        <v>1757</v>
      </c>
      <c r="B103" s="3787">
        <f>SUM('Произв. прогр. Стоки'!B181)</f>
        <v>25.802066971406731</v>
      </c>
      <c r="C103" s="3787">
        <f>SUM('Произв. прогр. Стоки'!C181)</f>
        <v>25.880961745488598</v>
      </c>
      <c r="D103" s="3787">
        <f>SUM('Произв. прогр. Стоки'!D181)</f>
        <v>14.575855150693043</v>
      </c>
      <c r="E103" s="3800">
        <f>SUM('Произв. прогр. Стоки'!E181)</f>
        <v>24.245724476390677</v>
      </c>
      <c r="F103" s="3800">
        <f>SUM('Произв. прогр. Стоки'!F181)</f>
        <v>24.149693173618637</v>
      </c>
      <c r="G103" s="3800">
        <f>SUM('Произв. прогр. Стоки'!G181)</f>
        <v>25.727376148649117</v>
      </c>
      <c r="H103" s="3787">
        <f>SUM('Произв. прогр. Стоки'!H181)</f>
        <v>24.709274152220576</v>
      </c>
      <c r="I103" s="3800">
        <f>SUM('Произв. прогр. Стоки'!I181)</f>
        <v>24.310202229901794</v>
      </c>
      <c r="J103" s="3800">
        <f>SUM('Произв. прогр. Стоки'!J181)</f>
        <v>24.637726184931022</v>
      </c>
      <c r="K103" s="3800">
        <f>SUM('Произв. прогр. Стоки'!K181)</f>
        <v>27.223848764478518</v>
      </c>
      <c r="L103" s="3787">
        <f>SUM('Произв. прогр. Стоки'!L181)</f>
        <v>25.361902188035231</v>
      </c>
      <c r="M103" s="3787">
        <f>SUM('Произв. прогр. Стоки'!M181)</f>
        <v>25.02986441026318</v>
      </c>
      <c r="N103" s="3800">
        <f>SUM('Произв. прогр. Стоки'!N181)</f>
        <v>27.574078502135432</v>
      </c>
      <c r="O103" s="3800">
        <f>SUM('Произв. прогр. Стоки'!O181)</f>
        <v>26.726416400193706</v>
      </c>
      <c r="P103" s="3800">
        <f>SUM('Произв. прогр. Стоки'!P181)</f>
        <v>27.45577378849498</v>
      </c>
      <c r="Q103" s="3787">
        <f>SUM('Произв. прогр. Стоки'!Q181)</f>
        <v>27.251482742395158</v>
      </c>
      <c r="R103" s="3787">
        <f>SUM('Произв. прогр. Стоки'!R181)</f>
        <v>25.75107070746078</v>
      </c>
      <c r="S103" s="3800">
        <f>SUM('Произв. прогр. Стоки'!S181)</f>
        <v>25.352223301313607</v>
      </c>
      <c r="T103" s="3800">
        <f>SUM('Произв. прогр. Стоки'!T181)</f>
        <v>25.3895518249203</v>
      </c>
      <c r="U103" s="3800">
        <f>SUM('Произв. прогр. Стоки'!U181)</f>
        <v>27.10817045648216</v>
      </c>
      <c r="V103" s="3787">
        <f>SUM('Произв. прогр. Стоки'!V181)</f>
        <v>25.949981860905353</v>
      </c>
      <c r="W103" s="3838">
        <f t="shared" ref="W103" si="81">SUM(W67)</f>
        <v>25.802066970489381</v>
      </c>
    </row>
    <row r="104" spans="1:23" ht="18.75" customHeight="1">
      <c r="A104" s="3786" t="s">
        <v>391</v>
      </c>
      <c r="B104" s="3790">
        <f>SUM('Произв. прогр. Стоки'!B182)</f>
        <v>24.23345303768841</v>
      </c>
      <c r="C104" s="3790">
        <f>SUM('Произв. прогр. Стоки'!C182)</f>
        <v>25.126362899285034</v>
      </c>
      <c r="D104" s="3790">
        <f>SUM('Произв. прогр. Стоки'!D182)</f>
        <v>14.278742830118365</v>
      </c>
      <c r="E104" s="3819">
        <f>SUM('Произв. прогр. Стоки'!E182)</f>
        <v>24.23345303768841</v>
      </c>
      <c r="F104" s="3819">
        <f>SUM('Произв. прогр. Стоки'!F182)</f>
        <v>24.23345303768841</v>
      </c>
      <c r="G104" s="3819">
        <f>SUM('Произв. прогр. Стоки'!G182)</f>
        <v>24.23345303768841</v>
      </c>
      <c r="H104" s="3790">
        <f>SUM('Произв. прогр. Стоки'!H182)</f>
        <v>24.23345303768841</v>
      </c>
      <c r="I104" s="3819">
        <f>SUM('Произв. прогр. Стоки'!I182)</f>
        <v>24.23345303768841</v>
      </c>
      <c r="J104" s="3819">
        <f>SUM('Произв. прогр. Стоки'!J182)</f>
        <v>24.23345303768841</v>
      </c>
      <c r="K104" s="3819">
        <f>SUM('Произв. прогр. Стоки'!K182)</f>
        <v>24.23345303768841</v>
      </c>
      <c r="L104" s="3790">
        <f>SUM('Произв. прогр. Стоки'!L182)</f>
        <v>24.23345303768841</v>
      </c>
      <c r="M104" s="3790">
        <f>SUM('Произв. прогр. Стоки'!M182)</f>
        <v>24.23345303768841</v>
      </c>
      <c r="N104" s="3819">
        <f>SUM('Произв. прогр. Стоки'!N182)</f>
        <v>24.23345303768841</v>
      </c>
      <c r="O104" s="3819">
        <f>SUM('Произв. прогр. Стоки'!O182)</f>
        <v>24.23345303768841</v>
      </c>
      <c r="P104" s="3819">
        <f>SUM('Произв. прогр. Стоки'!P182)</f>
        <v>24.23345303768841</v>
      </c>
      <c r="Q104" s="3790">
        <f>SUM('Произв. прогр. Стоки'!Q182)</f>
        <v>24.23345303768841</v>
      </c>
      <c r="R104" s="3790">
        <f>SUM('Произв. прогр. Стоки'!R182)</f>
        <v>24.23345303768841</v>
      </c>
      <c r="S104" s="3819">
        <f>SUM('Произв. прогр. Стоки'!S182)</f>
        <v>24.23345303768841</v>
      </c>
      <c r="T104" s="3819">
        <f>SUM('Произв. прогр. Стоки'!T182)</f>
        <v>24.23345303768841</v>
      </c>
      <c r="U104" s="3819">
        <f>SUM('Произв. прогр. Стоки'!U182)</f>
        <v>24.23345303768841</v>
      </c>
      <c r="V104" s="3790">
        <f>SUM('Произв. прогр. Стоки'!V182)</f>
        <v>24.23345303768841</v>
      </c>
      <c r="W104" s="3836">
        <f>SUM(E104)</f>
        <v>24.23345303768841</v>
      </c>
    </row>
    <row r="105" spans="1:23" ht="18.75" customHeight="1">
      <c r="A105" s="3786" t="s">
        <v>1754</v>
      </c>
      <c r="B105" s="3790">
        <f>SUM('Произв. прогр. Стоки'!B183)</f>
        <v>26.553473163407308</v>
      </c>
      <c r="C105" s="3790">
        <f>SUM('Произв. прогр. Стоки'!C183)</f>
        <v>26.635560591692158</v>
      </c>
      <c r="D105" s="3790">
        <f>SUM('Произв. прогр. Стоки'!D183)</f>
        <v>14.872967471267721</v>
      </c>
      <c r="E105" s="3819">
        <f>SUM('Произв. прогр. Стоки'!E183)</f>
        <v>24.257995915092948</v>
      </c>
      <c r="F105" s="3819">
        <f>SUM('Произв. прогр. Стоки'!F183)</f>
        <v>24.065933309548868</v>
      </c>
      <c r="G105" s="3819">
        <f>SUM('Произв. прогр. Стоки'!G183)</f>
        <v>27.221299259609825</v>
      </c>
      <c r="H105" s="3790">
        <f>SUM('Произв. прогр. Стоки'!H183)</f>
        <v>25.185095266752736</v>
      </c>
      <c r="I105" s="3819">
        <f>SUM('Произв. прогр. Стоки'!I183)</f>
        <v>24.386951422115182</v>
      </c>
      <c r="J105" s="3819">
        <f>SUM('Произв. прогр. Стоки'!J183)</f>
        <v>25.041999332173631</v>
      </c>
      <c r="K105" s="3819">
        <f>SUM('Произв. прогр. Стоки'!K183)</f>
        <v>30.214244491268627</v>
      </c>
      <c r="L105" s="3790">
        <f>SUM('Произв. прогр. Стоки'!L183)</f>
        <v>26.490351338382052</v>
      </c>
      <c r="M105" s="3790">
        <f>SUM('Произв. прогр. Стоки'!M183)</f>
        <v>25.82627578283795</v>
      </c>
      <c r="N105" s="3819">
        <f>SUM('Произв. прогр. Стоки'!N183)</f>
        <v>30.914703966582451</v>
      </c>
      <c r="O105" s="3819">
        <f>SUM('Произв. прогр. Стоки'!O183)</f>
        <v>29.219379762698999</v>
      </c>
      <c r="P105" s="3819">
        <f>SUM('Произв. прогр. Стоки'!P183)</f>
        <v>30.678094539301554</v>
      </c>
      <c r="Q105" s="3790">
        <f>SUM('Произв. прогр. Стоки'!Q183)</f>
        <v>30.269512447101906</v>
      </c>
      <c r="R105" s="3790">
        <f>SUM('Произв. прогр. Стоки'!R183)</f>
        <v>27.268688377233154</v>
      </c>
      <c r="S105" s="3819">
        <f>SUM('Произв. прогр. Стоки'!S183)</f>
        <v>26.470993564938805</v>
      </c>
      <c r="T105" s="3819">
        <f>SUM('Произв. прогр. Стоки'!T183)</f>
        <v>26.545650612152187</v>
      </c>
      <c r="U105" s="3819">
        <f>SUM('Произв. прогр. Стоки'!U183)</f>
        <v>29.982887875275914</v>
      </c>
      <c r="V105" s="3790">
        <f>SUM('Произв. прогр. Стоки'!V183)</f>
        <v>27.666510684122301</v>
      </c>
      <c r="W105" s="669">
        <f t="shared" ref="W105" si="82">SUM(W96/W99)</f>
        <v>27.37068090329036</v>
      </c>
    </row>
    <row r="106" spans="1:23" ht="18.75" customHeight="1">
      <c r="A106" s="3826" t="s">
        <v>1758</v>
      </c>
      <c r="B106" s="3795">
        <f>SUM('Произв. прогр. Стоки'!B184)</f>
        <v>1.0957362585559207</v>
      </c>
      <c r="C106" s="3795">
        <f>SUM('Произв. прогр. Стоки'!C184)</f>
        <v>1.0600643116736195</v>
      </c>
      <c r="D106" s="3795">
        <f>SUM('Произв. прогр. Стоки'!D184)</f>
        <v>1.0416160335835694</v>
      </c>
      <c r="E106" s="3824">
        <f>SUM('Произв. прогр. Стоки'!E184)</f>
        <v>1.0010127684802643</v>
      </c>
      <c r="F106" s="3824">
        <f>SUM('Произв. прогр. Стоки'!F184)</f>
        <v>0.99308725306793832</v>
      </c>
      <c r="G106" s="3824">
        <f>SUM('Произв. прогр. Стоки'!G184)</f>
        <v>1.1232942832073767</v>
      </c>
      <c r="H106" s="3795">
        <f>SUM('Произв. прогр. Стоки'!H184)</f>
        <v>1.0392697742077579</v>
      </c>
      <c r="I106" s="3824">
        <f>SUM('Произв. прогр. Стоки'!I184)</f>
        <v>1.0063341523879428</v>
      </c>
      <c r="J106" s="3824">
        <f>SUM('Произв. прогр. Стоки'!J184)</f>
        <v>1.0333648817288956</v>
      </c>
      <c r="K106" s="3824">
        <f>SUM('Произв. прогр. Стоки'!K184)</f>
        <v>1.2467989784319533</v>
      </c>
      <c r="L106" s="3795">
        <f>SUM('Произв. прогр. Стоки'!L184)</f>
        <v>1.093131519358123</v>
      </c>
      <c r="M106" s="3795">
        <f>SUM('Произв. прогр. Стоки'!M184)</f>
        <v>1.0657282617822705</v>
      </c>
      <c r="N106" s="3824">
        <f>SUM('Произв. прогр. Стоки'!N184)</f>
        <v>1.2757036283068373</v>
      </c>
      <c r="O106" s="3824">
        <f>SUM('Произв. прогр. Стоки'!O184)</f>
        <v>1.205745616081058</v>
      </c>
      <c r="P106" s="3824">
        <f>SUM('Произв. прогр. Стоки'!P184)</f>
        <v>1.2659398762359739</v>
      </c>
      <c r="Q106" s="3795">
        <f>SUM('Произв. прогр. Стоки'!Q184)</f>
        <v>1.2490796255913708</v>
      </c>
      <c r="R106" s="3795">
        <f>SUM('Произв. прогр. Стоки'!R184)</f>
        <v>1.1252498079751276</v>
      </c>
      <c r="S106" s="3824">
        <f>SUM('Произв. прогр. Стоки'!S184)</f>
        <v>1.0923327155965155</v>
      </c>
      <c r="T106" s="3824">
        <f>SUM('Произв. прогр. Стоки'!T184)</f>
        <v>1.095413458860683</v>
      </c>
      <c r="U106" s="3824">
        <f>SUM('Произв. прогр. Стоки'!U184)</f>
        <v>1.2372519850409207</v>
      </c>
      <c r="V106" s="3795">
        <f>SUM('Произв. прогр. Стоки'!V184)</f>
        <v>1.1416660531660396</v>
      </c>
      <c r="W106" s="3816">
        <f t="shared" ref="W106" si="83">SUM(W105/W104)</f>
        <v>1.1294585571739555</v>
      </c>
    </row>
    <row r="107" spans="1:23" ht="18.75" customHeight="1">
      <c r="A107" s="3822" t="s">
        <v>1759</v>
      </c>
      <c r="B107" s="3787">
        <f>SUM('Произв. прогр. Стоки'!B185)</f>
        <v>22.984999999999999</v>
      </c>
      <c r="C107" s="3787">
        <f>SUM('Произв. прогр. Стоки'!C185)</f>
        <v>22.984999999999999</v>
      </c>
      <c r="D107" s="3787">
        <f>SUM('Произв. прогр. Стоки'!D185)</f>
        <v>0</v>
      </c>
      <c r="E107" s="3800">
        <f>SUM('Произв. прогр. Стоки'!E185)</f>
        <v>22.984999999999996</v>
      </c>
      <c r="F107" s="3800">
        <f>SUM('Произв. прогр. Стоки'!F185)</f>
        <v>22.985000000000007</v>
      </c>
      <c r="G107" s="3800">
        <f>SUM('Произв. прогр. Стоки'!G185)</f>
        <v>22.985000000000003</v>
      </c>
      <c r="H107" s="3787">
        <f>SUM('Произв. прогр. Стоки'!H185)</f>
        <v>22.984999999999999</v>
      </c>
      <c r="I107" s="3800">
        <f>SUM('Произв. прогр. Стоки'!I185)</f>
        <v>22.984999999999999</v>
      </c>
      <c r="J107" s="3800">
        <f>SUM('Произв. прогр. Стоки'!J185)</f>
        <v>22.985000000000003</v>
      </c>
      <c r="K107" s="3800">
        <f>SUM('Произв. прогр. Стоки'!K185)</f>
        <v>22.984999999999999</v>
      </c>
      <c r="L107" s="3787">
        <f>SUM('Произв. прогр. Стоки'!L185)</f>
        <v>22.984999999999999</v>
      </c>
      <c r="M107" s="3787">
        <f>SUM('Произв. прогр. Стоки'!M185)</f>
        <v>22.984999999999999</v>
      </c>
      <c r="N107" s="3800">
        <f>SUM('Произв. прогр. Стоки'!N185)</f>
        <v>22.985000000000003</v>
      </c>
      <c r="O107" s="3800">
        <f>SUM('Произв. прогр. Стоки'!O185)</f>
        <v>22.984999999999999</v>
      </c>
      <c r="P107" s="3800">
        <f>SUM('Произв. прогр. Стоки'!P185)</f>
        <v>22.985000000000003</v>
      </c>
      <c r="Q107" s="3787">
        <f>SUM('Произв. прогр. Стоки'!Q185)</f>
        <v>22.984999999999999</v>
      </c>
      <c r="R107" s="3787">
        <f>SUM('Произв. прогр. Стоки'!R185)</f>
        <v>22.984999999999999</v>
      </c>
      <c r="S107" s="3800">
        <f>SUM('Произв. прогр. Стоки'!S185)</f>
        <v>22.985000000000003</v>
      </c>
      <c r="T107" s="3800">
        <f>SUM('Произв. прогр. Стоки'!T185)</f>
        <v>22.985000000000003</v>
      </c>
      <c r="U107" s="3800">
        <f>SUM('Произв. прогр. Стоки'!U185)</f>
        <v>22.985000000000003</v>
      </c>
      <c r="V107" s="3787">
        <f>SUM('Произв. прогр. Стоки'!V185)</f>
        <v>22.985000000000003</v>
      </c>
      <c r="W107" s="3833">
        <f t="shared" ref="W107" si="84">SUM((W108*W101)+(W109*W102))/W100</f>
        <v>22.984999999999999</v>
      </c>
    </row>
    <row r="108" spans="1:23" ht="18.75" customHeight="1">
      <c r="A108" s="3786" t="s">
        <v>391</v>
      </c>
      <c r="B108" s="3790">
        <f>SUM('Произв. прогр. Стоки'!B186)</f>
        <v>22.500000000000004</v>
      </c>
      <c r="C108" s="3790">
        <f>SUM('Произв. прогр. Стоки'!C186)</f>
        <v>22.500000000000004</v>
      </c>
      <c r="D108" s="3790">
        <f>SUM('Произв. прогр. Стоки'!D186)</f>
        <v>0</v>
      </c>
      <c r="E108" s="3819">
        <f>SUM('Произв. прогр. Стоки'!E186)</f>
        <v>22.500000000000004</v>
      </c>
      <c r="F108" s="3819">
        <f>SUM('Произв. прогр. Стоки'!F186)</f>
        <v>22.500000000000004</v>
      </c>
      <c r="G108" s="3819">
        <f>SUM('Произв. прогр. Стоки'!G186)</f>
        <v>22.500000000000004</v>
      </c>
      <c r="H108" s="3790">
        <f>SUM('Произв. прогр. Стоки'!H186)</f>
        <v>22.500000000000004</v>
      </c>
      <c r="I108" s="3819">
        <f>SUM('Произв. прогр. Стоки'!I186)</f>
        <v>22.500000000000004</v>
      </c>
      <c r="J108" s="3819">
        <f>SUM('Произв. прогр. Стоки'!J186)</f>
        <v>22.500000000000004</v>
      </c>
      <c r="K108" s="3819">
        <f>SUM('Произв. прогр. Стоки'!K186)</f>
        <v>22.500000000000004</v>
      </c>
      <c r="L108" s="3790">
        <f>SUM('Произв. прогр. Стоки'!L186)</f>
        <v>22.500000000000004</v>
      </c>
      <c r="M108" s="3790">
        <f>SUM('Произв. прогр. Стоки'!M186)</f>
        <v>22.500000000000004</v>
      </c>
      <c r="N108" s="3819">
        <f>SUM('Произв. прогр. Стоки'!N186)</f>
        <v>22.500000000000004</v>
      </c>
      <c r="O108" s="3819">
        <f>SUM('Произв. прогр. Стоки'!O186)</f>
        <v>22.500000000000004</v>
      </c>
      <c r="P108" s="3819">
        <f>SUM('Произв. прогр. Стоки'!P186)</f>
        <v>22.500000000000004</v>
      </c>
      <c r="Q108" s="3790">
        <f>SUM('Произв. прогр. Стоки'!Q186)</f>
        <v>22.500000000000004</v>
      </c>
      <c r="R108" s="3790">
        <f>SUM('Произв. прогр. Стоки'!R186)</f>
        <v>22.500000000000004</v>
      </c>
      <c r="S108" s="3819">
        <f>SUM('Произв. прогр. Стоки'!S186)</f>
        <v>22.500000000000004</v>
      </c>
      <c r="T108" s="3819">
        <f>SUM('Произв. прогр. Стоки'!T186)</f>
        <v>22.500000000000004</v>
      </c>
      <c r="U108" s="3819">
        <f>SUM('Произв. прогр. Стоки'!U186)</f>
        <v>22.500000000000004</v>
      </c>
      <c r="V108" s="3790">
        <f>SUM('Произв. прогр. Стоки'!V186)</f>
        <v>22.500000000000004</v>
      </c>
      <c r="W108" s="3836">
        <f>SUM(E108)</f>
        <v>22.500000000000004</v>
      </c>
    </row>
    <row r="109" spans="1:23" ht="18.75" customHeight="1">
      <c r="A109" s="3786" t="s">
        <v>1754</v>
      </c>
      <c r="B109" s="3790">
        <f>SUM('Произв. прогр. Стоки'!B187)</f>
        <v>23.47</v>
      </c>
      <c r="C109" s="3790">
        <f>SUM('Произв. прогр. Стоки'!C187)</f>
        <v>23.47</v>
      </c>
      <c r="D109" s="3790">
        <f>SUM('Произв. прогр. Стоки'!D187)</f>
        <v>0</v>
      </c>
      <c r="E109" s="3819">
        <f>SUM('Произв. прогр. Стоки'!E187)</f>
        <v>23.47</v>
      </c>
      <c r="F109" s="3819">
        <f>SUM('Произв. прогр. Стоки'!F187)</f>
        <v>23.47</v>
      </c>
      <c r="G109" s="3819">
        <f>SUM('Произв. прогр. Стоки'!G187)</f>
        <v>23.47</v>
      </c>
      <c r="H109" s="3790">
        <f>SUM('Произв. прогр. Стоки'!H187)</f>
        <v>23.47</v>
      </c>
      <c r="I109" s="3819">
        <f>SUM('Произв. прогр. Стоки'!I187)</f>
        <v>23.47</v>
      </c>
      <c r="J109" s="3819">
        <f>SUM('Произв. прогр. Стоки'!J187)</f>
        <v>23.47</v>
      </c>
      <c r="K109" s="3819">
        <f>SUM('Произв. прогр. Стоки'!K187)</f>
        <v>23.47</v>
      </c>
      <c r="L109" s="3790">
        <f>SUM('Произв. прогр. Стоки'!L187)</f>
        <v>23.47</v>
      </c>
      <c r="M109" s="3790">
        <f>SUM('Произв. прогр. Стоки'!M187)</f>
        <v>23.47</v>
      </c>
      <c r="N109" s="3819">
        <f>SUM('Произв. прогр. Стоки'!N187)</f>
        <v>23.47</v>
      </c>
      <c r="O109" s="3819">
        <f>SUM('Произв. прогр. Стоки'!O187)</f>
        <v>23.47</v>
      </c>
      <c r="P109" s="3819">
        <f>SUM('Произв. прогр. Стоки'!P187)</f>
        <v>23.47</v>
      </c>
      <c r="Q109" s="3790">
        <f>SUM('Произв. прогр. Стоки'!Q187)</f>
        <v>23.47</v>
      </c>
      <c r="R109" s="3790">
        <f>SUM('Произв. прогр. Стоки'!R187)</f>
        <v>23.47</v>
      </c>
      <c r="S109" s="3819">
        <f>SUM('Произв. прогр. Стоки'!S187)</f>
        <v>23.47</v>
      </c>
      <c r="T109" s="3819">
        <f>SUM('Произв. прогр. Стоки'!T187)</f>
        <v>23.47</v>
      </c>
      <c r="U109" s="3819">
        <f>SUM('Произв. прогр. Стоки'!U187)</f>
        <v>23.47</v>
      </c>
      <c r="V109" s="3790">
        <f>SUM('Произв. прогр. Стоки'!V187)</f>
        <v>23.47</v>
      </c>
      <c r="W109" s="3836">
        <f>SUM(E109)</f>
        <v>23.47</v>
      </c>
    </row>
    <row r="110" spans="1:23" ht="18.75" customHeight="1">
      <c r="A110" s="3826" t="s">
        <v>1760</v>
      </c>
      <c r="B110" s="3795">
        <f>SUM('Произв. прогр. Стоки'!B188)</f>
        <v>1.0431111111111109</v>
      </c>
      <c r="C110" s="3795">
        <f>SUM('Произв. прогр. Стоки'!C188)</f>
        <v>1.0431111111111109</v>
      </c>
      <c r="D110" s="3795">
        <f>SUM('Произв. прогр. Стоки'!D188)</f>
        <v>0</v>
      </c>
      <c r="E110" s="3824">
        <f>SUM('Произв. прогр. Стоки'!E188)</f>
        <v>1.0431111111111109</v>
      </c>
      <c r="F110" s="3824">
        <f>SUM('Произв. прогр. Стоки'!F188)</f>
        <v>1.0431111111111109</v>
      </c>
      <c r="G110" s="3824">
        <f>SUM('Произв. прогр. Стоки'!G188)</f>
        <v>1.0431111111111109</v>
      </c>
      <c r="H110" s="3795">
        <f>SUM('Произв. прогр. Стоки'!H188)</f>
        <v>1.0431111111111109</v>
      </c>
      <c r="I110" s="3824">
        <f>SUM('Произв. прогр. Стоки'!I188)</f>
        <v>1.0431111111111109</v>
      </c>
      <c r="J110" s="3824">
        <f>SUM('Произв. прогр. Стоки'!J188)</f>
        <v>1.0431111111111109</v>
      </c>
      <c r="K110" s="3824">
        <f>SUM('Произв. прогр. Стоки'!K188)</f>
        <v>1.0431111111111109</v>
      </c>
      <c r="L110" s="3795">
        <f>SUM('Произв. прогр. Стоки'!L188)</f>
        <v>1.0431111111111109</v>
      </c>
      <c r="M110" s="3795">
        <f>SUM('Произв. прогр. Стоки'!M188)</f>
        <v>1.0431111111111109</v>
      </c>
      <c r="N110" s="3824">
        <f>SUM('Произв. прогр. Стоки'!N188)</f>
        <v>1.0431111111111109</v>
      </c>
      <c r="O110" s="3824">
        <f>SUM('Произв. прогр. Стоки'!O188)</f>
        <v>1.0431111111111109</v>
      </c>
      <c r="P110" s="3824">
        <f>SUM('Произв. прогр. Стоки'!P188)</f>
        <v>1.0431111111111109</v>
      </c>
      <c r="Q110" s="3795">
        <f>SUM('Произв. прогр. Стоки'!Q188)</f>
        <v>1.0431111111111109</v>
      </c>
      <c r="R110" s="3795">
        <f>SUM('Произв. прогр. Стоки'!R188)</f>
        <v>1.0431111111111109</v>
      </c>
      <c r="S110" s="3824">
        <f>SUM('Произв. прогр. Стоки'!S188)</f>
        <v>1.0431111111111109</v>
      </c>
      <c r="T110" s="3824">
        <f>SUM('Произв. прогр. Стоки'!T188)</f>
        <v>1.0431111111111109</v>
      </c>
      <c r="U110" s="3824">
        <f>SUM('Произв. прогр. Стоки'!U188)</f>
        <v>1.0431111111111109</v>
      </c>
      <c r="V110" s="3795">
        <f>SUM('Произв. прогр. Стоки'!V188)</f>
        <v>1.0431111111111109</v>
      </c>
      <c r="W110" s="3816">
        <f t="shared" ref="W110" si="85">SUM(W109/W108)</f>
        <v>1.0431111111111109</v>
      </c>
    </row>
    <row r="111" spans="1:23" ht="18.75" customHeight="1">
      <c r="A111" s="3822" t="s">
        <v>1761</v>
      </c>
      <c r="B111" s="3787">
        <f>SUM('Произв. прогр. Стоки'!B189)</f>
        <v>6660.7120146237685</v>
      </c>
      <c r="C111" s="3787">
        <f>SUM('Произв. прогр. Стоки'!C189)</f>
        <v>6660.7120146237685</v>
      </c>
      <c r="D111" s="3787">
        <f>SUM('Произв. прогр. Стоки'!D189)</f>
        <v>0</v>
      </c>
      <c r="E111" s="3800">
        <f>SUM('Произв. прогр. Стоки'!E189)</f>
        <v>572.82123325764405</v>
      </c>
      <c r="F111" s="3800">
        <f>SUM('Произв. прогр. Стоки'!F189)</f>
        <v>566.16052124302041</v>
      </c>
      <c r="G111" s="3800">
        <f>SUM('Произв. прогр. Стоки'!G189)</f>
        <v>568.82480604886973</v>
      </c>
      <c r="H111" s="3787">
        <f>SUM('Произв. прогр. Стоки'!H189)</f>
        <v>1707.8065605495342</v>
      </c>
      <c r="I111" s="3800">
        <f>SUM('Произв. прогр. Стоки'!I189)</f>
        <v>561.49802283278359</v>
      </c>
      <c r="J111" s="3800">
        <f>SUM('Произв. прогр. Стоки'!J189)</f>
        <v>546.17838519914892</v>
      </c>
      <c r="K111" s="3800">
        <f>SUM('Произв. прогр. Стоки'!K189)</f>
        <v>525.53017795381538</v>
      </c>
      <c r="L111" s="3787">
        <f>SUM('Произв. прогр. Стоки'!L189)</f>
        <v>1633.206585985748</v>
      </c>
      <c r="M111" s="3787">
        <f>SUM('Произв. прогр. Стоки'!M189)</f>
        <v>3341.0131465352824</v>
      </c>
      <c r="N111" s="3800">
        <f>SUM('Произв. прогр. Стоки'!N189)</f>
        <v>518.86946593919151</v>
      </c>
      <c r="O111" s="3800">
        <f>SUM('Произв. прогр. Стоки'!O189)</f>
        <v>540.18374438598755</v>
      </c>
      <c r="P111" s="3800">
        <f>SUM('Произв. прогр. Стоки'!P189)</f>
        <v>554.17123961669745</v>
      </c>
      <c r="Q111" s="3787">
        <f>SUM('Произв. прогр. Стоки'!Q189)</f>
        <v>1613.2244499418764</v>
      </c>
      <c r="R111" s="3787">
        <f>SUM('Произв. прогр. Стоки'!R189)</f>
        <v>4954.2375964771591</v>
      </c>
      <c r="S111" s="3800">
        <f>SUM('Произв. прогр. Стоки'!S189)</f>
        <v>568.82480604886973</v>
      </c>
      <c r="T111" s="3800">
        <f>SUM('Произв. прогр. Стоки'!T189)</f>
        <v>568.82480604886973</v>
      </c>
      <c r="U111" s="3800">
        <f>SUM('Произв. прогр. Стоки'!U189)</f>
        <v>568.82480604886973</v>
      </c>
      <c r="V111" s="3787">
        <f>SUM('Произв. прогр. Стоки'!V189)</f>
        <v>1706.4744181466092</v>
      </c>
      <c r="W111" s="3812">
        <f t="shared" ref="W111:W113" si="86">SUM(E111+F111+G111+I111+J111+K111+N111+O111+P111+S111+T111+U111)</f>
        <v>6660.7120146237676</v>
      </c>
    </row>
    <row r="112" spans="1:23" ht="18.75" customHeight="1">
      <c r="A112" s="3786" t="s">
        <v>391</v>
      </c>
      <c r="B112" s="3790">
        <f>SUM('Произв. прогр. Стоки'!B190)</f>
        <v>3020.3173341777851</v>
      </c>
      <c r="C112" s="3790">
        <f>SUM('Произв. прогр. Стоки'!C190)</f>
        <v>3020.3173341777851</v>
      </c>
      <c r="D112" s="3790">
        <f>SUM('Произв. прогр. Стоки'!D190)</f>
        <v>0</v>
      </c>
      <c r="E112" s="3819">
        <f>SUM('Произв. прогр. Стоки'!E190)</f>
        <v>259.7472907392895</v>
      </c>
      <c r="F112" s="3819">
        <f>SUM('Произв. прогр. Стоки'!F190)</f>
        <v>256.72697340511178</v>
      </c>
      <c r="G112" s="3819">
        <f>SUM('Произв. прогр. Стоки'!G190)</f>
        <v>257.93510033878283</v>
      </c>
      <c r="H112" s="3790">
        <f>SUM('Произв. прогр. Стоки'!H190)</f>
        <v>774.40936448318416</v>
      </c>
      <c r="I112" s="3819">
        <f>SUM('Произв. прогр. Стоки'!I190)</f>
        <v>254.61275127118728</v>
      </c>
      <c r="J112" s="3819">
        <f>SUM('Произв. прогр. Стоки'!J190)</f>
        <v>247.66602140257837</v>
      </c>
      <c r="K112" s="3819">
        <f>SUM('Произв. прогр. Стоки'!K190)</f>
        <v>238.30303766662726</v>
      </c>
      <c r="L112" s="3790">
        <f>SUM('Произв. прогр. Стоки'!L190)</f>
        <v>740.58181034039285</v>
      </c>
      <c r="M112" s="3790">
        <f>SUM('Произв. прогр. Стоки'!M190)</f>
        <v>1514.991174823577</v>
      </c>
      <c r="N112" s="3819">
        <f>SUM('Произв. прогр. Стоки'!N190)</f>
        <v>235.28272033244946</v>
      </c>
      <c r="O112" s="3819">
        <f>SUM('Произв. прогр. Стоки'!O190)</f>
        <v>244.94773580181837</v>
      </c>
      <c r="P112" s="3819">
        <f>SUM('Произв. прогр. Стоки'!P190)</f>
        <v>251.29040220359173</v>
      </c>
      <c r="Q112" s="3790">
        <f>SUM('Произв. прогр. Стоки'!Q190)</f>
        <v>731.52085833785952</v>
      </c>
      <c r="R112" s="3790">
        <f>SUM('Произв. прогр. Стоки'!R190)</f>
        <v>2246.5120331614366</v>
      </c>
      <c r="S112" s="3819">
        <f>SUM('Произв. прогр. Стоки'!S190)</f>
        <v>257.93510033878283</v>
      </c>
      <c r="T112" s="3819">
        <f>SUM('Произв. прогр. Стоки'!T190)</f>
        <v>257.93510033878283</v>
      </c>
      <c r="U112" s="3819">
        <f>SUM('Произв. прогр. Стоки'!U190)</f>
        <v>257.93510033878283</v>
      </c>
      <c r="V112" s="3790">
        <f>SUM('Произв. прогр. Стоки'!V190)</f>
        <v>773.80530101634849</v>
      </c>
      <c r="W112" s="3814">
        <f t="shared" si="86"/>
        <v>3020.3173341777851</v>
      </c>
    </row>
    <row r="113" spans="1:23" ht="18.75" customHeight="1">
      <c r="A113" s="3786" t="s">
        <v>1754</v>
      </c>
      <c r="B113" s="3790">
        <f>SUM('Произв. прогр. Стоки'!B191)</f>
        <v>3640.3946804459833</v>
      </c>
      <c r="C113" s="3790">
        <f>SUM('Произв. прогр. Стоки'!C191)</f>
        <v>3640.3946804459833</v>
      </c>
      <c r="D113" s="3790">
        <f>SUM('Произв. прогр. Стоки'!D191)</f>
        <v>0</v>
      </c>
      <c r="E113" s="3819">
        <f>SUM('Произв. прогр. Стоки'!E191)</f>
        <v>313.07394251835456</v>
      </c>
      <c r="F113" s="3819">
        <f>SUM('Произв. прогр. Стоки'!F191)</f>
        <v>309.43354783790858</v>
      </c>
      <c r="G113" s="3819">
        <f>SUM('Произв. прогр. Стоки'!G191)</f>
        <v>310.88970571008696</v>
      </c>
      <c r="H113" s="3790">
        <f>SUM('Произв. прогр. Стоки'!H191)</f>
        <v>933.39719606635003</v>
      </c>
      <c r="I113" s="3819">
        <f>SUM('Произв. прогр. Стоки'!I191)</f>
        <v>306.88527156159637</v>
      </c>
      <c r="J113" s="3819">
        <f>SUM('Произв. прогр. Стоки'!J191)</f>
        <v>298.51236379657058</v>
      </c>
      <c r="K113" s="3819">
        <f>SUM('Произв. прогр. Стоки'!K191)</f>
        <v>287.22714028718809</v>
      </c>
      <c r="L113" s="3790">
        <f>SUM('Произв. прогр. Стоки'!L191)</f>
        <v>892.62477564535516</v>
      </c>
      <c r="M113" s="3790">
        <f>SUM('Произв. прогр. Стоки'!M191)</f>
        <v>1826.0219717117052</v>
      </c>
      <c r="N113" s="3819">
        <f>SUM('Произв. прогр. Стоки'!N191)</f>
        <v>283.58674560674206</v>
      </c>
      <c r="O113" s="3819">
        <f>SUM('Произв. прогр. Стоки'!O191)</f>
        <v>295.23600858416921</v>
      </c>
      <c r="P113" s="3819">
        <f>SUM('Произв. прогр. Стоки'!P191)</f>
        <v>302.88083741310578</v>
      </c>
      <c r="Q113" s="3790">
        <f>SUM('Произв. прогр. Стоки'!Q191)</f>
        <v>881.70359160401699</v>
      </c>
      <c r="R113" s="3790">
        <f>SUM('Произв. прогр. Стоки'!R191)</f>
        <v>2707.725563315722</v>
      </c>
      <c r="S113" s="3819">
        <f>SUM('Произв. прогр. Стоки'!S191)</f>
        <v>310.88970571008696</v>
      </c>
      <c r="T113" s="3819">
        <f>SUM('Произв. прогр. Стоки'!T191)</f>
        <v>310.88970571008696</v>
      </c>
      <c r="U113" s="3819">
        <f>SUM('Произв. прогр. Стоки'!U191)</f>
        <v>310.88970571008696</v>
      </c>
      <c r="V113" s="3790">
        <f>SUM('Произв. прогр. Стоки'!V191)</f>
        <v>932.66911713026093</v>
      </c>
      <c r="W113" s="3814">
        <f t="shared" si="86"/>
        <v>3640.3946804459838</v>
      </c>
    </row>
    <row r="114" spans="1:23" ht="18.75" customHeight="1"/>
    <row r="115" spans="1:23" ht="18.75" customHeight="1"/>
    <row r="116" spans="1:23" ht="18.75" customHeight="1">
      <c r="A116" s="435" t="s">
        <v>1763</v>
      </c>
      <c r="B116" s="435"/>
      <c r="C116" s="435" t="s">
        <v>1764</v>
      </c>
    </row>
    <row r="117" spans="1:23" ht="18.75" customHeight="1"/>
    <row r="118" spans="1:23" ht="18.75" customHeight="1"/>
    <row r="119" spans="1:23" ht="18.75" customHeight="1"/>
    <row r="120" spans="1:23" ht="18.75" customHeight="1"/>
    <row r="121" spans="1:23" ht="18.75" customHeight="1"/>
    <row r="122" spans="1:23" ht="18.75" customHeight="1"/>
    <row r="123" spans="1:23" ht="18.75" customHeight="1"/>
    <row r="124" spans="1:23" ht="18.75" customHeight="1"/>
    <row r="125" spans="1:23" ht="18.75" customHeight="1"/>
    <row r="126" spans="1:23" ht="18.75" customHeight="1"/>
    <row r="127" spans="1:23" ht="18.75" customHeight="1"/>
    <row r="128" spans="1:2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</sheetData>
  <mergeCells count="116"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U10:U11"/>
    <mergeCell ref="V10:V11"/>
    <mergeCell ref="W10:W11"/>
    <mergeCell ref="A17:V17"/>
    <mergeCell ref="A18:A19"/>
    <mergeCell ref="B18:B19"/>
    <mergeCell ref="C18:D18"/>
    <mergeCell ref="E18:E19"/>
    <mergeCell ref="F18:F19"/>
    <mergeCell ref="G18:G19"/>
    <mergeCell ref="O10:O11"/>
    <mergeCell ref="P10:P11"/>
    <mergeCell ref="Q10:Q11"/>
    <mergeCell ref="R10:R11"/>
    <mergeCell ref="S10:S11"/>
    <mergeCell ref="T10:T11"/>
    <mergeCell ref="I10:I11"/>
    <mergeCell ref="J10:J11"/>
    <mergeCell ref="K10:K11"/>
    <mergeCell ref="L10:L11"/>
    <mergeCell ref="M10:M11"/>
    <mergeCell ref="N10:N11"/>
    <mergeCell ref="W18:W19"/>
    <mergeCell ref="U18:U19"/>
    <mergeCell ref="V18:V19"/>
    <mergeCell ref="A31:V31"/>
    <mergeCell ref="A32:A33"/>
    <mergeCell ref="B32:B33"/>
    <mergeCell ref="C32:D32"/>
    <mergeCell ref="E32:E33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F32:F33"/>
    <mergeCell ref="G32:G33"/>
    <mergeCell ref="H32:H33"/>
    <mergeCell ref="I32:I33"/>
    <mergeCell ref="J32:J33"/>
    <mergeCell ref="K32:K33"/>
    <mergeCell ref="T18:T19"/>
    <mergeCell ref="R32:R33"/>
    <mergeCell ref="S32:S33"/>
    <mergeCell ref="T32:T33"/>
    <mergeCell ref="U32:U33"/>
    <mergeCell ref="V32:V33"/>
    <mergeCell ref="W32:W33"/>
    <mergeCell ref="L32:L33"/>
    <mergeCell ref="M32:M33"/>
    <mergeCell ref="N32:N33"/>
    <mergeCell ref="O32:O33"/>
    <mergeCell ref="P32:P33"/>
    <mergeCell ref="Q32:Q33"/>
    <mergeCell ref="M69:M70"/>
    <mergeCell ref="N69:N70"/>
    <mergeCell ref="O69:O70"/>
    <mergeCell ref="A68:V68"/>
    <mergeCell ref="A69:A70"/>
    <mergeCell ref="B69:B70"/>
    <mergeCell ref="C69:D69"/>
    <mergeCell ref="E69:E70"/>
    <mergeCell ref="F69:F70"/>
    <mergeCell ref="G69:G70"/>
    <mergeCell ref="H69:H70"/>
    <mergeCell ref="I69:I70"/>
    <mergeCell ref="H92:H93"/>
    <mergeCell ref="I92:I93"/>
    <mergeCell ref="J92:J93"/>
    <mergeCell ref="K92:K93"/>
    <mergeCell ref="L92:L93"/>
    <mergeCell ref="M92:M93"/>
    <mergeCell ref="V69:V70"/>
    <mergeCell ref="W69:W70"/>
    <mergeCell ref="A91:V91"/>
    <mergeCell ref="A92:A93"/>
    <mergeCell ref="B92:B93"/>
    <mergeCell ref="C92:D92"/>
    <mergeCell ref="E92:E93"/>
    <mergeCell ref="F92:F93"/>
    <mergeCell ref="G92:G93"/>
    <mergeCell ref="P69:P70"/>
    <mergeCell ref="Q69:Q70"/>
    <mergeCell ref="R69:R70"/>
    <mergeCell ref="S69:S70"/>
    <mergeCell ref="T69:T70"/>
    <mergeCell ref="U69:U70"/>
    <mergeCell ref="J69:J70"/>
    <mergeCell ref="K69:K70"/>
    <mergeCell ref="L69:L70"/>
    <mergeCell ref="T92:T93"/>
    <mergeCell ref="U92:U93"/>
    <mergeCell ref="V92:V93"/>
    <mergeCell ref="W92:W93"/>
    <mergeCell ref="N92:N93"/>
    <mergeCell ref="O92:O93"/>
    <mergeCell ref="P92:P93"/>
    <mergeCell ref="Q92:Q93"/>
    <mergeCell ref="R92:R93"/>
    <mergeCell ref="S92:S93"/>
  </mergeCells>
  <printOptions horizontalCentered="1"/>
  <pageMargins left="0.35433070866141736" right="0.35433070866141736" top="0.6692913385826772" bottom="0.6692913385826772" header="0.51181102362204722" footer="0.51181102362204722"/>
  <pageSetup paperSize="9" scale="44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97"/>
  <sheetViews>
    <sheetView topLeftCell="B86" zoomScale="70" zoomScaleNormal="70" zoomScalePageLayoutView="90" workbookViewId="0">
      <selection activeCell="E12" sqref="E12"/>
    </sheetView>
  </sheetViews>
  <sheetFormatPr defaultRowHeight="12.75"/>
  <cols>
    <col min="1" max="1" width="53.42578125" customWidth="1"/>
    <col min="2" max="2" width="17.28515625" customWidth="1"/>
    <col min="3" max="3" width="15.28515625" customWidth="1"/>
    <col min="4" max="4" width="15.5703125" customWidth="1"/>
    <col min="5" max="22" width="11.7109375" customWidth="1"/>
    <col min="23" max="23" width="13.28515625" customWidth="1"/>
  </cols>
  <sheetData>
    <row r="1" spans="1:23" ht="23.25">
      <c r="R1" s="3778" t="s">
        <v>1724</v>
      </c>
      <c r="S1" s="3778"/>
    </row>
    <row r="2" spans="1:23" ht="23.25">
      <c r="R2" s="3778" t="s">
        <v>1779</v>
      </c>
      <c r="S2" s="3778"/>
    </row>
    <row r="3" spans="1:23" ht="31.5" customHeight="1">
      <c r="R3" s="3778" t="s">
        <v>1780</v>
      </c>
      <c r="S3" s="3778"/>
    </row>
    <row r="4" spans="1:23" ht="29.25" customHeight="1">
      <c r="R4" s="3778" t="s">
        <v>1781</v>
      </c>
      <c r="S4" s="3778"/>
    </row>
    <row r="5" spans="1:23" ht="23.25">
      <c r="R5" s="3778"/>
      <c r="S5" s="3778"/>
    </row>
    <row r="7" spans="1:23" ht="23.25">
      <c r="A7" s="4398" t="s">
        <v>1785</v>
      </c>
      <c r="B7" s="4398"/>
      <c r="C7" s="4398"/>
      <c r="D7" s="4398"/>
      <c r="E7" s="4399"/>
      <c r="F7" s="4399"/>
      <c r="G7" s="4399"/>
      <c r="H7" s="4399"/>
      <c r="I7" s="4399"/>
      <c r="J7" s="4399"/>
      <c r="K7" s="4399"/>
      <c r="L7" s="4399"/>
      <c r="M7" s="4399"/>
      <c r="N7" s="4399"/>
      <c r="O7" s="4399"/>
      <c r="P7" s="4399"/>
      <c r="Q7" s="4399"/>
      <c r="R7" s="4399"/>
      <c r="S7" s="4399"/>
      <c r="T7" s="4399"/>
      <c r="U7" s="4399"/>
      <c r="V7" s="4399"/>
    </row>
    <row r="8" spans="1:23">
      <c r="A8" s="4407"/>
      <c r="B8" s="4408"/>
      <c r="C8" s="4408"/>
      <c r="D8" s="4408"/>
    </row>
    <row r="9" spans="1:23" ht="18.75" customHeight="1">
      <c r="A9" s="4400" t="s">
        <v>1769</v>
      </c>
      <c r="B9" s="4400"/>
      <c r="C9" s="4400"/>
      <c r="D9" s="4400"/>
      <c r="E9" s="4401"/>
      <c r="F9" s="4401"/>
      <c r="G9" s="4401"/>
      <c r="H9" s="4401"/>
      <c r="I9" s="4401"/>
      <c r="J9" s="4401"/>
      <c r="K9" s="4401"/>
      <c r="L9" s="4401"/>
      <c r="M9" s="4401"/>
      <c r="N9" s="4401"/>
      <c r="O9" s="4401"/>
      <c r="P9" s="4401"/>
      <c r="Q9" s="4401"/>
      <c r="R9" s="4401"/>
      <c r="S9" s="4401"/>
      <c r="T9" s="4401"/>
      <c r="U9" s="4401"/>
      <c r="V9" s="4401"/>
      <c r="W9" s="3835"/>
    </row>
    <row r="10" spans="1:23" ht="18.75" customHeight="1">
      <c r="A10" s="4383" t="s">
        <v>546</v>
      </c>
      <c r="B10" s="4389" t="s">
        <v>1782</v>
      </c>
      <c r="C10" s="4389" t="s">
        <v>1561</v>
      </c>
      <c r="D10" s="4390"/>
      <c r="E10" s="4383" t="s">
        <v>587</v>
      </c>
      <c r="F10" s="4383" t="s">
        <v>588</v>
      </c>
      <c r="G10" s="4383" t="s">
        <v>589</v>
      </c>
      <c r="H10" s="4384" t="s">
        <v>601</v>
      </c>
      <c r="I10" s="4383" t="s">
        <v>590</v>
      </c>
      <c r="J10" s="4383" t="s">
        <v>591</v>
      </c>
      <c r="K10" s="4383" t="s">
        <v>592</v>
      </c>
      <c r="L10" s="4384" t="s">
        <v>600</v>
      </c>
      <c r="M10" s="4384" t="s">
        <v>599</v>
      </c>
      <c r="N10" s="4383" t="s">
        <v>593</v>
      </c>
      <c r="O10" s="4383" t="s">
        <v>594</v>
      </c>
      <c r="P10" s="4383" t="s">
        <v>595</v>
      </c>
      <c r="Q10" s="4384" t="s">
        <v>225</v>
      </c>
      <c r="R10" s="4384" t="s">
        <v>229</v>
      </c>
      <c r="S10" s="4383" t="s">
        <v>596</v>
      </c>
      <c r="T10" s="4383" t="s">
        <v>597</v>
      </c>
      <c r="U10" s="4383" t="s">
        <v>598</v>
      </c>
      <c r="V10" s="4384" t="s">
        <v>135</v>
      </c>
      <c r="W10" s="4385" t="s">
        <v>602</v>
      </c>
    </row>
    <row r="11" spans="1:23" ht="39.75" customHeight="1">
      <c r="A11" s="4383"/>
      <c r="B11" s="4389"/>
      <c r="C11" s="3906" t="s">
        <v>352</v>
      </c>
      <c r="D11" s="3906" t="s">
        <v>1770</v>
      </c>
      <c r="E11" s="4383"/>
      <c r="F11" s="4383"/>
      <c r="G11" s="4383"/>
      <c r="H11" s="4384"/>
      <c r="I11" s="4383"/>
      <c r="J11" s="4383"/>
      <c r="K11" s="4383"/>
      <c r="L11" s="4384"/>
      <c r="M11" s="4384"/>
      <c r="N11" s="4383"/>
      <c r="O11" s="4383"/>
      <c r="P11" s="4383"/>
      <c r="Q11" s="4384"/>
      <c r="R11" s="4384"/>
      <c r="S11" s="4383"/>
      <c r="T11" s="4383"/>
      <c r="U11" s="4383"/>
      <c r="V11" s="4384"/>
      <c r="W11" s="4385"/>
    </row>
    <row r="12" spans="1:23" ht="19.5" customHeight="1">
      <c r="A12" s="3811" t="s">
        <v>1771</v>
      </c>
      <c r="B12" s="4014">
        <f>SUM(C12:D12)</f>
        <v>4142.6875</v>
      </c>
      <c r="C12" s="4014">
        <f>SUM(M12+Q12+V12)</f>
        <v>4119.6875</v>
      </c>
      <c r="D12" s="4015">
        <f>SUM(D13)</f>
        <v>23</v>
      </c>
      <c r="E12" s="4016">
        <f>SUM(E13*1.25)</f>
        <v>349.79415625000001</v>
      </c>
      <c r="F12" s="4016">
        <f>SUM(F13*1.25)</f>
        <v>350.78140625000003</v>
      </c>
      <c r="G12" s="4016">
        <f>SUM(G13*1.25)</f>
        <v>352.06450000000007</v>
      </c>
      <c r="H12" s="4017">
        <f t="shared" ref="H12" si="0">SUM(H13*1.25)</f>
        <v>1052.6400625000001</v>
      </c>
      <c r="I12" s="4016">
        <f>SUM(I13*1.25)</f>
        <v>347.16806249999996</v>
      </c>
      <c r="J12" s="4016">
        <f>SUM(J13*1.25)</f>
        <v>340.61103124999994</v>
      </c>
      <c r="K12" s="4016">
        <f>SUM(K13*1.25)</f>
        <v>328.56956249999996</v>
      </c>
      <c r="L12" s="4017">
        <f t="shared" ref="L12:V12" si="1">SUM(L13*1.25)</f>
        <v>1016.3486562499999</v>
      </c>
      <c r="M12" s="4017">
        <f t="shared" si="1"/>
        <v>2068.9887187499999</v>
      </c>
      <c r="N12" s="4016">
        <f>SUM(N13*1.25)</f>
        <v>319.22134374999996</v>
      </c>
      <c r="O12" s="4016">
        <f>SUM(O13*1.25)</f>
        <v>330.33724999999998</v>
      </c>
      <c r="P12" s="4016">
        <f>SUM(P13*1.25)</f>
        <v>344.94668750000005</v>
      </c>
      <c r="Q12" s="4017">
        <f t="shared" si="1"/>
        <v>994.50528124999994</v>
      </c>
      <c r="R12" s="4017">
        <f t="shared" si="1"/>
        <v>3063.4940000000001</v>
      </c>
      <c r="S12" s="4016">
        <f>SUM(S13*1.25)</f>
        <v>352.06450000000007</v>
      </c>
      <c r="T12" s="4016">
        <f>SUM(T13*1.25)</f>
        <v>352.06450000000007</v>
      </c>
      <c r="U12" s="4016">
        <f>SUM(U13*1.25)</f>
        <v>352.06450000000007</v>
      </c>
      <c r="V12" s="4017">
        <f t="shared" si="1"/>
        <v>1056.1935000000001</v>
      </c>
      <c r="W12" s="3788">
        <f>SUM(E12+F12+G12+I12+J12+K12+N12+O12+P12+S12+T12+U12)</f>
        <v>4119.6875</v>
      </c>
    </row>
    <row r="13" spans="1:23" ht="18.75" customHeight="1">
      <c r="A13" s="3785" t="s">
        <v>1772</v>
      </c>
      <c r="B13" s="3916">
        <f>SUM(C13:D13)</f>
        <v>3295.75</v>
      </c>
      <c r="C13" s="3916">
        <f>SUM(C14:C16)</f>
        <v>3272.75</v>
      </c>
      <c r="D13" s="3916">
        <f>SUM(D14:D16)</f>
        <v>23</v>
      </c>
      <c r="E13" s="3804">
        <f>SUM(E14:E16)</f>
        <v>279.83532500000001</v>
      </c>
      <c r="F13" s="3804">
        <f>SUM(F14:F16)</f>
        <v>280.62512500000003</v>
      </c>
      <c r="G13" s="3804">
        <f>SUM(G14:G16)</f>
        <v>281.65160000000003</v>
      </c>
      <c r="H13" s="3797">
        <f t="shared" ref="H13:H16" si="2">SUM(E13+F13+G13)</f>
        <v>842.11205000000007</v>
      </c>
      <c r="I13" s="3804">
        <f>SUM(I14:I16)</f>
        <v>277.73444999999998</v>
      </c>
      <c r="J13" s="3804">
        <f>SUM(J14:J16)</f>
        <v>272.48882499999996</v>
      </c>
      <c r="K13" s="3804">
        <f>SUM(K14:K16)</f>
        <v>262.85564999999997</v>
      </c>
      <c r="L13" s="3797">
        <f t="shared" ref="L13:L16" si="3">SUM(I13+J13+K13)</f>
        <v>813.07892499999991</v>
      </c>
      <c r="M13" s="3797">
        <f t="shared" ref="M13:M16" si="4">SUM(H13+L13)</f>
        <v>1655.190975</v>
      </c>
      <c r="N13" s="3804">
        <f>SUM(N14:N16)</f>
        <v>255.37707499999999</v>
      </c>
      <c r="O13" s="3804">
        <f>SUM(O14:O16)</f>
        <v>264.26979999999998</v>
      </c>
      <c r="P13" s="3804">
        <f>SUM(P14:P16)</f>
        <v>275.95735000000002</v>
      </c>
      <c r="Q13" s="3797">
        <f t="shared" ref="Q13:Q16" si="5">SUM(N13+O13+P13)</f>
        <v>795.60422499999993</v>
      </c>
      <c r="R13" s="3797">
        <f t="shared" ref="R13:R16" si="6">SUM(M13+Q13)</f>
        <v>2450.7952</v>
      </c>
      <c r="S13" s="3804">
        <f>SUM(S14:S16)</f>
        <v>281.65160000000003</v>
      </c>
      <c r="T13" s="3804">
        <f>SUM(T14:T16)</f>
        <v>281.65160000000003</v>
      </c>
      <c r="U13" s="3804">
        <f>SUM(U14:U16)</f>
        <v>281.65160000000003</v>
      </c>
      <c r="V13" s="3797">
        <f t="shared" ref="V13:V16" si="7">SUM(S13+T13+U13)</f>
        <v>844.95480000000009</v>
      </c>
      <c r="W13" s="3788">
        <f>SUM(E13+F13+G13+I13+J13+K13+N13+O13+P13+S13+T13+U13)</f>
        <v>3295.7500000000005</v>
      </c>
    </row>
    <row r="14" spans="1:23" ht="18.75" customHeight="1">
      <c r="A14" s="3789" t="s">
        <v>264</v>
      </c>
      <c r="B14" s="3917">
        <f>SUM(C14:D14)</f>
        <v>2300</v>
      </c>
      <c r="C14" s="3917">
        <f>SUM(объемы!AF58)</f>
        <v>2300</v>
      </c>
      <c r="D14" s="3917">
        <v>0</v>
      </c>
      <c r="E14" s="3918">
        <f>SUM(B14*8.6%)</f>
        <v>197.79999999999998</v>
      </c>
      <c r="F14" s="3918">
        <f>SUM(B14*8.5%)</f>
        <v>195.5</v>
      </c>
      <c r="G14" s="3918">
        <f>SUM(B14*8.54%)</f>
        <v>196.42</v>
      </c>
      <c r="H14" s="3799">
        <f t="shared" si="2"/>
        <v>589.71999999999991</v>
      </c>
      <c r="I14" s="3918">
        <f>SUM(B14*8.43%)</f>
        <v>193.89</v>
      </c>
      <c r="J14" s="3918">
        <f>SUM(B14*8.2%)</f>
        <v>188.59999999999997</v>
      </c>
      <c r="K14" s="3918">
        <f>SUM(B14*7.89%)</f>
        <v>181.47</v>
      </c>
      <c r="L14" s="3799">
        <f t="shared" si="3"/>
        <v>563.95999999999992</v>
      </c>
      <c r="M14" s="3799">
        <f t="shared" si="4"/>
        <v>1153.6799999999998</v>
      </c>
      <c r="N14" s="3918">
        <f>SUM(B14*7.79%)</f>
        <v>179.17</v>
      </c>
      <c r="O14" s="3918">
        <f>SUM(B14*8.11%)</f>
        <v>186.52999999999997</v>
      </c>
      <c r="P14" s="3918">
        <f>SUM(B14*8.32%)</f>
        <v>191.35999999999999</v>
      </c>
      <c r="Q14" s="3799">
        <f t="shared" si="5"/>
        <v>557.05999999999995</v>
      </c>
      <c r="R14" s="3799">
        <f t="shared" si="6"/>
        <v>1710.7399999999998</v>
      </c>
      <c r="S14" s="3918">
        <f>SUM(B14*8.54%)</f>
        <v>196.42</v>
      </c>
      <c r="T14" s="3918">
        <f>SUM(B14*8.54%)</f>
        <v>196.42</v>
      </c>
      <c r="U14" s="3918">
        <f>SUM(B14*8.54%)</f>
        <v>196.42</v>
      </c>
      <c r="V14" s="3799">
        <f t="shared" si="7"/>
        <v>589.26</v>
      </c>
      <c r="W14" s="3792">
        <f>SUM(E14+F14+G14+I14+J14+K14+N14+O14+P14+S14+T14+U14)</f>
        <v>2300</v>
      </c>
    </row>
    <row r="15" spans="1:23" ht="18.75" customHeight="1">
      <c r="A15" s="3789" t="s">
        <v>1773</v>
      </c>
      <c r="B15" s="3917">
        <f>SUM(C15:D15)</f>
        <v>23</v>
      </c>
      <c r="C15" s="3917">
        <v>0</v>
      </c>
      <c r="D15" s="3917">
        <f>SUM(объемы!AF60)</f>
        <v>23</v>
      </c>
      <c r="E15" s="3918">
        <f>SUM(B15*8.6%)</f>
        <v>1.9779999999999998</v>
      </c>
      <c r="F15" s="3918">
        <f>SUM(B15*8.5%)</f>
        <v>1.9550000000000001</v>
      </c>
      <c r="G15" s="3918">
        <f>SUM(B15*8.54%)</f>
        <v>1.9641999999999997</v>
      </c>
      <c r="H15" s="3799">
        <f t="shared" si="2"/>
        <v>5.8971999999999998</v>
      </c>
      <c r="I15" s="3918">
        <f>SUM(B15*8.43%)</f>
        <v>1.9389000000000001</v>
      </c>
      <c r="J15" s="3918">
        <f>SUM(B15*8.2%)</f>
        <v>1.8859999999999997</v>
      </c>
      <c r="K15" s="3918">
        <f>SUM(B15*7.89%)</f>
        <v>1.8147</v>
      </c>
      <c r="L15" s="3799">
        <f t="shared" si="3"/>
        <v>5.6395999999999997</v>
      </c>
      <c r="M15" s="3799">
        <f t="shared" si="4"/>
        <v>11.536799999999999</v>
      </c>
      <c r="N15" s="3918">
        <f>SUM(B15*7.79%)</f>
        <v>1.7916999999999998</v>
      </c>
      <c r="O15" s="3918">
        <f>SUM(B15*8.11%)</f>
        <v>1.8652999999999997</v>
      </c>
      <c r="P15" s="3918">
        <f>SUM(B15*8.32%)</f>
        <v>1.9136</v>
      </c>
      <c r="Q15" s="3799">
        <f t="shared" si="5"/>
        <v>5.5705999999999998</v>
      </c>
      <c r="R15" s="3799">
        <f t="shared" si="6"/>
        <v>17.107399999999998</v>
      </c>
      <c r="S15" s="3918">
        <f>SUM(B15*8.54%)</f>
        <v>1.9641999999999997</v>
      </c>
      <c r="T15" s="3918">
        <f>SUM(B15*8.54%)</f>
        <v>1.9641999999999997</v>
      </c>
      <c r="U15" s="3918">
        <f>SUM(B15*8.54%)</f>
        <v>1.9641999999999997</v>
      </c>
      <c r="V15" s="3799">
        <f t="shared" si="7"/>
        <v>5.8925999999999989</v>
      </c>
      <c r="W15" s="3792">
        <f>SUM(E15+F15+G15+I15+J15+K15+N15+O15+P15+S15+T15+U15)</f>
        <v>22.999999999999993</v>
      </c>
    </row>
    <row r="16" spans="1:23" ht="18.75" customHeight="1">
      <c r="A16" s="3789" t="s">
        <v>1774</v>
      </c>
      <c r="B16" s="3917">
        <f>SUM(C16:D16)</f>
        <v>972.75</v>
      </c>
      <c r="C16" s="3917">
        <f>SUM(объемы!AF59)</f>
        <v>972.75</v>
      </c>
      <c r="D16" s="3917">
        <v>0</v>
      </c>
      <c r="E16" s="3918">
        <f>SUM(B16*8.23%)</f>
        <v>80.057324999999992</v>
      </c>
      <c r="F16" s="3918">
        <f>SUM(B16*8.55%)</f>
        <v>83.170125000000013</v>
      </c>
      <c r="G16" s="3918">
        <f>SUM(B16*8.56%)</f>
        <v>83.267400000000009</v>
      </c>
      <c r="H16" s="3799">
        <f t="shared" si="2"/>
        <v>246.49485000000001</v>
      </c>
      <c r="I16" s="3918">
        <f>SUM(B16*8.42%)</f>
        <v>81.905549999999991</v>
      </c>
      <c r="J16" s="3918">
        <f>SUM(B16*8.43%)</f>
        <v>82.002825000000001</v>
      </c>
      <c r="K16" s="3918">
        <f>SUM(B16*8.18%)</f>
        <v>79.570949999999996</v>
      </c>
      <c r="L16" s="3799">
        <f t="shared" si="3"/>
        <v>243.47932499999996</v>
      </c>
      <c r="M16" s="3799">
        <f t="shared" si="4"/>
        <v>489.97417499999995</v>
      </c>
      <c r="N16" s="3918">
        <f>SUM(B16*7.65%)</f>
        <v>74.415374999999997</v>
      </c>
      <c r="O16" s="3918">
        <f>SUM(B16*7.8%)</f>
        <v>75.874499999999998</v>
      </c>
      <c r="P16" s="3918">
        <f>SUM(B16*8.5%)</f>
        <v>82.683750000000003</v>
      </c>
      <c r="Q16" s="3799">
        <f t="shared" si="5"/>
        <v>232.973625</v>
      </c>
      <c r="R16" s="3799">
        <f t="shared" si="6"/>
        <v>722.94779999999992</v>
      </c>
      <c r="S16" s="3918">
        <f>SUM(B16*8.56%)</f>
        <v>83.267400000000009</v>
      </c>
      <c r="T16" s="3918">
        <f>SUM(B16*8.56%)</f>
        <v>83.267400000000009</v>
      </c>
      <c r="U16" s="3918">
        <f>SUM(B16*8.56%)</f>
        <v>83.267400000000009</v>
      </c>
      <c r="V16" s="3799">
        <f t="shared" si="7"/>
        <v>249.80220000000003</v>
      </c>
      <c r="W16" s="3792">
        <f>SUM(E16+F16+G16+I16+J16+K16+N16+O16+P16+S16+T16+U16)</f>
        <v>972.75</v>
      </c>
    </row>
    <row r="17" spans="1:23" ht="18.75" customHeight="1">
      <c r="A17" s="4386" t="s">
        <v>1731</v>
      </c>
      <c r="B17" s="4394"/>
      <c r="C17" s="4394"/>
      <c r="D17" s="4394"/>
      <c r="E17" s="4394"/>
      <c r="F17" s="4394"/>
      <c r="G17" s="4394"/>
      <c r="H17" s="4394"/>
      <c r="I17" s="4394"/>
      <c r="J17" s="4394"/>
      <c r="K17" s="4394"/>
      <c r="L17" s="4394"/>
      <c r="M17" s="4394"/>
      <c r="N17" s="4394"/>
      <c r="O17" s="4394"/>
      <c r="P17" s="4394"/>
      <c r="Q17" s="4394"/>
      <c r="R17" s="4394"/>
      <c r="S17" s="4394"/>
      <c r="T17" s="4394"/>
      <c r="U17" s="4394"/>
      <c r="V17" s="4393"/>
      <c r="W17" s="3792"/>
    </row>
    <row r="18" spans="1:23" ht="18.75" customHeight="1">
      <c r="A18" s="4396" t="s">
        <v>546</v>
      </c>
      <c r="B18" s="4389" t="s">
        <v>1782</v>
      </c>
      <c r="C18" s="4389" t="s">
        <v>576</v>
      </c>
      <c r="D18" s="4389"/>
      <c r="E18" s="4383" t="s">
        <v>587</v>
      </c>
      <c r="F18" s="4383" t="s">
        <v>588</v>
      </c>
      <c r="G18" s="4383" t="s">
        <v>589</v>
      </c>
      <c r="H18" s="4384" t="s">
        <v>601</v>
      </c>
      <c r="I18" s="4383" t="s">
        <v>590</v>
      </c>
      <c r="J18" s="4383" t="s">
        <v>591</v>
      </c>
      <c r="K18" s="4383" t="s">
        <v>592</v>
      </c>
      <c r="L18" s="4384" t="s">
        <v>600</v>
      </c>
      <c r="M18" s="4384" t="s">
        <v>599</v>
      </c>
      <c r="N18" s="4383" t="s">
        <v>593</v>
      </c>
      <c r="O18" s="4383" t="s">
        <v>594</v>
      </c>
      <c r="P18" s="4383" t="s">
        <v>595</v>
      </c>
      <c r="Q18" s="4384" t="s">
        <v>225</v>
      </c>
      <c r="R18" s="4384" t="s">
        <v>229</v>
      </c>
      <c r="S18" s="4383" t="s">
        <v>596</v>
      </c>
      <c r="T18" s="4383" t="s">
        <v>597</v>
      </c>
      <c r="U18" s="4383" t="s">
        <v>598</v>
      </c>
      <c r="V18" s="4384" t="s">
        <v>135</v>
      </c>
      <c r="W18" s="4385" t="s">
        <v>602</v>
      </c>
    </row>
    <row r="19" spans="1:23" ht="39" customHeight="1">
      <c r="A19" s="4397"/>
      <c r="B19" s="4389"/>
      <c r="C19" s="3906" t="s">
        <v>352</v>
      </c>
      <c r="D19" s="3906" t="s">
        <v>1770</v>
      </c>
      <c r="E19" s="4383"/>
      <c r="F19" s="4383"/>
      <c r="G19" s="4383"/>
      <c r="H19" s="4384"/>
      <c r="I19" s="4383"/>
      <c r="J19" s="4383"/>
      <c r="K19" s="4383"/>
      <c r="L19" s="4384"/>
      <c r="M19" s="4384"/>
      <c r="N19" s="4383"/>
      <c r="O19" s="4383"/>
      <c r="P19" s="4383"/>
      <c r="Q19" s="4384"/>
      <c r="R19" s="4384"/>
      <c r="S19" s="4383"/>
      <c r="T19" s="4383"/>
      <c r="U19" s="4383"/>
      <c r="V19" s="4384"/>
      <c r="W19" s="4385"/>
    </row>
    <row r="20" spans="1:23" ht="18.75" customHeight="1">
      <c r="A20" s="3805" t="s">
        <v>1732</v>
      </c>
      <c r="B20" s="3799">
        <f>SUM(C20:D20)</f>
        <v>52861.930399999997</v>
      </c>
      <c r="C20" s="3799">
        <f>SUM(H20+L20+Q20+V20)</f>
        <v>52861.930399999997</v>
      </c>
      <c r="D20" s="3898">
        <v>0</v>
      </c>
      <c r="E20" s="3801">
        <f>SUM(E14*E27)</f>
        <v>4450.5</v>
      </c>
      <c r="F20" s="3801">
        <f>SUM(F14*F27)</f>
        <v>4398.75</v>
      </c>
      <c r="G20" s="3801">
        <f>SUM(G14*G27)</f>
        <v>4419.45</v>
      </c>
      <c r="H20" s="3799">
        <f>SUM(E20:G20)</f>
        <v>13268.7</v>
      </c>
      <c r="I20" s="3801">
        <f>SUM(I14*I27)</f>
        <v>4362.5249999999996</v>
      </c>
      <c r="J20" s="3801">
        <f>SUM(J14*J27)</f>
        <v>4243.4999999999991</v>
      </c>
      <c r="K20" s="3801">
        <f>SUM(K14*K27)</f>
        <v>4083.0749999999998</v>
      </c>
      <c r="L20" s="3799">
        <f>SUM(I20:K20)</f>
        <v>12689.099999999999</v>
      </c>
      <c r="M20" s="3799">
        <f>SUM(H20+L20)</f>
        <v>25957.8</v>
      </c>
      <c r="N20" s="3801">
        <f>SUM(N14*N27)</f>
        <v>4205.1198999999997</v>
      </c>
      <c r="O20" s="3801">
        <f>SUM(O14*O27)</f>
        <v>4377.8590999999988</v>
      </c>
      <c r="P20" s="3801">
        <f>SUM(P14*P27)</f>
        <v>4491.2191999999995</v>
      </c>
      <c r="Q20" s="3799">
        <f>SUM(N20:P20)</f>
        <v>13074.198199999999</v>
      </c>
      <c r="R20" s="3799">
        <f>SUM(M20+Q20)</f>
        <v>39031.998200000002</v>
      </c>
      <c r="S20" s="3801">
        <f>SUM(S14*S27)</f>
        <v>4609.9773999999998</v>
      </c>
      <c r="T20" s="3801">
        <f>SUM(T14*T27)</f>
        <v>4609.9773999999998</v>
      </c>
      <c r="U20" s="3801">
        <f>SUM(U14*U27)</f>
        <v>4609.9773999999998</v>
      </c>
      <c r="V20" s="3799">
        <f>SUM(S20:U20)</f>
        <v>13829.932199999999</v>
      </c>
      <c r="W20" s="3792">
        <f t="shared" ref="W20:W25" si="8">SUM(E20+F20+G20+I20+J20+K20+N20+O20+P20+S20+T20+U20)</f>
        <v>52861.930400000012</v>
      </c>
    </row>
    <row r="21" spans="1:23" ht="18.75" customHeight="1">
      <c r="A21" s="3805" t="s">
        <v>1733</v>
      </c>
      <c r="B21" s="3799">
        <f t="shared" ref="B21:B25" si="9">SUM(C21:D21)</f>
        <v>6668.0128000000004</v>
      </c>
      <c r="C21" s="3799">
        <f t="shared" ref="C21:C23" si="10">SUM(H21+L21+Q21+V21)</f>
        <v>6668.0128000000004</v>
      </c>
      <c r="D21" s="3898">
        <v>0</v>
      </c>
      <c r="E21" s="3801">
        <f>SUM(E14*E28)</f>
        <v>520.21399999999971</v>
      </c>
      <c r="F21" s="3801">
        <f>SUM(F14*F28)</f>
        <v>514.16499999999985</v>
      </c>
      <c r="G21" s="3801">
        <f>SUM(G14*G28)</f>
        <v>516.5845999999998</v>
      </c>
      <c r="H21" s="3799">
        <f>SUM(E21:G21)</f>
        <v>1550.9635999999991</v>
      </c>
      <c r="I21" s="3801">
        <f>SUM(I14*I28)</f>
        <v>509.93069999999977</v>
      </c>
      <c r="J21" s="3801">
        <f>SUM(J14*J28)</f>
        <v>496.01799999999974</v>
      </c>
      <c r="K21" s="3801">
        <f>SUM(K14*K28)</f>
        <v>477.26609999999982</v>
      </c>
      <c r="L21" s="3799">
        <f>SUM(I21:K21)</f>
        <v>1483.2147999999993</v>
      </c>
      <c r="M21" s="3799">
        <f t="shared" ref="M21:M25" si="11">SUM(H21+L21)</f>
        <v>3034.1783999999984</v>
      </c>
      <c r="N21" s="3801">
        <f>SUM(N14*N28)</f>
        <v>567.9689000000003</v>
      </c>
      <c r="O21" s="3801">
        <f>SUM(O14*O28)</f>
        <v>591.30010000000027</v>
      </c>
      <c r="P21" s="3801">
        <f>SUM(P14*P28)</f>
        <v>606.61120000000028</v>
      </c>
      <c r="Q21" s="3799">
        <f>SUM(N21:P21)</f>
        <v>1765.880200000001</v>
      </c>
      <c r="R21" s="3799">
        <f t="shared" ref="R21:R25" si="12">SUM(M21+Q21)</f>
        <v>4800.0585999999994</v>
      </c>
      <c r="S21" s="3801">
        <f>SUM(S14*S28)</f>
        <v>622.65140000000031</v>
      </c>
      <c r="T21" s="3801">
        <f>SUM(T14*T28)</f>
        <v>622.65140000000031</v>
      </c>
      <c r="U21" s="3801">
        <f>SUM(U14*U28)</f>
        <v>622.65140000000031</v>
      </c>
      <c r="V21" s="3799">
        <f>SUM(S21:U21)</f>
        <v>1867.954200000001</v>
      </c>
      <c r="W21" s="3792">
        <f t="shared" si="8"/>
        <v>6668.0128000000013</v>
      </c>
    </row>
    <row r="22" spans="1:23" ht="18.75" customHeight="1">
      <c r="A22" s="3805" t="s">
        <v>1775</v>
      </c>
      <c r="B22" s="3799">
        <f t="shared" si="9"/>
        <v>335.20328799999993</v>
      </c>
      <c r="C22" s="3799">
        <v>0</v>
      </c>
      <c r="D22" s="3799">
        <f>SUM(H22+L22+Q22+V22)</f>
        <v>335.20328799999993</v>
      </c>
      <c r="E22" s="3801">
        <f>SUM(E15*E29)</f>
        <v>28.245839999999994</v>
      </c>
      <c r="F22" s="3801">
        <f t="shared" ref="F22:K23" si="13">SUM(F15*F29)</f>
        <v>27.917400000000001</v>
      </c>
      <c r="G22" s="3801">
        <f t="shared" si="13"/>
        <v>28.048775999999993</v>
      </c>
      <c r="H22" s="3799">
        <f t="shared" ref="H22:H25" si="14">SUM(E22:G22)</f>
        <v>84.212015999999991</v>
      </c>
      <c r="I22" s="3801">
        <f t="shared" si="13"/>
        <v>27.687491999999999</v>
      </c>
      <c r="J22" s="3801">
        <f t="shared" si="13"/>
        <v>26.932079999999996</v>
      </c>
      <c r="K22" s="3801">
        <f t="shared" si="13"/>
        <v>25.913915999999997</v>
      </c>
      <c r="L22" s="3799">
        <f t="shared" ref="L22:L25" si="15">SUM(I22:K22)</f>
        <v>80.533487999999991</v>
      </c>
      <c r="M22" s="3799">
        <f t="shared" si="11"/>
        <v>164.74550399999998</v>
      </c>
      <c r="N22" s="3801">
        <f t="shared" ref="N22:P23" si="16">SUM(N15*N29)</f>
        <v>26.642578999999998</v>
      </c>
      <c r="O22" s="3801">
        <f t="shared" si="16"/>
        <v>27.737010999999995</v>
      </c>
      <c r="P22" s="3801">
        <f t="shared" si="16"/>
        <v>28.455231999999999</v>
      </c>
      <c r="Q22" s="3799">
        <f t="shared" ref="Q22:Q25" si="17">SUM(N22:P22)</f>
        <v>82.834821999999988</v>
      </c>
      <c r="R22" s="3799">
        <f t="shared" si="12"/>
        <v>247.58032599999996</v>
      </c>
      <c r="S22" s="3801">
        <f t="shared" ref="S22:U23" si="18">SUM(S15*S29)</f>
        <v>29.207653999999994</v>
      </c>
      <c r="T22" s="3801">
        <f t="shared" si="18"/>
        <v>29.207653999999994</v>
      </c>
      <c r="U22" s="3801">
        <f t="shared" si="18"/>
        <v>29.207653999999994</v>
      </c>
      <c r="V22" s="3799">
        <f t="shared" ref="V22:V25" si="19">SUM(S22:U22)</f>
        <v>87.622961999999987</v>
      </c>
      <c r="W22" s="3792">
        <f t="shared" si="8"/>
        <v>335.20328799999999</v>
      </c>
    </row>
    <row r="23" spans="1:23" ht="18.75" customHeight="1">
      <c r="A23" s="3805" t="s">
        <v>1734</v>
      </c>
      <c r="B23" s="3799">
        <f t="shared" si="9"/>
        <v>25174.198995750001</v>
      </c>
      <c r="C23" s="3799">
        <f t="shared" si="10"/>
        <v>25174.198995750001</v>
      </c>
      <c r="D23" s="3898">
        <v>0</v>
      </c>
      <c r="E23" s="3801">
        <f>SUM(E16*E30)</f>
        <v>2011.8405772499998</v>
      </c>
      <c r="F23" s="3801">
        <f t="shared" si="13"/>
        <v>2090.0652412500003</v>
      </c>
      <c r="G23" s="3801">
        <f t="shared" si="13"/>
        <v>2092.5097620000001</v>
      </c>
      <c r="H23" s="3799">
        <f t="shared" si="14"/>
        <v>6194.4155805000009</v>
      </c>
      <c r="I23" s="3801">
        <f t="shared" si="13"/>
        <v>2058.2864714999996</v>
      </c>
      <c r="J23" s="3801">
        <f t="shared" si="13"/>
        <v>2060.7309922499999</v>
      </c>
      <c r="K23" s="3801">
        <f t="shared" si="13"/>
        <v>1999.6179734999998</v>
      </c>
      <c r="L23" s="3799">
        <f t="shared" si="15"/>
        <v>6118.6354372499991</v>
      </c>
      <c r="M23" s="3799">
        <f t="shared" si="11"/>
        <v>12313.05101775</v>
      </c>
      <c r="N23" s="3801">
        <f t="shared" si="16"/>
        <v>1982.4255900000001</v>
      </c>
      <c r="O23" s="3801">
        <f t="shared" si="16"/>
        <v>2021.2966799999999</v>
      </c>
      <c r="P23" s="3801">
        <f t="shared" si="16"/>
        <v>2202.6950999999999</v>
      </c>
      <c r="Q23" s="3799">
        <f t="shared" si="17"/>
        <v>6206.4173700000001</v>
      </c>
      <c r="R23" s="3799">
        <f t="shared" si="12"/>
        <v>18519.468387749999</v>
      </c>
      <c r="S23" s="3801">
        <f t="shared" si="18"/>
        <v>2218.2435360000004</v>
      </c>
      <c r="T23" s="3801">
        <f t="shared" si="18"/>
        <v>2218.2435360000004</v>
      </c>
      <c r="U23" s="3801">
        <f t="shared" si="18"/>
        <v>2218.2435360000004</v>
      </c>
      <c r="V23" s="3799">
        <f t="shared" si="19"/>
        <v>6654.7306080000017</v>
      </c>
      <c r="W23" s="3792">
        <f t="shared" si="8"/>
        <v>25174.198995750005</v>
      </c>
    </row>
    <row r="24" spans="1:23" ht="18.75" customHeight="1">
      <c r="A24" s="3807" t="s">
        <v>1737</v>
      </c>
      <c r="B24" s="3797">
        <f>SUM(B20+B21+B22+B23)</f>
        <v>85039.345483749988</v>
      </c>
      <c r="C24" s="3797">
        <f>SUM(C20+C21+C22+C23)</f>
        <v>84704.142195749999</v>
      </c>
      <c r="D24" s="3797">
        <f>SUM(D20+D21+D22+D23)</f>
        <v>335.20328799999993</v>
      </c>
      <c r="E24" s="3808">
        <f>SUM(E20+E21+E22+E23)</f>
        <v>7010.8004172499996</v>
      </c>
      <c r="F24" s="3808">
        <f t="shared" ref="F24:G24" si="20">SUM(F20+F21+F22+F23)</f>
        <v>7030.8976412500006</v>
      </c>
      <c r="G24" s="3808">
        <f t="shared" si="20"/>
        <v>7056.5931380000002</v>
      </c>
      <c r="H24" s="3797">
        <f t="shared" si="14"/>
        <v>21098.291196500002</v>
      </c>
      <c r="I24" s="3808">
        <f t="shared" ref="I24:K24" si="21">SUM(I20+I21+I22+I23)</f>
        <v>6958.4296634999992</v>
      </c>
      <c r="J24" s="3808">
        <f t="shared" si="21"/>
        <v>6827.1810722499986</v>
      </c>
      <c r="K24" s="3808">
        <f t="shared" si="21"/>
        <v>6585.8729894999997</v>
      </c>
      <c r="L24" s="3797">
        <f t="shared" si="15"/>
        <v>20371.483725249996</v>
      </c>
      <c r="M24" s="3797">
        <f t="shared" si="11"/>
        <v>41469.774921749995</v>
      </c>
      <c r="N24" s="3808">
        <f t="shared" ref="N24:P24" si="22">SUM(N20+N21+N22+N23)</f>
        <v>6782.1569689999997</v>
      </c>
      <c r="O24" s="3808">
        <f t="shared" si="22"/>
        <v>7018.1928909999988</v>
      </c>
      <c r="P24" s="3808">
        <f t="shared" si="22"/>
        <v>7328.980732</v>
      </c>
      <c r="Q24" s="3797">
        <f t="shared" si="17"/>
        <v>21129.330591999998</v>
      </c>
      <c r="R24" s="3797">
        <f t="shared" si="12"/>
        <v>62599.105513749993</v>
      </c>
      <c r="S24" s="3808">
        <f t="shared" ref="S24:U24" si="23">SUM(S20+S21+S22+S23)</f>
        <v>7480.0799900000002</v>
      </c>
      <c r="T24" s="3808">
        <f t="shared" si="23"/>
        <v>7480.0799900000002</v>
      </c>
      <c r="U24" s="3808">
        <f t="shared" si="23"/>
        <v>7480.0799900000002</v>
      </c>
      <c r="V24" s="3797">
        <f t="shared" si="19"/>
        <v>22440.239970000002</v>
      </c>
      <c r="W24" s="3788">
        <f t="shared" si="8"/>
        <v>85039.345483749988</v>
      </c>
    </row>
    <row r="25" spans="1:23" ht="18.75" customHeight="1">
      <c r="A25" s="3806" t="s">
        <v>1738</v>
      </c>
      <c r="B25" s="3803">
        <f t="shared" si="9"/>
        <v>0</v>
      </c>
      <c r="C25" s="3803">
        <f>SUM(H25+L25+Q25+V25)</f>
        <v>0</v>
      </c>
      <c r="D25" s="3899">
        <v>0</v>
      </c>
      <c r="E25" s="3802">
        <f>SUM(E143)</f>
        <v>0</v>
      </c>
      <c r="F25" s="3802">
        <f t="shared" ref="F25:K25" si="24">SUM(F143)</f>
        <v>0</v>
      </c>
      <c r="G25" s="3802">
        <f t="shared" si="24"/>
        <v>0</v>
      </c>
      <c r="H25" s="3803">
        <f t="shared" si="14"/>
        <v>0</v>
      </c>
      <c r="I25" s="3802">
        <f t="shared" si="24"/>
        <v>0</v>
      </c>
      <c r="J25" s="3802">
        <f t="shared" si="24"/>
        <v>0</v>
      </c>
      <c r="K25" s="3802">
        <f t="shared" si="24"/>
        <v>0</v>
      </c>
      <c r="L25" s="3803">
        <f t="shared" si="15"/>
        <v>0</v>
      </c>
      <c r="M25" s="3803">
        <f t="shared" si="11"/>
        <v>0</v>
      </c>
      <c r="N25" s="3802">
        <f t="shared" ref="N25:P25" si="25">SUM(N143)</f>
        <v>0</v>
      </c>
      <c r="O25" s="3802">
        <f t="shared" si="25"/>
        <v>0</v>
      </c>
      <c r="P25" s="3802">
        <f t="shared" si="25"/>
        <v>0</v>
      </c>
      <c r="Q25" s="3803">
        <f t="shared" si="17"/>
        <v>0</v>
      </c>
      <c r="R25" s="3803">
        <f t="shared" si="12"/>
        <v>0</v>
      </c>
      <c r="S25" s="3802">
        <f t="shared" ref="S25:U25" si="26">SUM(S143)</f>
        <v>0</v>
      </c>
      <c r="T25" s="3802">
        <f t="shared" si="26"/>
        <v>0</v>
      </c>
      <c r="U25" s="3802">
        <f t="shared" si="26"/>
        <v>0</v>
      </c>
      <c r="V25" s="3803">
        <f t="shared" si="19"/>
        <v>0</v>
      </c>
      <c r="W25" s="3792">
        <f t="shared" si="8"/>
        <v>0</v>
      </c>
    </row>
    <row r="26" spans="1:23" ht="18.75" customHeight="1">
      <c r="A26" s="3807" t="s">
        <v>1739</v>
      </c>
      <c r="B26" s="3797">
        <f>SUM(B24/B13)</f>
        <v>25.802729419327918</v>
      </c>
      <c r="C26" s="3797">
        <f>SUM(C24/C13)</f>
        <v>25.881641492857689</v>
      </c>
      <c r="D26" s="3797">
        <f>SUM(D24/D13)</f>
        <v>14.574055999999997</v>
      </c>
      <c r="E26" s="3808">
        <f>SUM(E24/E13)</f>
        <v>25.053307395161777</v>
      </c>
      <c r="F26" s="3808">
        <f t="shared" ref="F26:V26" si="27">SUM(F24/F13)</f>
        <v>25.054412505829617</v>
      </c>
      <c r="G26" s="3808">
        <f t="shared" si="27"/>
        <v>25.054333573819569</v>
      </c>
      <c r="H26" s="3797">
        <f t="shared" si="27"/>
        <v>25.054018876110369</v>
      </c>
      <c r="I26" s="3808">
        <f t="shared" si="27"/>
        <v>25.054254751256099</v>
      </c>
      <c r="J26" s="3808">
        <f t="shared" si="27"/>
        <v>25.054902975378898</v>
      </c>
      <c r="K26" s="3808">
        <f t="shared" si="27"/>
        <v>25.055093887082133</v>
      </c>
      <c r="L26" s="3797">
        <f t="shared" si="27"/>
        <v>25.054743271386599</v>
      </c>
      <c r="M26" s="3797">
        <f t="shared" si="27"/>
        <v>25.054374720566607</v>
      </c>
      <c r="N26" s="3808">
        <f t="shared" si="27"/>
        <v>26.557422857944474</v>
      </c>
      <c r="O26" s="3808">
        <f t="shared" si="27"/>
        <v>26.55692360988656</v>
      </c>
      <c r="P26" s="3808">
        <f t="shared" si="27"/>
        <v>26.55838205432832</v>
      </c>
      <c r="Q26" s="3797">
        <f t="shared" si="27"/>
        <v>26.557589726223487</v>
      </c>
      <c r="R26" s="3797">
        <f t="shared" si="27"/>
        <v>25.542364989840845</v>
      </c>
      <c r="S26" s="3808">
        <f t="shared" si="27"/>
        <v>26.557917618788601</v>
      </c>
      <c r="T26" s="3808">
        <f t="shared" si="27"/>
        <v>26.557917618788601</v>
      </c>
      <c r="U26" s="3808">
        <f t="shared" si="27"/>
        <v>26.557917618788601</v>
      </c>
      <c r="V26" s="3797">
        <f t="shared" si="27"/>
        <v>26.557917618788604</v>
      </c>
      <c r="W26" s="3809">
        <f>SUM(W24/W13)</f>
        <v>25.802729419327914</v>
      </c>
    </row>
    <row r="27" spans="1:23" ht="18.75" customHeight="1">
      <c r="A27" s="3806" t="s">
        <v>264</v>
      </c>
      <c r="B27" s="3803">
        <f>SUM(B20/B14)</f>
        <v>22.983447999999999</v>
      </c>
      <c r="C27" s="3803">
        <f>SUM(C20/C14)</f>
        <v>22.983447999999999</v>
      </c>
      <c r="D27" s="3899">
        <v>0</v>
      </c>
      <c r="E27" s="3802">
        <v>22.5</v>
      </c>
      <c r="F27" s="3802">
        <f>SUM(E27)</f>
        <v>22.5</v>
      </c>
      <c r="G27" s="3802">
        <f>SUM(E27)</f>
        <v>22.5</v>
      </c>
      <c r="H27" s="3803">
        <f>SUM(G27)</f>
        <v>22.5</v>
      </c>
      <c r="I27" s="3802">
        <f>SUM(E27)</f>
        <v>22.5</v>
      </c>
      <c r="J27" s="3802">
        <f>SUM(E27)</f>
        <v>22.5</v>
      </c>
      <c r="K27" s="3802">
        <f>SUM(E27)</f>
        <v>22.5</v>
      </c>
      <c r="L27" s="3803">
        <f>SUM(K27)</f>
        <v>22.5</v>
      </c>
      <c r="M27" s="3803">
        <f>SUM(L27)</f>
        <v>22.5</v>
      </c>
      <c r="N27" s="3802">
        <v>23.47</v>
      </c>
      <c r="O27" s="3802">
        <f>SUM(N27)</f>
        <v>23.47</v>
      </c>
      <c r="P27" s="3802">
        <f>SUM(N27)</f>
        <v>23.47</v>
      </c>
      <c r="Q27" s="3803">
        <f>SUM(P27)</f>
        <v>23.47</v>
      </c>
      <c r="R27" s="3803">
        <f>SUM(Q27)</f>
        <v>23.47</v>
      </c>
      <c r="S27" s="3802">
        <f>SUM(N27)</f>
        <v>23.47</v>
      </c>
      <c r="T27" s="3802">
        <f>SUM(S27)</f>
        <v>23.47</v>
      </c>
      <c r="U27" s="3802">
        <f>SUM(S27)</f>
        <v>23.47</v>
      </c>
      <c r="V27" s="3803">
        <f>SUM(U27)</f>
        <v>23.47</v>
      </c>
      <c r="W27" s="3810">
        <f>SUM(W20/W14)</f>
        <v>22.983448000000006</v>
      </c>
    </row>
    <row r="28" spans="1:23" ht="18.75" customHeight="1">
      <c r="A28" s="3806" t="s">
        <v>1740</v>
      </c>
      <c r="B28" s="3803">
        <f>SUM(B21/B14)</f>
        <v>2.8991360000000004</v>
      </c>
      <c r="C28" s="3803">
        <f>SUM(C21/C14)</f>
        <v>2.8991360000000004</v>
      </c>
      <c r="D28" s="3899">
        <v>0</v>
      </c>
      <c r="E28" s="3802">
        <f>SUM(E30-E27)</f>
        <v>2.629999999999999</v>
      </c>
      <c r="F28" s="3802">
        <f t="shared" ref="F28:U28" si="28">SUM(F30-F27)</f>
        <v>2.629999999999999</v>
      </c>
      <c r="G28" s="3802">
        <f t="shared" si="28"/>
        <v>2.629999999999999</v>
      </c>
      <c r="H28" s="3803">
        <f t="shared" ref="H28:H30" si="29">SUM(G28)</f>
        <v>2.629999999999999</v>
      </c>
      <c r="I28" s="3802">
        <f t="shared" si="28"/>
        <v>2.629999999999999</v>
      </c>
      <c r="J28" s="3802">
        <f t="shared" si="28"/>
        <v>2.629999999999999</v>
      </c>
      <c r="K28" s="3802">
        <f t="shared" si="28"/>
        <v>2.629999999999999</v>
      </c>
      <c r="L28" s="3803">
        <f t="shared" ref="L28:M30" si="30">SUM(K28)</f>
        <v>2.629999999999999</v>
      </c>
      <c r="M28" s="3803">
        <f t="shared" si="30"/>
        <v>2.629999999999999</v>
      </c>
      <c r="N28" s="3802">
        <f t="shared" si="28"/>
        <v>3.1700000000000017</v>
      </c>
      <c r="O28" s="3802">
        <f t="shared" si="28"/>
        <v>3.1700000000000017</v>
      </c>
      <c r="P28" s="3802">
        <f t="shared" si="28"/>
        <v>3.1700000000000017</v>
      </c>
      <c r="Q28" s="3803">
        <f t="shared" ref="Q28:R30" si="31">SUM(P28)</f>
        <v>3.1700000000000017</v>
      </c>
      <c r="R28" s="3803">
        <f t="shared" si="31"/>
        <v>3.1700000000000017</v>
      </c>
      <c r="S28" s="3802">
        <f t="shared" si="28"/>
        <v>3.1700000000000017</v>
      </c>
      <c r="T28" s="3802">
        <f t="shared" si="28"/>
        <v>3.1700000000000017</v>
      </c>
      <c r="U28" s="3802">
        <f t="shared" si="28"/>
        <v>3.1700000000000017</v>
      </c>
      <c r="V28" s="3803">
        <f t="shared" ref="V28:V30" si="32">SUM(U28)</f>
        <v>3.1700000000000017</v>
      </c>
      <c r="W28" s="3810">
        <f>SUM(W21/W14)</f>
        <v>2.8991360000000004</v>
      </c>
    </row>
    <row r="29" spans="1:23" ht="18.75" customHeight="1">
      <c r="A29" s="3806" t="s">
        <v>1773</v>
      </c>
      <c r="B29" s="3803">
        <f>SUM(B22/B15)</f>
        <v>14.574055999999997</v>
      </c>
      <c r="C29" s="3803">
        <v>0</v>
      </c>
      <c r="D29" s="3803">
        <f>SUM(D22/D15)</f>
        <v>14.574055999999997</v>
      </c>
      <c r="E29" s="3802">
        <v>14.28</v>
      </c>
      <c r="F29" s="3802">
        <f>SUM(E29)</f>
        <v>14.28</v>
      </c>
      <c r="G29" s="3802">
        <f>SUM(E29)</f>
        <v>14.28</v>
      </c>
      <c r="H29" s="3803">
        <f>SUM(G29)</f>
        <v>14.28</v>
      </c>
      <c r="I29" s="3802">
        <f>SUM(E29)</f>
        <v>14.28</v>
      </c>
      <c r="J29" s="3802">
        <f>SUM(E29)</f>
        <v>14.28</v>
      </c>
      <c r="K29" s="3802">
        <f>SUM(E29)</f>
        <v>14.28</v>
      </c>
      <c r="L29" s="3803">
        <f>SUM(K29)</f>
        <v>14.28</v>
      </c>
      <c r="M29" s="3803">
        <f>SUM(L29)</f>
        <v>14.28</v>
      </c>
      <c r="N29" s="3802">
        <v>14.87</v>
      </c>
      <c r="O29" s="3802">
        <f>SUM(N29)</f>
        <v>14.87</v>
      </c>
      <c r="P29" s="3802">
        <f>SUM(N29)</f>
        <v>14.87</v>
      </c>
      <c r="Q29" s="3803">
        <f>SUM(P29)</f>
        <v>14.87</v>
      </c>
      <c r="R29" s="3803">
        <f>SUM(Q29)</f>
        <v>14.87</v>
      </c>
      <c r="S29" s="3802">
        <f>SUM(N29)</f>
        <v>14.87</v>
      </c>
      <c r="T29" s="3802">
        <f>SUM(S29)</f>
        <v>14.87</v>
      </c>
      <c r="U29" s="3802">
        <f>SUM(S29)</f>
        <v>14.87</v>
      </c>
      <c r="V29" s="3803">
        <f>SUM(U29)</f>
        <v>14.87</v>
      </c>
      <c r="W29" s="3810">
        <f>SUM(W22/W15)</f>
        <v>14.574056000000004</v>
      </c>
    </row>
    <row r="30" spans="1:23" ht="18.75" customHeight="1">
      <c r="A30" s="3806" t="s">
        <v>265</v>
      </c>
      <c r="B30" s="3803">
        <f>SUM(B23/B16)</f>
        <v>25.879413</v>
      </c>
      <c r="C30" s="3803">
        <f>SUM(C23/C16)</f>
        <v>25.879413</v>
      </c>
      <c r="D30" s="3803">
        <v>0</v>
      </c>
      <c r="E30" s="3802">
        <v>25.13</v>
      </c>
      <c r="F30" s="3802">
        <f>SUM(E30)</f>
        <v>25.13</v>
      </c>
      <c r="G30" s="3802">
        <f>SUM(E30)</f>
        <v>25.13</v>
      </c>
      <c r="H30" s="3803">
        <f t="shared" si="29"/>
        <v>25.13</v>
      </c>
      <c r="I30" s="3802">
        <f>SUM(E30)</f>
        <v>25.13</v>
      </c>
      <c r="J30" s="3802">
        <f>SUM(E30)</f>
        <v>25.13</v>
      </c>
      <c r="K30" s="3802">
        <f>SUM(E30)</f>
        <v>25.13</v>
      </c>
      <c r="L30" s="3803">
        <f t="shared" si="30"/>
        <v>25.13</v>
      </c>
      <c r="M30" s="3803">
        <f t="shared" si="30"/>
        <v>25.13</v>
      </c>
      <c r="N30" s="3802">
        <v>26.64</v>
      </c>
      <c r="O30" s="3802">
        <f>SUM(N30)</f>
        <v>26.64</v>
      </c>
      <c r="P30" s="3802">
        <f>SUM(N30)</f>
        <v>26.64</v>
      </c>
      <c r="Q30" s="3803">
        <f t="shared" si="31"/>
        <v>26.64</v>
      </c>
      <c r="R30" s="3803">
        <f t="shared" si="31"/>
        <v>26.64</v>
      </c>
      <c r="S30" s="3802">
        <f>SUM(N30)</f>
        <v>26.64</v>
      </c>
      <c r="T30" s="3802">
        <f>SUM(N30)</f>
        <v>26.64</v>
      </c>
      <c r="U30" s="3802">
        <f>SUM(N30)</f>
        <v>26.64</v>
      </c>
      <c r="V30" s="3803">
        <f t="shared" si="32"/>
        <v>26.64</v>
      </c>
      <c r="W30" s="3810">
        <f>SUM(W23/W16)</f>
        <v>25.879413000000003</v>
      </c>
    </row>
    <row r="31" spans="1:23" ht="18.75" customHeight="1">
      <c r="A31" s="4404" t="s">
        <v>1741</v>
      </c>
      <c r="B31" s="4405"/>
      <c r="C31" s="4405"/>
      <c r="D31" s="4406"/>
      <c r="E31" s="4406"/>
      <c r="F31" s="4406"/>
      <c r="G31" s="4406"/>
      <c r="H31" s="4406"/>
      <c r="I31" s="4406"/>
      <c r="J31" s="4406"/>
      <c r="K31" s="4406"/>
      <c r="L31" s="4406"/>
      <c r="M31" s="4406"/>
      <c r="N31" s="4406"/>
      <c r="O31" s="4406"/>
      <c r="P31" s="4406"/>
      <c r="Q31" s="4406"/>
      <c r="R31" s="4406"/>
      <c r="S31" s="4406"/>
      <c r="T31" s="4406"/>
      <c r="U31" s="4406"/>
      <c r="V31" s="4406"/>
      <c r="W31" s="3835"/>
    </row>
    <row r="32" spans="1:23" ht="18.75" customHeight="1">
      <c r="A32" s="4383" t="s">
        <v>546</v>
      </c>
      <c r="B32" s="4389" t="s">
        <v>1782</v>
      </c>
      <c r="C32" s="4389" t="s">
        <v>1561</v>
      </c>
      <c r="D32" s="4390"/>
      <c r="E32" s="4383" t="s">
        <v>587</v>
      </c>
      <c r="F32" s="4383" t="s">
        <v>588</v>
      </c>
      <c r="G32" s="4383" t="s">
        <v>589</v>
      </c>
      <c r="H32" s="4384" t="s">
        <v>601</v>
      </c>
      <c r="I32" s="4383" t="s">
        <v>590</v>
      </c>
      <c r="J32" s="4383" t="s">
        <v>591</v>
      </c>
      <c r="K32" s="4383" t="s">
        <v>592</v>
      </c>
      <c r="L32" s="4384" t="s">
        <v>600</v>
      </c>
      <c r="M32" s="4384" t="s">
        <v>599</v>
      </c>
      <c r="N32" s="4383" t="s">
        <v>593</v>
      </c>
      <c r="O32" s="4383" t="s">
        <v>594</v>
      </c>
      <c r="P32" s="4383" t="s">
        <v>595</v>
      </c>
      <c r="Q32" s="4384" t="s">
        <v>225</v>
      </c>
      <c r="R32" s="4384" t="s">
        <v>229</v>
      </c>
      <c r="S32" s="4383" t="s">
        <v>596</v>
      </c>
      <c r="T32" s="4383" t="s">
        <v>597</v>
      </c>
      <c r="U32" s="4383" t="s">
        <v>598</v>
      </c>
      <c r="V32" s="4384" t="s">
        <v>135</v>
      </c>
      <c r="W32" s="4385" t="s">
        <v>602</v>
      </c>
    </row>
    <row r="33" spans="1:23" ht="40.5" customHeight="1">
      <c r="A33" s="4383"/>
      <c r="B33" s="4389"/>
      <c r="C33" s="3906" t="s">
        <v>352</v>
      </c>
      <c r="D33" s="3906" t="s">
        <v>1770</v>
      </c>
      <c r="E33" s="4383"/>
      <c r="F33" s="4383"/>
      <c r="G33" s="4383"/>
      <c r="H33" s="4384"/>
      <c r="I33" s="4383"/>
      <c r="J33" s="4383"/>
      <c r="K33" s="4383"/>
      <c r="L33" s="4384"/>
      <c r="M33" s="4384"/>
      <c r="N33" s="4383"/>
      <c r="O33" s="4383"/>
      <c r="P33" s="4383"/>
      <c r="Q33" s="4384"/>
      <c r="R33" s="4384"/>
      <c r="S33" s="4383"/>
      <c r="T33" s="4383"/>
      <c r="U33" s="4383"/>
      <c r="V33" s="4384"/>
      <c r="W33" s="4385"/>
    </row>
    <row r="34" spans="1:23" ht="18.75" customHeight="1">
      <c r="A34" s="3834" t="s">
        <v>0</v>
      </c>
      <c r="B34" s="3787">
        <f>SUM(стоки!BU8)</f>
        <v>13626.347400619647</v>
      </c>
      <c r="C34" s="3787">
        <f>SUM(стоки!BW8)</f>
        <v>13626.347400619647</v>
      </c>
      <c r="D34" s="3787">
        <f>SUM(стоки!BX8)</f>
        <v>0</v>
      </c>
      <c r="E34" s="3808">
        <f>SUM(E35+E36+E37+E38+E39+E40+E42)</f>
        <v>1105.6289525475129</v>
      </c>
      <c r="F34" s="3808">
        <f t="shared" ref="F34:G34" si="33">SUM(F35+F36+F37+F38+F39+F40+F42)</f>
        <v>1105.9917747672412</v>
      </c>
      <c r="G34" s="3808">
        <f t="shared" si="33"/>
        <v>1106.4633219158809</v>
      </c>
      <c r="H34" s="3797">
        <f t="shared" ref="H34:H89" si="34">SUM(E34+F34+G34)</f>
        <v>3318.0840492306347</v>
      </c>
      <c r="I34" s="3808">
        <f t="shared" ref="I34:K34" si="35">SUM(I35+I36+I37+I38+I39+I40+I42)</f>
        <v>1104.6728116302004</v>
      </c>
      <c r="J34" s="3808">
        <f t="shared" si="35"/>
        <v>1102.4115439907373</v>
      </c>
      <c r="K34" s="3808">
        <f t="shared" si="35"/>
        <v>1098.1157665844244</v>
      </c>
      <c r="L34" s="3797">
        <f>SUM(I34+J34+K34)</f>
        <v>3305.2001222053618</v>
      </c>
      <c r="M34" s="3797">
        <f t="shared" ref="M34:M40" si="36">SUM(H34+L34)</f>
        <v>6623.2841714359965</v>
      </c>
      <c r="N34" s="3808">
        <f t="shared" ref="N34:P34" si="37">SUM(N35+N36+N37+N38+N39+N40+N42)</f>
        <v>1158.5054338225175</v>
      </c>
      <c r="O34" s="3808">
        <f t="shared" si="37"/>
        <v>1162.8363403561984</v>
      </c>
      <c r="P34" s="3808">
        <f t="shared" si="37"/>
        <v>1168.4498983432645</v>
      </c>
      <c r="Q34" s="3797">
        <f t="shared" ref="Q34:Q40" si="38">SUM(N34+O34+P34)</f>
        <v>3489.7916725219807</v>
      </c>
      <c r="R34" s="3797">
        <f t="shared" ref="R34:R40" si="39">SUM(M34+Q34)</f>
        <v>10113.075843957977</v>
      </c>
      <c r="S34" s="3808">
        <f t="shared" ref="S34:U34" si="40">SUM(S35+S36+S37+S38+S39+S40+S42)</f>
        <v>1171.0905187906333</v>
      </c>
      <c r="T34" s="3808">
        <f t="shared" si="40"/>
        <v>1171.0905187906333</v>
      </c>
      <c r="U34" s="3808">
        <f t="shared" si="40"/>
        <v>1171.0905187906333</v>
      </c>
      <c r="V34" s="3797">
        <f t="shared" ref="V34:V89" si="41">SUM(S34+T34+U34)</f>
        <v>3513.2715563718998</v>
      </c>
      <c r="W34" s="3788">
        <f t="shared" ref="W34:W88" si="42">SUM(E34+F34+G34+I34+J34+K34+N34+O34+P34+S34+T34+U34)</f>
        <v>13626.347400329878</v>
      </c>
    </row>
    <row r="35" spans="1:23" ht="18.75" customHeight="1">
      <c r="A35" s="3849" t="s">
        <v>1</v>
      </c>
      <c r="B35" s="3790">
        <f>SUM(стоки!BU9)</f>
        <v>1566.52</v>
      </c>
      <c r="C35" s="3790">
        <f>SUM(стоки!BW9)</f>
        <v>1566.52</v>
      </c>
      <c r="D35" s="3790">
        <f>SUM(стоки!BX9)</f>
        <v>0</v>
      </c>
      <c r="E35" s="3801">
        <f>SUM(электр!BO117)</f>
        <v>128.55213190037131</v>
      </c>
      <c r="F35" s="3801">
        <f>SUM(электр!BP117)</f>
        <v>128.91495412009971</v>
      </c>
      <c r="G35" s="3801">
        <f>SUM(электр!BQ117)</f>
        <v>129.38650126873947</v>
      </c>
      <c r="H35" s="3799">
        <f>SUM(электр!BR117)</f>
        <v>386.8535872892104</v>
      </c>
      <c r="I35" s="3801">
        <f>SUM(электр!BS117)</f>
        <v>127.58702158019926</v>
      </c>
      <c r="J35" s="3801">
        <f>SUM(электр!BT117)</f>
        <v>125.17726049338907</v>
      </c>
      <c r="K35" s="3801">
        <f>SUM(электр!BU117)</f>
        <v>120.75192504576694</v>
      </c>
      <c r="L35" s="3799">
        <f>SUM(электр!BV117)</f>
        <v>373.51620711935522</v>
      </c>
      <c r="M35" s="3799">
        <f>SUM(электр!BW117)</f>
        <v>760.36979440856578</v>
      </c>
      <c r="N35" s="3801">
        <f>SUM(электр!BX117)</f>
        <v>125.48910359417846</v>
      </c>
      <c r="O35" s="3801">
        <f>SUM(электр!BY117)</f>
        <v>129.85887754025228</v>
      </c>
      <c r="P35" s="3801">
        <f>SUM(электр!BZ117)</f>
        <v>135.60199356862776</v>
      </c>
      <c r="Q35" s="3799">
        <f>SUM(электр!CA117)</f>
        <v>390.94997470305844</v>
      </c>
      <c r="R35" s="3799">
        <f>SUM(электр!CB117)</f>
        <v>1152.002304231851</v>
      </c>
      <c r="S35" s="3801">
        <f>SUM(электр!CC117)</f>
        <v>138.40007686620311</v>
      </c>
      <c r="T35" s="3801">
        <f>SUM(электр!CD117)</f>
        <v>138.40007686620311</v>
      </c>
      <c r="U35" s="3801">
        <f>SUM(электр!CE117)</f>
        <v>138.40007686620311</v>
      </c>
      <c r="V35" s="3799">
        <f>SUM(электр!CF117)</f>
        <v>415.20023059860932</v>
      </c>
      <c r="W35" s="3792">
        <f t="shared" si="42"/>
        <v>1566.5199997102336</v>
      </c>
    </row>
    <row r="36" spans="1:23" ht="18.75" customHeight="1">
      <c r="A36" s="3849" t="s">
        <v>2</v>
      </c>
      <c r="B36" s="3790">
        <f>SUM(стоки!BU10)</f>
        <v>422.27</v>
      </c>
      <c r="C36" s="3790">
        <f>SUM(стоки!BW10)</f>
        <v>422.27</v>
      </c>
      <c r="D36" s="3790">
        <f>SUM(стоки!BX10)</f>
        <v>0</v>
      </c>
      <c r="E36" s="3801">
        <f>SUM(B36/12)</f>
        <v>35.189166666666665</v>
      </c>
      <c r="F36" s="3801">
        <f t="shared" ref="F36:G38" si="43">SUM(E36)</f>
        <v>35.189166666666665</v>
      </c>
      <c r="G36" s="3801">
        <f>SUM(E36)</f>
        <v>35.189166666666665</v>
      </c>
      <c r="H36" s="3799">
        <f t="shared" si="34"/>
        <v>105.5675</v>
      </c>
      <c r="I36" s="3801">
        <f>SUM(E36)</f>
        <v>35.189166666666665</v>
      </c>
      <c r="J36" s="3801">
        <f>SUM(E36)</f>
        <v>35.189166666666665</v>
      </c>
      <c r="K36" s="3801">
        <f>SUM(E36)</f>
        <v>35.189166666666665</v>
      </c>
      <c r="L36" s="3799">
        <f t="shared" ref="L36:L40" si="44">SUM(I36+J36+K36)</f>
        <v>105.5675</v>
      </c>
      <c r="M36" s="3799">
        <f t="shared" si="36"/>
        <v>211.13499999999999</v>
      </c>
      <c r="N36" s="3801">
        <f>SUM(E36)</f>
        <v>35.189166666666665</v>
      </c>
      <c r="O36" s="3801">
        <f>SUM(E36)</f>
        <v>35.189166666666665</v>
      </c>
      <c r="P36" s="3801">
        <f>E36</f>
        <v>35.189166666666665</v>
      </c>
      <c r="Q36" s="3799">
        <f t="shared" si="38"/>
        <v>105.5675</v>
      </c>
      <c r="R36" s="3799">
        <f t="shared" si="39"/>
        <v>316.70249999999999</v>
      </c>
      <c r="S36" s="3801">
        <f>E36</f>
        <v>35.189166666666665</v>
      </c>
      <c r="T36" s="3801">
        <f>E36</f>
        <v>35.189166666666665</v>
      </c>
      <c r="U36" s="3801">
        <f>E36</f>
        <v>35.189166666666665</v>
      </c>
      <c r="V36" s="3799">
        <f t="shared" si="41"/>
        <v>105.5675</v>
      </c>
      <c r="W36" s="3814">
        <f t="shared" si="42"/>
        <v>422.27</v>
      </c>
    </row>
    <row r="37" spans="1:23" ht="18.75" customHeight="1">
      <c r="A37" s="3849" t="s">
        <v>219</v>
      </c>
      <c r="B37" s="3790">
        <f>SUM(стоки!BU11)</f>
        <v>0</v>
      </c>
      <c r="C37" s="3790">
        <f>SUM(стоки!BW11)</f>
        <v>0</v>
      </c>
      <c r="D37" s="3790">
        <f>SUM(стоки!BX11)</f>
        <v>0</v>
      </c>
      <c r="E37" s="3801">
        <f>SUM(B37/12)</f>
        <v>0</v>
      </c>
      <c r="F37" s="3801">
        <f t="shared" si="43"/>
        <v>0</v>
      </c>
      <c r="G37" s="3801">
        <f t="shared" si="43"/>
        <v>0</v>
      </c>
      <c r="H37" s="3799">
        <f t="shared" si="34"/>
        <v>0</v>
      </c>
      <c r="I37" s="3801">
        <f>SUM(E37)</f>
        <v>0</v>
      </c>
      <c r="J37" s="3801">
        <f>SUM(E37)</f>
        <v>0</v>
      </c>
      <c r="K37" s="3801">
        <f>SUM(E37)</f>
        <v>0</v>
      </c>
      <c r="L37" s="3799">
        <f t="shared" si="44"/>
        <v>0</v>
      </c>
      <c r="M37" s="3799">
        <f t="shared" si="36"/>
        <v>0</v>
      </c>
      <c r="N37" s="3801">
        <f>SUM(E37)</f>
        <v>0</v>
      </c>
      <c r="O37" s="3801">
        <f>SUM(E37)</f>
        <v>0</v>
      </c>
      <c r="P37" s="3801">
        <f>E37</f>
        <v>0</v>
      </c>
      <c r="Q37" s="3799">
        <f t="shared" si="38"/>
        <v>0</v>
      </c>
      <c r="R37" s="3799">
        <f t="shared" si="39"/>
        <v>0</v>
      </c>
      <c r="S37" s="3801">
        <f>E37</f>
        <v>0</v>
      </c>
      <c r="T37" s="3801">
        <f>E37</f>
        <v>0</v>
      </c>
      <c r="U37" s="3801">
        <f>E37</f>
        <v>0</v>
      </c>
      <c r="V37" s="3799">
        <f t="shared" si="41"/>
        <v>0</v>
      </c>
      <c r="W37" s="3814">
        <f t="shared" si="42"/>
        <v>0</v>
      </c>
    </row>
    <row r="38" spans="1:23" ht="18.75" customHeight="1">
      <c r="A38" s="3849" t="s">
        <v>3</v>
      </c>
      <c r="B38" s="3790">
        <f>SUM(стоки!BU12)</f>
        <v>0</v>
      </c>
      <c r="C38" s="3790">
        <f>SUM(стоки!BW12)</f>
        <v>0</v>
      </c>
      <c r="D38" s="3790">
        <f>SUM(стоки!BX12)</f>
        <v>0</v>
      </c>
      <c r="E38" s="3801">
        <f>SUM(B38/12)</f>
        <v>0</v>
      </c>
      <c r="F38" s="3801">
        <f t="shared" si="43"/>
        <v>0</v>
      </c>
      <c r="G38" s="3801">
        <f t="shared" si="43"/>
        <v>0</v>
      </c>
      <c r="H38" s="3799">
        <f t="shared" si="34"/>
        <v>0</v>
      </c>
      <c r="I38" s="3801">
        <f>SUM(E38)</f>
        <v>0</v>
      </c>
      <c r="J38" s="3801">
        <f>SUM(E38)</f>
        <v>0</v>
      </c>
      <c r="K38" s="3801">
        <f>SUM(E38)</f>
        <v>0</v>
      </c>
      <c r="L38" s="3799">
        <f t="shared" si="44"/>
        <v>0</v>
      </c>
      <c r="M38" s="3799">
        <f t="shared" si="36"/>
        <v>0</v>
      </c>
      <c r="N38" s="3801">
        <f>SUM(E38)</f>
        <v>0</v>
      </c>
      <c r="O38" s="3801">
        <f>SUM(E38)</f>
        <v>0</v>
      </c>
      <c r="P38" s="3801">
        <f>E38</f>
        <v>0</v>
      </c>
      <c r="Q38" s="3799">
        <f t="shared" si="38"/>
        <v>0</v>
      </c>
      <c r="R38" s="3799">
        <f t="shared" si="39"/>
        <v>0</v>
      </c>
      <c r="S38" s="3801">
        <f>E38</f>
        <v>0</v>
      </c>
      <c r="T38" s="3801">
        <f>E38</f>
        <v>0</v>
      </c>
      <c r="U38" s="3801">
        <f>E38</f>
        <v>0</v>
      </c>
      <c r="V38" s="3799">
        <f t="shared" si="41"/>
        <v>0</v>
      </c>
      <c r="W38" s="3814">
        <f t="shared" si="42"/>
        <v>0</v>
      </c>
    </row>
    <row r="39" spans="1:23" ht="18.75" customHeight="1">
      <c r="A39" s="3849" t="s">
        <v>4</v>
      </c>
      <c r="B39" s="3790">
        <f>SUM(стоки!BU13)</f>
        <v>8331.1056813599971</v>
      </c>
      <c r="C39" s="3790">
        <f>SUM(стоки!BW13)</f>
        <v>8331.1056813599971</v>
      </c>
      <c r="D39" s="3790">
        <f>SUM(стоки!BX13)</f>
        <v>0</v>
      </c>
      <c r="E39" s="3801">
        <f>SUM(ЗП!CR30/2)/(1+(106.03%*100-100)/2/100)/6</f>
        <v>673.93952995194854</v>
      </c>
      <c r="F39" s="3801">
        <f>SUM(E39)</f>
        <v>673.93952995194854</v>
      </c>
      <c r="G39" s="3801">
        <f>SUM(E39)</f>
        <v>673.93952995194854</v>
      </c>
      <c r="H39" s="3799">
        <f t="shared" si="34"/>
        <v>2021.8185898558456</v>
      </c>
      <c r="I39" s="3801">
        <f>SUM(E39)</f>
        <v>673.93952995194854</v>
      </c>
      <c r="J39" s="3801">
        <f>SUM(E39)</f>
        <v>673.93952995194854</v>
      </c>
      <c r="K39" s="3801">
        <f>SUM(E39)</f>
        <v>673.93952995194854</v>
      </c>
      <c r="L39" s="3799">
        <f t="shared" si="44"/>
        <v>2021.8185898558456</v>
      </c>
      <c r="M39" s="3799">
        <f t="shared" si="36"/>
        <v>4043.6371797116913</v>
      </c>
      <c r="N39" s="3801">
        <f>SUM(ЗП!CR30-M39)/6</f>
        <v>714.57808360805086</v>
      </c>
      <c r="O39" s="3801">
        <f>SUM(N39)</f>
        <v>714.57808360805086</v>
      </c>
      <c r="P39" s="3801">
        <f>SUM(N39)</f>
        <v>714.57808360805086</v>
      </c>
      <c r="Q39" s="3799">
        <f t="shared" si="38"/>
        <v>2143.7342508241527</v>
      </c>
      <c r="R39" s="3799">
        <f t="shared" si="39"/>
        <v>6187.3714305358444</v>
      </c>
      <c r="S39" s="3801">
        <f>SUM(N39)</f>
        <v>714.57808360805086</v>
      </c>
      <c r="T39" s="3801">
        <f>SUM(N39)</f>
        <v>714.57808360805086</v>
      </c>
      <c r="U39" s="3801">
        <f>SUM(N39)</f>
        <v>714.57808360805086</v>
      </c>
      <c r="V39" s="3799">
        <f t="shared" si="41"/>
        <v>2143.7342508241527</v>
      </c>
      <c r="W39" s="3814">
        <f t="shared" si="42"/>
        <v>8331.1056813599971</v>
      </c>
    </row>
    <row r="40" spans="1:23" ht="18.75" customHeight="1">
      <c r="A40" s="3849" t="s">
        <v>121</v>
      </c>
      <c r="B40" s="3790">
        <f>SUM(стоки!BU14)</f>
        <v>2489.5662128953691</v>
      </c>
      <c r="C40" s="3790">
        <f>SUM(стоки!BW14)</f>
        <v>2489.5662128953691</v>
      </c>
      <c r="D40" s="3790">
        <f>SUM(стоки!BX14)</f>
        <v>0</v>
      </c>
      <c r="E40" s="3801">
        <f>SUM(E39*E41)</f>
        <v>201.39188572015152</v>
      </c>
      <c r="F40" s="3801">
        <f>SUM(F39*F41)</f>
        <v>201.39188572015152</v>
      </c>
      <c r="G40" s="3801">
        <f>SUM(G39*G41)</f>
        <v>201.39188572015152</v>
      </c>
      <c r="H40" s="3799">
        <f t="shared" si="34"/>
        <v>604.17565716045453</v>
      </c>
      <c r="I40" s="3801">
        <f>SUM(I39*I41)</f>
        <v>201.39188572015152</v>
      </c>
      <c r="J40" s="3801">
        <f>SUM(J39*J41)</f>
        <v>201.39188572015152</v>
      </c>
      <c r="K40" s="3801">
        <f>SUM(K39*K41)</f>
        <v>201.39188572015152</v>
      </c>
      <c r="L40" s="3799">
        <f t="shared" si="44"/>
        <v>604.17565716045453</v>
      </c>
      <c r="M40" s="3799">
        <f t="shared" si="36"/>
        <v>1208.3513143209091</v>
      </c>
      <c r="N40" s="3801">
        <f>SUM(N39*N41)</f>
        <v>213.53581642907662</v>
      </c>
      <c r="O40" s="3801">
        <f>SUM(O39*O41)</f>
        <v>213.53581642907662</v>
      </c>
      <c r="P40" s="3801">
        <f>SUM(P39*P41)</f>
        <v>213.53581642907662</v>
      </c>
      <c r="Q40" s="3799">
        <f t="shared" si="38"/>
        <v>640.60744928722988</v>
      </c>
      <c r="R40" s="3799">
        <f t="shared" si="39"/>
        <v>1848.958763608139</v>
      </c>
      <c r="S40" s="3801">
        <f>SUM(S39*S41)</f>
        <v>213.53581642907662</v>
      </c>
      <c r="T40" s="3801">
        <f>SUM(T39*T41)</f>
        <v>213.53581642907662</v>
      </c>
      <c r="U40" s="3801">
        <f>SUM(U39*U41)</f>
        <v>213.53581642907662</v>
      </c>
      <c r="V40" s="3799">
        <f t="shared" si="41"/>
        <v>640.60744928722988</v>
      </c>
      <c r="W40" s="3814">
        <f t="shared" si="42"/>
        <v>2489.5662128953686</v>
      </c>
    </row>
    <row r="41" spans="1:23" ht="18.75" customHeight="1">
      <c r="A41" s="3850" t="s">
        <v>322</v>
      </c>
      <c r="B41" s="3795">
        <f>SUM(стоки!BU15)</f>
        <v>0.29882782767544536</v>
      </c>
      <c r="C41" s="3795">
        <f>SUM(стоки!BW15)</f>
        <v>0.29882782767544536</v>
      </c>
      <c r="D41" s="3795">
        <f>SUM(стоки!BX15)</f>
        <v>0</v>
      </c>
      <c r="E41" s="3796">
        <f>SUM(B41)</f>
        <v>0.29882782767544536</v>
      </c>
      <c r="F41" s="3796">
        <f>SUM(E41)</f>
        <v>0.29882782767544536</v>
      </c>
      <c r="G41" s="3796">
        <f>SUM(E41)</f>
        <v>0.29882782767544536</v>
      </c>
      <c r="H41" s="3795">
        <f>SUM(H40/H39)</f>
        <v>0.29882782767544536</v>
      </c>
      <c r="I41" s="3796">
        <f>SUM(E41)</f>
        <v>0.29882782767544536</v>
      </c>
      <c r="J41" s="3796">
        <f>SUM(E41)</f>
        <v>0.29882782767544536</v>
      </c>
      <c r="K41" s="3796">
        <f>SUM(E41)</f>
        <v>0.29882782767544536</v>
      </c>
      <c r="L41" s="3795">
        <f>SUM(L40/L39)</f>
        <v>0.29882782767544536</v>
      </c>
      <c r="M41" s="3795">
        <f>SUM(M40/M39)</f>
        <v>0.29882782767544536</v>
      </c>
      <c r="N41" s="3824">
        <f>SUM(E41)</f>
        <v>0.29882782767544536</v>
      </c>
      <c r="O41" s="3824">
        <f>SUM(E41)</f>
        <v>0.29882782767544536</v>
      </c>
      <c r="P41" s="3824">
        <f>SUM(E41)</f>
        <v>0.29882782767544536</v>
      </c>
      <c r="Q41" s="3795">
        <f>SUM(Q40/Q39)</f>
        <v>0.29882782767544536</v>
      </c>
      <c r="R41" s="3795">
        <f>SUM(R40/R39)</f>
        <v>0.2988278276754453</v>
      </c>
      <c r="S41" s="3796">
        <f>SUM(E41)</f>
        <v>0.29882782767544536</v>
      </c>
      <c r="T41" s="3796">
        <f>SUM(E41)</f>
        <v>0.29882782767544536</v>
      </c>
      <c r="U41" s="3796">
        <f>SUM(E41)</f>
        <v>0.29882782767544536</v>
      </c>
      <c r="V41" s="3795">
        <f>SUM(V40/V39)</f>
        <v>0.29882782767544536</v>
      </c>
      <c r="W41" s="3816">
        <f>SUM(W40/W39)</f>
        <v>0.2988278276754453</v>
      </c>
    </row>
    <row r="42" spans="1:23" ht="18.75" customHeight="1">
      <c r="A42" s="3831" t="s">
        <v>1742</v>
      </c>
      <c r="B42" s="3787">
        <f>SUM('цех стоки'!V197)</f>
        <v>816.88550636427806</v>
      </c>
      <c r="C42" s="3787">
        <f>SUM('цех стоки'!X197)</f>
        <v>816.88550636427806</v>
      </c>
      <c r="D42" s="3787">
        <f>SUM('цех стоки'!AA197)</f>
        <v>0</v>
      </c>
      <c r="E42" s="3800">
        <f>SUM('цех стоки'!AB197)</f>
        <v>66.556238308374674</v>
      </c>
      <c r="F42" s="3800">
        <f>SUM('цех стоки'!AC197)</f>
        <v>66.556238308374674</v>
      </c>
      <c r="G42" s="3800">
        <f>SUM('цех стоки'!AD197)</f>
        <v>66.556238308374674</v>
      </c>
      <c r="H42" s="3787">
        <f>SUM('цех стоки'!AE197)</f>
        <v>199.66871492512402</v>
      </c>
      <c r="I42" s="3800">
        <f>SUM('цех стоки'!AF197)</f>
        <v>66.565207711234549</v>
      </c>
      <c r="J42" s="3800">
        <f>SUM('цех стоки'!AG197)</f>
        <v>66.713701158581443</v>
      </c>
      <c r="K42" s="3800">
        <f>SUM('цех стоки'!AH197)</f>
        <v>66.843259199890824</v>
      </c>
      <c r="L42" s="3787">
        <f>SUM('цех стоки'!AI197)</f>
        <v>200.12216806970685</v>
      </c>
      <c r="M42" s="3787">
        <f>SUM('цех стоки'!AJ197)</f>
        <v>399.79088299483089</v>
      </c>
      <c r="N42" s="3800">
        <f>SUM('цех стоки'!AK197)</f>
        <v>69.713263524544843</v>
      </c>
      <c r="O42" s="3800">
        <f>SUM('цех стоки'!AL197)</f>
        <v>69.674396112152039</v>
      </c>
      <c r="P42" s="3800">
        <f>SUM('цех стоки'!AM197)</f>
        <v>69.544838070842658</v>
      </c>
      <c r="Q42" s="3787">
        <f>SUM('цех стоки'!AN197)</f>
        <v>208.93249770753954</v>
      </c>
      <c r="R42" s="3787">
        <f>SUM('цех стоки'!AO197)</f>
        <v>608.72338070237038</v>
      </c>
      <c r="S42" s="3800">
        <f>SUM('цех стоки'!AP197)</f>
        <v>69.387375220635889</v>
      </c>
      <c r="T42" s="3800">
        <f>SUM('цех стоки'!AQ197)</f>
        <v>69.387375220635889</v>
      </c>
      <c r="U42" s="3800">
        <f>SUM('цех стоки'!AR197)</f>
        <v>69.387375220635889</v>
      </c>
      <c r="V42" s="3787">
        <f>SUM('цех стоки'!AS197)</f>
        <v>208.16212566190768</v>
      </c>
      <c r="W42" s="3814">
        <f t="shared" si="42"/>
        <v>816.88550636427817</v>
      </c>
    </row>
    <row r="43" spans="1:23" ht="18.75" customHeight="1">
      <c r="A43" s="3818" t="s">
        <v>72</v>
      </c>
      <c r="B43" s="3790">
        <f>SUM('цех стоки'!V198)</f>
        <v>445.77442082298649</v>
      </c>
      <c r="C43" s="3790">
        <f>SUM('цех стоки'!X198)</f>
        <v>445.77442082298649</v>
      </c>
      <c r="D43" s="3790">
        <f>SUM('цех стоки'!AA198)</f>
        <v>0</v>
      </c>
      <c r="E43" s="3819">
        <f>SUM('цех стоки'!AB198)</f>
        <v>36.060640102815654</v>
      </c>
      <c r="F43" s="3819">
        <f>SUM('цех стоки'!AC198)</f>
        <v>36.060640102815654</v>
      </c>
      <c r="G43" s="3819">
        <f>SUM('цех стоки'!AD198)</f>
        <v>36.060640102815654</v>
      </c>
      <c r="H43" s="3790">
        <f>SUM('цех стоки'!AE198)</f>
        <v>108.18192030844696</v>
      </c>
      <c r="I43" s="3819">
        <f>SUM('цех стоки'!AF198)</f>
        <v>36.060640102815654</v>
      </c>
      <c r="J43" s="3819">
        <f>SUM('цех стоки'!AG198)</f>
        <v>36.060640102815654</v>
      </c>
      <c r="K43" s="3819">
        <f>SUM('цех стоки'!AH198)</f>
        <v>36.060640102815654</v>
      </c>
      <c r="L43" s="3790">
        <f>SUM('цех стоки'!AI198)</f>
        <v>108.18192030844696</v>
      </c>
      <c r="M43" s="3790">
        <f>SUM('цех стоки'!AJ198)</f>
        <v>216.36384061689392</v>
      </c>
      <c r="N43" s="3819">
        <f>SUM('цех стоки'!AK198)</f>
        <v>38.235096701015429</v>
      </c>
      <c r="O43" s="3819">
        <f>SUM('цех стоки'!AL198)</f>
        <v>38.235096701015429</v>
      </c>
      <c r="P43" s="3819">
        <f>SUM('цех стоки'!AM198)</f>
        <v>38.235096701015429</v>
      </c>
      <c r="Q43" s="3790">
        <f>SUM('цех стоки'!AN198)</f>
        <v>114.70529010304628</v>
      </c>
      <c r="R43" s="3790">
        <f>SUM('цех стоки'!AO198)</f>
        <v>331.06913071994018</v>
      </c>
      <c r="S43" s="3819">
        <f>SUM('цех стоки'!AP198)</f>
        <v>38.235096701015429</v>
      </c>
      <c r="T43" s="3819">
        <f>SUM('цех стоки'!AQ198)</f>
        <v>38.235096701015429</v>
      </c>
      <c r="U43" s="3819">
        <f>SUM('цех стоки'!AR198)</f>
        <v>38.235096701015429</v>
      </c>
      <c r="V43" s="3790">
        <f>SUM('цех стоки'!AS198)</f>
        <v>114.70529010304628</v>
      </c>
      <c r="W43" s="3814">
        <f t="shared" si="42"/>
        <v>445.77442082298654</v>
      </c>
    </row>
    <row r="44" spans="1:23" ht="18.75" customHeight="1">
      <c r="A44" s="3818" t="s">
        <v>121</v>
      </c>
      <c r="B44" s="3790">
        <f>SUM('цех стоки'!V199)</f>
        <v>134.62273144883304</v>
      </c>
      <c r="C44" s="3790">
        <f>SUM('цех стоки'!X199)</f>
        <v>134.62273144883304</v>
      </c>
      <c r="D44" s="3790">
        <f>SUM('цех стоки'!AA199)</f>
        <v>0</v>
      </c>
      <c r="E44" s="3819">
        <f>SUM('цех стоки'!AB199)</f>
        <v>10.890220797038703</v>
      </c>
      <c r="F44" s="3819">
        <f>SUM('цех стоки'!AC199)</f>
        <v>10.890220797038703</v>
      </c>
      <c r="G44" s="3819">
        <f>SUM('цех стоки'!AD199)</f>
        <v>10.890220797038703</v>
      </c>
      <c r="H44" s="3790">
        <f>SUM('цех стоки'!AE199)</f>
        <v>32.67066239111611</v>
      </c>
      <c r="I44" s="3819">
        <f>SUM('цех стоки'!AF199)</f>
        <v>10.890220797038703</v>
      </c>
      <c r="J44" s="3819">
        <f>SUM('цех стоки'!AG199)</f>
        <v>10.890220797038703</v>
      </c>
      <c r="K44" s="3819">
        <f>SUM('цех стоки'!AH199)</f>
        <v>10.890220797038703</v>
      </c>
      <c r="L44" s="3790">
        <f>SUM('цех стоки'!AI199)</f>
        <v>32.67066239111611</v>
      </c>
      <c r="M44" s="3790">
        <f>SUM('цех стоки'!AJ199)</f>
        <v>65.341324782232221</v>
      </c>
      <c r="N44" s="3819">
        <f>SUM('цех стоки'!AK199)</f>
        <v>11.546901111100135</v>
      </c>
      <c r="O44" s="3819">
        <f>SUM('цех стоки'!AL199)</f>
        <v>11.546901111100135</v>
      </c>
      <c r="P44" s="3819">
        <f>SUM('цех стоки'!AM199)</f>
        <v>11.546901111100135</v>
      </c>
      <c r="Q44" s="3790">
        <f>SUM('цех стоки'!AN199)</f>
        <v>34.640703333300408</v>
      </c>
      <c r="R44" s="3790">
        <f>SUM('цех стоки'!AO199)</f>
        <v>99.982028115532628</v>
      </c>
      <c r="S44" s="3819">
        <f>SUM('цех стоки'!AP199)</f>
        <v>11.546901111100135</v>
      </c>
      <c r="T44" s="3819">
        <f>SUM('цех стоки'!AQ199)</f>
        <v>11.546901111100135</v>
      </c>
      <c r="U44" s="3819">
        <f>SUM('цех стоки'!AR199)</f>
        <v>11.546901111100135</v>
      </c>
      <c r="V44" s="3790">
        <f>SUM('цех стоки'!AS199)</f>
        <v>34.640703333300408</v>
      </c>
      <c r="W44" s="3814">
        <f t="shared" si="42"/>
        <v>134.62273144883306</v>
      </c>
    </row>
    <row r="45" spans="1:23" ht="18.75" customHeight="1">
      <c r="A45" s="3818" t="s">
        <v>52</v>
      </c>
      <c r="B45" s="3790">
        <f>SUM('цех стоки'!V200)</f>
        <v>15.194070418375574</v>
      </c>
      <c r="C45" s="3790">
        <f>SUM('цех стоки'!X200)</f>
        <v>15.194070418375574</v>
      </c>
      <c r="D45" s="3790">
        <f>SUM('цех стоки'!AA200)</f>
        <v>0</v>
      </c>
      <c r="E45" s="3819">
        <f>SUM('цех стоки'!AB200)</f>
        <v>1.2661725348646311</v>
      </c>
      <c r="F45" s="3819">
        <f>SUM('цех стоки'!AC200)</f>
        <v>1.2661725348646311</v>
      </c>
      <c r="G45" s="3819">
        <f>SUM('цех стоки'!AD200)</f>
        <v>1.2661725348646311</v>
      </c>
      <c r="H45" s="3790">
        <f>SUM('цех стоки'!AE200)</f>
        <v>3.7985176045938935</v>
      </c>
      <c r="I45" s="3819">
        <f>SUM('цех стоки'!AF200)</f>
        <v>1.2661725348646311</v>
      </c>
      <c r="J45" s="3819">
        <f>SUM('цех стоки'!AG200)</f>
        <v>1.2661725348646311</v>
      </c>
      <c r="K45" s="3819">
        <f>SUM('цех стоки'!AH200)</f>
        <v>1.2661725348646311</v>
      </c>
      <c r="L45" s="3790">
        <f>SUM('цех стоки'!AI200)</f>
        <v>3.7985176045938935</v>
      </c>
      <c r="M45" s="3790">
        <f>SUM('цех стоки'!AJ200)</f>
        <v>7.5970352091877871</v>
      </c>
      <c r="N45" s="3819">
        <f>SUM('цех стоки'!AK200)</f>
        <v>1.2661725348646311</v>
      </c>
      <c r="O45" s="3819">
        <f>SUM('цех стоки'!AL200)</f>
        <v>1.2661725348646311</v>
      </c>
      <c r="P45" s="3819">
        <f>SUM('цех стоки'!AM200)</f>
        <v>1.2661725348646311</v>
      </c>
      <c r="Q45" s="3790">
        <f>SUM('цех стоки'!AN200)</f>
        <v>3.7985176045938935</v>
      </c>
      <c r="R45" s="3790">
        <f>SUM('цех стоки'!AO200)</f>
        <v>11.395552813781681</v>
      </c>
      <c r="S45" s="3819">
        <f>SUM('цех стоки'!AP200)</f>
        <v>1.2661725348646311</v>
      </c>
      <c r="T45" s="3819">
        <f>SUM('цех стоки'!AQ200)</f>
        <v>1.2661725348646311</v>
      </c>
      <c r="U45" s="3819">
        <f>SUM('цех стоки'!AR200)</f>
        <v>1.2661725348646311</v>
      </c>
      <c r="V45" s="3790">
        <f>SUM('цех стоки'!AS200)</f>
        <v>3.7985176045938935</v>
      </c>
      <c r="W45" s="3814">
        <f t="shared" si="42"/>
        <v>15.194070418375576</v>
      </c>
    </row>
    <row r="46" spans="1:23" ht="18.75" customHeight="1">
      <c r="A46" s="3818" t="s">
        <v>606</v>
      </c>
      <c r="B46" s="3790">
        <f>SUM('цех стоки'!V201)</f>
        <v>14.703939114557008</v>
      </c>
      <c r="C46" s="3790">
        <f>SUM('цех стоки'!X201)</f>
        <v>14.703939114557008</v>
      </c>
      <c r="D46" s="3790">
        <f>SUM('цех стоки'!AA201)</f>
        <v>0</v>
      </c>
      <c r="E46" s="3819">
        <f>SUM('цех стоки'!AB201)</f>
        <v>1.2253282595464172</v>
      </c>
      <c r="F46" s="3819">
        <f>SUM('цех стоки'!AC201)</f>
        <v>1.2253282595464172</v>
      </c>
      <c r="G46" s="3819">
        <f>SUM('цех стоки'!AD201)</f>
        <v>1.2253282595464172</v>
      </c>
      <c r="H46" s="3790">
        <f>SUM('цех стоки'!AE201)</f>
        <v>3.6759847786392514</v>
      </c>
      <c r="I46" s="3819">
        <f>SUM('цех стоки'!AF201)</f>
        <v>1.2253282595464172</v>
      </c>
      <c r="J46" s="3819">
        <f>SUM('цех стоки'!AG201)</f>
        <v>1.2253282595464172</v>
      </c>
      <c r="K46" s="3819">
        <f>SUM('цех стоки'!AH201)</f>
        <v>1.2253282595464172</v>
      </c>
      <c r="L46" s="3790">
        <f>SUM('цех стоки'!AI201)</f>
        <v>3.6759847786392514</v>
      </c>
      <c r="M46" s="3790">
        <f>SUM('цех стоки'!AJ201)</f>
        <v>7.3519695572785029</v>
      </c>
      <c r="N46" s="3819">
        <f>SUM('цех стоки'!AK201)</f>
        <v>1.2253282595464172</v>
      </c>
      <c r="O46" s="3819">
        <f>SUM('цех стоки'!AL201)</f>
        <v>1.2253282595464172</v>
      </c>
      <c r="P46" s="3819">
        <f>SUM('цех стоки'!AM201)</f>
        <v>1.2253282595464172</v>
      </c>
      <c r="Q46" s="3790">
        <f>SUM('цех стоки'!AN201)</f>
        <v>3.6759847786392514</v>
      </c>
      <c r="R46" s="3790">
        <f>SUM('цех стоки'!AO201)</f>
        <v>11.027954335917755</v>
      </c>
      <c r="S46" s="3819">
        <f>SUM('цех стоки'!AP201)</f>
        <v>1.2253282595464172</v>
      </c>
      <c r="T46" s="3819">
        <f>SUM('цех стоки'!AQ201)</f>
        <v>1.2253282595464172</v>
      </c>
      <c r="U46" s="3819">
        <f>SUM('цех стоки'!AR201)</f>
        <v>1.2253282595464172</v>
      </c>
      <c r="V46" s="3790">
        <f>SUM('цех стоки'!AS201)</f>
        <v>3.6759847786392514</v>
      </c>
      <c r="W46" s="3814">
        <f t="shared" si="42"/>
        <v>14.703939114557008</v>
      </c>
    </row>
    <row r="47" spans="1:23" ht="18.75" customHeight="1">
      <c r="A47" s="3818" t="s">
        <v>1595</v>
      </c>
      <c r="B47" s="3790">
        <f>SUM('цех стоки'!V202)</f>
        <v>187.06678095741967</v>
      </c>
      <c r="C47" s="3790">
        <f>SUM('цех стоки'!X202)</f>
        <v>187.06678095741967</v>
      </c>
      <c r="D47" s="3790">
        <f>SUM('цех стоки'!AA202)</f>
        <v>0</v>
      </c>
      <c r="E47" s="3819">
        <f>SUM('цех стоки'!AB202)</f>
        <v>15.588898413118306</v>
      </c>
      <c r="F47" s="3819">
        <f>SUM('цех стоки'!AC202)</f>
        <v>15.588898413118306</v>
      </c>
      <c r="G47" s="3819">
        <f>SUM('цех стоки'!AD202)</f>
        <v>15.588898413118306</v>
      </c>
      <c r="H47" s="3790">
        <f>SUM('цех стоки'!AE202)</f>
        <v>46.766695239354917</v>
      </c>
      <c r="I47" s="3819">
        <f>SUM('цех стоки'!AF202)</f>
        <v>15.588898413118306</v>
      </c>
      <c r="J47" s="3819">
        <f>SUM('цех стоки'!AG202)</f>
        <v>15.588898413118306</v>
      </c>
      <c r="K47" s="3819">
        <f>SUM('цех стоки'!AH202)</f>
        <v>15.588898413118306</v>
      </c>
      <c r="L47" s="3790">
        <f>SUM('цех стоки'!AI202)</f>
        <v>46.766695239354917</v>
      </c>
      <c r="M47" s="3790">
        <f>SUM('цех стоки'!AJ202)</f>
        <v>93.533390478709833</v>
      </c>
      <c r="N47" s="3819">
        <f>SUM('цех стоки'!AK202)</f>
        <v>15.588898413118306</v>
      </c>
      <c r="O47" s="3819">
        <f>SUM('цех стоки'!AL202)</f>
        <v>15.588898413118306</v>
      </c>
      <c r="P47" s="3819">
        <f>SUM('цех стоки'!AM202)</f>
        <v>15.588898413118306</v>
      </c>
      <c r="Q47" s="3790">
        <f>SUM('цех стоки'!AN202)</f>
        <v>46.766695239354917</v>
      </c>
      <c r="R47" s="3790">
        <f>SUM('цех стоки'!AO202)</f>
        <v>140.30008571806474</v>
      </c>
      <c r="S47" s="3819">
        <f>SUM('цех стоки'!AP202)</f>
        <v>15.588898413118306</v>
      </c>
      <c r="T47" s="3819">
        <f>SUM('цех стоки'!AQ202)</f>
        <v>15.588898413118306</v>
      </c>
      <c r="U47" s="3819">
        <f>SUM('цех стоки'!AR202)</f>
        <v>15.588898413118306</v>
      </c>
      <c r="V47" s="3790">
        <f>SUM('цех стоки'!AS202)</f>
        <v>46.766695239354917</v>
      </c>
      <c r="W47" s="3814">
        <f t="shared" si="42"/>
        <v>187.06678095741964</v>
      </c>
    </row>
    <row r="48" spans="1:23" ht="18.75" customHeight="1">
      <c r="A48" s="3818" t="s">
        <v>607</v>
      </c>
      <c r="B48" s="3790">
        <f>SUM('цех стоки'!V203)</f>
        <v>9.5575604244620536</v>
      </c>
      <c r="C48" s="3790">
        <f>SUM('цех стоки'!X203)</f>
        <v>9.5575604244620536</v>
      </c>
      <c r="D48" s="3790">
        <f>SUM('цех стоки'!AA203)</f>
        <v>0</v>
      </c>
      <c r="E48" s="3819">
        <f>SUM('цех стоки'!AB203)</f>
        <v>0.79646336870517109</v>
      </c>
      <c r="F48" s="3819">
        <f>SUM('цех стоки'!AC203)</f>
        <v>0.79646336870517109</v>
      </c>
      <c r="G48" s="3819">
        <f>SUM('цех стоки'!AD203)</f>
        <v>0.79646336870517109</v>
      </c>
      <c r="H48" s="3790">
        <f>SUM('цех стоки'!AE203)</f>
        <v>2.3893901061155134</v>
      </c>
      <c r="I48" s="3819">
        <f>SUM('цех стоки'!AF203)</f>
        <v>0.79646336870517109</v>
      </c>
      <c r="J48" s="3819">
        <f>SUM('цех стоки'!AG203)</f>
        <v>0.79646336870517109</v>
      </c>
      <c r="K48" s="3819">
        <f>SUM('цех стоки'!AH203)</f>
        <v>0.79646336870517109</v>
      </c>
      <c r="L48" s="3790">
        <f>SUM('цех стоки'!AI203)</f>
        <v>2.3893901061155134</v>
      </c>
      <c r="M48" s="3790">
        <f>SUM('цех стоки'!AJ203)</f>
        <v>4.7787802122310268</v>
      </c>
      <c r="N48" s="3819">
        <f>SUM('цех стоки'!AK203)</f>
        <v>0.79646336870517109</v>
      </c>
      <c r="O48" s="3819">
        <f>SUM('цех стоки'!AL203)</f>
        <v>0.79646336870517109</v>
      </c>
      <c r="P48" s="3819">
        <f>SUM('цех стоки'!AM203)</f>
        <v>0.79646336870517109</v>
      </c>
      <c r="Q48" s="3790">
        <f>SUM('цех стоки'!AN203)</f>
        <v>2.3893901061155134</v>
      </c>
      <c r="R48" s="3790">
        <f>SUM('цех стоки'!AO203)</f>
        <v>7.1681703183465402</v>
      </c>
      <c r="S48" s="3819">
        <f>SUM('цех стоки'!AP203)</f>
        <v>0.79646336870517109</v>
      </c>
      <c r="T48" s="3819">
        <f>SUM('цех стоки'!AQ203)</f>
        <v>0.79646336870517109</v>
      </c>
      <c r="U48" s="3819">
        <f>SUM('цех стоки'!AR203)</f>
        <v>0.79646336870517109</v>
      </c>
      <c r="V48" s="3790">
        <f>SUM('цех стоки'!AS203)</f>
        <v>2.3893901061155134</v>
      </c>
      <c r="W48" s="3814">
        <f t="shared" si="42"/>
        <v>9.5575604244620536</v>
      </c>
    </row>
    <row r="49" spans="1:23" ht="18.75" customHeight="1">
      <c r="A49" s="3820" t="s">
        <v>565</v>
      </c>
      <c r="B49" s="3794">
        <f>SUM('цех стоки'!V204)</f>
        <v>6.5350840509142243</v>
      </c>
      <c r="C49" s="3794">
        <f>SUM('цех стоки'!X204)</f>
        <v>6.5350840509142243</v>
      </c>
      <c r="D49" s="3794">
        <f>SUM('цех стоки'!AA204)</f>
        <v>0</v>
      </c>
      <c r="E49" s="3821">
        <f>SUM('цех стоки'!AB204)</f>
        <v>0.54459033757618536</v>
      </c>
      <c r="F49" s="3821">
        <f>SUM('цех стоки'!AC204)</f>
        <v>0.54459033757618536</v>
      </c>
      <c r="G49" s="3821">
        <f>SUM('цех стоки'!AD204)</f>
        <v>0.54459033757618536</v>
      </c>
      <c r="H49" s="3794">
        <f>SUM('цех стоки'!AE204)</f>
        <v>1.6337710127285561</v>
      </c>
      <c r="I49" s="3821">
        <f>SUM('цех стоки'!AF204)</f>
        <v>0.54459033757618536</v>
      </c>
      <c r="J49" s="3821">
        <f>SUM('цех стоки'!AG204)</f>
        <v>0.54459033757618536</v>
      </c>
      <c r="K49" s="3821">
        <f>SUM('цех стоки'!AH204)</f>
        <v>0.54459033757618536</v>
      </c>
      <c r="L49" s="3794">
        <f>SUM('цех стоки'!AI204)</f>
        <v>1.6337710127285561</v>
      </c>
      <c r="M49" s="3794">
        <f>SUM('цех стоки'!AJ204)</f>
        <v>3.2675420254571121</v>
      </c>
      <c r="N49" s="3821">
        <f>SUM('цех стоки'!AK204)</f>
        <v>0.54459033757618536</v>
      </c>
      <c r="O49" s="3821">
        <f>SUM('цех стоки'!AL204)</f>
        <v>0.54459033757618536</v>
      </c>
      <c r="P49" s="3821">
        <f>SUM('цех стоки'!AM204)</f>
        <v>0.54459033757618536</v>
      </c>
      <c r="Q49" s="3794">
        <f>SUM('цех стоки'!AN204)</f>
        <v>1.6337710127285561</v>
      </c>
      <c r="R49" s="3794">
        <f>SUM('цех стоки'!AO204)</f>
        <v>4.901313038185668</v>
      </c>
      <c r="S49" s="3821">
        <f>SUM('цех стоки'!AP204)</f>
        <v>0.54459033757618536</v>
      </c>
      <c r="T49" s="3821">
        <f>SUM('цех стоки'!AQ204)</f>
        <v>0.54459033757618536</v>
      </c>
      <c r="U49" s="3821">
        <f>SUM('цех стоки'!AR204)</f>
        <v>0.54459033757618536</v>
      </c>
      <c r="V49" s="3794">
        <f>SUM('цех стоки'!AS204)</f>
        <v>1.6337710127285561</v>
      </c>
      <c r="W49" s="3814">
        <f t="shared" si="42"/>
        <v>6.5350840509142225</v>
      </c>
    </row>
    <row r="50" spans="1:23" ht="18.75" customHeight="1">
      <c r="A50" s="3820" t="s">
        <v>566</v>
      </c>
      <c r="B50" s="3794">
        <f>SUM('цех стоки'!V205)</f>
        <v>3.0224763735478288</v>
      </c>
      <c r="C50" s="3794">
        <f>SUM('цех стоки'!X205)</f>
        <v>3.0224763735478288</v>
      </c>
      <c r="D50" s="3794">
        <f>SUM('цех стоки'!AA205)</f>
        <v>0</v>
      </c>
      <c r="E50" s="3821">
        <f>SUM('цех стоки'!AB205)</f>
        <v>0.25187303112898574</v>
      </c>
      <c r="F50" s="3821">
        <f>SUM('цех стоки'!AC205)</f>
        <v>0.25187303112898574</v>
      </c>
      <c r="G50" s="3821">
        <f>SUM('цех стоки'!AD205)</f>
        <v>0.25187303112898574</v>
      </c>
      <c r="H50" s="3794">
        <f>SUM('цех стоки'!AE205)</f>
        <v>0.75561909338695721</v>
      </c>
      <c r="I50" s="3821">
        <f>SUM('цех стоки'!AF205)</f>
        <v>0.25187303112898574</v>
      </c>
      <c r="J50" s="3821">
        <f>SUM('цех стоки'!AG205)</f>
        <v>0.25187303112898574</v>
      </c>
      <c r="K50" s="3821">
        <f>SUM('цех стоки'!AH205)</f>
        <v>0.25187303112898574</v>
      </c>
      <c r="L50" s="3794">
        <f>SUM('цех стоки'!AI205)</f>
        <v>0.75561909338695721</v>
      </c>
      <c r="M50" s="3794">
        <f>SUM('цех стоки'!AJ205)</f>
        <v>1.5112381867739144</v>
      </c>
      <c r="N50" s="3821">
        <f>SUM('цех стоки'!AK205)</f>
        <v>0.25187303112898574</v>
      </c>
      <c r="O50" s="3821">
        <f>SUM('цех стоки'!AL205)</f>
        <v>0.25187303112898574</v>
      </c>
      <c r="P50" s="3821">
        <f>SUM('цех стоки'!AM205)</f>
        <v>0.25187303112898574</v>
      </c>
      <c r="Q50" s="3794">
        <f>SUM('цех стоки'!AN205)</f>
        <v>0.75561909338695721</v>
      </c>
      <c r="R50" s="3794">
        <f>SUM('цех стоки'!AO205)</f>
        <v>2.2668572801608717</v>
      </c>
      <c r="S50" s="3821">
        <f>SUM('цех стоки'!AP205)</f>
        <v>0.25187303112898574</v>
      </c>
      <c r="T50" s="3821">
        <f>SUM('цех стоки'!AQ205)</f>
        <v>0.25187303112898574</v>
      </c>
      <c r="U50" s="3821">
        <f>SUM('цех стоки'!AR205)</f>
        <v>0.25187303112898574</v>
      </c>
      <c r="V50" s="3794">
        <f>SUM('цех стоки'!AS205)</f>
        <v>0.75561909338695721</v>
      </c>
      <c r="W50" s="3814">
        <f t="shared" si="42"/>
        <v>3.0224763735478297</v>
      </c>
    </row>
    <row r="51" spans="1:23" ht="18.75" customHeight="1">
      <c r="A51" s="3818" t="s">
        <v>610</v>
      </c>
      <c r="B51" s="3790">
        <f>SUM('цех стоки'!V206)</f>
        <v>9.9660031776441915</v>
      </c>
      <c r="C51" s="3790">
        <f>SUM('цех стоки'!X206)</f>
        <v>9.9660031776441915</v>
      </c>
      <c r="D51" s="3790">
        <f>SUM('цех стоки'!AA206)</f>
        <v>0</v>
      </c>
      <c r="E51" s="3819">
        <f>SUM('цех стоки'!AB206)</f>
        <v>0.72851483228579039</v>
      </c>
      <c r="F51" s="3819">
        <f>SUM('цех стоки'!AC206)</f>
        <v>0.72851483228579039</v>
      </c>
      <c r="G51" s="3819">
        <f>SUM('цех стоки'!AD206)</f>
        <v>0.72851483228579039</v>
      </c>
      <c r="H51" s="3790">
        <f>SUM('цех стоки'!AE206)</f>
        <v>2.1855444968573714</v>
      </c>
      <c r="I51" s="3819">
        <f>SUM('цех стоки'!AF206)</f>
        <v>0.7374842351456703</v>
      </c>
      <c r="J51" s="3819">
        <f>SUM('цех стоки'!AG206)</f>
        <v>0.8859776824925687</v>
      </c>
      <c r="K51" s="3819">
        <f>SUM('цех стоки'!AH206)</f>
        <v>1.0155357238019431</v>
      </c>
      <c r="L51" s="3790">
        <f>SUM('цех стоки'!AI206)</f>
        <v>2.6389976414401821</v>
      </c>
      <c r="M51" s="3790">
        <f>SUM('цех стоки'!AJ206)</f>
        <v>4.824542138297554</v>
      </c>
      <c r="N51" s="3819">
        <f>SUM('цех стоки'!AK206)</f>
        <v>1.0544031361947555</v>
      </c>
      <c r="O51" s="3819">
        <f>SUM('цех стоки'!AL206)</f>
        <v>1.0155357238019431</v>
      </c>
      <c r="P51" s="3819">
        <f>SUM('цех стоки'!AM206)</f>
        <v>0.8859776824925687</v>
      </c>
      <c r="Q51" s="3790">
        <f>SUM('цех стоки'!AN206)</f>
        <v>2.9559165424892671</v>
      </c>
      <c r="R51" s="3790">
        <f>SUM('цех стоки'!AO206)</f>
        <v>7.780458680786821</v>
      </c>
      <c r="S51" s="3819">
        <f>SUM('цех стоки'!AP206)</f>
        <v>0.72851483228579039</v>
      </c>
      <c r="T51" s="3819">
        <f>SUM('цех стоки'!AQ206)</f>
        <v>0.72851483228579039</v>
      </c>
      <c r="U51" s="3819">
        <f>SUM('цех стоки'!AR206)</f>
        <v>0.72851483228579039</v>
      </c>
      <c r="V51" s="3790">
        <f>SUM('цех стоки'!AS206)</f>
        <v>2.1855444968573714</v>
      </c>
      <c r="W51" s="3814">
        <f t="shared" si="42"/>
        <v>9.9660031776441933</v>
      </c>
    </row>
    <row r="52" spans="1:23" ht="18.75" customHeight="1">
      <c r="A52" s="3820" t="s">
        <v>552</v>
      </c>
      <c r="B52" s="3794">
        <f>SUM('цех стоки'!V207)</f>
        <v>9.9660031776441915</v>
      </c>
      <c r="C52" s="3794">
        <f>SUM('цех стоки'!X207)</f>
        <v>9.9660031776441915</v>
      </c>
      <c r="D52" s="3794">
        <f>SUM('цех стоки'!AA207)</f>
        <v>0</v>
      </c>
      <c r="E52" s="3821">
        <f>SUM('цех стоки'!AB207)</f>
        <v>0.72851483228579039</v>
      </c>
      <c r="F52" s="3821">
        <f>SUM('цех стоки'!AC207)</f>
        <v>0.72851483228579039</v>
      </c>
      <c r="G52" s="3821">
        <f>SUM('цех стоки'!AD207)</f>
        <v>0.72851483228579039</v>
      </c>
      <c r="H52" s="3794">
        <f>SUM('цех стоки'!AE207)</f>
        <v>2.1855444968573714</v>
      </c>
      <c r="I52" s="3821">
        <f>SUM('цех стоки'!AF207)</f>
        <v>0.7374842351456703</v>
      </c>
      <c r="J52" s="3821">
        <f>SUM('цех стоки'!AG207)</f>
        <v>0.8859776824925687</v>
      </c>
      <c r="K52" s="3821">
        <f>SUM('цех стоки'!AH207)</f>
        <v>1.0155357238019431</v>
      </c>
      <c r="L52" s="3794">
        <f>SUM('цех стоки'!AI207)</f>
        <v>2.6389976414401821</v>
      </c>
      <c r="M52" s="3794">
        <f>SUM('цех стоки'!AJ207)</f>
        <v>4.824542138297554</v>
      </c>
      <c r="N52" s="3821">
        <f>SUM('цех стоки'!AK207)</f>
        <v>1.0544031361947555</v>
      </c>
      <c r="O52" s="3821">
        <f>SUM('цех стоки'!AL207)</f>
        <v>1.0155357238019431</v>
      </c>
      <c r="P52" s="3821">
        <f>SUM('цех стоки'!AM207)</f>
        <v>0.8859776824925687</v>
      </c>
      <c r="Q52" s="3794">
        <f>SUM('цех стоки'!AN207)</f>
        <v>2.9559165424892671</v>
      </c>
      <c r="R52" s="3794">
        <f>SUM('цех стоки'!AO207)</f>
        <v>7.780458680786821</v>
      </c>
      <c r="S52" s="3821">
        <f>SUM('цех стоки'!AP207)</f>
        <v>0.72851483228579039</v>
      </c>
      <c r="T52" s="3821">
        <f>SUM('цех стоки'!AQ207)</f>
        <v>0.72851483228579039</v>
      </c>
      <c r="U52" s="3821">
        <f>SUM('цех стоки'!AR207)</f>
        <v>0.72851483228579039</v>
      </c>
      <c r="V52" s="3794">
        <f>SUM('цех стоки'!AS207)</f>
        <v>2.1855444968573714</v>
      </c>
      <c r="W52" s="3814">
        <f t="shared" si="42"/>
        <v>9.9660031776441933</v>
      </c>
    </row>
    <row r="53" spans="1:23" ht="18.75" customHeight="1">
      <c r="A53" s="3834" t="s">
        <v>7</v>
      </c>
      <c r="B53" s="3787">
        <f>SUM(стоки!BU17)</f>
        <v>38286.041854455776</v>
      </c>
      <c r="C53" s="3787">
        <f>SUM(стоки!BW17)</f>
        <v>37989.67154719567</v>
      </c>
      <c r="D53" s="3787">
        <f>SUM(стоки!BX17)</f>
        <v>296.37030726010505</v>
      </c>
      <c r="E53" s="3823">
        <f>SUM(E54+E55+E56+E57+E58+E59+E60+E62)</f>
        <v>3143.8744332535389</v>
      </c>
      <c r="F53" s="3823">
        <f t="shared" ref="F53:G53" si="45">SUM(F54+F55+F56+F57+F58+F59+F60+F62)</f>
        <v>3136.0834937362315</v>
      </c>
      <c r="G53" s="3823">
        <f t="shared" si="45"/>
        <v>3133.9076523853246</v>
      </c>
      <c r="H53" s="3797">
        <f t="shared" si="34"/>
        <v>9413.865579375095</v>
      </c>
      <c r="I53" s="3823">
        <f t="shared" ref="I53:K53" si="46">SUM(I54+I55+I56+I57+I58+I59+I60+I62)</f>
        <v>3113.3346490777581</v>
      </c>
      <c r="J53" s="3823">
        <f t="shared" si="46"/>
        <v>3078.4937103422271</v>
      </c>
      <c r="K53" s="3823">
        <f t="shared" si="46"/>
        <v>3055.0819701008495</v>
      </c>
      <c r="L53" s="3797">
        <f t="shared" ref="L53:L60" si="47">SUM(I53+J53+K53)</f>
        <v>9246.9103295208351</v>
      </c>
      <c r="M53" s="3797">
        <f t="shared" ref="M53:M60" si="48">SUM(H53+L53)</f>
        <v>18660.775908895928</v>
      </c>
      <c r="N53" s="3823">
        <f t="shared" ref="N53:P53" si="49">SUM(N54+N55+N56+N57+N58+N59+N60+N62)</f>
        <v>3212.7556865739216</v>
      </c>
      <c r="O53" s="3823">
        <f t="shared" si="49"/>
        <v>3228.7825347584289</v>
      </c>
      <c r="P53" s="3823">
        <f t="shared" si="49"/>
        <v>3264.4043657884667</v>
      </c>
      <c r="Q53" s="3797">
        <f t="shared" ref="Q53:Q60" si="50">SUM(N53+O53+P53)</f>
        <v>9705.9425871208168</v>
      </c>
      <c r="R53" s="3797">
        <f t="shared" ref="R53:R60" si="51">SUM(M53+Q53)</f>
        <v>28366.718496016743</v>
      </c>
      <c r="S53" s="3823">
        <f t="shared" ref="S53:U53" si="52">SUM(S54+S55+S56+S57+S58+S59+S60+S62)</f>
        <v>3295.6019234452187</v>
      </c>
      <c r="T53" s="3823">
        <f t="shared" si="52"/>
        <v>3305.6149124094059</v>
      </c>
      <c r="U53" s="3823">
        <f t="shared" si="52"/>
        <v>3318.1065199948134</v>
      </c>
      <c r="V53" s="3797">
        <f t="shared" si="41"/>
        <v>9919.3233558494376</v>
      </c>
      <c r="W53" s="3812">
        <f t="shared" si="42"/>
        <v>38286.041851866183</v>
      </c>
    </row>
    <row r="54" spans="1:23" ht="18.75" customHeight="1">
      <c r="A54" s="3849" t="s">
        <v>1</v>
      </c>
      <c r="B54" s="3790">
        <f>SUM(стоки!BU18)</f>
        <v>5969.91</v>
      </c>
      <c r="C54" s="3790">
        <f>SUM(стоки!BW18)</f>
        <v>5899.18</v>
      </c>
      <c r="D54" s="3790">
        <f>SUM(стоки!BX18)</f>
        <v>70.73</v>
      </c>
      <c r="E54" s="3798">
        <f>SUM(электр!BO125)</f>
        <v>489.90281008150487</v>
      </c>
      <c r="F54" s="3798">
        <f>SUM(электр!BP125)</f>
        <v>491.28549913051029</v>
      </c>
      <c r="G54" s="3798">
        <f>SUM(электр!BQ125)</f>
        <v>493.0825309633513</v>
      </c>
      <c r="H54" s="3799">
        <f>SUM(электр!BR125)</f>
        <v>1474.2708401753666</v>
      </c>
      <c r="I54" s="3798">
        <f>SUM(электр!BS125)</f>
        <v>486.22484495637281</v>
      </c>
      <c r="J54" s="3798">
        <f>SUM(электр!BT125)</f>
        <v>477.04142099753631</v>
      </c>
      <c r="K54" s="3798">
        <f>SUM(электр!BU125)</f>
        <v>460.17678997746441</v>
      </c>
      <c r="L54" s="3799">
        <f>SUM(электр!BV125)</f>
        <v>1423.4430559313735</v>
      </c>
      <c r="M54" s="3799">
        <f>SUM(электр!BW125)</f>
        <v>2897.7138961067399</v>
      </c>
      <c r="N54" s="3798">
        <f>SUM(электр!BX125)</f>
        <v>478.23238434065814</v>
      </c>
      <c r="O54" s="3798">
        <f>SUM(электр!BY125)</f>
        <v>494.88536339148243</v>
      </c>
      <c r="P54" s="3798">
        <f>SUM(электр!BZ125)</f>
        <v>516.77207700350368</v>
      </c>
      <c r="Q54" s="3799">
        <f>SUM(электр!CA125)</f>
        <v>1489.8898247356442</v>
      </c>
      <c r="R54" s="3799">
        <f>SUM(электр!CB125)</f>
        <v>4390.2050255926079</v>
      </c>
      <c r="S54" s="3798">
        <f>SUM(электр!CC125)</f>
        <v>527.43542552267593</v>
      </c>
      <c r="T54" s="3798">
        <f>SUM(электр!CD125)</f>
        <v>527.43542552267593</v>
      </c>
      <c r="U54" s="3798">
        <f>SUM(электр!CE125)</f>
        <v>527.43542552267593</v>
      </c>
      <c r="V54" s="3799">
        <f>SUM(электр!CF125)</f>
        <v>1582.3062765680281</v>
      </c>
      <c r="W54" s="3814">
        <f t="shared" si="42"/>
        <v>5969.9099974104129</v>
      </c>
    </row>
    <row r="55" spans="1:23" ht="18.75" customHeight="1">
      <c r="A55" s="3849" t="s">
        <v>8</v>
      </c>
      <c r="B55" s="3790">
        <f>SUM(стоки!BU19)</f>
        <v>310.00924898576147</v>
      </c>
      <c r="C55" s="3790">
        <f>SUM(стоки!BW19)</f>
        <v>307.84579219241471</v>
      </c>
      <c r="D55" s="3790">
        <f>SUM(стоки!BX19)</f>
        <v>2.1634567933467679</v>
      </c>
      <c r="E55" s="3798">
        <f>SUM(B55/12)</f>
        <v>25.834104082146791</v>
      </c>
      <c r="F55" s="3798">
        <f t="shared" ref="F55:F58" si="53">SUM(E55)</f>
        <v>25.834104082146791</v>
      </c>
      <c r="G55" s="3798">
        <f t="shared" ref="G55:G58" si="54">SUM(F55)</f>
        <v>25.834104082146791</v>
      </c>
      <c r="H55" s="3799">
        <f t="shared" si="34"/>
        <v>77.502312246440368</v>
      </c>
      <c r="I55" s="3798">
        <f>SUM(E55)</f>
        <v>25.834104082146791</v>
      </c>
      <c r="J55" s="3798">
        <f>SUM(E55)</f>
        <v>25.834104082146791</v>
      </c>
      <c r="K55" s="3798">
        <f>SUM(E55)</f>
        <v>25.834104082146791</v>
      </c>
      <c r="L55" s="3799">
        <f t="shared" si="47"/>
        <v>77.502312246440368</v>
      </c>
      <c r="M55" s="3799">
        <f t="shared" si="48"/>
        <v>155.00462449288074</v>
      </c>
      <c r="N55" s="3798">
        <f>SUM(E55)</f>
        <v>25.834104082146791</v>
      </c>
      <c r="O55" s="3798">
        <f>SUM(E55)</f>
        <v>25.834104082146791</v>
      </c>
      <c r="P55" s="3798">
        <f>E55</f>
        <v>25.834104082146791</v>
      </c>
      <c r="Q55" s="3799">
        <f t="shared" si="50"/>
        <v>77.502312246440368</v>
      </c>
      <c r="R55" s="3799">
        <f t="shared" si="51"/>
        <v>232.50693673932111</v>
      </c>
      <c r="S55" s="3798">
        <f>E55</f>
        <v>25.834104082146791</v>
      </c>
      <c r="T55" s="3798">
        <f>E55</f>
        <v>25.834104082146791</v>
      </c>
      <c r="U55" s="3798">
        <f>E55</f>
        <v>25.834104082146791</v>
      </c>
      <c r="V55" s="3799">
        <f t="shared" si="41"/>
        <v>77.502312246440368</v>
      </c>
      <c r="W55" s="3814">
        <f t="shared" si="42"/>
        <v>310.00924898576142</v>
      </c>
    </row>
    <row r="56" spans="1:23" ht="18.75" customHeight="1">
      <c r="A56" s="3849" t="s">
        <v>2</v>
      </c>
      <c r="B56" s="3790">
        <f>SUM(стоки!BU20)</f>
        <v>717.01</v>
      </c>
      <c r="C56" s="3790">
        <f>SUM(стоки!BW20)</f>
        <v>711.89</v>
      </c>
      <c r="D56" s="3790">
        <f>SUM(стоки!BX20)</f>
        <v>5.12</v>
      </c>
      <c r="E56" s="3798">
        <f>SUM(B56/12)</f>
        <v>59.750833333333333</v>
      </c>
      <c r="F56" s="3798">
        <f t="shared" si="53"/>
        <v>59.750833333333333</v>
      </c>
      <c r="G56" s="3798">
        <f t="shared" si="54"/>
        <v>59.750833333333333</v>
      </c>
      <c r="H56" s="3799">
        <f t="shared" si="34"/>
        <v>179.2525</v>
      </c>
      <c r="I56" s="3798">
        <f>SUM(E56)</f>
        <v>59.750833333333333</v>
      </c>
      <c r="J56" s="3798">
        <f>SUM(E56)</f>
        <v>59.750833333333333</v>
      </c>
      <c r="K56" s="3798">
        <f>SUM(E56)</f>
        <v>59.750833333333333</v>
      </c>
      <c r="L56" s="3799">
        <f t="shared" si="47"/>
        <v>179.2525</v>
      </c>
      <c r="M56" s="3799">
        <f t="shared" si="48"/>
        <v>358.505</v>
      </c>
      <c r="N56" s="3798">
        <f>SUM(E56)</f>
        <v>59.750833333333333</v>
      </c>
      <c r="O56" s="3798">
        <f>SUM(E56)</f>
        <v>59.750833333333333</v>
      </c>
      <c r="P56" s="3798">
        <f>E56</f>
        <v>59.750833333333333</v>
      </c>
      <c r="Q56" s="3799">
        <f t="shared" si="50"/>
        <v>179.2525</v>
      </c>
      <c r="R56" s="3799">
        <f t="shared" si="51"/>
        <v>537.75749999999994</v>
      </c>
      <c r="S56" s="3798">
        <f>E56</f>
        <v>59.750833333333333</v>
      </c>
      <c r="T56" s="3798">
        <f>E56</f>
        <v>59.750833333333333</v>
      </c>
      <c r="U56" s="3798">
        <f>E56</f>
        <v>59.750833333333333</v>
      </c>
      <c r="V56" s="3799">
        <f t="shared" si="41"/>
        <v>179.2525</v>
      </c>
      <c r="W56" s="3814">
        <f t="shared" si="42"/>
        <v>717.00999999999976</v>
      </c>
    </row>
    <row r="57" spans="1:23" ht="18.75" customHeight="1">
      <c r="A57" s="3849" t="s">
        <v>69</v>
      </c>
      <c r="B57" s="3790">
        <f>SUM(стоки!BU21)</f>
        <v>0</v>
      </c>
      <c r="C57" s="3790">
        <f>SUM(стоки!BW21)</f>
        <v>0</v>
      </c>
      <c r="D57" s="3790">
        <f>SUM(стоки!BX21)</f>
        <v>0</v>
      </c>
      <c r="E57" s="3798">
        <f>SUM(B57/12)</f>
        <v>0</v>
      </c>
      <c r="F57" s="3798">
        <f t="shared" si="53"/>
        <v>0</v>
      </c>
      <c r="G57" s="3798">
        <f t="shared" si="54"/>
        <v>0</v>
      </c>
      <c r="H57" s="3799">
        <f t="shared" si="34"/>
        <v>0</v>
      </c>
      <c r="I57" s="3798">
        <f>SUM(E57)</f>
        <v>0</v>
      </c>
      <c r="J57" s="3798">
        <f>SUM(E57)</f>
        <v>0</v>
      </c>
      <c r="K57" s="3798">
        <f>SUM(E57)</f>
        <v>0</v>
      </c>
      <c r="L57" s="3799">
        <f t="shared" si="47"/>
        <v>0</v>
      </c>
      <c r="M57" s="3799">
        <f t="shared" si="48"/>
        <v>0</v>
      </c>
      <c r="N57" s="3798">
        <f>SUM(E57)</f>
        <v>0</v>
      </c>
      <c r="O57" s="3798">
        <f>SUM(E57)</f>
        <v>0</v>
      </c>
      <c r="P57" s="3798">
        <f>E57</f>
        <v>0</v>
      </c>
      <c r="Q57" s="3799">
        <f t="shared" si="50"/>
        <v>0</v>
      </c>
      <c r="R57" s="3799">
        <f t="shared" si="51"/>
        <v>0</v>
      </c>
      <c r="S57" s="3798">
        <f>E57</f>
        <v>0</v>
      </c>
      <c r="T57" s="3798">
        <f>E57</f>
        <v>0</v>
      </c>
      <c r="U57" s="3798">
        <f>E57</f>
        <v>0</v>
      </c>
      <c r="V57" s="3799">
        <f t="shared" si="41"/>
        <v>0</v>
      </c>
      <c r="W57" s="3814">
        <f t="shared" si="42"/>
        <v>0</v>
      </c>
    </row>
    <row r="58" spans="1:23" ht="18.75" customHeight="1">
      <c r="A58" s="3849" t="s">
        <v>3</v>
      </c>
      <c r="B58" s="3790">
        <f>SUM(стоки!BU22)</f>
        <v>0</v>
      </c>
      <c r="C58" s="3790">
        <f>SUM(стоки!BW22)</f>
        <v>0</v>
      </c>
      <c r="D58" s="3790">
        <f>SUM(стоки!BX22)</f>
        <v>0</v>
      </c>
      <c r="E58" s="3798">
        <f>SUM(B58/12)</f>
        <v>0</v>
      </c>
      <c r="F58" s="3798">
        <f t="shared" si="53"/>
        <v>0</v>
      </c>
      <c r="G58" s="3798">
        <f t="shared" si="54"/>
        <v>0</v>
      </c>
      <c r="H58" s="3799">
        <f t="shared" si="34"/>
        <v>0</v>
      </c>
      <c r="I58" s="3798">
        <f>SUM(E58)</f>
        <v>0</v>
      </c>
      <c r="J58" s="3798">
        <f>SUM(E58)</f>
        <v>0</v>
      </c>
      <c r="K58" s="3798">
        <f>SUM(E58)</f>
        <v>0</v>
      </c>
      <c r="L58" s="3799">
        <f t="shared" si="47"/>
        <v>0</v>
      </c>
      <c r="M58" s="3799">
        <f t="shared" si="48"/>
        <v>0</v>
      </c>
      <c r="N58" s="3798">
        <f>SUM(E58)</f>
        <v>0</v>
      </c>
      <c r="O58" s="3798">
        <f>SUM(E58)</f>
        <v>0</v>
      </c>
      <c r="P58" s="3798">
        <f>E58</f>
        <v>0</v>
      </c>
      <c r="Q58" s="3799">
        <f t="shared" si="50"/>
        <v>0</v>
      </c>
      <c r="R58" s="3799">
        <f t="shared" si="51"/>
        <v>0</v>
      </c>
      <c r="S58" s="3798">
        <f>E58</f>
        <v>0</v>
      </c>
      <c r="T58" s="3798">
        <f>E58</f>
        <v>0</v>
      </c>
      <c r="U58" s="3798">
        <f>E58</f>
        <v>0</v>
      </c>
      <c r="V58" s="3799">
        <f t="shared" si="41"/>
        <v>0</v>
      </c>
      <c r="W58" s="3814">
        <f t="shared" si="42"/>
        <v>0</v>
      </c>
    </row>
    <row r="59" spans="1:23" ht="18.75" customHeight="1">
      <c r="A59" s="3849" t="s">
        <v>4</v>
      </c>
      <c r="B59" s="3790">
        <f>SUM(стоки!BU23)</f>
        <v>18610.387360487999</v>
      </c>
      <c r="C59" s="3790">
        <f>SUM(стоки!BW23)</f>
        <v>18480.511335519106</v>
      </c>
      <c r="D59" s="3790">
        <f>SUM(стоки!BX23)</f>
        <v>129.87602496889303</v>
      </c>
      <c r="E59" s="3798">
        <f>SUM(ЗП!CR31/2)/(1+(106.03%*100-100)/2/100)/6</f>
        <v>1505.475526257341</v>
      </c>
      <c r="F59" s="3798">
        <f>SUM(E59)</f>
        <v>1505.475526257341</v>
      </c>
      <c r="G59" s="3798">
        <f>SUM(E59)</f>
        <v>1505.475526257341</v>
      </c>
      <c r="H59" s="3799">
        <f t="shared" si="34"/>
        <v>4516.4265787720233</v>
      </c>
      <c r="I59" s="3798">
        <f>SUM(E59)</f>
        <v>1505.475526257341</v>
      </c>
      <c r="J59" s="3798">
        <f>SUM(E59)</f>
        <v>1505.475526257341</v>
      </c>
      <c r="K59" s="3798">
        <f>SUM(E59)</f>
        <v>1505.475526257341</v>
      </c>
      <c r="L59" s="3799">
        <f t="shared" si="47"/>
        <v>4516.4265787720233</v>
      </c>
      <c r="M59" s="3799">
        <f t="shared" si="48"/>
        <v>9032.8531575440466</v>
      </c>
      <c r="N59" s="3798">
        <f>SUM(ЗП!CR31-M59)/6</f>
        <v>1596.2557004906587</v>
      </c>
      <c r="O59" s="3798">
        <f>SUM(N59)</f>
        <v>1596.2557004906587</v>
      </c>
      <c r="P59" s="3798">
        <f>SUM(N59)</f>
        <v>1596.2557004906587</v>
      </c>
      <c r="Q59" s="3799">
        <f t="shared" si="50"/>
        <v>4788.7671014719763</v>
      </c>
      <c r="R59" s="3799">
        <f t="shared" si="51"/>
        <v>13821.620259016023</v>
      </c>
      <c r="S59" s="3798">
        <f>SUM(N59)</f>
        <v>1596.2557004906587</v>
      </c>
      <c r="T59" s="3798">
        <f>SUM(N59)</f>
        <v>1596.2557004906587</v>
      </c>
      <c r="U59" s="3798">
        <f>SUM(N59)</f>
        <v>1596.2557004906587</v>
      </c>
      <c r="V59" s="3799">
        <f t="shared" si="41"/>
        <v>4788.7671014719763</v>
      </c>
      <c r="W59" s="3814">
        <f t="shared" si="42"/>
        <v>18610.387360488003</v>
      </c>
    </row>
    <row r="60" spans="1:23" ht="18.75" customHeight="1">
      <c r="A60" s="3849" t="s">
        <v>121</v>
      </c>
      <c r="B60" s="3790">
        <f>SUM(стоки!BU24)</f>
        <v>5606.1976688283767</v>
      </c>
      <c r="C60" s="3790">
        <f>SUM(стоки!BW24)</f>
        <v>5567.0737831018942</v>
      </c>
      <c r="D60" s="3790">
        <f>SUM(стоки!BX24)</f>
        <v>39.123885726482513</v>
      </c>
      <c r="E60" s="3798">
        <f>SUM(E59*E61)</f>
        <v>453.50981805468274</v>
      </c>
      <c r="F60" s="3798">
        <f>SUM(F59*F61)</f>
        <v>453.50981805468274</v>
      </c>
      <c r="G60" s="3798">
        <f>SUM(G59*G61)</f>
        <v>453.50981805468274</v>
      </c>
      <c r="H60" s="3799">
        <f t="shared" si="34"/>
        <v>1360.5294541640483</v>
      </c>
      <c r="I60" s="3798">
        <f>SUM(I59*I61)</f>
        <v>453.50981805468274</v>
      </c>
      <c r="J60" s="3798">
        <f>SUM(J59*J61)</f>
        <v>453.50981805468274</v>
      </c>
      <c r="K60" s="3798">
        <f>SUM(K59*K61)</f>
        <v>453.50981805468274</v>
      </c>
      <c r="L60" s="3799">
        <f t="shared" si="47"/>
        <v>1360.5294541640483</v>
      </c>
      <c r="M60" s="3799">
        <f t="shared" si="48"/>
        <v>2721.0589083280965</v>
      </c>
      <c r="N60" s="3798">
        <f>SUM(N59*N61)</f>
        <v>480.85646008338011</v>
      </c>
      <c r="O60" s="3798">
        <f>SUM(O59*O61)</f>
        <v>480.85646008338011</v>
      </c>
      <c r="P60" s="3798">
        <f>SUM(P59*P61)</f>
        <v>480.85646008338011</v>
      </c>
      <c r="Q60" s="3799">
        <f t="shared" si="50"/>
        <v>1442.5693802501403</v>
      </c>
      <c r="R60" s="3799">
        <f t="shared" si="51"/>
        <v>4163.6282885782366</v>
      </c>
      <c r="S60" s="3798">
        <f>SUM(S59*S61)</f>
        <v>480.85646008338011</v>
      </c>
      <c r="T60" s="3798">
        <f>SUM(T59*T61)</f>
        <v>480.85646008338011</v>
      </c>
      <c r="U60" s="3798">
        <f>SUM(U59*U61)</f>
        <v>480.85646008338011</v>
      </c>
      <c r="V60" s="3799">
        <f t="shared" si="41"/>
        <v>1442.5693802501403</v>
      </c>
      <c r="W60" s="3814">
        <f t="shared" si="42"/>
        <v>5606.1976688283758</v>
      </c>
    </row>
    <row r="61" spans="1:23" ht="18.75" customHeight="1">
      <c r="A61" s="3850" t="str">
        <f>A41</f>
        <v>то же в %</v>
      </c>
      <c r="B61" s="3795">
        <f>SUM(стоки!BU25)</f>
        <v>0.30124024611819644</v>
      </c>
      <c r="C61" s="3795">
        <f>SUM(стоки!BW25)</f>
        <v>0.30124024611819639</v>
      </c>
      <c r="D61" s="3795">
        <f>SUM(стоки!BX25)</f>
        <v>0.30124024611819761</v>
      </c>
      <c r="E61" s="3824">
        <f>SUM(B61)</f>
        <v>0.30124024611819644</v>
      </c>
      <c r="F61" s="3824">
        <f>SUM(E61)</f>
        <v>0.30124024611819644</v>
      </c>
      <c r="G61" s="3824">
        <f>SUM(E61)</f>
        <v>0.30124024611819644</v>
      </c>
      <c r="H61" s="3795">
        <f>SUM(H60/H59)</f>
        <v>0.30124024611819644</v>
      </c>
      <c r="I61" s="3824">
        <f>SUM(E61)</f>
        <v>0.30124024611819644</v>
      </c>
      <c r="J61" s="3824">
        <f>SUM(E61)</f>
        <v>0.30124024611819644</v>
      </c>
      <c r="K61" s="3824">
        <f>SUM(E61)</f>
        <v>0.30124024611819644</v>
      </c>
      <c r="L61" s="3795">
        <f>SUM(L60/L59)</f>
        <v>0.30124024611819644</v>
      </c>
      <c r="M61" s="3795">
        <f>SUM(M60/M59)</f>
        <v>0.30124024611819644</v>
      </c>
      <c r="N61" s="3824">
        <f>SUM(E61)</f>
        <v>0.30124024611819644</v>
      </c>
      <c r="O61" s="3824">
        <f>SUM(E61)</f>
        <v>0.30124024611819644</v>
      </c>
      <c r="P61" s="3824">
        <f>SUM(E61)</f>
        <v>0.30124024611819644</v>
      </c>
      <c r="Q61" s="3795">
        <f>SUM(Q60/Q59)</f>
        <v>0.30124024611819644</v>
      </c>
      <c r="R61" s="3795">
        <f>SUM(R60/R59)</f>
        <v>0.30124024611819644</v>
      </c>
      <c r="S61" s="3824">
        <f>SUM(E61)</f>
        <v>0.30124024611819644</v>
      </c>
      <c r="T61" s="3824">
        <f>SUM(E61)</f>
        <v>0.30124024611819644</v>
      </c>
      <c r="U61" s="3824">
        <f>SUM(E61)</f>
        <v>0.30124024611819644</v>
      </c>
      <c r="V61" s="3795">
        <f>SUM(V60/V59)</f>
        <v>0.30124024611819644</v>
      </c>
      <c r="W61" s="3816">
        <f>SUM(W60/W59)</f>
        <v>0.30124024611819633</v>
      </c>
    </row>
    <row r="62" spans="1:23" ht="18.75" customHeight="1">
      <c r="A62" s="3831" t="s">
        <v>1742</v>
      </c>
      <c r="B62" s="3787">
        <f>SUM('цех стоки'!V208)</f>
        <v>7072.5275761536359</v>
      </c>
      <c r="C62" s="3787">
        <f>SUM('цех стоки'!X208)</f>
        <v>7023.1706363822532</v>
      </c>
      <c r="D62" s="3787">
        <f>SUM('цех стоки'!AA208)</f>
        <v>49.356939771382713</v>
      </c>
      <c r="E62" s="3800">
        <f>SUM('цех стоки'!AB208)</f>
        <v>609.40134144452998</v>
      </c>
      <c r="F62" s="3800">
        <f>SUM('цех стоки'!AC208)</f>
        <v>600.22771287821706</v>
      </c>
      <c r="G62" s="3800">
        <f>SUM('цех стоки'!AD208)</f>
        <v>596.25483969446952</v>
      </c>
      <c r="H62" s="3787">
        <f>SUM('цех стоки'!AE208)</f>
        <v>1805.8838940172163</v>
      </c>
      <c r="I62" s="3800">
        <f>SUM('цех стоки'!AF208)</f>
        <v>582.53952239388116</v>
      </c>
      <c r="J62" s="3800">
        <f>SUM('цех стоки'!AG208)</f>
        <v>556.8820076171869</v>
      </c>
      <c r="K62" s="3800">
        <f>SUM('цех стоки'!AH208)</f>
        <v>550.33489839588105</v>
      </c>
      <c r="L62" s="3787">
        <f>SUM('цех стоки'!AI208)</f>
        <v>1689.7564284069492</v>
      </c>
      <c r="M62" s="3787">
        <f>SUM('цех стоки'!AJ208)</f>
        <v>3495.6403224241658</v>
      </c>
      <c r="N62" s="3800">
        <f>SUM('цех стоки'!AK208)</f>
        <v>571.82620424374443</v>
      </c>
      <c r="O62" s="3800">
        <f>SUM('цех стоки'!AL208)</f>
        <v>571.20007337742754</v>
      </c>
      <c r="P62" s="3800">
        <f>SUM('цех стоки'!AM208)</f>
        <v>584.93519079544353</v>
      </c>
      <c r="Q62" s="3787">
        <f>SUM('цех стоки'!AN208)</f>
        <v>1727.9614684166156</v>
      </c>
      <c r="R62" s="3787">
        <f>SUM('цех стоки'!AO208)</f>
        <v>5223.6017908407812</v>
      </c>
      <c r="S62" s="3800">
        <f>SUM('цех стоки'!AP208)</f>
        <v>605.46939993302408</v>
      </c>
      <c r="T62" s="3800">
        <f>SUM('цех стоки'!AQ208)</f>
        <v>615.48238889721108</v>
      </c>
      <c r="U62" s="3800">
        <f>SUM('цех стоки'!AR208)</f>
        <v>627.97399648261876</v>
      </c>
      <c r="V62" s="3787">
        <f>SUM('цех стоки'!AS208)</f>
        <v>1848.925785312854</v>
      </c>
      <c r="W62" s="3812">
        <f t="shared" si="42"/>
        <v>7072.527576153635</v>
      </c>
    </row>
    <row r="63" spans="1:23" ht="18.75" customHeight="1">
      <c r="A63" s="3818" t="s">
        <v>72</v>
      </c>
      <c r="B63" s="3790">
        <f>SUM('цех стоки'!V209)</f>
        <v>3291.5543339419019</v>
      </c>
      <c r="C63" s="3790">
        <f>SUM('цех стоки'!X209)</f>
        <v>3268.5836141723007</v>
      </c>
      <c r="D63" s="3790">
        <f>SUM('цех стоки'!AA209)</f>
        <v>22.970719769601146</v>
      </c>
      <c r="E63" s="3819">
        <f>SUM('цех стоки'!AB209)</f>
        <v>266.26820802325727</v>
      </c>
      <c r="F63" s="3819">
        <f>SUM('цех стоки'!AC209)</f>
        <v>266.26820802325727</v>
      </c>
      <c r="G63" s="3819">
        <f>SUM('цех стоки'!AD209)</f>
        <v>266.26820802325727</v>
      </c>
      <c r="H63" s="3790">
        <f>SUM('цех стоки'!AE209)</f>
        <v>798.80462406977176</v>
      </c>
      <c r="I63" s="3819">
        <f>SUM('цех стоки'!AF209)</f>
        <v>266.26820802325727</v>
      </c>
      <c r="J63" s="3819">
        <f>SUM('цех стоки'!AG209)</f>
        <v>266.26820802325727</v>
      </c>
      <c r="K63" s="3819">
        <f>SUM('цех стоки'!AH209)</f>
        <v>266.26820802325727</v>
      </c>
      <c r="L63" s="3790">
        <f>SUM('цех стоки'!AI209)</f>
        <v>798.80462406977176</v>
      </c>
      <c r="M63" s="3790">
        <f>SUM('цех стоки'!AJ209)</f>
        <v>1597.6092481395435</v>
      </c>
      <c r="N63" s="3819">
        <f>SUM('цех стоки'!AK209)</f>
        <v>282.3241809670597</v>
      </c>
      <c r="O63" s="3819">
        <f>SUM('цех стоки'!AL209)</f>
        <v>282.3241809670597</v>
      </c>
      <c r="P63" s="3819">
        <f>SUM('цех стоки'!AM209)</f>
        <v>282.3241809670597</v>
      </c>
      <c r="Q63" s="3790">
        <f>SUM('цех стоки'!AN209)</f>
        <v>846.97254290117917</v>
      </c>
      <c r="R63" s="3790">
        <f>SUM('цех стоки'!AO209)</f>
        <v>2444.5817910407227</v>
      </c>
      <c r="S63" s="3819">
        <f>SUM('цех стоки'!AP209)</f>
        <v>282.3241809670597</v>
      </c>
      <c r="T63" s="3819">
        <f>SUM('цех стоки'!AQ209)</f>
        <v>282.3241809670597</v>
      </c>
      <c r="U63" s="3819">
        <f>SUM('цех стоки'!AR209)</f>
        <v>282.3241809670597</v>
      </c>
      <c r="V63" s="3790">
        <f>SUM('цех стоки'!AS209)</f>
        <v>846.97254290117917</v>
      </c>
      <c r="W63" s="3814">
        <f t="shared" si="42"/>
        <v>3291.5543339419028</v>
      </c>
    </row>
    <row r="64" spans="1:23" ht="18.75" customHeight="1">
      <c r="A64" s="3818" t="s">
        <v>121</v>
      </c>
      <c r="B64" s="3790">
        <f>SUM('цех стоки'!V210)</f>
        <v>985.91034411581677</v>
      </c>
      <c r="C64" s="3790">
        <f>SUM('цех стоки'!X210)</f>
        <v>980.52150796175499</v>
      </c>
      <c r="D64" s="3790">
        <f>SUM('цех стоки'!AA210)</f>
        <v>5.388836154061778</v>
      </c>
      <c r="E64" s="3819">
        <f>SUM('цех стоки'!AB210)</f>
        <v>79.75459432411273</v>
      </c>
      <c r="F64" s="3819">
        <f>SUM('цех стоки'!AC210)</f>
        <v>79.75459432411273</v>
      </c>
      <c r="G64" s="3819">
        <f>SUM('цех стоки'!AD210)</f>
        <v>79.75459432411273</v>
      </c>
      <c r="H64" s="3790">
        <f>SUM('цех стоки'!AE210)</f>
        <v>239.26378297233819</v>
      </c>
      <c r="I64" s="3819">
        <f>SUM('цех стоки'!AF210)</f>
        <v>79.75459432411273</v>
      </c>
      <c r="J64" s="3819">
        <f>SUM('цех стоки'!AG210)</f>
        <v>79.75459432411273</v>
      </c>
      <c r="K64" s="3819">
        <f>SUM('цех стоки'!AH210)</f>
        <v>79.75459432411273</v>
      </c>
      <c r="L64" s="3790">
        <f>SUM('цех стоки'!AI210)</f>
        <v>239.26378297233819</v>
      </c>
      <c r="M64" s="3790">
        <f>SUM('цех стоки'!AJ210)</f>
        <v>478.52756594467638</v>
      </c>
      <c r="N64" s="3819">
        <f>SUM('цех стоки'!AK210)</f>
        <v>84.563796361856731</v>
      </c>
      <c r="O64" s="3819">
        <f>SUM('цех стоки'!AL210)</f>
        <v>84.563796361856731</v>
      </c>
      <c r="P64" s="3819">
        <f>SUM('цех стоки'!AM210)</f>
        <v>84.563796361856731</v>
      </c>
      <c r="Q64" s="3790">
        <f>SUM('цех стоки'!AN210)</f>
        <v>253.69138908557019</v>
      </c>
      <c r="R64" s="3790">
        <f>SUM('цех стоки'!AO210)</f>
        <v>732.21895503024655</v>
      </c>
      <c r="S64" s="3819">
        <f>SUM('цех стоки'!AP210)</f>
        <v>84.563796361856731</v>
      </c>
      <c r="T64" s="3819">
        <f>SUM('цех стоки'!AQ210)</f>
        <v>84.563796361856731</v>
      </c>
      <c r="U64" s="3819">
        <f>SUM('цех стоки'!AR210)</f>
        <v>84.563796361856731</v>
      </c>
      <c r="V64" s="3790">
        <f>SUM('цех стоки'!AS210)</f>
        <v>253.69138908557019</v>
      </c>
      <c r="W64" s="3814">
        <f t="shared" si="42"/>
        <v>985.91034411581666</v>
      </c>
    </row>
    <row r="65" spans="1:23" ht="18.75" customHeight="1">
      <c r="A65" s="3818" t="s">
        <v>52</v>
      </c>
      <c r="B65" s="3790">
        <f>SUM('цех стоки'!V211)</f>
        <v>25.461099274153089</v>
      </c>
      <c r="C65" s="3790">
        <f>SUM('цех стоки'!X211)</f>
        <v>25.321932773761251</v>
      </c>
      <c r="D65" s="3790">
        <f>SUM('цех стоки'!AA211)</f>
        <v>0.13916650039183764</v>
      </c>
      <c r="E65" s="3819">
        <f>SUM('цех стоки'!AB211)</f>
        <v>2.1217582728460909</v>
      </c>
      <c r="F65" s="3819">
        <f>SUM('цех стоки'!AC211)</f>
        <v>2.1217582728460909</v>
      </c>
      <c r="G65" s="3819">
        <f>SUM('цех стоки'!AD211)</f>
        <v>2.1217582728460909</v>
      </c>
      <c r="H65" s="3790">
        <f>SUM('цех стоки'!AE211)</f>
        <v>6.365274818538273</v>
      </c>
      <c r="I65" s="3819">
        <f>SUM('цех стоки'!AF211)</f>
        <v>2.1217582728460909</v>
      </c>
      <c r="J65" s="3819">
        <f>SUM('цех стоки'!AG211)</f>
        <v>2.1217582728460909</v>
      </c>
      <c r="K65" s="3819">
        <f>SUM('цех стоки'!AH211)</f>
        <v>2.1217582728460909</v>
      </c>
      <c r="L65" s="3790">
        <f>SUM('цех стоки'!AI211)</f>
        <v>6.365274818538273</v>
      </c>
      <c r="M65" s="3790">
        <f>SUM('цех стоки'!AJ211)</f>
        <v>12.730549637076546</v>
      </c>
      <c r="N65" s="3819">
        <f>SUM('цех стоки'!AK211)</f>
        <v>2.1217582728460909</v>
      </c>
      <c r="O65" s="3819">
        <f>SUM('цех стоки'!AL211)</f>
        <v>2.1217582728460909</v>
      </c>
      <c r="P65" s="3819">
        <f>SUM('цех стоки'!AM211)</f>
        <v>2.1217582728460909</v>
      </c>
      <c r="Q65" s="3790">
        <f>SUM('цех стоки'!AN211)</f>
        <v>6.365274818538273</v>
      </c>
      <c r="R65" s="3790">
        <f>SUM('цех стоки'!AO211)</f>
        <v>19.095824455614817</v>
      </c>
      <c r="S65" s="3819">
        <f>SUM('цех стоки'!AP211)</f>
        <v>2.1217582728460909</v>
      </c>
      <c r="T65" s="3819">
        <f>SUM('цех стоки'!AQ211)</f>
        <v>2.1217582728460909</v>
      </c>
      <c r="U65" s="3819">
        <f>SUM('цех стоки'!AR211)</f>
        <v>2.1217582728460909</v>
      </c>
      <c r="V65" s="3790">
        <f>SUM('цех стоки'!AS211)</f>
        <v>6.365274818538273</v>
      </c>
      <c r="W65" s="3814">
        <f t="shared" si="42"/>
        <v>25.461099274153089</v>
      </c>
    </row>
    <row r="66" spans="1:23" ht="18.75" customHeight="1">
      <c r="A66" s="3818" t="s">
        <v>638</v>
      </c>
      <c r="B66" s="3790">
        <f>SUM('цех стоки'!V212)</f>
        <v>689.5714386749795</v>
      </c>
      <c r="C66" s="3790">
        <f>SUM('цех стоки'!X212)</f>
        <v>685.80234595603395</v>
      </c>
      <c r="D66" s="3790">
        <f>SUM('цех стоки'!AA212)</f>
        <v>3.7690927189455579</v>
      </c>
      <c r="E66" s="3819">
        <f>SUM('цех стоки'!AB212)</f>
        <v>57.46428655624829</v>
      </c>
      <c r="F66" s="3819">
        <f>SUM('цех стоки'!AC212)</f>
        <v>57.46428655624829</v>
      </c>
      <c r="G66" s="3819">
        <f>SUM('цех стоки'!AD212)</f>
        <v>57.46428655624829</v>
      </c>
      <c r="H66" s="3790">
        <f>SUM('цех стоки'!AE212)</f>
        <v>172.39285966874488</v>
      </c>
      <c r="I66" s="3819">
        <f>SUM('цех стоки'!AF212)</f>
        <v>57.46428655624829</v>
      </c>
      <c r="J66" s="3819">
        <f>SUM('цех стоки'!AG212)</f>
        <v>57.46428655624829</v>
      </c>
      <c r="K66" s="3819">
        <f>SUM('цех стоки'!AH212)</f>
        <v>57.46428655624829</v>
      </c>
      <c r="L66" s="3790">
        <f>SUM('цех стоки'!AI212)</f>
        <v>172.39285966874488</v>
      </c>
      <c r="M66" s="3790">
        <f>SUM('цех стоки'!AJ212)</f>
        <v>344.78571933748975</v>
      </c>
      <c r="N66" s="3819">
        <f>SUM('цех стоки'!AK212)</f>
        <v>57.46428655624829</v>
      </c>
      <c r="O66" s="3819">
        <f>SUM('цех стоки'!AL212)</f>
        <v>57.46428655624829</v>
      </c>
      <c r="P66" s="3819">
        <f>SUM('цех стоки'!AM212)</f>
        <v>57.46428655624829</v>
      </c>
      <c r="Q66" s="3790">
        <f>SUM('цех стоки'!AN212)</f>
        <v>172.39285966874488</v>
      </c>
      <c r="R66" s="3790">
        <f>SUM('цех стоки'!AO212)</f>
        <v>517.1785790062346</v>
      </c>
      <c r="S66" s="3819">
        <f>SUM('цех стоки'!AP212)</f>
        <v>57.46428655624829</v>
      </c>
      <c r="T66" s="3819">
        <f>SUM('цех стоки'!AQ212)</f>
        <v>57.46428655624829</v>
      </c>
      <c r="U66" s="3819">
        <f>SUM('цех стоки'!AR212)</f>
        <v>57.46428655624829</v>
      </c>
      <c r="V66" s="3790">
        <f>SUM('цех стоки'!AS212)</f>
        <v>172.39285966874488</v>
      </c>
      <c r="W66" s="3814">
        <f t="shared" si="42"/>
        <v>689.57143867497962</v>
      </c>
    </row>
    <row r="67" spans="1:23" ht="18.75" customHeight="1">
      <c r="A67" s="3818" t="s">
        <v>640</v>
      </c>
      <c r="B67" s="3790">
        <f>SUM('цех стоки'!V213)</f>
        <v>99.72263882376626</v>
      </c>
      <c r="C67" s="3790">
        <f>SUM('цех стоки'!X213)</f>
        <v>99.177570030564894</v>
      </c>
      <c r="D67" s="3790">
        <f>SUM('цех стоки'!AA213)</f>
        <v>0.54506879320136647</v>
      </c>
      <c r="E67" s="3819">
        <f>SUM('цех стоки'!AB213)</f>
        <v>8.3102199019805223</v>
      </c>
      <c r="F67" s="3819">
        <f>SUM('цех стоки'!AC213)</f>
        <v>8.3102199019805223</v>
      </c>
      <c r="G67" s="3819">
        <f>SUM('цех стоки'!AD213)</f>
        <v>8.3102199019805223</v>
      </c>
      <c r="H67" s="3790">
        <f>SUM('цех стоки'!AE213)</f>
        <v>24.930659705941565</v>
      </c>
      <c r="I67" s="3819">
        <f>SUM('цех стоки'!AF213)</f>
        <v>8.3102199019805223</v>
      </c>
      <c r="J67" s="3819">
        <f>SUM('цех стоки'!AG213)</f>
        <v>8.3102199019805223</v>
      </c>
      <c r="K67" s="3819">
        <f>SUM('цех стоки'!AH213)</f>
        <v>8.3102199019805223</v>
      </c>
      <c r="L67" s="3790">
        <f>SUM('цех стоки'!AI213)</f>
        <v>24.930659705941565</v>
      </c>
      <c r="M67" s="3790">
        <f>SUM('цех стоки'!AJ213)</f>
        <v>49.86131941188313</v>
      </c>
      <c r="N67" s="3819">
        <f>SUM('цех стоки'!AK213)</f>
        <v>8.3102199019805223</v>
      </c>
      <c r="O67" s="3819">
        <f>SUM('цех стоки'!AL213)</f>
        <v>8.3102199019805223</v>
      </c>
      <c r="P67" s="3819">
        <f>SUM('цех стоки'!AM213)</f>
        <v>8.3102199019805223</v>
      </c>
      <c r="Q67" s="3790">
        <f>SUM('цех стоки'!AN213)</f>
        <v>24.930659705941565</v>
      </c>
      <c r="R67" s="3790">
        <f>SUM('цех стоки'!AO213)</f>
        <v>74.791979117824695</v>
      </c>
      <c r="S67" s="3819">
        <f>SUM('цех стоки'!AP213)</f>
        <v>8.3102199019805223</v>
      </c>
      <c r="T67" s="3819">
        <f>SUM('цех стоки'!AQ213)</f>
        <v>8.3102199019805223</v>
      </c>
      <c r="U67" s="3819">
        <f>SUM('цех стоки'!AR213)</f>
        <v>8.3102199019805223</v>
      </c>
      <c r="V67" s="3790">
        <f>SUM('цех стоки'!AS213)</f>
        <v>24.930659705941565</v>
      </c>
      <c r="W67" s="3814">
        <f t="shared" si="42"/>
        <v>99.722638823766246</v>
      </c>
    </row>
    <row r="68" spans="1:23" ht="18.75" customHeight="1">
      <c r="A68" s="3818" t="s">
        <v>606</v>
      </c>
      <c r="B68" s="3790">
        <f>SUM('цех стоки'!V214)</f>
        <v>627.33319600482741</v>
      </c>
      <c r="C68" s="3790">
        <f>SUM('цех стоки'!X214)</f>
        <v>623.90428806461739</v>
      </c>
      <c r="D68" s="3790">
        <f>SUM('цех стоки'!AA214)</f>
        <v>3.4289079402100242</v>
      </c>
      <c r="E68" s="3819">
        <f>SUM('цех стоки'!AB214)</f>
        <v>52.27776633373562</v>
      </c>
      <c r="F68" s="3819">
        <f>SUM('цех стоки'!AC214)</f>
        <v>52.27776633373562</v>
      </c>
      <c r="G68" s="3819">
        <f>SUM('цех стоки'!AD214)</f>
        <v>52.27776633373562</v>
      </c>
      <c r="H68" s="3790">
        <f>SUM('цех стоки'!AE214)</f>
        <v>156.83329900120685</v>
      </c>
      <c r="I68" s="3819">
        <f>SUM('цех стоки'!AF214)</f>
        <v>52.27776633373562</v>
      </c>
      <c r="J68" s="3819">
        <f>SUM('цех стоки'!AG214)</f>
        <v>52.27776633373562</v>
      </c>
      <c r="K68" s="3819">
        <f>SUM('цех стоки'!AH214)</f>
        <v>52.27776633373562</v>
      </c>
      <c r="L68" s="3790">
        <f>SUM('цех стоки'!AI214)</f>
        <v>156.83329900120685</v>
      </c>
      <c r="M68" s="3790">
        <f>SUM('цех стоки'!AJ214)</f>
        <v>313.66659800241371</v>
      </c>
      <c r="N68" s="3819">
        <f>SUM('цех стоки'!AK214)</f>
        <v>52.27776633373562</v>
      </c>
      <c r="O68" s="3819">
        <f>SUM('цех стоки'!AL214)</f>
        <v>52.27776633373562</v>
      </c>
      <c r="P68" s="3819">
        <f>SUM('цех стоки'!AM214)</f>
        <v>52.27776633373562</v>
      </c>
      <c r="Q68" s="3790">
        <f>SUM('цех стоки'!AN214)</f>
        <v>156.83329900120685</v>
      </c>
      <c r="R68" s="3790">
        <f>SUM('цех стоки'!AO214)</f>
        <v>470.49989700362056</v>
      </c>
      <c r="S68" s="3819">
        <f>SUM('цех стоки'!AP214)</f>
        <v>52.27776633373562</v>
      </c>
      <c r="T68" s="3819">
        <f>SUM('цех стоки'!AQ214)</f>
        <v>52.27776633373562</v>
      </c>
      <c r="U68" s="3819">
        <f>SUM('цех стоки'!AR214)</f>
        <v>52.27776633373562</v>
      </c>
      <c r="V68" s="3790">
        <f>SUM('цех стоки'!AS214)</f>
        <v>156.83329900120685</v>
      </c>
      <c r="W68" s="3814">
        <f t="shared" si="42"/>
        <v>627.3331960048273</v>
      </c>
    </row>
    <row r="69" spans="1:23" ht="18.75" customHeight="1">
      <c r="A69" s="3818" t="s">
        <v>42</v>
      </c>
      <c r="B69" s="3790">
        <f>SUM('цех стоки'!V215)</f>
        <v>39.606154426460364</v>
      </c>
      <c r="C69" s="3790">
        <f>SUM('цех стоки'!X215)</f>
        <v>39.389673203628618</v>
      </c>
      <c r="D69" s="3790">
        <f>SUM('цех стоки'!AA215)</f>
        <v>0.21648122283174587</v>
      </c>
      <c r="E69" s="3819">
        <f>SUM('цех стоки'!AB215)</f>
        <v>3.3005128688716971</v>
      </c>
      <c r="F69" s="3819">
        <f>SUM('цех стоки'!AC215)</f>
        <v>3.3005128688716971</v>
      </c>
      <c r="G69" s="3819">
        <f>SUM('цех стоки'!AD215)</f>
        <v>3.3005128688716971</v>
      </c>
      <c r="H69" s="3790">
        <f>SUM('цех стоки'!AE215)</f>
        <v>9.901538606615091</v>
      </c>
      <c r="I69" s="3819">
        <f>SUM('цех стоки'!AF215)</f>
        <v>3.3005128688716971</v>
      </c>
      <c r="J69" s="3819">
        <f>SUM('цех стоки'!AG215)</f>
        <v>3.3005128688716971</v>
      </c>
      <c r="K69" s="3819">
        <f>SUM('цех стоки'!AH215)</f>
        <v>3.3005128688716971</v>
      </c>
      <c r="L69" s="3790">
        <f>SUM('цех стоки'!AI215)</f>
        <v>9.901538606615091</v>
      </c>
      <c r="M69" s="3790">
        <f>SUM('цех стоки'!AJ215)</f>
        <v>19.803077213230182</v>
      </c>
      <c r="N69" s="3819">
        <f>SUM('цех стоки'!AK215)</f>
        <v>3.3005128688716971</v>
      </c>
      <c r="O69" s="3819">
        <f>SUM('цех стоки'!AL215)</f>
        <v>3.3005128688716971</v>
      </c>
      <c r="P69" s="3819">
        <f>SUM('цех стоки'!AM215)</f>
        <v>3.3005128688716971</v>
      </c>
      <c r="Q69" s="3790">
        <f>SUM('цех стоки'!AN215)</f>
        <v>9.901538606615091</v>
      </c>
      <c r="R69" s="3790">
        <f>SUM('цех стоки'!AO215)</f>
        <v>29.704615819845273</v>
      </c>
      <c r="S69" s="3819">
        <f>SUM('цех стоки'!AP215)</f>
        <v>3.3005128688716971</v>
      </c>
      <c r="T69" s="3819">
        <f>SUM('цех стоки'!AQ215)</f>
        <v>3.3005128688716971</v>
      </c>
      <c r="U69" s="3819">
        <f>SUM('цех стоки'!AR215)</f>
        <v>3.3005128688716971</v>
      </c>
      <c r="V69" s="3790">
        <f>SUM('цех стоки'!AS215)</f>
        <v>9.901538606615091</v>
      </c>
      <c r="W69" s="3814">
        <f t="shared" si="42"/>
        <v>39.606154426460364</v>
      </c>
    </row>
    <row r="70" spans="1:23" ht="18.75" customHeight="1">
      <c r="A70" s="3818" t="s">
        <v>38</v>
      </c>
      <c r="B70" s="3790">
        <f>SUM('цех стоки'!V216)</f>
        <v>0</v>
      </c>
      <c r="C70" s="3790">
        <f>SUM('цех стоки'!X216)</f>
        <v>0</v>
      </c>
      <c r="D70" s="3790">
        <f>SUM('цех стоки'!AA216)</f>
        <v>0</v>
      </c>
      <c r="E70" s="3819">
        <f>SUM('цех стоки'!AB216)</f>
        <v>0</v>
      </c>
      <c r="F70" s="3819">
        <f>SUM('цех стоки'!AC216)</f>
        <v>0</v>
      </c>
      <c r="G70" s="3819">
        <f>SUM('цех стоки'!AD216)</f>
        <v>0</v>
      </c>
      <c r="H70" s="3790">
        <f>SUM('цех стоки'!AE216)</f>
        <v>0</v>
      </c>
      <c r="I70" s="3819">
        <f>SUM('цех стоки'!AF216)</f>
        <v>0</v>
      </c>
      <c r="J70" s="3819">
        <f>SUM('цех стоки'!AG216)</f>
        <v>0</v>
      </c>
      <c r="K70" s="3819">
        <f>SUM('цех стоки'!AH216)</f>
        <v>0</v>
      </c>
      <c r="L70" s="3790">
        <f>SUM('цех стоки'!AI216)</f>
        <v>0</v>
      </c>
      <c r="M70" s="3790">
        <f>SUM('цех стоки'!AJ216)</f>
        <v>0</v>
      </c>
      <c r="N70" s="3819">
        <f>SUM('цех стоки'!AK216)</f>
        <v>0</v>
      </c>
      <c r="O70" s="3819">
        <f>SUM('цех стоки'!AL216)</f>
        <v>0</v>
      </c>
      <c r="P70" s="3819">
        <f>SUM('цех стоки'!AM216)</f>
        <v>0</v>
      </c>
      <c r="Q70" s="3790">
        <f>SUM('цех стоки'!AN216)</f>
        <v>0</v>
      </c>
      <c r="R70" s="3790">
        <f>SUM('цех стоки'!AO216)</f>
        <v>0</v>
      </c>
      <c r="S70" s="3819">
        <f>SUM('цех стоки'!AP216)</f>
        <v>0</v>
      </c>
      <c r="T70" s="3819">
        <f>SUM('цех стоки'!AQ216)</f>
        <v>0</v>
      </c>
      <c r="U70" s="3819">
        <f>SUM('цех стоки'!AR216)</f>
        <v>0</v>
      </c>
      <c r="V70" s="3790">
        <f>SUM('цех стоки'!AS216)</f>
        <v>0</v>
      </c>
      <c r="W70" s="3814">
        <f t="shared" si="42"/>
        <v>0</v>
      </c>
    </row>
    <row r="71" spans="1:23" ht="18.75" customHeight="1">
      <c r="A71" s="3818" t="s">
        <v>608</v>
      </c>
      <c r="B71" s="3790">
        <f>SUM('цех стоки'!V217)</f>
        <v>102.55164985422772</v>
      </c>
      <c r="C71" s="3790">
        <f>SUM('цех стоки'!X217)</f>
        <v>101.99111811653837</v>
      </c>
      <c r="D71" s="3790">
        <f>SUM('цех стоки'!AA217)</f>
        <v>0.56053173768934528</v>
      </c>
      <c r="E71" s="3819">
        <f>SUM('цех стоки'!AB217)</f>
        <v>8.5459708211856427</v>
      </c>
      <c r="F71" s="3819">
        <f>SUM('цех стоки'!AC217)</f>
        <v>8.5459708211856427</v>
      </c>
      <c r="G71" s="3819">
        <f>SUM('цех стоки'!AD217)</f>
        <v>8.5459708211856427</v>
      </c>
      <c r="H71" s="3790">
        <f>SUM('цех стоки'!AE217)</f>
        <v>25.63791246355693</v>
      </c>
      <c r="I71" s="3819">
        <f>SUM('цех стоки'!AF217)</f>
        <v>8.5459708211856427</v>
      </c>
      <c r="J71" s="3819">
        <f>SUM('цех стоки'!AG217)</f>
        <v>8.5459708211856427</v>
      </c>
      <c r="K71" s="3819">
        <f>SUM('цех стоки'!AH217)</f>
        <v>8.5459708211856427</v>
      </c>
      <c r="L71" s="3790">
        <f>SUM('цех стоки'!AI217)</f>
        <v>25.63791246355693</v>
      </c>
      <c r="M71" s="3790">
        <f>SUM('цех стоки'!AJ217)</f>
        <v>51.27582492711386</v>
      </c>
      <c r="N71" s="3819">
        <f>SUM('цех стоки'!AK217)</f>
        <v>8.5459708211856427</v>
      </c>
      <c r="O71" s="3819">
        <f>SUM('цех стоки'!AL217)</f>
        <v>8.5459708211856427</v>
      </c>
      <c r="P71" s="3819">
        <f>SUM('цех стоки'!AM217)</f>
        <v>8.5459708211856427</v>
      </c>
      <c r="Q71" s="3790">
        <f>SUM('цех стоки'!AN217)</f>
        <v>25.63791246355693</v>
      </c>
      <c r="R71" s="3790">
        <f>SUM('цех стоки'!AO217)</f>
        <v>76.913737390670789</v>
      </c>
      <c r="S71" s="3819">
        <f>SUM('цех стоки'!AP217)</f>
        <v>8.5459708211856427</v>
      </c>
      <c r="T71" s="3819">
        <f>SUM('цех стоки'!AQ217)</f>
        <v>8.5459708211856427</v>
      </c>
      <c r="U71" s="3819">
        <f>SUM('цех стоки'!AR217)</f>
        <v>8.5459708211856427</v>
      </c>
      <c r="V71" s="3790">
        <f>SUM('цех стоки'!AS217)</f>
        <v>25.63791246355693</v>
      </c>
      <c r="W71" s="3814">
        <f t="shared" si="42"/>
        <v>102.55164985422773</v>
      </c>
    </row>
    <row r="72" spans="1:23" ht="18.75" customHeight="1">
      <c r="A72" s="3818" t="s">
        <v>98</v>
      </c>
      <c r="B72" s="3790">
        <f>SUM('цех стоки'!V218)</f>
        <v>90.528352974766548</v>
      </c>
      <c r="C72" s="3790">
        <f>SUM('цех стоки'!X218)</f>
        <v>90.033538751151127</v>
      </c>
      <c r="D72" s="3790">
        <f>SUM('цех стоки'!AA218)</f>
        <v>0.49481422361542116</v>
      </c>
      <c r="E72" s="3819">
        <f>SUM('цех стоки'!AB218)</f>
        <v>7.5440294145638793</v>
      </c>
      <c r="F72" s="3819">
        <f>SUM('цех стоки'!AC218)</f>
        <v>7.5440294145638793</v>
      </c>
      <c r="G72" s="3819">
        <f>SUM('цех стоки'!AD218)</f>
        <v>7.5440294145638793</v>
      </c>
      <c r="H72" s="3790">
        <f>SUM('цех стоки'!AE218)</f>
        <v>22.632088243691637</v>
      </c>
      <c r="I72" s="3819">
        <f>SUM('цех стоки'!AF218)</f>
        <v>7.5440294145638793</v>
      </c>
      <c r="J72" s="3819">
        <f>SUM('цех стоки'!AG218)</f>
        <v>7.5440294145638793</v>
      </c>
      <c r="K72" s="3819">
        <f>SUM('цех стоки'!AH218)</f>
        <v>7.5440294145638793</v>
      </c>
      <c r="L72" s="3790">
        <f>SUM('цех стоки'!AI218)</f>
        <v>22.632088243691637</v>
      </c>
      <c r="M72" s="3790">
        <f>SUM('цех стоки'!AJ218)</f>
        <v>45.264176487383274</v>
      </c>
      <c r="N72" s="3819">
        <f>SUM('цех стоки'!AK218)</f>
        <v>7.5440294145638793</v>
      </c>
      <c r="O72" s="3819">
        <f>SUM('цех стоки'!AL218)</f>
        <v>7.5440294145638793</v>
      </c>
      <c r="P72" s="3819">
        <f>SUM('цех стоки'!AM218)</f>
        <v>7.5440294145638793</v>
      </c>
      <c r="Q72" s="3790">
        <f>SUM('цех стоки'!AN218)</f>
        <v>22.632088243691637</v>
      </c>
      <c r="R72" s="3790">
        <f>SUM('цех стоки'!AO218)</f>
        <v>67.896264731074908</v>
      </c>
      <c r="S72" s="3819">
        <f>SUM('цех стоки'!AP218)</f>
        <v>7.5440294145638793</v>
      </c>
      <c r="T72" s="3819">
        <f>SUM('цех стоки'!AQ218)</f>
        <v>7.5440294145638793</v>
      </c>
      <c r="U72" s="3819">
        <f>SUM('цех стоки'!AR218)</f>
        <v>7.5440294145638793</v>
      </c>
      <c r="V72" s="3790">
        <f>SUM('цех стоки'!AS218)</f>
        <v>22.632088243691637</v>
      </c>
      <c r="W72" s="3814">
        <f t="shared" si="42"/>
        <v>90.528352974766548</v>
      </c>
    </row>
    <row r="73" spans="1:23" ht="18.75" customHeight="1">
      <c r="A73" s="3818" t="s">
        <v>609</v>
      </c>
      <c r="B73" s="3790">
        <f>SUM('цех стоки'!V219)</f>
        <v>68.603517488690272</v>
      </c>
      <c r="C73" s="3790">
        <f>SUM('цех стоки'!X219)</f>
        <v>68.228541084856701</v>
      </c>
      <c r="D73" s="3790">
        <f>SUM('цех стоки'!AA219)</f>
        <v>0.37497640383357123</v>
      </c>
      <c r="E73" s="3819">
        <f>SUM('цех стоки'!AB219)</f>
        <v>5.7169597907241894</v>
      </c>
      <c r="F73" s="3819">
        <f>SUM('цех стоки'!AC219)</f>
        <v>5.7169597907241894</v>
      </c>
      <c r="G73" s="3819">
        <f>SUM('цех стоки'!AD219)</f>
        <v>5.7169597907241894</v>
      </c>
      <c r="H73" s="3790">
        <f>SUM('цех стоки'!AE219)</f>
        <v>17.150879372172568</v>
      </c>
      <c r="I73" s="3819">
        <f>SUM('цех стоки'!AF219)</f>
        <v>5.7169597907241894</v>
      </c>
      <c r="J73" s="3819">
        <f>SUM('цех стоки'!AG219)</f>
        <v>5.7169597907241894</v>
      </c>
      <c r="K73" s="3819">
        <f>SUM('цех стоки'!AH219)</f>
        <v>5.7169597907241894</v>
      </c>
      <c r="L73" s="3790">
        <f>SUM('цех стоки'!AI219)</f>
        <v>17.150879372172568</v>
      </c>
      <c r="M73" s="3790">
        <f>SUM('цех стоки'!AJ219)</f>
        <v>34.301758744345136</v>
      </c>
      <c r="N73" s="3819">
        <f>SUM('цех стоки'!AK219)</f>
        <v>5.7169597907241894</v>
      </c>
      <c r="O73" s="3819">
        <f>SUM('цех стоки'!AL219)</f>
        <v>5.7169597907241894</v>
      </c>
      <c r="P73" s="3819">
        <f>SUM('цех стоки'!AM219)</f>
        <v>5.7169597907241894</v>
      </c>
      <c r="Q73" s="3790">
        <f>SUM('цех стоки'!AN219)</f>
        <v>17.150879372172568</v>
      </c>
      <c r="R73" s="3790">
        <f>SUM('цех стоки'!AO219)</f>
        <v>51.452638116517704</v>
      </c>
      <c r="S73" s="3819">
        <f>SUM('цех стоки'!AP219)</f>
        <v>5.7169597907241894</v>
      </c>
      <c r="T73" s="3819">
        <f>SUM('цех стоки'!AQ219)</f>
        <v>5.7169597907241894</v>
      </c>
      <c r="U73" s="3819">
        <f>SUM('цех стоки'!AR219)</f>
        <v>5.7169597907241894</v>
      </c>
      <c r="V73" s="3790">
        <f>SUM('цех стоки'!AS219)</f>
        <v>17.150879372172568</v>
      </c>
      <c r="W73" s="3814">
        <f t="shared" si="42"/>
        <v>68.603517488690272</v>
      </c>
    </row>
    <row r="74" spans="1:23" ht="18.75" customHeight="1">
      <c r="A74" s="3818" t="s">
        <v>612</v>
      </c>
      <c r="B74" s="3790">
        <f>SUM('цех стоки'!V220)</f>
        <v>27.582857546999183</v>
      </c>
      <c r="C74" s="3790">
        <f>SUM('цех стоки'!X220)</f>
        <v>27.432093838241361</v>
      </c>
      <c r="D74" s="3790">
        <f>SUM('цех стоки'!AA220)</f>
        <v>0.15076370875782175</v>
      </c>
      <c r="E74" s="3819">
        <f>SUM('цех стоки'!AB220)</f>
        <v>2.298571462249932</v>
      </c>
      <c r="F74" s="3819">
        <f>SUM('цех стоки'!AC220)</f>
        <v>2.298571462249932</v>
      </c>
      <c r="G74" s="3819">
        <f>SUM('цех стоки'!AD220)</f>
        <v>2.298571462249932</v>
      </c>
      <c r="H74" s="3790">
        <f>SUM('цех стоки'!AE220)</f>
        <v>6.8957143867497965</v>
      </c>
      <c r="I74" s="3819">
        <f>SUM('цех стоки'!AF220)</f>
        <v>2.298571462249932</v>
      </c>
      <c r="J74" s="3819">
        <f>SUM('цех стоки'!AG220)</f>
        <v>2.298571462249932</v>
      </c>
      <c r="K74" s="3819">
        <f>SUM('цех стоки'!AH220)</f>
        <v>2.298571462249932</v>
      </c>
      <c r="L74" s="3790">
        <f>SUM('цех стоки'!AI220)</f>
        <v>6.8957143867497965</v>
      </c>
      <c r="M74" s="3790">
        <f>SUM('цех стоки'!AJ220)</f>
        <v>13.791428773499593</v>
      </c>
      <c r="N74" s="3819">
        <f>SUM('цех стоки'!AK220)</f>
        <v>2.298571462249932</v>
      </c>
      <c r="O74" s="3819">
        <f>SUM('цех стоки'!AL220)</f>
        <v>2.298571462249932</v>
      </c>
      <c r="P74" s="3819">
        <f>SUM('цех стоки'!AM220)</f>
        <v>2.298571462249932</v>
      </c>
      <c r="Q74" s="3790">
        <f>SUM('цех стоки'!AN220)</f>
        <v>6.8957143867497965</v>
      </c>
      <c r="R74" s="3790">
        <f>SUM('цех стоки'!AO220)</f>
        <v>20.687143160249391</v>
      </c>
      <c r="S74" s="3819">
        <f>SUM('цех стоки'!AP220)</f>
        <v>2.298571462249932</v>
      </c>
      <c r="T74" s="3819">
        <f>SUM('цех стоки'!AQ220)</f>
        <v>2.298571462249932</v>
      </c>
      <c r="U74" s="3819">
        <f>SUM('цех стоки'!AR220)</f>
        <v>2.298571462249932</v>
      </c>
      <c r="V74" s="3790">
        <f>SUM('цех стоки'!AS220)</f>
        <v>6.8957143867497965</v>
      </c>
      <c r="W74" s="3814">
        <f t="shared" si="42"/>
        <v>27.582857546999183</v>
      </c>
    </row>
    <row r="75" spans="1:23" ht="18.75" customHeight="1">
      <c r="A75" s="3818" t="s">
        <v>616</v>
      </c>
      <c r="B75" s="3790">
        <f>SUM('цех стоки'!V221)</f>
        <v>0</v>
      </c>
      <c r="C75" s="3790">
        <f>SUM('цех стоки'!X221)</f>
        <v>0</v>
      </c>
      <c r="D75" s="3790">
        <f>SUM('цех стоки'!AA221)</f>
        <v>0</v>
      </c>
      <c r="E75" s="3819">
        <f>SUM('цех стоки'!AB221)</f>
        <v>0</v>
      </c>
      <c r="F75" s="3819">
        <f>SUM('цех стоки'!AC221)</f>
        <v>0</v>
      </c>
      <c r="G75" s="3819">
        <f>SUM('цех стоки'!AD221)</f>
        <v>0</v>
      </c>
      <c r="H75" s="3790">
        <f>SUM('цех стоки'!AE221)</f>
        <v>0</v>
      </c>
      <c r="I75" s="3819">
        <f>SUM('цех стоки'!AF221)</f>
        <v>0</v>
      </c>
      <c r="J75" s="3819">
        <f>SUM('цех стоки'!AG221)</f>
        <v>0</v>
      </c>
      <c r="K75" s="3819">
        <f>SUM('цех стоки'!AH221)</f>
        <v>0</v>
      </c>
      <c r="L75" s="3790">
        <f>SUM('цех стоки'!AI221)</f>
        <v>0</v>
      </c>
      <c r="M75" s="3790">
        <f>SUM('цех стоки'!AJ221)</f>
        <v>0</v>
      </c>
      <c r="N75" s="3819">
        <f>SUM('цех стоки'!AK221)</f>
        <v>0</v>
      </c>
      <c r="O75" s="3819">
        <f>SUM('цех стоки'!AL221)</f>
        <v>0</v>
      </c>
      <c r="P75" s="3819">
        <f>SUM('цех стоки'!AM221)</f>
        <v>0</v>
      </c>
      <c r="Q75" s="3790">
        <f>SUM('цех стоки'!AN221)</f>
        <v>0</v>
      </c>
      <c r="R75" s="3790">
        <f>SUM('цех стоки'!AO221)</f>
        <v>0</v>
      </c>
      <c r="S75" s="3819">
        <f>SUM('цех стоки'!AP221)</f>
        <v>0</v>
      </c>
      <c r="T75" s="3819">
        <f>SUM('цех стоки'!AQ221)</f>
        <v>0</v>
      </c>
      <c r="U75" s="3819">
        <f>SUM('цех стоки'!AR221)</f>
        <v>0</v>
      </c>
      <c r="V75" s="3790">
        <f>SUM('цех стоки'!AS221)</f>
        <v>0</v>
      </c>
      <c r="W75" s="3814">
        <f t="shared" si="42"/>
        <v>0</v>
      </c>
    </row>
    <row r="76" spans="1:23" ht="18.75" customHeight="1">
      <c r="A76" s="3818" t="s">
        <v>613</v>
      </c>
      <c r="B76" s="3790">
        <f>SUM('цех стоки'!V222)</f>
        <v>0</v>
      </c>
      <c r="C76" s="3790">
        <f>SUM('цех стоки'!X222)</f>
        <v>0</v>
      </c>
      <c r="D76" s="3790">
        <f>SUM('цех стоки'!AA222)</f>
        <v>0</v>
      </c>
      <c r="E76" s="3819">
        <f>SUM('цех стоки'!AB222)</f>
        <v>0</v>
      </c>
      <c r="F76" s="3819">
        <f>SUM('цех стоки'!AC222)</f>
        <v>0</v>
      </c>
      <c r="G76" s="3819">
        <f>SUM('цех стоки'!AD222)</f>
        <v>0</v>
      </c>
      <c r="H76" s="3790">
        <f>SUM('цех стоки'!AE222)</f>
        <v>0</v>
      </c>
      <c r="I76" s="3819">
        <f>SUM('цех стоки'!AF222)</f>
        <v>0</v>
      </c>
      <c r="J76" s="3819">
        <f>SUM('цех стоки'!AG222)</f>
        <v>0</v>
      </c>
      <c r="K76" s="3819">
        <f>SUM('цех стоки'!AH222)</f>
        <v>0</v>
      </c>
      <c r="L76" s="3790">
        <f>SUM('цех стоки'!AI222)</f>
        <v>0</v>
      </c>
      <c r="M76" s="3790">
        <f>SUM('цех стоки'!AJ222)</f>
        <v>0</v>
      </c>
      <c r="N76" s="3819">
        <f>SUM('цех стоки'!AK222)</f>
        <v>0</v>
      </c>
      <c r="O76" s="3819">
        <f>SUM('цех стоки'!AL222)</f>
        <v>0</v>
      </c>
      <c r="P76" s="3819">
        <f>SUM('цех стоки'!AM222)</f>
        <v>0</v>
      </c>
      <c r="Q76" s="3790">
        <f>SUM('цех стоки'!AN222)</f>
        <v>0</v>
      </c>
      <c r="R76" s="3790">
        <f>SUM('цех стоки'!AO222)</f>
        <v>0</v>
      </c>
      <c r="S76" s="3819">
        <f>SUM('цех стоки'!AP222)</f>
        <v>0</v>
      </c>
      <c r="T76" s="3819">
        <f>SUM('цех стоки'!AQ222)</f>
        <v>0</v>
      </c>
      <c r="U76" s="3819">
        <f>SUM('цех стоки'!AR222)</f>
        <v>0</v>
      </c>
      <c r="V76" s="3790">
        <f>SUM('цех стоки'!AS222)</f>
        <v>0</v>
      </c>
      <c r="W76" s="3814">
        <f t="shared" si="42"/>
        <v>0</v>
      </c>
    </row>
    <row r="77" spans="1:23" ht="18.75" customHeight="1">
      <c r="A77" s="3818" t="s">
        <v>32</v>
      </c>
      <c r="B77" s="3790">
        <f>SUM('цех стоки'!V223)</f>
        <v>20.510329970845543</v>
      </c>
      <c r="C77" s="3790">
        <f>SUM('цех стоки'!X223)</f>
        <v>20.398223623307672</v>
      </c>
      <c r="D77" s="3790">
        <f>SUM('цех стоки'!AA223)</f>
        <v>0.11210634753787119</v>
      </c>
      <c r="E77" s="3819">
        <f>SUM('цех стоки'!AB223)</f>
        <v>1.7091941642371287</v>
      </c>
      <c r="F77" s="3819">
        <f>SUM('цех стоки'!AC223)</f>
        <v>1.7091941642371287</v>
      </c>
      <c r="G77" s="3819">
        <f>SUM('цех стоки'!AD223)</f>
        <v>1.7091941642371287</v>
      </c>
      <c r="H77" s="3790">
        <f>SUM('цех стоки'!AE223)</f>
        <v>5.1275824927113858</v>
      </c>
      <c r="I77" s="3819">
        <f>SUM('цех стоки'!AF223)</f>
        <v>1.7091941642371287</v>
      </c>
      <c r="J77" s="3819">
        <f>SUM('цех стоки'!AG223)</f>
        <v>1.7091941642371287</v>
      </c>
      <c r="K77" s="3819">
        <f>SUM('цех стоки'!AH223)</f>
        <v>1.7091941642371287</v>
      </c>
      <c r="L77" s="3790">
        <f>SUM('цех стоки'!AI223)</f>
        <v>5.1275824927113858</v>
      </c>
      <c r="M77" s="3790">
        <f>SUM('цех стоки'!AJ223)</f>
        <v>10.255164985422772</v>
      </c>
      <c r="N77" s="3819">
        <f>SUM('цех стоки'!AK223)</f>
        <v>1.7091941642371287</v>
      </c>
      <c r="O77" s="3819">
        <f>SUM('цех стоки'!AL223)</f>
        <v>1.7091941642371287</v>
      </c>
      <c r="P77" s="3819">
        <f>SUM('цех стоки'!AM223)</f>
        <v>1.7091941642371287</v>
      </c>
      <c r="Q77" s="3790">
        <f>SUM('цех стоки'!AN223)</f>
        <v>5.1275824927113858</v>
      </c>
      <c r="R77" s="3790">
        <f>SUM('цех стоки'!AO223)</f>
        <v>15.382747478134156</v>
      </c>
      <c r="S77" s="3819">
        <f>SUM('цех стоки'!AP223)</f>
        <v>1.7091941642371287</v>
      </c>
      <c r="T77" s="3819">
        <f>SUM('цех стоки'!AQ223)</f>
        <v>1.7091941642371287</v>
      </c>
      <c r="U77" s="3819">
        <f>SUM('цех стоки'!AR223)</f>
        <v>1.7091941642371287</v>
      </c>
      <c r="V77" s="3790">
        <f>SUM('цех стоки'!AS223)</f>
        <v>5.1275824927113858</v>
      </c>
      <c r="W77" s="3814">
        <f t="shared" si="42"/>
        <v>20.510329970845543</v>
      </c>
    </row>
    <row r="78" spans="1:23" ht="18.75" customHeight="1">
      <c r="A78" s="3818" t="s">
        <v>607</v>
      </c>
      <c r="B78" s="3790">
        <f>SUM('цех стоки'!V224)</f>
        <v>541.7556123333685</v>
      </c>
      <c r="C78" s="3790">
        <f>SUM('цех стоки'!X224)</f>
        <v>538.79445846392002</v>
      </c>
      <c r="D78" s="3790">
        <f>SUM('цех стоки'!AA224)</f>
        <v>2.9611538694485278</v>
      </c>
      <c r="E78" s="3819">
        <f>SUM('цех стоки'!AB224)</f>
        <v>77.24585653112959</v>
      </c>
      <c r="F78" s="3819">
        <f>SUM('цех стоки'!AC224)</f>
        <v>68.072227964816634</v>
      </c>
      <c r="G78" s="3819">
        <f>SUM('цех стоки'!AD224)</f>
        <v>64.09935478106911</v>
      </c>
      <c r="H78" s="3790">
        <f>SUM('цех стоки'!AE224)</f>
        <v>209.41743927701532</v>
      </c>
      <c r="I78" s="3819">
        <f>SUM('цех стоки'!AF224)</f>
        <v>50.239545742099935</v>
      </c>
      <c r="J78" s="3819">
        <f>SUM('цех стоки'!AG224)</f>
        <v>22.189889963323264</v>
      </c>
      <c r="K78" s="3819">
        <f>SUM('цех стоки'!AH224)</f>
        <v>13.555677854294469</v>
      </c>
      <c r="L78" s="3790">
        <f>SUM('цех стоки'!AI224)</f>
        <v>85.985113559717675</v>
      </c>
      <c r="M78" s="3790">
        <f>SUM('цех стоки'!AJ224)</f>
        <v>295.40255283673298</v>
      </c>
      <c r="N78" s="3819">
        <f>SUM('цех стоки'!AK224)</f>
        <v>13.555677854294469</v>
      </c>
      <c r="O78" s="3819">
        <f>SUM('цех стоки'!AL224)</f>
        <v>13.555677854294469</v>
      </c>
      <c r="P78" s="3819">
        <f>SUM('цех стоки'!AM224)</f>
        <v>29.377898160033354</v>
      </c>
      <c r="Q78" s="3790">
        <f>SUM('цех стоки'!AN224)</f>
        <v>56.489253868622292</v>
      </c>
      <c r="R78" s="3790">
        <f>SUM('цех стоки'!AO224)</f>
        <v>351.89180670535529</v>
      </c>
      <c r="S78" s="3819">
        <f>SUM('цех стоки'!AP224)</f>
        <v>52.448740038077162</v>
      </c>
      <c r="T78" s="3819">
        <f>SUM('цех стоки'!AQ224)</f>
        <v>62.46172900226415</v>
      </c>
      <c r="U78" s="3819">
        <f>SUM('цех стоки'!AR224)</f>
        <v>74.953336587671885</v>
      </c>
      <c r="V78" s="3790">
        <f>SUM('цех стоки'!AS224)</f>
        <v>189.86380562801321</v>
      </c>
      <c r="W78" s="3814">
        <f t="shared" si="42"/>
        <v>541.75561233336839</v>
      </c>
    </row>
    <row r="79" spans="1:23" ht="18.75" customHeight="1">
      <c r="A79" s="3820" t="s">
        <v>652</v>
      </c>
      <c r="B79" s="3794">
        <f>SUM('цех стоки'!V225)</f>
        <v>379.08747808183489</v>
      </c>
      <c r="C79" s="3794">
        <f>SUM('цех стоки'!X225)</f>
        <v>377.01544352044533</v>
      </c>
      <c r="D79" s="3794">
        <f>SUM('цех стоки'!AA225)</f>
        <v>2.0720345613895574</v>
      </c>
      <c r="E79" s="3821">
        <f>SUM('цех стоки'!AB225)</f>
        <v>63.690178676835124</v>
      </c>
      <c r="F79" s="3821">
        <f>SUM('цех стоки'!AC225)</f>
        <v>54.516550110522161</v>
      </c>
      <c r="G79" s="3821">
        <f>SUM('цех стоки'!AD225)</f>
        <v>50.543676926774637</v>
      </c>
      <c r="H79" s="3794">
        <f>SUM('цех стоки'!AE225)</f>
        <v>168.75040571413194</v>
      </c>
      <c r="I79" s="3821">
        <f>SUM('цех стоки'!AF225)</f>
        <v>36.683867887805469</v>
      </c>
      <c r="J79" s="3821">
        <f>SUM('цех стоки'!AG225)</f>
        <v>8.6342121090287982</v>
      </c>
      <c r="K79" s="3821">
        <f>SUM('цех стоки'!AH225)</f>
        <v>0</v>
      </c>
      <c r="L79" s="3794">
        <f>SUM('цех стоки'!AI225)</f>
        <v>45.318079996834271</v>
      </c>
      <c r="M79" s="3794">
        <f>SUM('цех стоки'!AJ225)</f>
        <v>214.06848571096623</v>
      </c>
      <c r="N79" s="3821">
        <f>SUM('цех стоки'!AK225)</f>
        <v>0</v>
      </c>
      <c r="O79" s="3821">
        <f>SUM('цех стоки'!AL225)</f>
        <v>0</v>
      </c>
      <c r="P79" s="3821">
        <f>SUM('цех стоки'!AM225)</f>
        <v>15.82222030573889</v>
      </c>
      <c r="Q79" s="3794">
        <f>SUM('цех стоки'!AN225)</f>
        <v>15.82222030573889</v>
      </c>
      <c r="R79" s="3794">
        <f>SUM('цех стоки'!AO225)</f>
        <v>229.89070601670511</v>
      </c>
      <c r="S79" s="3821">
        <f>SUM('цех стоки'!AP225)</f>
        <v>38.893062183782696</v>
      </c>
      <c r="T79" s="3821">
        <f>SUM('цех стоки'!AQ225)</f>
        <v>48.906051147969684</v>
      </c>
      <c r="U79" s="3821">
        <f>SUM('цех стоки'!AR225)</f>
        <v>61.397658733377405</v>
      </c>
      <c r="V79" s="3794">
        <f>SUM('цех стоки'!AS225)</f>
        <v>149.19677206512978</v>
      </c>
      <c r="W79" s="3814">
        <f t="shared" si="42"/>
        <v>379.08747808183483</v>
      </c>
    </row>
    <row r="80" spans="1:23" ht="18.75" customHeight="1">
      <c r="A80" s="3820" t="s">
        <v>565</v>
      </c>
      <c r="B80" s="3794">
        <f>SUM('цех стоки'!V226)</f>
        <v>133.67077118930371</v>
      </c>
      <c r="C80" s="3794">
        <f>SUM('цех стоки'!X226)</f>
        <v>132.94014706224655</v>
      </c>
      <c r="D80" s="3794">
        <f>SUM('цех стоки'!AA226)</f>
        <v>0.73062412705715474</v>
      </c>
      <c r="E80" s="3821">
        <f>SUM('цех стоки'!AB226)</f>
        <v>11.139230932441976</v>
      </c>
      <c r="F80" s="3821">
        <f>SUM('цех стоки'!AC226)</f>
        <v>11.139230932441976</v>
      </c>
      <c r="G80" s="3821">
        <f>SUM('цех стоки'!AD226)</f>
        <v>11.139230932441976</v>
      </c>
      <c r="H80" s="3794">
        <f>SUM('цех стоки'!AE226)</f>
        <v>33.417692797325927</v>
      </c>
      <c r="I80" s="3821">
        <f>SUM('цех стоки'!AF226)</f>
        <v>11.139230932441976</v>
      </c>
      <c r="J80" s="3821">
        <f>SUM('цех стоки'!AG226)</f>
        <v>11.139230932441976</v>
      </c>
      <c r="K80" s="3821">
        <f>SUM('цех стоки'!AH226)</f>
        <v>11.139230932441976</v>
      </c>
      <c r="L80" s="3794">
        <f>SUM('цех стоки'!AI226)</f>
        <v>33.417692797325927</v>
      </c>
      <c r="M80" s="3794">
        <f>SUM('цех стоки'!AJ226)</f>
        <v>66.835385594651854</v>
      </c>
      <c r="N80" s="3821">
        <f>SUM('цех стоки'!AK226)</f>
        <v>11.139230932441976</v>
      </c>
      <c r="O80" s="3821">
        <f>SUM('цех стоки'!AL226)</f>
        <v>11.139230932441976</v>
      </c>
      <c r="P80" s="3821">
        <f>SUM('цех стоки'!AM226)</f>
        <v>11.139230932441976</v>
      </c>
      <c r="Q80" s="3794">
        <f>SUM('цех стоки'!AN226)</f>
        <v>33.417692797325927</v>
      </c>
      <c r="R80" s="3794">
        <f>SUM('цех стоки'!AO226)</f>
        <v>100.25307839197778</v>
      </c>
      <c r="S80" s="3821">
        <f>SUM('цех стоки'!AP226)</f>
        <v>11.139230932441976</v>
      </c>
      <c r="T80" s="3821">
        <f>SUM('цех стоки'!AQ226)</f>
        <v>11.139230932441976</v>
      </c>
      <c r="U80" s="3821">
        <f>SUM('цех стоки'!AR226)</f>
        <v>11.139230932441976</v>
      </c>
      <c r="V80" s="3794">
        <f>SUM('цех стоки'!AS226)</f>
        <v>33.417692797325927</v>
      </c>
      <c r="W80" s="3814">
        <f t="shared" si="42"/>
        <v>133.67077118930371</v>
      </c>
    </row>
    <row r="81" spans="1:23" ht="18.75" customHeight="1">
      <c r="A81" s="3820" t="s">
        <v>564</v>
      </c>
      <c r="B81" s="3794">
        <f>SUM('цех стоки'!V227)</f>
        <v>0.70725275761536366</v>
      </c>
      <c r="C81" s="3794">
        <f>SUM('цех стоки'!X227)</f>
        <v>0.70338702149336818</v>
      </c>
      <c r="D81" s="3794">
        <f>SUM('цех стоки'!AA227)</f>
        <v>3.8657361219954778E-3</v>
      </c>
      <c r="E81" s="3821">
        <f>SUM('цех стоки'!AB227)</f>
        <v>5.8937729801280307E-2</v>
      </c>
      <c r="F81" s="3821">
        <f>SUM('цех стоки'!AC227)</f>
        <v>5.8937729801280307E-2</v>
      </c>
      <c r="G81" s="3821">
        <f>SUM('цех стоки'!AD227)</f>
        <v>5.8937729801280307E-2</v>
      </c>
      <c r="H81" s="3794">
        <f>SUM('цех стоки'!AE227)</f>
        <v>0.17681318940384091</v>
      </c>
      <c r="I81" s="3821">
        <f>SUM('цех стоки'!AF227)</f>
        <v>5.8937729801280307E-2</v>
      </c>
      <c r="J81" s="3821">
        <f>SUM('цех стоки'!AG227)</f>
        <v>5.8937729801280307E-2</v>
      </c>
      <c r="K81" s="3821">
        <f>SUM('цех стоки'!AH227)</f>
        <v>5.8937729801280307E-2</v>
      </c>
      <c r="L81" s="3794">
        <f>SUM('цех стоки'!AI227)</f>
        <v>0.17681318940384091</v>
      </c>
      <c r="M81" s="3794">
        <f>SUM('цех стоки'!AJ227)</f>
        <v>0.35362637880768183</v>
      </c>
      <c r="N81" s="3821">
        <f>SUM('цех стоки'!AK227)</f>
        <v>5.8937729801280307E-2</v>
      </c>
      <c r="O81" s="3821">
        <f>SUM('цех стоки'!AL227)</f>
        <v>5.8937729801280307E-2</v>
      </c>
      <c r="P81" s="3821">
        <f>SUM('цех стоки'!AM227)</f>
        <v>5.8937729801280307E-2</v>
      </c>
      <c r="Q81" s="3794">
        <f>SUM('цех стоки'!AN227)</f>
        <v>0.17681318940384091</v>
      </c>
      <c r="R81" s="3794">
        <f>SUM('цех стоки'!AO227)</f>
        <v>0.53043956821152272</v>
      </c>
      <c r="S81" s="3821">
        <f>SUM('цех стоки'!AP227)</f>
        <v>5.8937729801280307E-2</v>
      </c>
      <c r="T81" s="3821">
        <f>SUM('цех стоки'!AQ227)</f>
        <v>5.8937729801280307E-2</v>
      </c>
      <c r="U81" s="3821">
        <f>SUM('цех стоки'!AR227)</f>
        <v>5.8937729801280307E-2</v>
      </c>
      <c r="V81" s="3794">
        <f>SUM('цех стоки'!AS227)</f>
        <v>0.17681318940384091</v>
      </c>
      <c r="W81" s="3814">
        <f t="shared" si="42"/>
        <v>0.70725275761536366</v>
      </c>
    </row>
    <row r="82" spans="1:23" ht="18.75" customHeight="1">
      <c r="A82" s="3820" t="s">
        <v>566</v>
      </c>
      <c r="B82" s="3794">
        <f>SUM('цех стоки'!V228)</f>
        <v>28.290110304614544</v>
      </c>
      <c r="C82" s="3794">
        <f>SUM('цех стоки'!X228)</f>
        <v>28.135480859734724</v>
      </c>
      <c r="D82" s="3794">
        <f>SUM('цех стоки'!AA228)</f>
        <v>0.15462944487982</v>
      </c>
      <c r="E82" s="3821">
        <f>SUM('цех стоки'!AB228)</f>
        <v>2.3575091920512121</v>
      </c>
      <c r="F82" s="3821">
        <f>SUM('цех стоки'!AC228)</f>
        <v>2.3575091920512121</v>
      </c>
      <c r="G82" s="3821">
        <f>SUM('цех стоки'!AD228)</f>
        <v>2.3575091920512121</v>
      </c>
      <c r="H82" s="3794">
        <f>SUM('цех стоки'!AE228)</f>
        <v>7.0725275761536359</v>
      </c>
      <c r="I82" s="3821">
        <f>SUM('цех стоки'!AF228)</f>
        <v>2.3575091920512121</v>
      </c>
      <c r="J82" s="3821">
        <f>SUM('цех стоки'!AG228)</f>
        <v>2.3575091920512121</v>
      </c>
      <c r="K82" s="3821">
        <f>SUM('цех стоки'!AH228)</f>
        <v>2.3575091920512121</v>
      </c>
      <c r="L82" s="3794">
        <f>SUM('цех стоки'!AI228)</f>
        <v>7.0725275761536359</v>
      </c>
      <c r="M82" s="3794">
        <f>SUM('цех стоки'!AJ228)</f>
        <v>14.145055152307272</v>
      </c>
      <c r="N82" s="3821">
        <f>SUM('цех стоки'!AK228)</f>
        <v>2.3575091920512121</v>
      </c>
      <c r="O82" s="3821">
        <f>SUM('цех стоки'!AL228)</f>
        <v>2.3575091920512121</v>
      </c>
      <c r="P82" s="3821">
        <f>SUM('цех стоки'!AM228)</f>
        <v>2.3575091920512121</v>
      </c>
      <c r="Q82" s="3794">
        <f>SUM('цех стоки'!AN228)</f>
        <v>7.0725275761536359</v>
      </c>
      <c r="R82" s="3794">
        <f>SUM('цех стоки'!AO228)</f>
        <v>21.217582728460908</v>
      </c>
      <c r="S82" s="3821">
        <f>SUM('цех стоки'!AP228)</f>
        <v>2.3575091920512121</v>
      </c>
      <c r="T82" s="3821">
        <f>SUM('цех стоки'!AQ228)</f>
        <v>2.3575091920512121</v>
      </c>
      <c r="U82" s="3821">
        <f>SUM('цех стоки'!AR228)</f>
        <v>2.3575091920512121</v>
      </c>
      <c r="V82" s="3794">
        <f>SUM('цех стоки'!AS228)</f>
        <v>7.0725275761536359</v>
      </c>
      <c r="W82" s="3814">
        <f t="shared" si="42"/>
        <v>28.29011030461454</v>
      </c>
    </row>
    <row r="83" spans="1:23" ht="18.75" customHeight="1">
      <c r="A83" s="3818" t="s">
        <v>610</v>
      </c>
      <c r="B83" s="3790">
        <f>SUM('цех стоки'!V229)</f>
        <v>461.8360507228324</v>
      </c>
      <c r="C83" s="3790">
        <f>SUM('цех стоки'!X229)</f>
        <v>459.31172503516939</v>
      </c>
      <c r="D83" s="3790">
        <f>SUM('цех стоки'!AA229)</f>
        <v>2.5243256876630147</v>
      </c>
      <c r="E83" s="3819">
        <f>SUM('цех стоки'!AB229)</f>
        <v>36.843412979387459</v>
      </c>
      <c r="F83" s="3819">
        <f>SUM('цех стоки'!AC229)</f>
        <v>36.843412979387459</v>
      </c>
      <c r="G83" s="3819">
        <f>SUM('цех стоки'!AD229)</f>
        <v>36.843412979387459</v>
      </c>
      <c r="H83" s="3790">
        <f>SUM('цех стоки'!AE229)</f>
        <v>110.53023893816237</v>
      </c>
      <c r="I83" s="3819">
        <f>SUM('цех стоки'!AF229)</f>
        <v>36.987904717768281</v>
      </c>
      <c r="J83" s="3819">
        <f>SUM('цех стоки'!AG229)</f>
        <v>39.380045719850727</v>
      </c>
      <c r="K83" s="3819">
        <f>SUM('цех стоки'!AH229)</f>
        <v>41.467148607573662</v>
      </c>
      <c r="L83" s="3790">
        <f>SUM('цех стоки'!AI229)</f>
        <v>117.83509904519268</v>
      </c>
      <c r="M83" s="3790">
        <f>SUM('цех стоки'!AJ229)</f>
        <v>228.36533798335506</v>
      </c>
      <c r="N83" s="3819">
        <f>SUM('цех стоки'!AK229)</f>
        <v>42.09327947389054</v>
      </c>
      <c r="O83" s="3819">
        <f>SUM('цех стоки'!AL229)</f>
        <v>41.467148607573662</v>
      </c>
      <c r="P83" s="3819">
        <f>SUM('цех стоки'!AM229)</f>
        <v>39.380045719850727</v>
      </c>
      <c r="Q83" s="3790">
        <f>SUM('цех стоки'!AN229)</f>
        <v>122.94047380131494</v>
      </c>
      <c r="R83" s="3790">
        <f>SUM('цех стоки'!AO229)</f>
        <v>351.30581178467003</v>
      </c>
      <c r="S83" s="3819">
        <f>SUM('цех стоки'!AP229)</f>
        <v>36.843412979387459</v>
      </c>
      <c r="T83" s="3819">
        <f>SUM('цех стоки'!AQ229)</f>
        <v>36.843412979387459</v>
      </c>
      <c r="U83" s="3819">
        <f>SUM('цех стоки'!AR229)</f>
        <v>36.843412979387459</v>
      </c>
      <c r="V83" s="3790">
        <f>SUM('цех стоки'!AS229)</f>
        <v>110.53023893816237</v>
      </c>
      <c r="W83" s="3814">
        <f t="shared" si="42"/>
        <v>461.83605072283234</v>
      </c>
    </row>
    <row r="84" spans="1:23" ht="18.75" customHeight="1">
      <c r="A84" s="3820" t="s">
        <v>552</v>
      </c>
      <c r="B84" s="3794">
        <f>SUM('цех стоки'!V230)</f>
        <v>160.54637597868754</v>
      </c>
      <c r="C84" s="3794">
        <f>SUM('цех стоки'!X230)</f>
        <v>159.66885387899458</v>
      </c>
      <c r="D84" s="3794">
        <f>SUM('цех стоки'!AA230)</f>
        <v>0.87752209969295336</v>
      </c>
      <c r="E84" s="3821">
        <f>SUM('цех стоки'!AB230)</f>
        <v>11.735940084042058</v>
      </c>
      <c r="F84" s="3821">
        <f>SUM('цех стоки'!AC230)</f>
        <v>11.735940084042058</v>
      </c>
      <c r="G84" s="3821">
        <f>SUM('цех стоки'!AD230)</f>
        <v>11.735940084042058</v>
      </c>
      <c r="H84" s="3794">
        <f>SUM('цех стоки'!AE230)</f>
        <v>35.207820252126176</v>
      </c>
      <c r="I84" s="3821">
        <f>SUM('цех стоки'!AF230)</f>
        <v>11.88043182242288</v>
      </c>
      <c r="J84" s="3821">
        <f>SUM('цех стоки'!AG230)</f>
        <v>14.272572824505323</v>
      </c>
      <c r="K84" s="3821">
        <f>SUM('цех стоки'!AH230)</f>
        <v>16.35967571222826</v>
      </c>
      <c r="L84" s="3794">
        <f>SUM('цех стоки'!AI230)</f>
        <v>42.512680359156462</v>
      </c>
      <c r="M84" s="3794">
        <f>SUM('цех стоки'!AJ230)</f>
        <v>77.720500611282631</v>
      </c>
      <c r="N84" s="3821">
        <f>SUM('цех стоки'!AK230)</f>
        <v>16.985806578545141</v>
      </c>
      <c r="O84" s="3821">
        <f>SUM('цех стоки'!AL230)</f>
        <v>16.35967571222826</v>
      </c>
      <c r="P84" s="3821">
        <f>SUM('цех стоки'!AM230)</f>
        <v>14.272572824505323</v>
      </c>
      <c r="Q84" s="3794">
        <f>SUM('цех стоки'!AN230)</f>
        <v>47.618055115278729</v>
      </c>
      <c r="R84" s="3794">
        <f>SUM('цех стоки'!AO230)</f>
        <v>125.33855572656137</v>
      </c>
      <c r="S84" s="3821">
        <f>SUM('цех стоки'!AP230)</f>
        <v>11.735940084042058</v>
      </c>
      <c r="T84" s="3821">
        <f>SUM('цех стоки'!AQ230)</f>
        <v>11.735940084042058</v>
      </c>
      <c r="U84" s="3821">
        <f>SUM('цех стоки'!AR230)</f>
        <v>11.735940084042058</v>
      </c>
      <c r="V84" s="3794">
        <f>SUM('цех стоки'!AS230)</f>
        <v>35.207820252126176</v>
      </c>
      <c r="W84" s="3814">
        <f t="shared" si="42"/>
        <v>160.54637597868751</v>
      </c>
    </row>
    <row r="85" spans="1:23" ht="18.75" customHeight="1">
      <c r="A85" s="3820" t="s">
        <v>644</v>
      </c>
      <c r="B85" s="3794">
        <f>SUM('цех стоки'!V231)</f>
        <v>295.63165268322194</v>
      </c>
      <c r="C85" s="3794">
        <f>SUM('цех стоки'!X231)</f>
        <v>294.01577498422785</v>
      </c>
      <c r="D85" s="3794">
        <f>SUM('цех стоки'!AA231)</f>
        <v>1.6158776989940975</v>
      </c>
      <c r="E85" s="3821">
        <f>SUM('цех стоки'!AB231)</f>
        <v>24.635971056935162</v>
      </c>
      <c r="F85" s="3821">
        <f>SUM('цех стоки'!AC231)</f>
        <v>24.635971056935162</v>
      </c>
      <c r="G85" s="3821">
        <f>SUM('цех стоки'!AD231)</f>
        <v>24.635971056935162</v>
      </c>
      <c r="H85" s="3794">
        <f>SUM('цех стоки'!AE231)</f>
        <v>73.907913170805486</v>
      </c>
      <c r="I85" s="3821">
        <f>SUM('цех стоки'!AF231)</f>
        <v>24.635971056935162</v>
      </c>
      <c r="J85" s="3821">
        <f>SUM('цех стоки'!AG231)</f>
        <v>24.635971056935162</v>
      </c>
      <c r="K85" s="3821">
        <f>SUM('цех стоки'!AH231)</f>
        <v>24.635971056935162</v>
      </c>
      <c r="L85" s="3794">
        <f>SUM('цех стоки'!AI231)</f>
        <v>73.907913170805486</v>
      </c>
      <c r="M85" s="3794">
        <f>SUM('цех стоки'!AJ231)</f>
        <v>147.81582634161097</v>
      </c>
      <c r="N85" s="3821">
        <f>SUM('цех стоки'!AK231)</f>
        <v>24.635971056935162</v>
      </c>
      <c r="O85" s="3821">
        <f>SUM('цех стоки'!AL231)</f>
        <v>24.635971056935162</v>
      </c>
      <c r="P85" s="3821">
        <f>SUM('цех стоки'!AM231)</f>
        <v>24.635971056935162</v>
      </c>
      <c r="Q85" s="3794">
        <f>SUM('цех стоки'!AN231)</f>
        <v>73.907913170805486</v>
      </c>
      <c r="R85" s="3794">
        <f>SUM('цех стоки'!AO231)</f>
        <v>221.72373951241644</v>
      </c>
      <c r="S85" s="3821">
        <f>SUM('цех стоки'!AP231)</f>
        <v>24.635971056935162</v>
      </c>
      <c r="T85" s="3821">
        <f>SUM('цех стоки'!AQ231)</f>
        <v>24.635971056935162</v>
      </c>
      <c r="U85" s="3821">
        <f>SUM('цех стоки'!AR231)</f>
        <v>24.635971056935162</v>
      </c>
      <c r="V85" s="3794">
        <f>SUM('цех стоки'!AS231)</f>
        <v>73.907913170805486</v>
      </c>
      <c r="W85" s="3814">
        <f t="shared" si="42"/>
        <v>295.63165268322189</v>
      </c>
    </row>
    <row r="86" spans="1:23" ht="18.75" customHeight="1">
      <c r="A86" s="3820" t="s">
        <v>560</v>
      </c>
      <c r="B86" s="3794">
        <f>SUM('цех стоки'!V232)</f>
        <v>4.9507693033075455</v>
      </c>
      <c r="C86" s="3794">
        <f>SUM('цех стоки'!X232)</f>
        <v>4.9237091504535773</v>
      </c>
      <c r="D86" s="3794">
        <f>SUM('цех стоки'!AA232)</f>
        <v>2.7060152853968233E-2</v>
      </c>
      <c r="E86" s="3821">
        <f>SUM('цех стоки'!AB232)</f>
        <v>0.41256410860896214</v>
      </c>
      <c r="F86" s="3821">
        <f>SUM('цех стоки'!AC232)</f>
        <v>0.41256410860896214</v>
      </c>
      <c r="G86" s="3821">
        <f>SUM('цех стоки'!AD232)</f>
        <v>0.41256410860896214</v>
      </c>
      <c r="H86" s="3794">
        <f>SUM('цех стоки'!AE232)</f>
        <v>1.2376923258268864</v>
      </c>
      <c r="I86" s="3821">
        <f>SUM('цех стоки'!AF232)</f>
        <v>0.41256410860896214</v>
      </c>
      <c r="J86" s="3821">
        <f>SUM('цех стоки'!AG232)</f>
        <v>0.41256410860896214</v>
      </c>
      <c r="K86" s="3821">
        <f>SUM('цех стоки'!AH232)</f>
        <v>0.41256410860896214</v>
      </c>
      <c r="L86" s="3794">
        <f>SUM('цех стоки'!AI232)</f>
        <v>1.2376923258268864</v>
      </c>
      <c r="M86" s="3794">
        <f>SUM('цех стоки'!AJ232)</f>
        <v>2.4753846516537727</v>
      </c>
      <c r="N86" s="3821">
        <f>SUM('цех стоки'!AK232)</f>
        <v>0.41256410860896214</v>
      </c>
      <c r="O86" s="3821">
        <f>SUM('цех стоки'!AL232)</f>
        <v>0.41256410860896214</v>
      </c>
      <c r="P86" s="3821">
        <f>SUM('цех стоки'!AM232)</f>
        <v>0.41256410860896214</v>
      </c>
      <c r="Q86" s="3794">
        <f>SUM('цех стоки'!AN232)</f>
        <v>1.2376923258268864</v>
      </c>
      <c r="R86" s="3794">
        <f>SUM('цех стоки'!AO232)</f>
        <v>3.7130769774806591</v>
      </c>
      <c r="S86" s="3821">
        <f>SUM('цех стоки'!AP232)</f>
        <v>0.41256410860896214</v>
      </c>
      <c r="T86" s="3821">
        <f>SUM('цех стоки'!AQ232)</f>
        <v>0.41256410860896214</v>
      </c>
      <c r="U86" s="3821">
        <f>SUM('цех стоки'!AR232)</f>
        <v>0.41256410860896214</v>
      </c>
      <c r="V86" s="3794">
        <f>SUM('цех стоки'!AS232)</f>
        <v>1.2376923258268864</v>
      </c>
      <c r="W86" s="3814">
        <f t="shared" si="42"/>
        <v>4.9507693033075455</v>
      </c>
    </row>
    <row r="87" spans="1:23" ht="18.75" customHeight="1">
      <c r="A87" s="3820" t="s">
        <v>614</v>
      </c>
      <c r="B87" s="3794">
        <f>SUM('цех стоки'!V233)</f>
        <v>0.70725275761536366</v>
      </c>
      <c r="C87" s="3794">
        <f>SUM('цех стоки'!X233)</f>
        <v>0.70338702149336818</v>
      </c>
      <c r="D87" s="3794">
        <f>SUM('цех стоки'!AA233)</f>
        <v>3.8657361219954778E-3</v>
      </c>
      <c r="E87" s="3821">
        <f>SUM('цех стоки'!AB233)</f>
        <v>5.8937729801280307E-2</v>
      </c>
      <c r="F87" s="3821">
        <f>SUM('цех стоки'!AC233)</f>
        <v>5.8937729801280307E-2</v>
      </c>
      <c r="G87" s="3821">
        <f>SUM('цех стоки'!AD233)</f>
        <v>5.8937729801280307E-2</v>
      </c>
      <c r="H87" s="3794">
        <f>SUM('цех стоки'!AE233)</f>
        <v>0.17681318940384091</v>
      </c>
      <c r="I87" s="3821">
        <f>SUM('цех стоки'!AF233)</f>
        <v>5.8937729801280307E-2</v>
      </c>
      <c r="J87" s="3821">
        <f>SUM('цех стоки'!AG233)</f>
        <v>5.8937729801280307E-2</v>
      </c>
      <c r="K87" s="3821">
        <f>SUM('цех стоки'!AH233)</f>
        <v>5.8937729801280307E-2</v>
      </c>
      <c r="L87" s="3794">
        <f>SUM('цех стоки'!AI233)</f>
        <v>0.17681318940384091</v>
      </c>
      <c r="M87" s="3794">
        <f>SUM('цех стоки'!AJ233)</f>
        <v>0.35362637880768183</v>
      </c>
      <c r="N87" s="3821">
        <f>SUM('цех стоки'!AK233)</f>
        <v>5.8937729801280307E-2</v>
      </c>
      <c r="O87" s="3821">
        <f>SUM('цех стоки'!AL233)</f>
        <v>5.8937729801280307E-2</v>
      </c>
      <c r="P87" s="3821">
        <f>SUM('цех стоки'!AM233)</f>
        <v>5.8937729801280307E-2</v>
      </c>
      <c r="Q87" s="3794">
        <f>SUM('цех стоки'!AN233)</f>
        <v>0.17681318940384091</v>
      </c>
      <c r="R87" s="3794">
        <f>SUM('цех стоки'!AO233)</f>
        <v>0.53043956821152272</v>
      </c>
      <c r="S87" s="3821">
        <f>SUM('цех стоки'!AP233)</f>
        <v>5.8937729801280307E-2</v>
      </c>
      <c r="T87" s="3821">
        <f>SUM('цех стоки'!AQ233)</f>
        <v>5.8937729801280307E-2</v>
      </c>
      <c r="U87" s="3821">
        <f>SUM('цех стоки'!AR233)</f>
        <v>5.8937729801280307E-2</v>
      </c>
      <c r="V87" s="3794">
        <f>SUM('цех стоки'!AS233)</f>
        <v>0.17681318940384091</v>
      </c>
      <c r="W87" s="3814">
        <f t="shared" si="42"/>
        <v>0.70725275761536366</v>
      </c>
    </row>
    <row r="88" spans="1:23" ht="18.75" customHeight="1">
      <c r="A88" s="3834" t="s">
        <v>550</v>
      </c>
      <c r="B88" s="3787">
        <f>SUM(стоки!BU27)</f>
        <v>3246.5926049635227</v>
      </c>
      <c r="C88" s="3787">
        <f>SUM(стоки!BW27)</f>
        <v>3240.9582437576878</v>
      </c>
      <c r="D88" s="3797">
        <f>SUM(стоки!BX27)</f>
        <v>5.6343612058349208</v>
      </c>
      <c r="E88" s="3823">
        <f t="shared" ref="E88:G88" si="55">SUM(E89+E90+E91+E93+E94)</f>
        <v>265.00493963129395</v>
      </c>
      <c r="F88" s="3823">
        <f t="shared" si="55"/>
        <v>265.00493963129395</v>
      </c>
      <c r="G88" s="3823">
        <f t="shared" si="55"/>
        <v>265.00493963129395</v>
      </c>
      <c r="H88" s="3797">
        <f t="shared" si="34"/>
        <v>795.01481889388185</v>
      </c>
      <c r="I88" s="3823">
        <f>SUM(I89+I90+I91+I93+I94)</f>
        <v>265.00493963129395</v>
      </c>
      <c r="J88" s="3823">
        <f>SUM(J89+J90+J91+J93+J94)</f>
        <v>265.00493963129395</v>
      </c>
      <c r="K88" s="3823">
        <f>SUM(K89+K90+K91+K93+K94)</f>
        <v>265.00493963129395</v>
      </c>
      <c r="L88" s="3797">
        <f t="shared" ref="L88:L89" si="56">SUM(I88+J88+K88)</f>
        <v>795.01481889388185</v>
      </c>
      <c r="M88" s="3797">
        <f t="shared" ref="M88:M89" si="57">SUM(H88+L88)</f>
        <v>1590.0296377877637</v>
      </c>
      <c r="N88" s="3823">
        <f>SUM(N89+N90+N91+N93+N94)</f>
        <v>276.09382786262643</v>
      </c>
      <c r="O88" s="3823">
        <f>SUM(O89+O90+O91+O93+O94)</f>
        <v>276.09382786262643</v>
      </c>
      <c r="P88" s="3823">
        <f>SUM(P89+P90+P91+P93+P94)</f>
        <v>276.09382786262643</v>
      </c>
      <c r="Q88" s="3797">
        <f t="shared" ref="Q88:Q89" si="58">SUM(N88+O88+P88)</f>
        <v>828.28148358787928</v>
      </c>
      <c r="R88" s="3797">
        <f t="shared" ref="R88:R89" si="59">SUM(M88+Q88)</f>
        <v>2418.3111213756429</v>
      </c>
      <c r="S88" s="3823">
        <f>SUM(S89+S90+S91+S93+S94)</f>
        <v>276.09382786262643</v>
      </c>
      <c r="T88" s="3823">
        <f>SUM(T89+T90+T91+T93+T94)</f>
        <v>276.09382786262643</v>
      </c>
      <c r="U88" s="3823">
        <f>SUM(U89+U90+U91+U93+U94)</f>
        <v>276.09382786262643</v>
      </c>
      <c r="V88" s="3797">
        <f t="shared" si="41"/>
        <v>828.28148358787928</v>
      </c>
      <c r="W88" s="3812">
        <f t="shared" si="42"/>
        <v>3246.5926049635214</v>
      </c>
    </row>
    <row r="89" spans="1:23" ht="18.75" customHeight="1">
      <c r="A89" s="3849" t="s">
        <v>3</v>
      </c>
      <c r="B89" s="3790">
        <f>SUM(стоки!BU28)</f>
        <v>140.44813397999997</v>
      </c>
      <c r="C89" s="3790">
        <f>SUM(стоки!BW28)</f>
        <v>140.44813397999997</v>
      </c>
      <c r="D89" s="3799">
        <f>SUM(стоки!BX28)</f>
        <v>0</v>
      </c>
      <c r="E89" s="3798">
        <f>SUM(B89/12)</f>
        <v>11.704011164999997</v>
      </c>
      <c r="F89" s="3798">
        <f t="shared" ref="F89" si="60">SUM(E89)</f>
        <v>11.704011164999997</v>
      </c>
      <c r="G89" s="3798">
        <f t="shared" ref="G89" si="61">SUM(F89)</f>
        <v>11.704011164999997</v>
      </c>
      <c r="H89" s="3799">
        <f t="shared" si="34"/>
        <v>35.112033494999991</v>
      </c>
      <c r="I89" s="3798">
        <f>SUM(E89)</f>
        <v>11.704011164999997</v>
      </c>
      <c r="J89" s="3798">
        <f>SUM(E89)</f>
        <v>11.704011164999997</v>
      </c>
      <c r="K89" s="3798">
        <f>SUM(E89)</f>
        <v>11.704011164999997</v>
      </c>
      <c r="L89" s="3799">
        <f t="shared" si="56"/>
        <v>35.112033494999991</v>
      </c>
      <c r="M89" s="3799">
        <f t="shared" si="57"/>
        <v>70.224066989999983</v>
      </c>
      <c r="N89" s="3798">
        <f>SUM(E89)</f>
        <v>11.704011164999997</v>
      </c>
      <c r="O89" s="3798">
        <f>SUM(E89)</f>
        <v>11.704011164999997</v>
      </c>
      <c r="P89" s="3798">
        <f>E89</f>
        <v>11.704011164999997</v>
      </c>
      <c r="Q89" s="3799">
        <f t="shared" si="58"/>
        <v>35.112033494999991</v>
      </c>
      <c r="R89" s="3799">
        <f t="shared" si="59"/>
        <v>105.33610048499997</v>
      </c>
      <c r="S89" s="3798">
        <f>E89</f>
        <v>11.704011164999997</v>
      </c>
      <c r="T89" s="3798">
        <f>E89</f>
        <v>11.704011164999997</v>
      </c>
      <c r="U89" s="3798">
        <f>E89</f>
        <v>11.704011164999997</v>
      </c>
      <c r="V89" s="3799">
        <f t="shared" si="41"/>
        <v>35.112033494999991</v>
      </c>
      <c r="W89" s="3814">
        <f>SUM(E89+F89+G89+I89+J89+K89+N89+O89+P89+S89+T89+U89)</f>
        <v>140.44813397999997</v>
      </c>
    </row>
    <row r="90" spans="1:23" ht="18.75" customHeight="1">
      <c r="A90" s="3849" t="s">
        <v>4</v>
      </c>
      <c r="B90" s="3790">
        <f>SUM(стоки!BU29)</f>
        <v>1747.5026849280007</v>
      </c>
      <c r="C90" s="3790">
        <f>SUM(стоки!BW29)</f>
        <v>1747.5026849280007</v>
      </c>
      <c r="D90" s="3799">
        <f>SUM(стоки!BX29)</f>
        <v>0</v>
      </c>
      <c r="E90" s="3798">
        <f>SUM(ЗП!CR32/2)/(1+(106.03%*100-100)/2/100)/6</f>
        <v>141.36312550987728</v>
      </c>
      <c r="F90" s="3798">
        <f>SUM(E90)</f>
        <v>141.36312550987728</v>
      </c>
      <c r="G90" s="3798">
        <f>SUM(E90)</f>
        <v>141.36312550987728</v>
      </c>
      <c r="H90" s="3799">
        <f t="shared" ref="H90:H91" si="62">SUM(E90+F90+G90)</f>
        <v>424.08937652963186</v>
      </c>
      <c r="I90" s="3798">
        <f>SUM(E90)</f>
        <v>141.36312550987728</v>
      </c>
      <c r="J90" s="3798">
        <f>SUM(E90)</f>
        <v>141.36312550987728</v>
      </c>
      <c r="K90" s="3798">
        <f>SUM(E90)</f>
        <v>141.36312550987728</v>
      </c>
      <c r="L90" s="3799">
        <f t="shared" ref="L90:L91" si="63">SUM(I90+J90+K90)</f>
        <v>424.08937652963186</v>
      </c>
      <c r="M90" s="3799">
        <f t="shared" ref="M90:M91" si="64">SUM(H90+L90)</f>
        <v>848.17875305926373</v>
      </c>
      <c r="N90" s="3798">
        <f>SUM(ЗП!CR32-M90)/6</f>
        <v>149.88732197812283</v>
      </c>
      <c r="O90" s="3798">
        <f>SUM(N90)</f>
        <v>149.88732197812283</v>
      </c>
      <c r="P90" s="3798">
        <f>SUM(N90)</f>
        <v>149.88732197812283</v>
      </c>
      <c r="Q90" s="3799">
        <f t="shared" ref="Q90:Q91" si="65">SUM(N90+O90+P90)</f>
        <v>449.66196593436848</v>
      </c>
      <c r="R90" s="3799">
        <f t="shared" ref="R90:R91" si="66">SUM(M90+Q90)</f>
        <v>1297.8407189936322</v>
      </c>
      <c r="S90" s="3798">
        <f>SUM(N90)</f>
        <v>149.88732197812283</v>
      </c>
      <c r="T90" s="3798">
        <f>SUM(N90)</f>
        <v>149.88732197812283</v>
      </c>
      <c r="U90" s="3798">
        <f>SUM(N90)</f>
        <v>149.88732197812283</v>
      </c>
      <c r="V90" s="3799">
        <f t="shared" ref="V90:V91" si="67">SUM(S90+T90+U90)</f>
        <v>449.66196593436848</v>
      </c>
      <c r="W90" s="3814">
        <f t="shared" ref="W90:W91" si="68">SUM(E90+F90+G90+I90+J90+K90+N90+O90+P90+S90+T90+U90)</f>
        <v>1747.5026849280007</v>
      </c>
    </row>
    <row r="91" spans="1:23" ht="18.75" customHeight="1">
      <c r="A91" s="3849" t="s">
        <v>121</v>
      </c>
      <c r="B91" s="3790">
        <f>SUM(стоки!BU30)</f>
        <v>525.77457109333352</v>
      </c>
      <c r="C91" s="3790">
        <f>SUM(стоки!BW30)</f>
        <v>525.77457109333352</v>
      </c>
      <c r="D91" s="3799">
        <f>SUM(стоки!BX30)</f>
        <v>0</v>
      </c>
      <c r="E91" s="3798">
        <f>SUM(E90*E92)</f>
        <v>42.532201709567673</v>
      </c>
      <c r="F91" s="3798">
        <f>SUM(F90*F92)</f>
        <v>42.532201709567673</v>
      </c>
      <c r="G91" s="3798">
        <f>SUM(G90*G92)</f>
        <v>42.532201709567673</v>
      </c>
      <c r="H91" s="3799">
        <f t="shared" si="62"/>
        <v>127.59660512870302</v>
      </c>
      <c r="I91" s="3798">
        <f>SUM(I90*I92)</f>
        <v>42.532201709567673</v>
      </c>
      <c r="J91" s="3798">
        <f>SUM(J90*J92)</f>
        <v>42.532201709567673</v>
      </c>
      <c r="K91" s="3798">
        <f>SUM(K90*K92)</f>
        <v>42.532201709567673</v>
      </c>
      <c r="L91" s="3799">
        <f t="shared" si="63"/>
        <v>127.59660512870302</v>
      </c>
      <c r="M91" s="3799">
        <f t="shared" si="64"/>
        <v>255.19321025740604</v>
      </c>
      <c r="N91" s="3798">
        <f>SUM(N90*N92)</f>
        <v>45.096893472654585</v>
      </c>
      <c r="O91" s="3798">
        <f>SUM(O90*O92)</f>
        <v>45.096893472654585</v>
      </c>
      <c r="P91" s="3798">
        <f>SUM(P90*P92)</f>
        <v>45.096893472654585</v>
      </c>
      <c r="Q91" s="3799">
        <f t="shared" si="65"/>
        <v>135.29068041796376</v>
      </c>
      <c r="R91" s="3799">
        <f t="shared" si="66"/>
        <v>390.48389067536982</v>
      </c>
      <c r="S91" s="3798">
        <f>SUM(S90*S92)</f>
        <v>45.096893472654585</v>
      </c>
      <c r="T91" s="3798">
        <f>SUM(T90*T92)</f>
        <v>45.096893472654585</v>
      </c>
      <c r="U91" s="3798">
        <f>SUM(U90*U92)</f>
        <v>45.096893472654585</v>
      </c>
      <c r="V91" s="3799">
        <f t="shared" si="67"/>
        <v>135.29068041796376</v>
      </c>
      <c r="W91" s="3814">
        <f t="shared" si="68"/>
        <v>525.77457109333363</v>
      </c>
    </row>
    <row r="92" spans="1:23" ht="18.75" customHeight="1">
      <c r="A92" s="3850" t="str">
        <f>A61</f>
        <v>то же в %</v>
      </c>
      <c r="B92" s="3795">
        <f>SUM(стоки!BU31)</f>
        <v>0.30087196753863421</v>
      </c>
      <c r="C92" s="3795">
        <f>SUM(стоки!BW31)</f>
        <v>0.30087196753863421</v>
      </c>
      <c r="D92" s="3795">
        <f>SUM(стоки!BX31)</f>
        <v>0</v>
      </c>
      <c r="E92" s="3824">
        <f>SUM(B92)</f>
        <v>0.30087196753863421</v>
      </c>
      <c r="F92" s="3824">
        <f>SUM(E92)</f>
        <v>0.30087196753863421</v>
      </c>
      <c r="G92" s="3824">
        <f>SUM(E92)</f>
        <v>0.30087196753863421</v>
      </c>
      <c r="H92" s="3795">
        <f>SUM(H91/H90)</f>
        <v>0.30087196753863421</v>
      </c>
      <c r="I92" s="3824">
        <f>SUM(E92)</f>
        <v>0.30087196753863421</v>
      </c>
      <c r="J92" s="3824">
        <f>SUM(E92)</f>
        <v>0.30087196753863421</v>
      </c>
      <c r="K92" s="3824">
        <f>SUM(E92)</f>
        <v>0.30087196753863421</v>
      </c>
      <c r="L92" s="3795">
        <f>SUM(L91/L90)</f>
        <v>0.30087196753863421</v>
      </c>
      <c r="M92" s="3795">
        <f>SUM(M91/M90)</f>
        <v>0.30087196753863421</v>
      </c>
      <c r="N92" s="3824">
        <f>SUM(E92)</f>
        <v>0.30087196753863421</v>
      </c>
      <c r="O92" s="3824">
        <f>SUM(E92)</f>
        <v>0.30087196753863421</v>
      </c>
      <c r="P92" s="3824">
        <f>SUM(E92)</f>
        <v>0.30087196753863421</v>
      </c>
      <c r="Q92" s="3795">
        <f>SUM(Q91/Q90)</f>
        <v>0.30087196753863421</v>
      </c>
      <c r="R92" s="3795">
        <f>SUM(R91/R90)</f>
        <v>0.30087196753863421</v>
      </c>
      <c r="S92" s="3824">
        <f>SUM(E92)</f>
        <v>0.30087196753863421</v>
      </c>
      <c r="T92" s="3824">
        <f>SUM(E92)</f>
        <v>0.30087196753863421</v>
      </c>
      <c r="U92" s="3824">
        <f>SUM(E92)</f>
        <v>0.30087196753863421</v>
      </c>
      <c r="V92" s="3795">
        <f>SUM(V91/V90)</f>
        <v>0.30087196753863421</v>
      </c>
      <c r="W92" s="3816">
        <f>SUM(W91/W90)</f>
        <v>0.30087196753863427</v>
      </c>
    </row>
    <row r="93" spans="1:23" ht="18.75" customHeight="1">
      <c r="A93" s="3849" t="s">
        <v>2</v>
      </c>
      <c r="B93" s="3790">
        <f>SUM(стоки!BU32)</f>
        <v>25.5</v>
      </c>
      <c r="C93" s="3790">
        <f>SUM(стоки!BW32)</f>
        <v>25.5</v>
      </c>
      <c r="D93" s="3799">
        <f>SUM(стоки!BX32)</f>
        <v>0</v>
      </c>
      <c r="E93" s="3798">
        <f>SUM(B93/12)</f>
        <v>2.125</v>
      </c>
      <c r="F93" s="3798">
        <f t="shared" ref="F93" si="69">SUM(E93)</f>
        <v>2.125</v>
      </c>
      <c r="G93" s="3798">
        <f t="shared" ref="G93" si="70">SUM(F93)</f>
        <v>2.125</v>
      </c>
      <c r="H93" s="3799">
        <f t="shared" ref="H93:H129" si="71">SUM(E93+F93+G93)</f>
        <v>6.375</v>
      </c>
      <c r="I93" s="3798">
        <f>SUM(E93)</f>
        <v>2.125</v>
      </c>
      <c r="J93" s="3798">
        <f>SUM(E93)</f>
        <v>2.125</v>
      </c>
      <c r="K93" s="3798">
        <f>SUM(E93)</f>
        <v>2.125</v>
      </c>
      <c r="L93" s="3799">
        <f t="shared" ref="L93:L112" si="72">SUM(I93+J93+K93)</f>
        <v>6.375</v>
      </c>
      <c r="M93" s="3799">
        <f t="shared" ref="M93:M112" si="73">SUM(H93+L93)</f>
        <v>12.75</v>
      </c>
      <c r="N93" s="3798">
        <f>SUM(E93)</f>
        <v>2.125</v>
      </c>
      <c r="O93" s="3798">
        <f>SUM(E93)</f>
        <v>2.125</v>
      </c>
      <c r="P93" s="3798">
        <f>E93</f>
        <v>2.125</v>
      </c>
      <c r="Q93" s="3799">
        <f t="shared" ref="Q93:Q112" si="74">SUM(N93+O93+P93)</f>
        <v>6.375</v>
      </c>
      <c r="R93" s="3799">
        <f t="shared" ref="R93:R112" si="75">SUM(M93+Q93)</f>
        <v>19.125</v>
      </c>
      <c r="S93" s="3798">
        <f>E93</f>
        <v>2.125</v>
      </c>
      <c r="T93" s="3798">
        <f>E93</f>
        <v>2.125</v>
      </c>
      <c r="U93" s="3798">
        <f>E93</f>
        <v>2.125</v>
      </c>
      <c r="V93" s="3799">
        <f t="shared" ref="V93:V129" si="76">SUM(S93+T93+U93)</f>
        <v>6.375</v>
      </c>
      <c r="W93" s="3814">
        <f t="shared" ref="W93:W138" si="77">SUM(E93+F93+G93+I93+J93+K93+N93+O93+P93+S93+T93+U93)</f>
        <v>25.5</v>
      </c>
    </row>
    <row r="94" spans="1:23" ht="18.75" customHeight="1">
      <c r="A94" s="3831" t="s">
        <v>1742</v>
      </c>
      <c r="B94" s="3787">
        <f>SUM('цех стоки'!V234)</f>
        <v>807.36721496218854</v>
      </c>
      <c r="C94" s="3787">
        <f>SUM('цех стоки'!X234)</f>
        <v>801.73285375635362</v>
      </c>
      <c r="D94" s="3787">
        <f>SUM('цех стоки'!AA234)</f>
        <v>5.6343612058349208</v>
      </c>
      <c r="E94" s="3800">
        <f>SUM('цех стоки'!AB234)</f>
        <v>67.280601246849045</v>
      </c>
      <c r="F94" s="3800">
        <f>SUM('цех стоки'!AC234)</f>
        <v>67.280601246849045</v>
      </c>
      <c r="G94" s="3800">
        <f>SUM('цех стоки'!AD234)</f>
        <v>67.280601246849045</v>
      </c>
      <c r="H94" s="3787">
        <f>SUM('цех стоки'!AE234)</f>
        <v>201.84180374054714</v>
      </c>
      <c r="I94" s="3800">
        <f>SUM('цех стоки'!AF234)</f>
        <v>67.280601246849045</v>
      </c>
      <c r="J94" s="3800">
        <f>SUM('цех стоки'!AG234)</f>
        <v>67.280601246849045</v>
      </c>
      <c r="K94" s="3800">
        <f>SUM('цех стоки'!AH234)</f>
        <v>67.280601246849045</v>
      </c>
      <c r="L94" s="3787">
        <f>SUM('цех стоки'!AI234)</f>
        <v>201.84180374054714</v>
      </c>
      <c r="M94" s="3787">
        <f>SUM('цех стоки'!AJ234)</f>
        <v>403.68360748109427</v>
      </c>
      <c r="N94" s="3800">
        <f>SUM('цех стоки'!AK234)</f>
        <v>67.280601246849045</v>
      </c>
      <c r="O94" s="3800">
        <f>SUM('цех стоки'!AL234)</f>
        <v>67.280601246849045</v>
      </c>
      <c r="P94" s="3800">
        <f>SUM('цех стоки'!AM234)</f>
        <v>67.280601246849045</v>
      </c>
      <c r="Q94" s="3787">
        <f>SUM('цех стоки'!AN234)</f>
        <v>201.84180374054714</v>
      </c>
      <c r="R94" s="3787">
        <f>SUM('цех стоки'!AO234)</f>
        <v>605.52541122164143</v>
      </c>
      <c r="S94" s="3800">
        <f>SUM('цех стоки'!AP234)</f>
        <v>67.280601246849045</v>
      </c>
      <c r="T94" s="3800">
        <f>SUM('цех стоки'!AQ234)</f>
        <v>67.280601246849045</v>
      </c>
      <c r="U94" s="3800">
        <f>SUM('цех стоки'!AR234)</f>
        <v>67.280601246849045</v>
      </c>
      <c r="V94" s="3787">
        <f>SUM('цех стоки'!AS234)</f>
        <v>201.84180374054714</v>
      </c>
      <c r="W94" s="3814">
        <f t="shared" si="77"/>
        <v>807.36721496218877</v>
      </c>
    </row>
    <row r="95" spans="1:23" ht="18.75" customHeight="1">
      <c r="A95" s="3818" t="s">
        <v>72</v>
      </c>
      <c r="B95" s="3790">
        <f>SUM('цех стоки'!V235)</f>
        <v>0</v>
      </c>
      <c r="C95" s="3790">
        <f>SUM('цех стоки'!X235)</f>
        <v>0</v>
      </c>
      <c r="D95" s="3790">
        <f>SUM('цех стоки'!AA235)</f>
        <v>0</v>
      </c>
      <c r="E95" s="3819">
        <f>SUM('цех стоки'!AB235)</f>
        <v>0</v>
      </c>
      <c r="F95" s="3819">
        <f>SUM('цех стоки'!AC235)</f>
        <v>0</v>
      </c>
      <c r="G95" s="3819">
        <f>SUM('цех стоки'!AD235)</f>
        <v>0</v>
      </c>
      <c r="H95" s="3790">
        <f>SUM('цех стоки'!AE235)</f>
        <v>0</v>
      </c>
      <c r="I95" s="3819">
        <f>SUM('цех стоки'!AF235)</f>
        <v>0</v>
      </c>
      <c r="J95" s="3819">
        <f>SUM('цех стоки'!AG235)</f>
        <v>0</v>
      </c>
      <c r="K95" s="3819">
        <f>SUM('цех стоки'!AH235)</f>
        <v>0</v>
      </c>
      <c r="L95" s="3790">
        <f>SUM('цех стоки'!AI235)</f>
        <v>0</v>
      </c>
      <c r="M95" s="3790">
        <f>SUM('цех стоки'!AJ235)</f>
        <v>0</v>
      </c>
      <c r="N95" s="3819">
        <f>SUM('цех стоки'!AK235)</f>
        <v>0</v>
      </c>
      <c r="O95" s="3819">
        <f>SUM('цех стоки'!AL235)</f>
        <v>0</v>
      </c>
      <c r="P95" s="3819">
        <f>SUM('цех стоки'!AM235)</f>
        <v>0</v>
      </c>
      <c r="Q95" s="3790">
        <f>SUM('цех стоки'!AN235)</f>
        <v>0</v>
      </c>
      <c r="R95" s="3790">
        <f>SUM('цех стоки'!AO235)</f>
        <v>0</v>
      </c>
      <c r="S95" s="3819">
        <f>SUM('цех стоки'!AP235)</f>
        <v>0</v>
      </c>
      <c r="T95" s="3819">
        <f>SUM('цех стоки'!AQ235)</f>
        <v>0</v>
      </c>
      <c r="U95" s="3819">
        <f>SUM('цех стоки'!AR235)</f>
        <v>0</v>
      </c>
      <c r="V95" s="3790">
        <f>SUM('цех стоки'!AS235)</f>
        <v>0</v>
      </c>
      <c r="W95" s="3814">
        <f t="shared" si="77"/>
        <v>0</v>
      </c>
    </row>
    <row r="96" spans="1:23" ht="18.75" customHeight="1">
      <c r="A96" s="3818" t="s">
        <v>121</v>
      </c>
      <c r="B96" s="3790">
        <f>SUM('цех стоки'!V236)</f>
        <v>0</v>
      </c>
      <c r="C96" s="3790">
        <f>SUM('цех стоки'!X236)</f>
        <v>0</v>
      </c>
      <c r="D96" s="3790">
        <f>SUM('цех стоки'!AA236)</f>
        <v>0</v>
      </c>
      <c r="E96" s="3819">
        <f>SUM('цех стоки'!AB236)</f>
        <v>0</v>
      </c>
      <c r="F96" s="3819">
        <f>SUM('цех стоки'!AC236)</f>
        <v>0</v>
      </c>
      <c r="G96" s="3819">
        <f>SUM('цех стоки'!AD236)</f>
        <v>0</v>
      </c>
      <c r="H96" s="3790">
        <f>SUM('цех стоки'!AE236)</f>
        <v>0</v>
      </c>
      <c r="I96" s="3819">
        <f>SUM('цех стоки'!AF236)</f>
        <v>0</v>
      </c>
      <c r="J96" s="3819">
        <f>SUM('цех стоки'!AG236)</f>
        <v>0</v>
      </c>
      <c r="K96" s="3819">
        <f>SUM('цех стоки'!AH236)</f>
        <v>0</v>
      </c>
      <c r="L96" s="3790">
        <f>SUM('цех стоки'!AI236)</f>
        <v>0</v>
      </c>
      <c r="M96" s="3790">
        <f>SUM('цех стоки'!AJ236)</f>
        <v>0</v>
      </c>
      <c r="N96" s="3819">
        <f>SUM('цех стоки'!AK236)</f>
        <v>0</v>
      </c>
      <c r="O96" s="3819">
        <f>SUM('цех стоки'!AL236)</f>
        <v>0</v>
      </c>
      <c r="P96" s="3819">
        <f>SUM('цех стоки'!AM236)</f>
        <v>0</v>
      </c>
      <c r="Q96" s="3790">
        <f>SUM('цех стоки'!AN236)</f>
        <v>0</v>
      </c>
      <c r="R96" s="3790">
        <f>SUM('цех стоки'!AO236)</f>
        <v>0</v>
      </c>
      <c r="S96" s="3819">
        <f>SUM('цех стоки'!AP236)</f>
        <v>0</v>
      </c>
      <c r="T96" s="3819">
        <f>SUM('цех стоки'!AQ236)</f>
        <v>0</v>
      </c>
      <c r="U96" s="3819">
        <f>SUM('цех стоки'!AR236)</f>
        <v>0</v>
      </c>
      <c r="V96" s="3790">
        <f>SUM('цех стоки'!AS236)</f>
        <v>0</v>
      </c>
      <c r="W96" s="3814">
        <f t="shared" si="77"/>
        <v>0</v>
      </c>
    </row>
    <row r="97" spans="1:23" ht="18.75" customHeight="1">
      <c r="A97" s="3818" t="s">
        <v>52</v>
      </c>
      <c r="B97" s="3790">
        <f>SUM('цех стоки'!V237)</f>
        <v>0</v>
      </c>
      <c r="C97" s="3790">
        <f>SUM('цех стоки'!X237)</f>
        <v>0</v>
      </c>
      <c r="D97" s="3790">
        <f>SUM('цех стоки'!AA237)</f>
        <v>0</v>
      </c>
      <c r="E97" s="3819">
        <f>SUM('цех стоки'!AB237)</f>
        <v>0</v>
      </c>
      <c r="F97" s="3819">
        <f>SUM('цех стоки'!AC237)</f>
        <v>0</v>
      </c>
      <c r="G97" s="3819">
        <f>SUM('цех стоки'!AD237)</f>
        <v>0</v>
      </c>
      <c r="H97" s="3790">
        <f>SUM('цех стоки'!AE237)</f>
        <v>0</v>
      </c>
      <c r="I97" s="3819">
        <f>SUM('цех стоки'!AF237)</f>
        <v>0</v>
      </c>
      <c r="J97" s="3819">
        <f>SUM('цех стоки'!AG237)</f>
        <v>0</v>
      </c>
      <c r="K97" s="3819">
        <f>SUM('цех стоки'!AH237)</f>
        <v>0</v>
      </c>
      <c r="L97" s="3790">
        <f>SUM('цех стоки'!AI237)</f>
        <v>0</v>
      </c>
      <c r="M97" s="3790">
        <f>SUM('цех стоки'!AJ237)</f>
        <v>0</v>
      </c>
      <c r="N97" s="3819">
        <f>SUM('цех стоки'!AK237)</f>
        <v>0</v>
      </c>
      <c r="O97" s="3819">
        <f>SUM('цех стоки'!AL237)</f>
        <v>0</v>
      </c>
      <c r="P97" s="3819">
        <f>SUM('цех стоки'!AM237)</f>
        <v>0</v>
      </c>
      <c r="Q97" s="3790">
        <f>SUM('цех стоки'!AN237)</f>
        <v>0</v>
      </c>
      <c r="R97" s="3790">
        <f>SUM('цех стоки'!AO237)</f>
        <v>0</v>
      </c>
      <c r="S97" s="3819">
        <f>SUM('цех стоки'!AP237)</f>
        <v>0</v>
      </c>
      <c r="T97" s="3819">
        <f>SUM('цех стоки'!AQ237)</f>
        <v>0</v>
      </c>
      <c r="U97" s="3819">
        <f>SUM('цех стоки'!AR237)</f>
        <v>0</v>
      </c>
      <c r="V97" s="3790">
        <f>SUM('цех стоки'!AS237)</f>
        <v>0</v>
      </c>
      <c r="W97" s="3814">
        <f t="shared" si="77"/>
        <v>0</v>
      </c>
    </row>
    <row r="98" spans="1:23" ht="18.75" customHeight="1">
      <c r="A98" s="3818" t="s">
        <v>604</v>
      </c>
      <c r="B98" s="3790">
        <f>SUM('цех стоки'!V238)</f>
        <v>715.56956262098765</v>
      </c>
      <c r="C98" s="3790">
        <f>SUM('цех стоки'!X238)</f>
        <v>710.5758282842562</v>
      </c>
      <c r="D98" s="3790">
        <f>SUM('цех стоки'!AA238)</f>
        <v>4.9937343367314497</v>
      </c>
      <c r="E98" s="3819">
        <f>SUM('цех стоки'!AB238)</f>
        <v>59.630796885082304</v>
      </c>
      <c r="F98" s="3819">
        <f>SUM('цех стоки'!AC238)</f>
        <v>59.630796885082304</v>
      </c>
      <c r="G98" s="3819">
        <f>SUM('цех стоки'!AD238)</f>
        <v>59.630796885082304</v>
      </c>
      <c r="H98" s="3790">
        <f>SUM('цех стоки'!AE238)</f>
        <v>178.89239065524691</v>
      </c>
      <c r="I98" s="3819">
        <f>SUM('цех стоки'!AF238)</f>
        <v>59.630796885082304</v>
      </c>
      <c r="J98" s="3819">
        <f>SUM('цех стоки'!AG238)</f>
        <v>59.630796885082304</v>
      </c>
      <c r="K98" s="3819">
        <f>SUM('цех стоки'!AH238)</f>
        <v>59.630796885082304</v>
      </c>
      <c r="L98" s="3790">
        <f>SUM('цех стоки'!AI238)</f>
        <v>178.89239065524691</v>
      </c>
      <c r="M98" s="3790">
        <f>SUM('цех стоки'!AJ238)</f>
        <v>357.78478131049383</v>
      </c>
      <c r="N98" s="3819">
        <f>SUM('цех стоки'!AK238)</f>
        <v>59.630796885082304</v>
      </c>
      <c r="O98" s="3819">
        <f>SUM('цех стоки'!AL238)</f>
        <v>59.630796885082304</v>
      </c>
      <c r="P98" s="3819">
        <f>SUM('цех стоки'!AM238)</f>
        <v>59.630796885082304</v>
      </c>
      <c r="Q98" s="3790">
        <f>SUM('цех стоки'!AN238)</f>
        <v>178.89239065524691</v>
      </c>
      <c r="R98" s="3790">
        <f>SUM('цех стоки'!AO238)</f>
        <v>536.67717196574074</v>
      </c>
      <c r="S98" s="3819">
        <f>SUM('цех стоки'!AP238)</f>
        <v>59.630796885082304</v>
      </c>
      <c r="T98" s="3819">
        <f>SUM('цех стоки'!AQ238)</f>
        <v>59.630796885082304</v>
      </c>
      <c r="U98" s="3819">
        <f>SUM('цех стоки'!AR238)</f>
        <v>59.630796885082304</v>
      </c>
      <c r="V98" s="3790">
        <f>SUM('цех стоки'!AS238)</f>
        <v>178.89239065524691</v>
      </c>
      <c r="W98" s="3814">
        <f t="shared" si="77"/>
        <v>715.56956262098765</v>
      </c>
    </row>
    <row r="99" spans="1:23" ht="18.75" customHeight="1">
      <c r="A99" s="3818" t="s">
        <v>606</v>
      </c>
      <c r="B99" s="3790">
        <f>SUM('цех стоки'!V239)</f>
        <v>55.708337832391017</v>
      </c>
      <c r="C99" s="3790">
        <f>SUM('цех стоки'!X239)</f>
        <v>55.31956690918841</v>
      </c>
      <c r="D99" s="3790">
        <f>SUM('цех стоки'!AA239)</f>
        <v>0.38877092320260687</v>
      </c>
      <c r="E99" s="3819">
        <f>SUM('цех стоки'!AB239)</f>
        <v>4.642361486032585</v>
      </c>
      <c r="F99" s="3819">
        <f>SUM('цех стоки'!AC239)</f>
        <v>4.642361486032585</v>
      </c>
      <c r="G99" s="3819">
        <f>SUM('цех стоки'!AD239)</f>
        <v>4.642361486032585</v>
      </c>
      <c r="H99" s="3790">
        <f>SUM('цех стоки'!AE239)</f>
        <v>13.927084458097756</v>
      </c>
      <c r="I99" s="3819">
        <f>SUM('цех стоки'!AF239)</f>
        <v>4.642361486032585</v>
      </c>
      <c r="J99" s="3819">
        <f>SUM('цех стоки'!AG239)</f>
        <v>4.642361486032585</v>
      </c>
      <c r="K99" s="3819">
        <f>SUM('цех стоки'!AH239)</f>
        <v>4.642361486032585</v>
      </c>
      <c r="L99" s="3790">
        <f>SUM('цех стоки'!AI239)</f>
        <v>13.927084458097756</v>
      </c>
      <c r="M99" s="3790">
        <f>SUM('цех стоки'!AJ239)</f>
        <v>27.854168916195512</v>
      </c>
      <c r="N99" s="3819">
        <f>SUM('цех стоки'!AK239)</f>
        <v>4.642361486032585</v>
      </c>
      <c r="O99" s="3819">
        <f>SUM('цех стоки'!AL239)</f>
        <v>4.642361486032585</v>
      </c>
      <c r="P99" s="3819">
        <f>SUM('цех стоки'!AM239)</f>
        <v>4.642361486032585</v>
      </c>
      <c r="Q99" s="3790">
        <f>SUM('цех стоки'!AN239)</f>
        <v>13.927084458097756</v>
      </c>
      <c r="R99" s="3790">
        <f>SUM('цех стоки'!AO239)</f>
        <v>41.781253374293271</v>
      </c>
      <c r="S99" s="3819">
        <f>SUM('цех стоки'!AP239)</f>
        <v>4.642361486032585</v>
      </c>
      <c r="T99" s="3819">
        <f>SUM('цех стоки'!AQ239)</f>
        <v>4.642361486032585</v>
      </c>
      <c r="U99" s="3819">
        <f>SUM('цех стоки'!AR239)</f>
        <v>4.642361486032585</v>
      </c>
      <c r="V99" s="3790">
        <f>SUM('цех стоки'!AS239)</f>
        <v>13.927084458097756</v>
      </c>
      <c r="W99" s="3814">
        <f t="shared" si="77"/>
        <v>55.708337832391017</v>
      </c>
    </row>
    <row r="100" spans="1:23" ht="18.75" customHeight="1">
      <c r="A100" s="3818" t="s">
        <v>605</v>
      </c>
      <c r="B100" s="3790">
        <f>SUM('цех стоки'!V240)</f>
        <v>18.407972501137898</v>
      </c>
      <c r="C100" s="3790">
        <f>SUM('цех стоки'!X240)</f>
        <v>18.279509065644863</v>
      </c>
      <c r="D100" s="3790">
        <f>SUM('цех стоки'!AA240)</f>
        <v>0.1284634354930354</v>
      </c>
      <c r="E100" s="3819">
        <f>SUM('цех стоки'!AB240)</f>
        <v>1.5339977084281582</v>
      </c>
      <c r="F100" s="3819">
        <f>SUM('цех стоки'!AC240)</f>
        <v>1.5339977084281582</v>
      </c>
      <c r="G100" s="3819">
        <f>SUM('цех стоки'!AD240)</f>
        <v>1.5339977084281582</v>
      </c>
      <c r="H100" s="3790">
        <f>SUM('цех стоки'!AE240)</f>
        <v>4.6019931252844746</v>
      </c>
      <c r="I100" s="3819">
        <f>SUM('цех стоки'!AF240)</f>
        <v>1.5339977084281582</v>
      </c>
      <c r="J100" s="3819">
        <f>SUM('цех стоки'!AG240)</f>
        <v>1.5339977084281582</v>
      </c>
      <c r="K100" s="3819">
        <f>SUM('цех стоки'!AH240)</f>
        <v>1.5339977084281582</v>
      </c>
      <c r="L100" s="3790">
        <f>SUM('цех стоки'!AI240)</f>
        <v>4.6019931252844746</v>
      </c>
      <c r="M100" s="3790">
        <f>SUM('цех стоки'!AJ240)</f>
        <v>9.2039862505689491</v>
      </c>
      <c r="N100" s="3819">
        <f>SUM('цех стоки'!AK240)</f>
        <v>1.5339977084281582</v>
      </c>
      <c r="O100" s="3819">
        <f>SUM('цех стоки'!AL240)</f>
        <v>1.5339977084281582</v>
      </c>
      <c r="P100" s="3819">
        <f>SUM('цех стоки'!AM240)</f>
        <v>1.5339977084281582</v>
      </c>
      <c r="Q100" s="3790">
        <f>SUM('цех стоки'!AN240)</f>
        <v>4.6019931252844746</v>
      </c>
      <c r="R100" s="3790">
        <f>SUM('цех стоки'!AO240)</f>
        <v>13.805979375853424</v>
      </c>
      <c r="S100" s="3819">
        <f>SUM('цех стоки'!AP240)</f>
        <v>1.5339977084281582</v>
      </c>
      <c r="T100" s="3819">
        <f>SUM('цех стоки'!AQ240)</f>
        <v>1.5339977084281582</v>
      </c>
      <c r="U100" s="3819">
        <f>SUM('цех стоки'!AR240)</f>
        <v>1.5339977084281582</v>
      </c>
      <c r="V100" s="3790">
        <f>SUM('цех стоки'!AS240)</f>
        <v>4.6019931252844746</v>
      </c>
      <c r="W100" s="3814">
        <f t="shared" si="77"/>
        <v>18.407972501137898</v>
      </c>
    </row>
    <row r="101" spans="1:23" ht="18.75" customHeight="1">
      <c r="A101" s="3818" t="s">
        <v>615</v>
      </c>
      <c r="B101" s="3790">
        <f>SUM('цех стоки'!V241)</f>
        <v>8.9617760860802935</v>
      </c>
      <c r="C101" s="3790">
        <f>SUM('цех стоки'!X241)</f>
        <v>8.8992346766955261</v>
      </c>
      <c r="D101" s="3790">
        <f>SUM('цех стоки'!AA241)</f>
        <v>6.2541409384767377E-2</v>
      </c>
      <c r="E101" s="3819">
        <f>SUM('цех стоки'!AB241)</f>
        <v>0.74681467384002442</v>
      </c>
      <c r="F101" s="3819">
        <f>SUM('цех стоки'!AC241)</f>
        <v>0.74681467384002442</v>
      </c>
      <c r="G101" s="3819">
        <f>SUM('цех стоки'!AD241)</f>
        <v>0.74681467384002442</v>
      </c>
      <c r="H101" s="3790">
        <f>SUM('цех стоки'!AE241)</f>
        <v>2.2404440215200734</v>
      </c>
      <c r="I101" s="3819">
        <f>SUM('цех стоки'!AF241)</f>
        <v>0.74681467384002442</v>
      </c>
      <c r="J101" s="3819">
        <f>SUM('цех стоки'!AG241)</f>
        <v>0.74681467384002442</v>
      </c>
      <c r="K101" s="3819">
        <f>SUM('цех стоки'!AH241)</f>
        <v>0.74681467384002442</v>
      </c>
      <c r="L101" s="3790">
        <f>SUM('цех стоки'!AI241)</f>
        <v>2.2404440215200734</v>
      </c>
      <c r="M101" s="3790">
        <f>SUM('цех стоки'!AJ241)</f>
        <v>4.4808880430401468</v>
      </c>
      <c r="N101" s="3819">
        <f>SUM('цех стоки'!AK241)</f>
        <v>0.74681467384002442</v>
      </c>
      <c r="O101" s="3819">
        <f>SUM('цех стоки'!AL241)</f>
        <v>0.74681467384002442</v>
      </c>
      <c r="P101" s="3819">
        <f>SUM('цех стоки'!AM241)</f>
        <v>0.74681467384002442</v>
      </c>
      <c r="Q101" s="3790">
        <f>SUM('цех стоки'!AN241)</f>
        <v>2.2404440215200734</v>
      </c>
      <c r="R101" s="3790">
        <f>SUM('цех стоки'!AO241)</f>
        <v>6.7213320645602206</v>
      </c>
      <c r="S101" s="3819">
        <f>SUM('цех стоки'!AP241)</f>
        <v>0.74681467384002442</v>
      </c>
      <c r="T101" s="3819">
        <f>SUM('цех стоки'!AQ241)</f>
        <v>0.74681467384002442</v>
      </c>
      <c r="U101" s="3819">
        <f>SUM('цех стоки'!AR241)</f>
        <v>0.74681467384002442</v>
      </c>
      <c r="V101" s="3790">
        <f>SUM('цех стоки'!AS241)</f>
        <v>2.2404440215200734</v>
      </c>
      <c r="W101" s="3814">
        <f t="shared" si="77"/>
        <v>8.9617760860802935</v>
      </c>
    </row>
    <row r="102" spans="1:23" ht="18.75" customHeight="1">
      <c r="A102" s="3818" t="s">
        <v>32</v>
      </c>
      <c r="B102" s="3790">
        <f>SUM('цех стоки'!V242)</f>
        <v>6.1359908337126328</v>
      </c>
      <c r="C102" s="3790">
        <f>SUM('цех стоки'!X242)</f>
        <v>6.0931696885482873</v>
      </c>
      <c r="D102" s="3790">
        <f>SUM('цех стоки'!AA242)</f>
        <v>4.2821145164345431E-2</v>
      </c>
      <c r="E102" s="3819">
        <f>SUM('цех стоки'!AB242)</f>
        <v>0.51133256947605277</v>
      </c>
      <c r="F102" s="3819">
        <f>SUM('цех стоки'!AC242)</f>
        <v>0.51133256947605277</v>
      </c>
      <c r="G102" s="3819">
        <f>SUM('цех стоки'!AD242)</f>
        <v>0.51133256947605277</v>
      </c>
      <c r="H102" s="3790">
        <f>SUM('цех стоки'!AE242)</f>
        <v>1.5339977084281582</v>
      </c>
      <c r="I102" s="3819">
        <f>SUM('цех стоки'!AF242)</f>
        <v>0.51133256947605277</v>
      </c>
      <c r="J102" s="3819">
        <f>SUM('цех стоки'!AG242)</f>
        <v>0.51133256947605277</v>
      </c>
      <c r="K102" s="3819">
        <f>SUM('цех стоки'!AH242)</f>
        <v>0.51133256947605277</v>
      </c>
      <c r="L102" s="3790">
        <f>SUM('цех стоки'!AI242)</f>
        <v>1.5339977084281582</v>
      </c>
      <c r="M102" s="3790">
        <f>SUM('цех стоки'!AJ242)</f>
        <v>3.0679954168563164</v>
      </c>
      <c r="N102" s="3819">
        <f>SUM('цех стоки'!AK242)</f>
        <v>0.51133256947605277</v>
      </c>
      <c r="O102" s="3819">
        <f>SUM('цех стоки'!AL242)</f>
        <v>0.51133256947605277</v>
      </c>
      <c r="P102" s="3819">
        <f>SUM('цех стоки'!AM242)</f>
        <v>0.51133256947605277</v>
      </c>
      <c r="Q102" s="3790">
        <f>SUM('цех стоки'!AN242)</f>
        <v>1.5339977084281582</v>
      </c>
      <c r="R102" s="3790">
        <f>SUM('цех стоки'!AO242)</f>
        <v>4.6019931252844746</v>
      </c>
      <c r="S102" s="3819">
        <f>SUM('цех стоки'!AP242)</f>
        <v>0.51133256947605277</v>
      </c>
      <c r="T102" s="3819">
        <f>SUM('цех стоки'!AQ242)</f>
        <v>0.51133256947605277</v>
      </c>
      <c r="U102" s="3819">
        <f>SUM('цех стоки'!AR242)</f>
        <v>0.51133256947605277</v>
      </c>
      <c r="V102" s="3790">
        <f>SUM('цех стоки'!AS242)</f>
        <v>1.5339977084281582</v>
      </c>
      <c r="W102" s="3814">
        <f t="shared" si="77"/>
        <v>6.1359908337126319</v>
      </c>
    </row>
    <row r="103" spans="1:23" ht="18.75" customHeight="1">
      <c r="A103" s="3818" t="s">
        <v>607</v>
      </c>
      <c r="B103" s="3790">
        <f>SUM('цех стоки'!V243)</f>
        <v>2.4221016448865655</v>
      </c>
      <c r="C103" s="3790">
        <f>SUM('цех стоки'!X243)</f>
        <v>2.405198561269061</v>
      </c>
      <c r="D103" s="3790">
        <f>SUM('цех стоки'!AA243)</f>
        <v>1.6903083617504588E-2</v>
      </c>
      <c r="E103" s="3819">
        <f>SUM('цех стоки'!AB243)</f>
        <v>0.20184180374054714</v>
      </c>
      <c r="F103" s="3819">
        <f>SUM('цех стоки'!AC243)</f>
        <v>0.20184180374054714</v>
      </c>
      <c r="G103" s="3819">
        <f>SUM('цех стоки'!AD243)</f>
        <v>0.20184180374054714</v>
      </c>
      <c r="H103" s="3790">
        <f>SUM('цех стоки'!AE243)</f>
        <v>0.60552541122164139</v>
      </c>
      <c r="I103" s="3819">
        <f>SUM('цех стоки'!AF243)</f>
        <v>0.20184180374054714</v>
      </c>
      <c r="J103" s="3819">
        <f>SUM('цех стоки'!AG243)</f>
        <v>0.20184180374054714</v>
      </c>
      <c r="K103" s="3819">
        <f>SUM('цех стоки'!AH243)</f>
        <v>0.20184180374054714</v>
      </c>
      <c r="L103" s="3790">
        <f>SUM('цех стоки'!AI243)</f>
        <v>0.60552541122164139</v>
      </c>
      <c r="M103" s="3790">
        <f>SUM('цех стоки'!AJ243)</f>
        <v>1.2110508224432828</v>
      </c>
      <c r="N103" s="3819">
        <f>SUM('цех стоки'!AK243)</f>
        <v>0.20184180374054714</v>
      </c>
      <c r="O103" s="3819">
        <f>SUM('цех стоки'!AL243)</f>
        <v>0.20184180374054714</v>
      </c>
      <c r="P103" s="3819">
        <f>SUM('цех стоки'!AM243)</f>
        <v>0.20184180374054714</v>
      </c>
      <c r="Q103" s="3790">
        <f>SUM('цех стоки'!AN243)</f>
        <v>0.60552541122164139</v>
      </c>
      <c r="R103" s="3790">
        <f>SUM('цех стоки'!AO243)</f>
        <v>1.8165762336649243</v>
      </c>
      <c r="S103" s="3819">
        <f>SUM('цех стоки'!AP243)</f>
        <v>0.20184180374054714</v>
      </c>
      <c r="T103" s="3819">
        <f>SUM('цех стоки'!AQ243)</f>
        <v>0.20184180374054714</v>
      </c>
      <c r="U103" s="3819">
        <f>SUM('цех стоки'!AR243)</f>
        <v>0.20184180374054714</v>
      </c>
      <c r="V103" s="3790">
        <f>SUM('цех стоки'!AS243)</f>
        <v>0.60552541122164139</v>
      </c>
      <c r="W103" s="3814">
        <f t="shared" si="77"/>
        <v>2.4221016448865651</v>
      </c>
    </row>
    <row r="104" spans="1:23" ht="18.75" customHeight="1">
      <c r="A104" s="3820" t="s">
        <v>565</v>
      </c>
      <c r="B104" s="3794">
        <f>SUM('цех стоки'!V244)</f>
        <v>2.4221016448865655</v>
      </c>
      <c r="C104" s="3794">
        <f>SUM('цех стоки'!X244)</f>
        <v>2.413108902438363</v>
      </c>
      <c r="D104" s="3794">
        <f>SUM('цех стоки'!AA244)</f>
        <v>8.9927424482025842E-3</v>
      </c>
      <c r="E104" s="3821">
        <f>SUM('цех стоки'!AB244)</f>
        <v>0.20184180374054714</v>
      </c>
      <c r="F104" s="3821">
        <f>SUM('цех стоки'!AC244)</f>
        <v>0.20184180374054714</v>
      </c>
      <c r="G104" s="3821">
        <f>SUM('цех стоки'!AD244)</f>
        <v>0.20184180374054714</v>
      </c>
      <c r="H104" s="3794">
        <f>SUM('цех стоки'!AE244)</f>
        <v>0.60552541122164139</v>
      </c>
      <c r="I104" s="3821">
        <f>SUM('цех стоки'!AF244)</f>
        <v>0.20184180374054714</v>
      </c>
      <c r="J104" s="3821">
        <f>SUM('цех стоки'!AG244)</f>
        <v>0.20184180374054714</v>
      </c>
      <c r="K104" s="3821">
        <f>SUM('цех стоки'!AH244)</f>
        <v>0.20184180374054714</v>
      </c>
      <c r="L104" s="3794">
        <f>SUM('цех стоки'!AI244)</f>
        <v>0.60552541122164139</v>
      </c>
      <c r="M104" s="3794">
        <f>SUM('цех стоки'!AJ244)</f>
        <v>1.2110508224432828</v>
      </c>
      <c r="N104" s="3821">
        <f>SUM('цех стоки'!AK244)</f>
        <v>0.20184180374054714</v>
      </c>
      <c r="O104" s="3821">
        <f>SUM('цех стоки'!AL244)</f>
        <v>0.20184180374054714</v>
      </c>
      <c r="P104" s="3821">
        <f>SUM('цех стоки'!AM244)</f>
        <v>0.20184180374054714</v>
      </c>
      <c r="Q104" s="3794">
        <f>SUM('цех стоки'!AN244)</f>
        <v>0.60552541122164139</v>
      </c>
      <c r="R104" s="3794">
        <f>SUM('цех стоки'!AO244)</f>
        <v>1.8165762336649243</v>
      </c>
      <c r="S104" s="3821">
        <f>SUM('цех стоки'!AP244)</f>
        <v>0.20184180374054714</v>
      </c>
      <c r="T104" s="3821">
        <f>SUM('цех стоки'!AQ244)</f>
        <v>0.20184180374054714</v>
      </c>
      <c r="U104" s="3821">
        <f>SUM('цех стоки'!AR244)</f>
        <v>0.20184180374054714</v>
      </c>
      <c r="V104" s="3794">
        <f>SUM('цех стоки'!AS244)</f>
        <v>0.60552541122164139</v>
      </c>
      <c r="W104" s="3814">
        <f t="shared" si="77"/>
        <v>2.4221016448865651</v>
      </c>
    </row>
    <row r="105" spans="1:23" ht="18.75" customHeight="1">
      <c r="A105" s="3818" t="s">
        <v>610</v>
      </c>
      <c r="B105" s="3790">
        <f>SUM('цех стоки'!V245)</f>
        <v>0.16147344299243771</v>
      </c>
      <c r="C105" s="3790">
        <f>SUM('цех стоки'!X245)</f>
        <v>0.16087377539358486</v>
      </c>
      <c r="D105" s="3790">
        <f>SUM('цех стоки'!AA245)</f>
        <v>5.9966759885285437E-4</v>
      </c>
      <c r="E105" s="3819">
        <f>SUM('цех стоки'!AB245)</f>
        <v>1.345612024936981E-2</v>
      </c>
      <c r="F105" s="3819">
        <f>SUM('цех стоки'!AC245)</f>
        <v>1.345612024936981E-2</v>
      </c>
      <c r="G105" s="3819">
        <f>SUM('цех стоки'!AD245)</f>
        <v>1.345612024936981E-2</v>
      </c>
      <c r="H105" s="3790">
        <f>SUM('цех стоки'!AE245)</f>
        <v>4.0368360748109428E-2</v>
      </c>
      <c r="I105" s="3819">
        <f>SUM('цех стоки'!AF245)</f>
        <v>1.345612024936981E-2</v>
      </c>
      <c r="J105" s="3819">
        <f>SUM('цех стоки'!AG245)</f>
        <v>1.345612024936981E-2</v>
      </c>
      <c r="K105" s="3819">
        <f>SUM('цех стоки'!AH245)</f>
        <v>1.345612024936981E-2</v>
      </c>
      <c r="L105" s="3790">
        <f>SUM('цех стоки'!AI245)</f>
        <v>4.0368360748109428E-2</v>
      </c>
      <c r="M105" s="3790">
        <f>SUM('цех стоки'!AJ245)</f>
        <v>8.0736721496218855E-2</v>
      </c>
      <c r="N105" s="3819">
        <f>SUM('цех стоки'!AK245)</f>
        <v>1.345612024936981E-2</v>
      </c>
      <c r="O105" s="3819">
        <f>SUM('цех стоки'!AL245)</f>
        <v>1.345612024936981E-2</v>
      </c>
      <c r="P105" s="3819">
        <f>SUM('цех стоки'!AM245)</f>
        <v>1.345612024936981E-2</v>
      </c>
      <c r="Q105" s="3790">
        <f>SUM('цех стоки'!AN245)</f>
        <v>4.0368360748109428E-2</v>
      </c>
      <c r="R105" s="3790">
        <f>SUM('цех стоки'!AO245)</f>
        <v>0.12110508224432828</v>
      </c>
      <c r="S105" s="3819">
        <f>SUM('цех стоки'!AP245)</f>
        <v>1.345612024936981E-2</v>
      </c>
      <c r="T105" s="3819">
        <f>SUM('цех стоки'!AQ245)</f>
        <v>1.345612024936981E-2</v>
      </c>
      <c r="U105" s="3819">
        <f>SUM('цех стоки'!AR245)</f>
        <v>1.345612024936981E-2</v>
      </c>
      <c r="V105" s="3790">
        <f>SUM('цех стоки'!AS245)</f>
        <v>4.0368360748109428E-2</v>
      </c>
      <c r="W105" s="3814">
        <f t="shared" si="77"/>
        <v>0.16147344299243771</v>
      </c>
    </row>
    <row r="106" spans="1:23" ht="18.75" customHeight="1">
      <c r="A106" s="3820" t="s">
        <v>614</v>
      </c>
      <c r="B106" s="3794">
        <f>SUM('цех стоки'!V246)</f>
        <v>0.16147344299243771</v>
      </c>
      <c r="C106" s="3794">
        <f>SUM('цех стоки'!X246)</f>
        <v>0.16200435268609192</v>
      </c>
      <c r="D106" s="3794">
        <f>SUM('цех стоки'!AA246)</f>
        <v>-5.3090969365421348E-4</v>
      </c>
      <c r="E106" s="3821">
        <f>SUM('цех стоки'!AB246)</f>
        <v>1.345612024936981E-2</v>
      </c>
      <c r="F106" s="3821">
        <f>SUM('цех стоки'!AC246)</f>
        <v>1.345612024936981E-2</v>
      </c>
      <c r="G106" s="3821">
        <f>SUM('цех стоки'!AD246)</f>
        <v>1.345612024936981E-2</v>
      </c>
      <c r="H106" s="3794">
        <f>SUM('цех стоки'!AE246)</f>
        <v>4.0368360748109428E-2</v>
      </c>
      <c r="I106" s="3821">
        <f>SUM('цех стоки'!AF246)</f>
        <v>1.345612024936981E-2</v>
      </c>
      <c r="J106" s="3821">
        <f>SUM('цех стоки'!AG246)</f>
        <v>1.345612024936981E-2</v>
      </c>
      <c r="K106" s="3821">
        <f>SUM('цех стоки'!AH246)</f>
        <v>1.345612024936981E-2</v>
      </c>
      <c r="L106" s="3794">
        <f>SUM('цех стоки'!AI246)</f>
        <v>4.0368360748109428E-2</v>
      </c>
      <c r="M106" s="3794">
        <f>SUM('цех стоки'!AJ246)</f>
        <v>8.0736721496218855E-2</v>
      </c>
      <c r="N106" s="3821">
        <f>SUM('цех стоки'!AK246)</f>
        <v>1.345612024936981E-2</v>
      </c>
      <c r="O106" s="3821">
        <f>SUM('цех стоки'!AL246)</f>
        <v>1.345612024936981E-2</v>
      </c>
      <c r="P106" s="3821">
        <f>SUM('цех стоки'!AM246)</f>
        <v>1.345612024936981E-2</v>
      </c>
      <c r="Q106" s="3794">
        <f>SUM('цех стоки'!AN246)</f>
        <v>4.0368360748109428E-2</v>
      </c>
      <c r="R106" s="3794">
        <f>SUM('цех стоки'!AO246)</f>
        <v>0.12110508224432828</v>
      </c>
      <c r="S106" s="3821">
        <f>SUM('цех стоки'!AP246)</f>
        <v>1.345612024936981E-2</v>
      </c>
      <c r="T106" s="3821">
        <f>SUM('цех стоки'!AQ246)</f>
        <v>1.345612024936981E-2</v>
      </c>
      <c r="U106" s="3821">
        <f>SUM('цех стоки'!AR246)</f>
        <v>1.345612024936981E-2</v>
      </c>
      <c r="V106" s="3794">
        <f>SUM('цех стоки'!AS246)</f>
        <v>4.0368360748109428E-2</v>
      </c>
      <c r="W106" s="3814">
        <f t="shared" si="77"/>
        <v>0.16147344299243771</v>
      </c>
    </row>
    <row r="107" spans="1:23" ht="18.75" customHeight="1">
      <c r="A107" s="3834" t="s">
        <v>542</v>
      </c>
      <c r="B107" s="3787">
        <f>SUM(стоки!BU34)</f>
        <v>13711.210360974783</v>
      </c>
      <c r="C107" s="3787">
        <f>SUM(стоки!BW34)</f>
        <v>13711.210360974783</v>
      </c>
      <c r="D107" s="3787">
        <f>SUM(стоки!BX34)</f>
        <v>0</v>
      </c>
      <c r="E107" s="3823">
        <f>SUM(E108+E109+E110+E111+E112+E114)</f>
        <v>1119.4564390417581</v>
      </c>
      <c r="F107" s="3823">
        <f t="shared" ref="F107:G107" si="78">SUM(F108+F109+F110+F111+F112+F114)</f>
        <v>1119.4564390417581</v>
      </c>
      <c r="G107" s="3823">
        <f t="shared" si="78"/>
        <v>1119.4564390417581</v>
      </c>
      <c r="H107" s="3797">
        <f t="shared" si="71"/>
        <v>3358.3693171252744</v>
      </c>
      <c r="I107" s="3823">
        <f t="shared" ref="I107:K107" si="79">SUM(I108+I109+I110+I111+I112+I114)</f>
        <v>1119.4956564764479</v>
      </c>
      <c r="J107" s="3823">
        <f t="shared" si="79"/>
        <v>1120.1449228952049</v>
      </c>
      <c r="K107" s="3823">
        <f t="shared" si="79"/>
        <v>1120.7113969518382</v>
      </c>
      <c r="L107" s="3797">
        <f t="shared" si="72"/>
        <v>3360.3519763234913</v>
      </c>
      <c r="M107" s="3797">
        <f t="shared" si="73"/>
        <v>6718.7212934487652</v>
      </c>
      <c r="N107" s="3823">
        <f t="shared" ref="N107:P107" si="80">SUM(N108+N109+N110+N111+N112+N114)</f>
        <v>1166.2783543996404</v>
      </c>
      <c r="O107" s="3823">
        <f t="shared" si="80"/>
        <v>1166.1084121826505</v>
      </c>
      <c r="P107" s="3823">
        <f t="shared" si="80"/>
        <v>1165.5419381260169</v>
      </c>
      <c r="Q107" s="3797">
        <f t="shared" si="74"/>
        <v>3497.928704708308</v>
      </c>
      <c r="R107" s="3797">
        <f t="shared" si="75"/>
        <v>10216.649998157074</v>
      </c>
      <c r="S107" s="3823">
        <f t="shared" ref="S107:U107" si="81">SUM(S108+S109+S110+S111+S112+S114)</f>
        <v>1164.8534542725702</v>
      </c>
      <c r="T107" s="3823">
        <f t="shared" si="81"/>
        <v>1164.8534542725702</v>
      </c>
      <c r="U107" s="3823">
        <f t="shared" si="81"/>
        <v>1164.8534542725702</v>
      </c>
      <c r="V107" s="3797">
        <f t="shared" si="76"/>
        <v>3494.5603628177105</v>
      </c>
      <c r="W107" s="3812">
        <f t="shared" si="77"/>
        <v>13711.210360974783</v>
      </c>
    </row>
    <row r="108" spans="1:23" ht="18.75" customHeight="1">
      <c r="A108" s="3849" t="s">
        <v>2</v>
      </c>
      <c r="B108" s="3790">
        <f>SUM(стоки!BU35)</f>
        <v>4015.93</v>
      </c>
      <c r="C108" s="3790">
        <f>SUM(стоки!BW35)</f>
        <v>4015.93</v>
      </c>
      <c r="D108" s="3790">
        <f>SUM(стоки!BX35)</f>
        <v>0</v>
      </c>
      <c r="E108" s="3798">
        <f>SUM(B108/12)</f>
        <v>334.6608333333333</v>
      </c>
      <c r="F108" s="3798">
        <f t="shared" ref="F108:F110" si="82">SUM(E108)</f>
        <v>334.6608333333333</v>
      </c>
      <c r="G108" s="3798">
        <f t="shared" ref="G108:G110" si="83">SUM(F108)</f>
        <v>334.6608333333333</v>
      </c>
      <c r="H108" s="3799">
        <f t="shared" si="71"/>
        <v>1003.9824999999998</v>
      </c>
      <c r="I108" s="3798">
        <f>SUM(E108)</f>
        <v>334.6608333333333</v>
      </c>
      <c r="J108" s="3798">
        <f>SUM(E108)</f>
        <v>334.6608333333333</v>
      </c>
      <c r="K108" s="3798">
        <f>SUM(E108)</f>
        <v>334.6608333333333</v>
      </c>
      <c r="L108" s="3799">
        <f t="shared" si="72"/>
        <v>1003.9824999999998</v>
      </c>
      <c r="M108" s="3799">
        <f t="shared" si="73"/>
        <v>2007.9649999999997</v>
      </c>
      <c r="N108" s="3798">
        <f>SUM(E108)</f>
        <v>334.6608333333333</v>
      </c>
      <c r="O108" s="3798">
        <f>SUM(E108)</f>
        <v>334.6608333333333</v>
      </c>
      <c r="P108" s="3798">
        <f>E108</f>
        <v>334.6608333333333</v>
      </c>
      <c r="Q108" s="3799">
        <f t="shared" si="74"/>
        <v>1003.9824999999998</v>
      </c>
      <c r="R108" s="3799">
        <f t="shared" si="75"/>
        <v>3011.9474999999993</v>
      </c>
      <c r="S108" s="3798">
        <f>E108</f>
        <v>334.6608333333333</v>
      </c>
      <c r="T108" s="3798">
        <f>E108</f>
        <v>334.6608333333333</v>
      </c>
      <c r="U108" s="3798">
        <f>E108</f>
        <v>334.6608333333333</v>
      </c>
      <c r="V108" s="3799">
        <f t="shared" si="76"/>
        <v>1003.9824999999998</v>
      </c>
      <c r="W108" s="3814">
        <f t="shared" si="77"/>
        <v>4015.93</v>
      </c>
    </row>
    <row r="109" spans="1:23" ht="18.75" customHeight="1">
      <c r="A109" s="3849" t="s">
        <v>69</v>
      </c>
      <c r="B109" s="3790">
        <f>SUM(стоки!BU36)</f>
        <v>0</v>
      </c>
      <c r="C109" s="3790">
        <f>SUM(стоки!BW36)</f>
        <v>0</v>
      </c>
      <c r="D109" s="3790">
        <f>SUM(стоки!BX36)</f>
        <v>0</v>
      </c>
      <c r="E109" s="3798">
        <f t="shared" ref="E109:E110" si="84">SUM(B109/12)</f>
        <v>0</v>
      </c>
      <c r="F109" s="3798">
        <f t="shared" si="82"/>
        <v>0</v>
      </c>
      <c r="G109" s="3798">
        <f t="shared" si="83"/>
        <v>0</v>
      </c>
      <c r="H109" s="3799">
        <f t="shared" si="71"/>
        <v>0</v>
      </c>
      <c r="I109" s="3798">
        <f t="shared" ref="I109:I110" si="85">SUM(E109)</f>
        <v>0</v>
      </c>
      <c r="J109" s="3798">
        <f t="shared" ref="J109:J110" si="86">SUM(E109)</f>
        <v>0</v>
      </c>
      <c r="K109" s="3798">
        <f t="shared" ref="K109:K110" si="87">SUM(E109)</f>
        <v>0</v>
      </c>
      <c r="L109" s="3799">
        <f t="shared" si="72"/>
        <v>0</v>
      </c>
      <c r="M109" s="3799">
        <f t="shared" si="73"/>
        <v>0</v>
      </c>
      <c r="N109" s="3798">
        <f t="shared" ref="N109:N110" si="88">SUM(E109)</f>
        <v>0</v>
      </c>
      <c r="O109" s="3798">
        <f t="shared" ref="O109:O110" si="89">SUM(E109)</f>
        <v>0</v>
      </c>
      <c r="P109" s="3798">
        <f t="shared" ref="P109:P110" si="90">E109</f>
        <v>0</v>
      </c>
      <c r="Q109" s="3799">
        <f t="shared" si="74"/>
        <v>0</v>
      </c>
      <c r="R109" s="3799">
        <f t="shared" si="75"/>
        <v>0</v>
      </c>
      <c r="S109" s="3798">
        <f t="shared" ref="S109:S110" si="91">E109</f>
        <v>0</v>
      </c>
      <c r="T109" s="3798">
        <f t="shared" ref="T109:T110" si="92">E109</f>
        <v>0</v>
      </c>
      <c r="U109" s="3798">
        <f t="shared" ref="U109:U110" si="93">E109</f>
        <v>0</v>
      </c>
      <c r="V109" s="3799">
        <f t="shared" si="76"/>
        <v>0</v>
      </c>
      <c r="W109" s="3814">
        <f t="shared" si="77"/>
        <v>0</v>
      </c>
    </row>
    <row r="110" spans="1:23" ht="18.75" customHeight="1">
      <c r="A110" s="3849" t="s">
        <v>3</v>
      </c>
      <c r="B110" s="3790">
        <f>SUM(стоки!BU37)</f>
        <v>178.99132881355931</v>
      </c>
      <c r="C110" s="3790">
        <f>SUM(стоки!BW37)</f>
        <v>178.99132881355931</v>
      </c>
      <c r="D110" s="3790">
        <f>SUM(стоки!BX37)</f>
        <v>0</v>
      </c>
      <c r="E110" s="3798">
        <f t="shared" si="84"/>
        <v>14.915944067796609</v>
      </c>
      <c r="F110" s="3798">
        <f t="shared" si="82"/>
        <v>14.915944067796609</v>
      </c>
      <c r="G110" s="3798">
        <f t="shared" si="83"/>
        <v>14.915944067796609</v>
      </c>
      <c r="H110" s="3799">
        <f t="shared" si="71"/>
        <v>44.747832203389827</v>
      </c>
      <c r="I110" s="3798">
        <f t="shared" si="85"/>
        <v>14.915944067796609</v>
      </c>
      <c r="J110" s="3798">
        <f t="shared" si="86"/>
        <v>14.915944067796609</v>
      </c>
      <c r="K110" s="3798">
        <f t="shared" si="87"/>
        <v>14.915944067796609</v>
      </c>
      <c r="L110" s="3799">
        <f t="shared" si="72"/>
        <v>44.747832203389827</v>
      </c>
      <c r="M110" s="3799">
        <f t="shared" si="73"/>
        <v>89.495664406779653</v>
      </c>
      <c r="N110" s="3798">
        <f t="shared" si="88"/>
        <v>14.915944067796609</v>
      </c>
      <c r="O110" s="3798">
        <f t="shared" si="89"/>
        <v>14.915944067796609</v>
      </c>
      <c r="P110" s="3798">
        <f t="shared" si="90"/>
        <v>14.915944067796609</v>
      </c>
      <c r="Q110" s="3799">
        <f t="shared" si="74"/>
        <v>44.747832203389827</v>
      </c>
      <c r="R110" s="3799">
        <f t="shared" si="75"/>
        <v>134.24349661016947</v>
      </c>
      <c r="S110" s="3798">
        <f t="shared" si="91"/>
        <v>14.915944067796609</v>
      </c>
      <c r="T110" s="3798">
        <f t="shared" si="92"/>
        <v>14.915944067796609</v>
      </c>
      <c r="U110" s="3798">
        <f t="shared" si="93"/>
        <v>14.915944067796609</v>
      </c>
      <c r="V110" s="3799">
        <f t="shared" si="76"/>
        <v>44.747832203389827</v>
      </c>
      <c r="W110" s="3814">
        <f t="shared" si="77"/>
        <v>178.99132881355925</v>
      </c>
    </row>
    <row r="111" spans="1:23" ht="18.75" customHeight="1">
      <c r="A111" s="3849" t="s">
        <v>4</v>
      </c>
      <c r="B111" s="3790">
        <f>SUM(стоки!BU38)</f>
        <v>5524.7812769032244</v>
      </c>
      <c r="C111" s="3790">
        <f>SUM(стоки!BW38)</f>
        <v>5524.7812769032244</v>
      </c>
      <c r="D111" s="3790">
        <f>SUM(стоки!BX38)</f>
        <v>0</v>
      </c>
      <c r="E111" s="3798">
        <f>SUM(ЗП!CR33/2)/(1+(106.03%*100-100)/2/100)/6</f>
        <v>446.92369047414007</v>
      </c>
      <c r="F111" s="3798">
        <f>SUM(E111)</f>
        <v>446.92369047414007</v>
      </c>
      <c r="G111" s="3798">
        <f>SUM(E111)</f>
        <v>446.92369047414007</v>
      </c>
      <c r="H111" s="3799">
        <f t="shared" si="71"/>
        <v>1340.7710714224202</v>
      </c>
      <c r="I111" s="3798">
        <f>SUM(E111)</f>
        <v>446.92369047414007</v>
      </c>
      <c r="J111" s="3798">
        <f>SUM(E111)</f>
        <v>446.92369047414007</v>
      </c>
      <c r="K111" s="3798">
        <f>SUM(E111)</f>
        <v>446.92369047414007</v>
      </c>
      <c r="L111" s="3799">
        <f t="shared" si="72"/>
        <v>1340.7710714224202</v>
      </c>
      <c r="M111" s="3799">
        <f t="shared" si="73"/>
        <v>2681.5421428448403</v>
      </c>
      <c r="N111" s="3798">
        <f>SUM(ЗП!CR33-M111)/6</f>
        <v>473.87318900973065</v>
      </c>
      <c r="O111" s="3798">
        <f>SUM(N111)</f>
        <v>473.87318900973065</v>
      </c>
      <c r="P111" s="3798">
        <f>SUM(N111)</f>
        <v>473.87318900973065</v>
      </c>
      <c r="Q111" s="3799">
        <f t="shared" si="74"/>
        <v>1421.619567029192</v>
      </c>
      <c r="R111" s="3799">
        <f t="shared" si="75"/>
        <v>4103.1617098740326</v>
      </c>
      <c r="S111" s="3798">
        <f>SUM(N111)</f>
        <v>473.87318900973065</v>
      </c>
      <c r="T111" s="3798">
        <f>SUM(N111)</f>
        <v>473.87318900973065</v>
      </c>
      <c r="U111" s="3798">
        <f>SUM(N111)</f>
        <v>473.87318900973065</v>
      </c>
      <c r="V111" s="3799">
        <f t="shared" si="76"/>
        <v>1421.619567029192</v>
      </c>
      <c r="W111" s="3814">
        <f t="shared" si="77"/>
        <v>5524.7812769032244</v>
      </c>
    </row>
    <row r="112" spans="1:23" ht="18.75" customHeight="1">
      <c r="A112" s="3849" t="s">
        <v>121</v>
      </c>
      <c r="B112" s="3790">
        <f>SUM(стоки!BU39)</f>
        <v>1648.7697212074793</v>
      </c>
      <c r="C112" s="3790">
        <f>SUM(стоки!BW39)</f>
        <v>1648.7697212074793</v>
      </c>
      <c r="D112" s="3790">
        <f>SUM(стоки!BX39)</f>
        <v>0</v>
      </c>
      <c r="E112" s="3798">
        <f>SUM(E111*E113)</f>
        <v>133.3761847956996</v>
      </c>
      <c r="F112" s="3798">
        <f>SUM(F111*F113)</f>
        <v>133.3761847956996</v>
      </c>
      <c r="G112" s="3798">
        <f>SUM(G111*G113)</f>
        <v>133.3761847956996</v>
      </c>
      <c r="H112" s="3799">
        <f t="shared" si="71"/>
        <v>400.1285543870988</v>
      </c>
      <c r="I112" s="3798">
        <f>SUM(I111*I113)</f>
        <v>133.3761847956996</v>
      </c>
      <c r="J112" s="3798">
        <f>SUM(J111*J113)</f>
        <v>133.3761847956996</v>
      </c>
      <c r="K112" s="3798">
        <f>SUM(K111*K113)</f>
        <v>133.3761847956996</v>
      </c>
      <c r="L112" s="3799">
        <f t="shared" si="72"/>
        <v>400.1285543870988</v>
      </c>
      <c r="M112" s="3799">
        <f t="shared" si="73"/>
        <v>800.2571087741976</v>
      </c>
      <c r="N112" s="3798">
        <f>SUM(N111*N113)</f>
        <v>141.41876873888026</v>
      </c>
      <c r="O112" s="3798">
        <f>SUM(O111*O113)</f>
        <v>141.41876873888026</v>
      </c>
      <c r="P112" s="3798">
        <f>SUM(P111*P113)</f>
        <v>141.41876873888026</v>
      </c>
      <c r="Q112" s="3799">
        <f t="shared" si="74"/>
        <v>424.25630621664078</v>
      </c>
      <c r="R112" s="3799">
        <f t="shared" si="75"/>
        <v>1224.5134149908383</v>
      </c>
      <c r="S112" s="3798">
        <f>SUM(S111*S113)</f>
        <v>141.41876873888026</v>
      </c>
      <c r="T112" s="3798">
        <f>SUM(T111*T113)</f>
        <v>141.41876873888026</v>
      </c>
      <c r="U112" s="3798">
        <f>SUM(U111*U113)</f>
        <v>141.41876873888026</v>
      </c>
      <c r="V112" s="3799">
        <f t="shared" si="76"/>
        <v>424.25630621664078</v>
      </c>
      <c r="W112" s="3814">
        <f t="shared" si="77"/>
        <v>1648.7697212074795</v>
      </c>
    </row>
    <row r="113" spans="1:23" ht="18.75" customHeight="1">
      <c r="A113" s="3850" t="str">
        <f>A92</f>
        <v>то же в %</v>
      </c>
      <c r="B113" s="3795">
        <f>SUM(стоки!BU40)</f>
        <v>0.29843167332257814</v>
      </c>
      <c r="C113" s="3795">
        <f>SUM(стоки!BW40)</f>
        <v>0.29843167332257814</v>
      </c>
      <c r="D113" s="3795">
        <f>SUM(стоки!BX40)</f>
        <v>0</v>
      </c>
      <c r="E113" s="3824">
        <f>SUM(B113)</f>
        <v>0.29843167332257814</v>
      </c>
      <c r="F113" s="3824">
        <f>SUM(E113)</f>
        <v>0.29843167332257814</v>
      </c>
      <c r="G113" s="3824">
        <f>SUM(E113)</f>
        <v>0.29843167332257814</v>
      </c>
      <c r="H113" s="3795">
        <f>SUM(H112/H111)</f>
        <v>0.29843167332257814</v>
      </c>
      <c r="I113" s="3824">
        <f>SUM(E113)</f>
        <v>0.29843167332257814</v>
      </c>
      <c r="J113" s="3824">
        <f>SUM(E113)</f>
        <v>0.29843167332257814</v>
      </c>
      <c r="K113" s="3824">
        <f>SUM(E113)</f>
        <v>0.29843167332257814</v>
      </c>
      <c r="L113" s="3795">
        <f>SUM(L112/L111)</f>
        <v>0.29843167332257814</v>
      </c>
      <c r="M113" s="3795">
        <f>SUM(M112/M111)</f>
        <v>0.29843167332257814</v>
      </c>
      <c r="N113" s="3824">
        <f>SUM(E113)</f>
        <v>0.29843167332257814</v>
      </c>
      <c r="O113" s="3824">
        <f>SUM(E113)</f>
        <v>0.29843167332257814</v>
      </c>
      <c r="P113" s="3824">
        <f>SUM(E113)</f>
        <v>0.29843167332257814</v>
      </c>
      <c r="Q113" s="3795">
        <f>SUM(Q112/Q111)</f>
        <v>0.29843167332257814</v>
      </c>
      <c r="R113" s="3795">
        <f>SUM(R112/R111)</f>
        <v>0.29843167332257814</v>
      </c>
      <c r="S113" s="3824">
        <f>SUM(E113)</f>
        <v>0.29843167332257814</v>
      </c>
      <c r="T113" s="3824">
        <f>SUM(E113)</f>
        <v>0.29843167332257814</v>
      </c>
      <c r="U113" s="3824">
        <f>SUM(E113)</f>
        <v>0.29843167332257814</v>
      </c>
      <c r="V113" s="3795">
        <f>SUM(V112/V111)</f>
        <v>0.29843167332257814</v>
      </c>
      <c r="W113" s="3816">
        <f>SUM(W112/W111)</f>
        <v>0.29843167332257819</v>
      </c>
    </row>
    <row r="114" spans="1:23" ht="18.75" customHeight="1">
      <c r="A114" s="3831" t="s">
        <v>1742</v>
      </c>
      <c r="B114" s="3787">
        <f>SUM('цех стоки'!V247)</f>
        <v>2342.738034050521</v>
      </c>
      <c r="C114" s="3787">
        <f>SUM('цех стоки'!X247)</f>
        <v>2342.738034050521</v>
      </c>
      <c r="D114" s="3787">
        <f>SUM('цех стоки'!AA247)</f>
        <v>0</v>
      </c>
      <c r="E114" s="3800">
        <f>SUM('цех стоки'!AB247)</f>
        <v>189.57978637078841</v>
      </c>
      <c r="F114" s="3800">
        <f>SUM('цех стоки'!AC247)</f>
        <v>189.57978637078841</v>
      </c>
      <c r="G114" s="3800">
        <f>SUM('цех стоки'!AD247)</f>
        <v>189.57978637078841</v>
      </c>
      <c r="H114" s="3787">
        <f>SUM('цех стоки'!AE247)</f>
        <v>568.73935911236526</v>
      </c>
      <c r="I114" s="3800">
        <f>SUM('цех стоки'!AF247)</f>
        <v>189.61900380547843</v>
      </c>
      <c r="J114" s="3800">
        <f>SUM('цех стоки'!AG247)</f>
        <v>190.26827022423518</v>
      </c>
      <c r="K114" s="3800">
        <f>SUM('цех стоки'!AH247)</f>
        <v>190.83474428086859</v>
      </c>
      <c r="L114" s="3787">
        <f>SUM('цех стоки'!AI247)</f>
        <v>570.72201831058214</v>
      </c>
      <c r="M114" s="3787">
        <f>SUM('цех стоки'!AJ247)</f>
        <v>1139.4613774229474</v>
      </c>
      <c r="N114" s="3800">
        <f>SUM('цех стоки'!AK247)</f>
        <v>201.40961924989963</v>
      </c>
      <c r="O114" s="3800">
        <f>SUM('цех стоки'!AL247)</f>
        <v>201.23967703290961</v>
      </c>
      <c r="P114" s="3800">
        <f>SUM('цех стоки'!AM247)</f>
        <v>200.6732029762762</v>
      </c>
      <c r="Q114" s="3787">
        <f>SUM('цех стоки'!AN247)</f>
        <v>603.32249925908548</v>
      </c>
      <c r="R114" s="3787">
        <f>SUM('цех стоки'!AO247)</f>
        <v>1742.7838766820328</v>
      </c>
      <c r="S114" s="3800">
        <f>SUM('цех стоки'!AP247)</f>
        <v>199.98471912282943</v>
      </c>
      <c r="T114" s="3800">
        <f>SUM('цех стоки'!AQ247)</f>
        <v>199.98471912282943</v>
      </c>
      <c r="U114" s="3800">
        <f>SUM('цех стоки'!AR247)</f>
        <v>199.98471912282943</v>
      </c>
      <c r="V114" s="3787">
        <f>SUM('цех стоки'!AS247)</f>
        <v>599.95415736848827</v>
      </c>
      <c r="W114" s="3814">
        <f t="shared" si="77"/>
        <v>2342.738034050521</v>
      </c>
    </row>
    <row r="115" spans="1:23" ht="18.75" customHeight="1">
      <c r="A115" s="3818" t="s">
        <v>72</v>
      </c>
      <c r="B115" s="3790">
        <f>SUM('цех стоки'!V248)</f>
        <v>1640.1508976387699</v>
      </c>
      <c r="C115" s="3790">
        <f>SUM('цех стоки'!X248)</f>
        <v>1640.1508976387699</v>
      </c>
      <c r="D115" s="3790">
        <f>SUM('цех стоки'!AA248)</f>
        <v>0</v>
      </c>
      <c r="E115" s="3819">
        <f>SUM('цех стоки'!AB248)</f>
        <v>132.67897050904966</v>
      </c>
      <c r="F115" s="3819">
        <f>SUM('цех стоки'!AC248)</f>
        <v>132.67897050904966</v>
      </c>
      <c r="G115" s="3819">
        <f>SUM('цех стоки'!AD248)</f>
        <v>132.67897050904966</v>
      </c>
      <c r="H115" s="3790">
        <f>SUM('цех стоки'!AE248)</f>
        <v>398.03691152714896</v>
      </c>
      <c r="I115" s="3819">
        <f>SUM('цех стоки'!AF248)</f>
        <v>132.67897050904966</v>
      </c>
      <c r="J115" s="3819">
        <f>SUM('цех стоки'!AG248)</f>
        <v>132.67897050904966</v>
      </c>
      <c r="K115" s="3819">
        <f>SUM('цех стоки'!AH248)</f>
        <v>132.67897050904966</v>
      </c>
      <c r="L115" s="3790">
        <f>SUM('цех стоки'!AI248)</f>
        <v>398.03691152714896</v>
      </c>
      <c r="M115" s="3790">
        <f>SUM('цех стоки'!AJ248)</f>
        <v>796.07382305429792</v>
      </c>
      <c r="N115" s="3819">
        <f>SUM('цех стоки'!AK248)</f>
        <v>140.67951243074535</v>
      </c>
      <c r="O115" s="3819">
        <f>SUM('цех стоки'!AL248)</f>
        <v>140.67951243074535</v>
      </c>
      <c r="P115" s="3819">
        <f>SUM('цех стоки'!AM248)</f>
        <v>140.67951243074535</v>
      </c>
      <c r="Q115" s="3790">
        <f>SUM('цех стоки'!AN248)</f>
        <v>422.03853729223601</v>
      </c>
      <c r="R115" s="3790">
        <f>SUM('цех стоки'!AO248)</f>
        <v>1218.1123603465339</v>
      </c>
      <c r="S115" s="3819">
        <f>SUM('цех стоки'!AP248)</f>
        <v>140.67951243074535</v>
      </c>
      <c r="T115" s="3819">
        <f>SUM('цех стоки'!AQ248)</f>
        <v>140.67951243074535</v>
      </c>
      <c r="U115" s="3819">
        <f>SUM('цех стоки'!AR248)</f>
        <v>140.67951243074535</v>
      </c>
      <c r="V115" s="3790">
        <f>SUM('цех стоки'!AS248)</f>
        <v>422.03853729223601</v>
      </c>
      <c r="W115" s="3814">
        <f t="shared" si="77"/>
        <v>1640.1508976387697</v>
      </c>
    </row>
    <row r="116" spans="1:23" ht="18.75" customHeight="1">
      <c r="A116" s="3818" t="s">
        <v>121</v>
      </c>
      <c r="B116" s="3790">
        <f>SUM('цех стоки'!V249)</f>
        <v>492.91208236422966</v>
      </c>
      <c r="C116" s="3790">
        <f>SUM('цех стоки'!X249)</f>
        <v>492.91208236422966</v>
      </c>
      <c r="D116" s="3790">
        <f>SUM('цех стоки'!AA249)</f>
        <v>0</v>
      </c>
      <c r="E116" s="3819">
        <f>SUM('цех стоки'!AB249)</f>
        <v>39.873811448513138</v>
      </c>
      <c r="F116" s="3819">
        <f>SUM('цех стоки'!AC249)</f>
        <v>39.873811448513138</v>
      </c>
      <c r="G116" s="3819">
        <f>SUM('цех стоки'!AD249)</f>
        <v>39.873811448513138</v>
      </c>
      <c r="H116" s="3790">
        <f>SUM('цех стоки'!AE249)</f>
        <v>119.62143434553941</v>
      </c>
      <c r="I116" s="3819">
        <f>SUM('цех стоки'!AF249)</f>
        <v>39.873811448513138</v>
      </c>
      <c r="J116" s="3819">
        <f>SUM('цех стоки'!AG249)</f>
        <v>39.873811448513138</v>
      </c>
      <c r="K116" s="3819">
        <f>SUM('цех стоки'!AH249)</f>
        <v>39.873811448513138</v>
      </c>
      <c r="L116" s="3790">
        <f>SUM('цех стоки'!AI249)</f>
        <v>119.62143434553941</v>
      </c>
      <c r="M116" s="3790">
        <f>SUM('цех стоки'!AJ249)</f>
        <v>239.24286869107883</v>
      </c>
      <c r="N116" s="3819">
        <f>SUM('цех стоки'!AK249)</f>
        <v>42.278202278858473</v>
      </c>
      <c r="O116" s="3819">
        <f>SUM('цех стоки'!AL249)</f>
        <v>42.278202278858473</v>
      </c>
      <c r="P116" s="3819">
        <f>SUM('цех стоки'!AM249)</f>
        <v>42.278202278858473</v>
      </c>
      <c r="Q116" s="3790">
        <f>SUM('цех стоки'!AN249)</f>
        <v>126.83460683657542</v>
      </c>
      <c r="R116" s="3790">
        <f>SUM('цех стоки'!AO249)</f>
        <v>366.07747552765426</v>
      </c>
      <c r="S116" s="3819">
        <f>SUM('цех стоки'!AP249)</f>
        <v>42.278202278858473</v>
      </c>
      <c r="T116" s="3819">
        <f>SUM('цех стоки'!AQ249)</f>
        <v>42.278202278858473</v>
      </c>
      <c r="U116" s="3819">
        <f>SUM('цех стоки'!AR249)</f>
        <v>42.278202278858473</v>
      </c>
      <c r="V116" s="3790">
        <f>SUM('цех стоки'!AS249)</f>
        <v>126.83460683657542</v>
      </c>
      <c r="W116" s="3814">
        <f t="shared" si="77"/>
        <v>492.91208236422978</v>
      </c>
    </row>
    <row r="117" spans="1:23" ht="18.75" customHeight="1">
      <c r="A117" s="3818" t="s">
        <v>52</v>
      </c>
      <c r="B117" s="3790">
        <f>SUM('цех стоки'!V250)</f>
        <v>4.2169284612909381</v>
      </c>
      <c r="C117" s="3790">
        <f>SUM('цех стоки'!X250)</f>
        <v>4.2169284612909381</v>
      </c>
      <c r="D117" s="3790">
        <f>SUM('цех стоки'!AA250)</f>
        <v>0</v>
      </c>
      <c r="E117" s="3819">
        <f>SUM('цех стоки'!AB250)</f>
        <v>0.35141070510757816</v>
      </c>
      <c r="F117" s="3819">
        <f>SUM('цех стоки'!AC250)</f>
        <v>0.35141070510757816</v>
      </c>
      <c r="G117" s="3819">
        <f>SUM('цех стоки'!AD250)</f>
        <v>0.35141070510757816</v>
      </c>
      <c r="H117" s="3790">
        <f>SUM('цех стоки'!AE250)</f>
        <v>1.0542321153227345</v>
      </c>
      <c r="I117" s="3819">
        <f>SUM('цех стоки'!AF250)</f>
        <v>0.35141070510757816</v>
      </c>
      <c r="J117" s="3819">
        <f>SUM('цех стоки'!AG250)</f>
        <v>0.35141070510757816</v>
      </c>
      <c r="K117" s="3819">
        <f>SUM('цех стоки'!AH250)</f>
        <v>0.35141070510757816</v>
      </c>
      <c r="L117" s="3790">
        <f>SUM('цех стоки'!AI250)</f>
        <v>1.0542321153227345</v>
      </c>
      <c r="M117" s="3790">
        <f>SUM('цех стоки'!AJ250)</f>
        <v>2.1084642306454691</v>
      </c>
      <c r="N117" s="3819">
        <f>SUM('цех стоки'!AK250)</f>
        <v>0.35141070510757816</v>
      </c>
      <c r="O117" s="3819">
        <f>SUM('цех стоки'!AL250)</f>
        <v>0.35141070510757816</v>
      </c>
      <c r="P117" s="3819">
        <f>SUM('цех стоки'!AM250)</f>
        <v>0.35141070510757816</v>
      </c>
      <c r="Q117" s="3790">
        <f>SUM('цех стоки'!AN250)</f>
        <v>1.0542321153227345</v>
      </c>
      <c r="R117" s="3790">
        <f>SUM('цех стоки'!AO250)</f>
        <v>3.1626963459682038</v>
      </c>
      <c r="S117" s="3819">
        <f>SUM('цех стоки'!AP250)</f>
        <v>0.35141070510757816</v>
      </c>
      <c r="T117" s="3819">
        <f>SUM('цех стоки'!AQ250)</f>
        <v>0.35141070510757816</v>
      </c>
      <c r="U117" s="3819">
        <f>SUM('цех стоки'!AR250)</f>
        <v>0.35141070510757816</v>
      </c>
      <c r="V117" s="3790">
        <f>SUM('цех стоки'!AS250)</f>
        <v>1.0542321153227345</v>
      </c>
      <c r="W117" s="3814">
        <f t="shared" si="77"/>
        <v>4.2169284612909381</v>
      </c>
    </row>
    <row r="118" spans="1:23" ht="18.75" customHeight="1">
      <c r="A118" s="3818" t="s">
        <v>606</v>
      </c>
      <c r="B118" s="3790">
        <f>SUM('цех стоки'!V251)</f>
        <v>145.01548430772726</v>
      </c>
      <c r="C118" s="3790">
        <f>SUM('цех стоки'!X251)</f>
        <v>145.01548430772726</v>
      </c>
      <c r="D118" s="3790">
        <f>SUM('цех стоки'!AA251)</f>
        <v>0</v>
      </c>
      <c r="E118" s="3819">
        <f>SUM('цех стоки'!AB251)</f>
        <v>12.084623692310606</v>
      </c>
      <c r="F118" s="3819">
        <f>SUM('цех стоки'!AC251)</f>
        <v>12.084623692310606</v>
      </c>
      <c r="G118" s="3819">
        <f>SUM('цех стоки'!AD251)</f>
        <v>12.084623692310606</v>
      </c>
      <c r="H118" s="3790">
        <f>SUM('цех стоки'!AE251)</f>
        <v>36.253871076931816</v>
      </c>
      <c r="I118" s="3819">
        <f>SUM('цех стоки'!AF251)</f>
        <v>12.084623692310606</v>
      </c>
      <c r="J118" s="3819">
        <f>SUM('цех стоки'!AG251)</f>
        <v>12.084623692310606</v>
      </c>
      <c r="K118" s="3819">
        <f>SUM('цех стоки'!AH251)</f>
        <v>12.084623692310606</v>
      </c>
      <c r="L118" s="3790">
        <f>SUM('цех стоки'!AI251)</f>
        <v>36.253871076931816</v>
      </c>
      <c r="M118" s="3790">
        <f>SUM('цех стоки'!AJ251)</f>
        <v>72.507742153863632</v>
      </c>
      <c r="N118" s="3819">
        <f>SUM('цех стоки'!AK251)</f>
        <v>12.084623692310606</v>
      </c>
      <c r="O118" s="3819">
        <f>SUM('цех стоки'!AL251)</f>
        <v>12.084623692310606</v>
      </c>
      <c r="P118" s="3819">
        <f>SUM('цех стоки'!AM251)</f>
        <v>12.084623692310606</v>
      </c>
      <c r="Q118" s="3790">
        <f>SUM('цех стоки'!AN251)</f>
        <v>36.253871076931816</v>
      </c>
      <c r="R118" s="3790">
        <f>SUM('цех стоки'!AO251)</f>
        <v>108.76161323079545</v>
      </c>
      <c r="S118" s="3819">
        <f>SUM('цех стоки'!AP251)</f>
        <v>12.084623692310606</v>
      </c>
      <c r="T118" s="3819">
        <f>SUM('цех стоки'!AQ251)</f>
        <v>12.084623692310606</v>
      </c>
      <c r="U118" s="3819">
        <f>SUM('цех стоки'!AR251)</f>
        <v>12.084623692310606</v>
      </c>
      <c r="V118" s="3790">
        <f>SUM('цех стоки'!AS251)</f>
        <v>36.253871076931816</v>
      </c>
      <c r="W118" s="3814">
        <f t="shared" si="77"/>
        <v>145.01548430772723</v>
      </c>
    </row>
    <row r="119" spans="1:23" ht="18.75" customHeight="1">
      <c r="A119" s="3818" t="s">
        <v>607</v>
      </c>
      <c r="B119" s="3790">
        <f>SUM('цех стоки'!V252)</f>
        <v>16.399166238353647</v>
      </c>
      <c r="C119" s="3790">
        <f>SUM('цех стоки'!X252)</f>
        <v>16.399166238353647</v>
      </c>
      <c r="D119" s="3790">
        <f>SUM('цех стоки'!AA252)</f>
        <v>0</v>
      </c>
      <c r="E119" s="3819">
        <f>SUM('цех стоки'!AB252)</f>
        <v>1.3665971865294706</v>
      </c>
      <c r="F119" s="3819">
        <f>SUM('цех стоки'!AC252)</f>
        <v>1.3665971865294706</v>
      </c>
      <c r="G119" s="3819">
        <f>SUM('цех стоки'!AD252)</f>
        <v>1.3665971865294706</v>
      </c>
      <c r="H119" s="3790">
        <f>SUM('цех стоки'!AE252)</f>
        <v>4.0997915595884118</v>
      </c>
      <c r="I119" s="3819">
        <f>SUM('цех стоки'!AF252)</f>
        <v>1.3665971865294706</v>
      </c>
      <c r="J119" s="3819">
        <f>SUM('цех стоки'!AG252)</f>
        <v>1.3665971865294706</v>
      </c>
      <c r="K119" s="3819">
        <f>SUM('цех стоки'!AH252)</f>
        <v>1.3665971865294706</v>
      </c>
      <c r="L119" s="3790">
        <f>SUM('цех стоки'!AI252)</f>
        <v>4.0997915595884118</v>
      </c>
      <c r="M119" s="3790">
        <f>SUM('цех стоки'!AJ252)</f>
        <v>8.1995831191768236</v>
      </c>
      <c r="N119" s="3819">
        <f>SUM('цех стоки'!AK252)</f>
        <v>1.3665971865294706</v>
      </c>
      <c r="O119" s="3819">
        <f>SUM('цех стоки'!AL252)</f>
        <v>1.3665971865294706</v>
      </c>
      <c r="P119" s="3819">
        <f>SUM('цех стоки'!AM252)</f>
        <v>1.3665971865294706</v>
      </c>
      <c r="Q119" s="3790">
        <f>SUM('цех стоки'!AN252)</f>
        <v>4.0997915595884118</v>
      </c>
      <c r="R119" s="3790">
        <f>SUM('цех стоки'!AO252)</f>
        <v>12.299374678765236</v>
      </c>
      <c r="S119" s="3819">
        <f>SUM('цех стоки'!AP252)</f>
        <v>1.3665971865294706</v>
      </c>
      <c r="T119" s="3819">
        <f>SUM('цех стоки'!AQ252)</f>
        <v>1.3665971865294706</v>
      </c>
      <c r="U119" s="3819">
        <f>SUM('цех стоки'!AR252)</f>
        <v>1.3665971865294706</v>
      </c>
      <c r="V119" s="3790">
        <f>SUM('цех стоки'!AS252)</f>
        <v>4.0997915595884118</v>
      </c>
      <c r="W119" s="3814">
        <f t="shared" si="77"/>
        <v>16.399166238353651</v>
      </c>
    </row>
    <row r="120" spans="1:23" ht="18.75" customHeight="1">
      <c r="A120" s="3820" t="s">
        <v>565</v>
      </c>
      <c r="B120" s="3794">
        <f>SUM('цех стоки'!V253)</f>
        <v>16.399166238353647</v>
      </c>
      <c r="C120" s="3794">
        <f>SUM('цех стоки'!X253)</f>
        <v>16.399166238353647</v>
      </c>
      <c r="D120" s="3794">
        <f>SUM('цех стоки'!AA253)</f>
        <v>0</v>
      </c>
      <c r="E120" s="3821">
        <f>SUM('цех стоки'!AB253)</f>
        <v>1.3665971865294706</v>
      </c>
      <c r="F120" s="3821">
        <f>SUM('цех стоки'!AC253)</f>
        <v>1.3665971865294706</v>
      </c>
      <c r="G120" s="3821">
        <f>SUM('цех стоки'!AD253)</f>
        <v>1.3665971865294706</v>
      </c>
      <c r="H120" s="3794">
        <f>SUM('цех стоки'!AE253)</f>
        <v>4.0997915595884118</v>
      </c>
      <c r="I120" s="3821">
        <f>SUM('цех стоки'!AF253)</f>
        <v>1.3665971865294706</v>
      </c>
      <c r="J120" s="3821">
        <f>SUM('цех стоки'!AG253)</f>
        <v>1.3665971865294706</v>
      </c>
      <c r="K120" s="3821">
        <f>SUM('цех стоки'!AH253)</f>
        <v>1.3665971865294706</v>
      </c>
      <c r="L120" s="3794">
        <f>SUM('цех стоки'!AI253)</f>
        <v>4.0997915595884118</v>
      </c>
      <c r="M120" s="3794">
        <f>SUM('цех стоки'!AJ253)</f>
        <v>8.1995831191768236</v>
      </c>
      <c r="N120" s="3821">
        <f>SUM('цех стоки'!AK253)</f>
        <v>1.3665971865294706</v>
      </c>
      <c r="O120" s="3821">
        <f>SUM('цех стоки'!AL253)</f>
        <v>1.3665971865294706</v>
      </c>
      <c r="P120" s="3821">
        <f>SUM('цех стоки'!AM253)</f>
        <v>1.3665971865294706</v>
      </c>
      <c r="Q120" s="3794">
        <f>SUM('цех стоки'!AN253)</f>
        <v>4.0997915595884118</v>
      </c>
      <c r="R120" s="3794">
        <f>SUM('цех стоки'!AO253)</f>
        <v>12.299374678765236</v>
      </c>
      <c r="S120" s="3821">
        <f>SUM('цех стоки'!AP253)</f>
        <v>1.3665971865294706</v>
      </c>
      <c r="T120" s="3821">
        <f>SUM('цех стоки'!AQ253)</f>
        <v>1.3665971865294706</v>
      </c>
      <c r="U120" s="3821">
        <f>SUM('цех стоки'!AR253)</f>
        <v>1.3665971865294706</v>
      </c>
      <c r="V120" s="3794">
        <f>SUM('цех стоки'!AS253)</f>
        <v>4.0997915595884118</v>
      </c>
      <c r="W120" s="3814">
        <f t="shared" si="77"/>
        <v>16.399166238353651</v>
      </c>
    </row>
    <row r="121" spans="1:23" ht="18.75" customHeight="1">
      <c r="A121" s="3818" t="s">
        <v>610</v>
      </c>
      <c r="B121" s="3790">
        <f>SUM('цех стоки'!V254)</f>
        <v>44.043475040149801</v>
      </c>
      <c r="C121" s="3790">
        <f>SUM('цех стоки'!X254)</f>
        <v>44.043475040149801</v>
      </c>
      <c r="D121" s="3790">
        <f>SUM('цех стоки'!AA254)</f>
        <v>0</v>
      </c>
      <c r="E121" s="3819">
        <f>SUM('цех стоки'!AB254)</f>
        <v>3.2243728292779736</v>
      </c>
      <c r="F121" s="3819">
        <f>SUM('цех стоки'!AC254)</f>
        <v>3.2243728292779736</v>
      </c>
      <c r="G121" s="3819">
        <f>SUM('цех стоки'!AD254)</f>
        <v>3.2243728292779736</v>
      </c>
      <c r="H121" s="3790">
        <f>SUM('цех стоки'!AE254)</f>
        <v>9.6731184878339214</v>
      </c>
      <c r="I121" s="3819">
        <f>SUM('цех стоки'!AF254)</f>
        <v>3.2635902639679797</v>
      </c>
      <c r="J121" s="3819">
        <f>SUM('цех стоки'!AG254)</f>
        <v>3.9128566827247409</v>
      </c>
      <c r="K121" s="3819">
        <f>SUM('цех стоки'!AH254)</f>
        <v>4.4793307393581561</v>
      </c>
      <c r="L121" s="3790">
        <f>SUM('цех стоки'!AI254)</f>
        <v>11.655777686050877</v>
      </c>
      <c r="M121" s="3790">
        <f>SUM('цех стоки'!AJ254)</f>
        <v>21.3288961738848</v>
      </c>
      <c r="N121" s="3819">
        <f>SUM('цех стоки'!AK254)</f>
        <v>4.6492729563481818</v>
      </c>
      <c r="O121" s="3819">
        <f>SUM('цех стоки'!AL254)</f>
        <v>4.4793307393581561</v>
      </c>
      <c r="P121" s="3819">
        <f>SUM('цех стоки'!AM254)</f>
        <v>3.9128566827247409</v>
      </c>
      <c r="Q121" s="3790">
        <f>SUM('цех стоки'!AN254)</f>
        <v>13.041460378431079</v>
      </c>
      <c r="R121" s="3790">
        <f>SUM('цех стоки'!AO254)</f>
        <v>34.370356552315883</v>
      </c>
      <c r="S121" s="3819">
        <f>SUM('цех стоки'!AP254)</f>
        <v>3.2243728292779736</v>
      </c>
      <c r="T121" s="3819">
        <f>SUM('цех стоки'!AQ254)</f>
        <v>3.2243728292779736</v>
      </c>
      <c r="U121" s="3819">
        <f>SUM('цех стоки'!AR254)</f>
        <v>3.2243728292779736</v>
      </c>
      <c r="V121" s="3790">
        <f>SUM('цех стоки'!AS254)</f>
        <v>9.6731184878339214</v>
      </c>
      <c r="W121" s="3814">
        <f t="shared" si="77"/>
        <v>44.043475040149808</v>
      </c>
    </row>
    <row r="122" spans="1:23" ht="18.75" customHeight="1">
      <c r="A122" s="3820" t="s">
        <v>552</v>
      </c>
      <c r="B122" s="3794">
        <f>SUM('цех стоки'!V255)</f>
        <v>43.574927433339695</v>
      </c>
      <c r="C122" s="3794">
        <f>SUM('цех стоки'!X255)</f>
        <v>43.574927433339695</v>
      </c>
      <c r="D122" s="3794">
        <f>SUM('цех стоки'!AA255)</f>
        <v>0</v>
      </c>
      <c r="E122" s="3821">
        <f>SUM('цех стоки'!AB255)</f>
        <v>3.1853271953771318</v>
      </c>
      <c r="F122" s="3821">
        <f>SUM('цех стоки'!AC255)</f>
        <v>3.1853271953771318</v>
      </c>
      <c r="G122" s="3821">
        <f>SUM('цех стоки'!AD255)</f>
        <v>3.1853271953771318</v>
      </c>
      <c r="H122" s="3794">
        <f>SUM('цех стоки'!AE255)</f>
        <v>9.555981586131395</v>
      </c>
      <c r="I122" s="3821">
        <f>SUM('цех стоки'!AF255)</f>
        <v>3.2245446300671379</v>
      </c>
      <c r="J122" s="3821">
        <f>SUM('цех стоки'!AG255)</f>
        <v>3.873811048823899</v>
      </c>
      <c r="K122" s="3821">
        <f>SUM('цех стоки'!AH255)</f>
        <v>4.4402851054573143</v>
      </c>
      <c r="L122" s="3794">
        <f>SUM('цех стоки'!AI255)</f>
        <v>11.538640784348352</v>
      </c>
      <c r="M122" s="3794">
        <f>SUM('цех стоки'!AJ255)</f>
        <v>21.094622370479748</v>
      </c>
      <c r="N122" s="3821">
        <f>SUM('цех стоки'!AK255)</f>
        <v>4.61022732244734</v>
      </c>
      <c r="O122" s="3821">
        <f>SUM('цех стоки'!AL255)</f>
        <v>4.4402851054573143</v>
      </c>
      <c r="P122" s="3821">
        <f>SUM('цех стоки'!AM255)</f>
        <v>3.873811048823899</v>
      </c>
      <c r="Q122" s="3794">
        <f>SUM('цех стоки'!AN255)</f>
        <v>12.924323476728553</v>
      </c>
      <c r="R122" s="3794">
        <f>SUM('цех стоки'!AO255)</f>
        <v>34.0189458472083</v>
      </c>
      <c r="S122" s="3821">
        <f>SUM('цех стоки'!AP255)</f>
        <v>3.1853271953771318</v>
      </c>
      <c r="T122" s="3821">
        <f>SUM('цех стоки'!AQ255)</f>
        <v>3.1853271953771318</v>
      </c>
      <c r="U122" s="3821">
        <f>SUM('цех стоки'!AR255)</f>
        <v>3.1853271953771318</v>
      </c>
      <c r="V122" s="3794">
        <f>SUM('цех стоки'!AS255)</f>
        <v>9.555981586131395</v>
      </c>
      <c r="W122" s="3814">
        <f t="shared" si="77"/>
        <v>43.574927433339695</v>
      </c>
    </row>
    <row r="123" spans="1:23" ht="18.75" customHeight="1">
      <c r="A123" s="3851" t="s">
        <v>614</v>
      </c>
      <c r="B123" s="3794">
        <f>SUM('цех стоки'!V256)</f>
        <v>0.46854760681010421</v>
      </c>
      <c r="C123" s="3794">
        <f>SUM('цех стоки'!X256)</f>
        <v>0.46854760681010421</v>
      </c>
      <c r="D123" s="3794">
        <f>SUM('цех стоки'!AA256)</f>
        <v>0</v>
      </c>
      <c r="E123" s="3821">
        <f>SUM('цех стоки'!AB256)</f>
        <v>3.9045633900842015E-2</v>
      </c>
      <c r="F123" s="3821">
        <f>SUM('цех стоки'!AC256)</f>
        <v>3.9045633900842015E-2</v>
      </c>
      <c r="G123" s="3821">
        <f>SUM('цех стоки'!AD256)</f>
        <v>3.9045633900842015E-2</v>
      </c>
      <c r="H123" s="3794">
        <f>SUM('цех стоки'!AE256)</f>
        <v>0.11713690170252605</v>
      </c>
      <c r="I123" s="3821">
        <f>SUM('цех стоки'!AF256)</f>
        <v>3.9045633900842015E-2</v>
      </c>
      <c r="J123" s="3821">
        <f>SUM('цех стоки'!AG256)</f>
        <v>3.9045633900842015E-2</v>
      </c>
      <c r="K123" s="3821">
        <f>SUM('цех стоки'!AH256)</f>
        <v>3.9045633900842015E-2</v>
      </c>
      <c r="L123" s="3794">
        <f>SUM('цех стоки'!AI256)</f>
        <v>0.11713690170252605</v>
      </c>
      <c r="M123" s="3794">
        <f>SUM('цех стоки'!AJ256)</f>
        <v>0.23427380340505211</v>
      </c>
      <c r="N123" s="3821">
        <f>SUM('цех стоки'!AK256)</f>
        <v>3.9045633900842015E-2</v>
      </c>
      <c r="O123" s="3821">
        <f>SUM('цех стоки'!AL256)</f>
        <v>3.9045633900842015E-2</v>
      </c>
      <c r="P123" s="3821">
        <f>SUM('цех стоки'!AM256)</f>
        <v>3.9045633900842015E-2</v>
      </c>
      <c r="Q123" s="3794">
        <f>SUM('цех стоки'!AN256)</f>
        <v>0.11713690170252605</v>
      </c>
      <c r="R123" s="3794">
        <f>SUM('цех стоки'!AO256)</f>
        <v>0.35141070510757816</v>
      </c>
      <c r="S123" s="3821">
        <f>SUM('цех стоки'!AP256)</f>
        <v>3.9045633900842015E-2</v>
      </c>
      <c r="T123" s="3821">
        <f>SUM('цех стоки'!AQ256)</f>
        <v>3.9045633900842015E-2</v>
      </c>
      <c r="U123" s="3821">
        <f>SUM('цех стоки'!AR256)</f>
        <v>3.9045633900842015E-2</v>
      </c>
      <c r="V123" s="3794">
        <f>SUM('цех стоки'!AS256)</f>
        <v>0.11713690170252605</v>
      </c>
      <c r="W123" s="3814">
        <f t="shared" si="77"/>
        <v>0.46854760681010427</v>
      </c>
    </row>
    <row r="124" spans="1:23" ht="18.75" customHeight="1">
      <c r="A124" s="3820" t="s">
        <v>1743</v>
      </c>
      <c r="B124" s="3794">
        <v>0</v>
      </c>
      <c r="C124" s="3794">
        <v>0</v>
      </c>
      <c r="D124" s="3794">
        <v>0</v>
      </c>
      <c r="E124" s="3821">
        <v>0</v>
      </c>
      <c r="F124" s="3821">
        <v>0</v>
      </c>
      <c r="G124" s="3821">
        <v>0</v>
      </c>
      <c r="H124" s="3794">
        <v>0</v>
      </c>
      <c r="I124" s="3821">
        <v>0</v>
      </c>
      <c r="J124" s="3821">
        <v>0</v>
      </c>
      <c r="K124" s="3821">
        <v>0</v>
      </c>
      <c r="L124" s="3794">
        <v>0</v>
      </c>
      <c r="M124" s="3794">
        <v>0</v>
      </c>
      <c r="N124" s="3821">
        <v>0</v>
      </c>
      <c r="O124" s="3821">
        <v>0</v>
      </c>
      <c r="P124" s="3821">
        <v>0</v>
      </c>
      <c r="Q124" s="3794">
        <v>0</v>
      </c>
      <c r="R124" s="3794">
        <v>0</v>
      </c>
      <c r="S124" s="3821">
        <v>0</v>
      </c>
      <c r="T124" s="3821">
        <v>0</v>
      </c>
      <c r="U124" s="3821">
        <v>0</v>
      </c>
      <c r="V124" s="3794">
        <v>0</v>
      </c>
      <c r="W124" s="3814">
        <f t="shared" si="77"/>
        <v>0</v>
      </c>
    </row>
    <row r="125" spans="1:23" ht="18.75" customHeight="1">
      <c r="A125" s="3831" t="s">
        <v>1744</v>
      </c>
      <c r="B125" s="3787">
        <f>SUM(стоки!BU42)</f>
        <v>1794.04</v>
      </c>
      <c r="C125" s="3787">
        <f>SUM(стоки!BW42)</f>
        <v>1783.5700000000002</v>
      </c>
      <c r="D125" s="3787">
        <f>SUM(стоки!BX42)</f>
        <v>10.469999999999999</v>
      </c>
      <c r="E125" s="3825">
        <f>SUM(E126+E127+E128)</f>
        <v>0</v>
      </c>
      <c r="F125" s="3825">
        <f t="shared" ref="F125:G125" si="94">SUM(F126+F127+F128)</f>
        <v>0</v>
      </c>
      <c r="G125" s="3825">
        <f t="shared" si="94"/>
        <v>448.51</v>
      </c>
      <c r="H125" s="3797">
        <f t="shared" si="71"/>
        <v>448.51</v>
      </c>
      <c r="I125" s="3825">
        <f t="shared" ref="I125:K125" si="95">SUM(I126+I127+I128)</f>
        <v>0</v>
      </c>
      <c r="J125" s="3825">
        <f t="shared" si="95"/>
        <v>0</v>
      </c>
      <c r="K125" s="3825">
        <f t="shared" si="95"/>
        <v>448.51</v>
      </c>
      <c r="L125" s="3797">
        <f t="shared" ref="L125:L129" si="96">SUM(I125+J125+K125)</f>
        <v>448.51</v>
      </c>
      <c r="M125" s="3797">
        <f t="shared" ref="M125:M131" si="97">SUM(H125+L125)</f>
        <v>897.02</v>
      </c>
      <c r="N125" s="3825">
        <f t="shared" ref="N125:P125" si="98">SUM(N126+N127+N128)</f>
        <v>0</v>
      </c>
      <c r="O125" s="3825">
        <f t="shared" si="98"/>
        <v>0</v>
      </c>
      <c r="P125" s="3825">
        <f t="shared" si="98"/>
        <v>448.51</v>
      </c>
      <c r="Q125" s="3797">
        <f t="shared" ref="Q125:Q129" si="99">SUM(N125+O125+P125)</f>
        <v>448.51</v>
      </c>
      <c r="R125" s="3797">
        <f t="shared" ref="R125:R131" si="100">SUM(M125+Q125)</f>
        <v>1345.53</v>
      </c>
      <c r="S125" s="3825">
        <f t="shared" ref="S125:U125" si="101">SUM(S126+S127+S128)</f>
        <v>0</v>
      </c>
      <c r="T125" s="3825">
        <f t="shared" si="101"/>
        <v>0</v>
      </c>
      <c r="U125" s="3825">
        <f t="shared" si="101"/>
        <v>448.51</v>
      </c>
      <c r="V125" s="3797">
        <f t="shared" si="76"/>
        <v>448.51</v>
      </c>
      <c r="W125" s="3812">
        <f t="shared" si="77"/>
        <v>1794.04</v>
      </c>
    </row>
    <row r="126" spans="1:23" ht="43.5" customHeight="1">
      <c r="A126" s="3850" t="s">
        <v>1776</v>
      </c>
      <c r="B126" s="3852">
        <f>SUM(стоки!BU43)</f>
        <v>348.31</v>
      </c>
      <c r="C126" s="3852">
        <f>SUM(стоки!BW43)</f>
        <v>348.31</v>
      </c>
      <c r="D126" s="3852">
        <f>SUM(стоки!BX43)</f>
        <v>0</v>
      </c>
      <c r="E126" s="3820">
        <v>0</v>
      </c>
      <c r="F126" s="3820">
        <v>0</v>
      </c>
      <c r="G126" s="3919">
        <f>SUM(B126/12*3)</f>
        <v>87.077500000000001</v>
      </c>
      <c r="H126" s="3920">
        <f t="shared" si="71"/>
        <v>87.077500000000001</v>
      </c>
      <c r="I126" s="3820">
        <v>0</v>
      </c>
      <c r="J126" s="3820">
        <v>0</v>
      </c>
      <c r="K126" s="3919">
        <f>SUM(G126)</f>
        <v>87.077500000000001</v>
      </c>
      <c r="L126" s="3920">
        <f t="shared" si="96"/>
        <v>87.077500000000001</v>
      </c>
      <c r="M126" s="3920">
        <f t="shared" si="97"/>
        <v>174.155</v>
      </c>
      <c r="N126" s="3820">
        <v>0</v>
      </c>
      <c r="O126" s="3820">
        <v>0</v>
      </c>
      <c r="P126" s="3919">
        <f>SUM(G126)</f>
        <v>87.077500000000001</v>
      </c>
      <c r="Q126" s="3920">
        <f t="shared" si="99"/>
        <v>87.077500000000001</v>
      </c>
      <c r="R126" s="3920">
        <f t="shared" si="100"/>
        <v>261.23250000000002</v>
      </c>
      <c r="S126" s="3820">
        <v>0</v>
      </c>
      <c r="T126" s="3820">
        <v>0</v>
      </c>
      <c r="U126" s="3919">
        <f>SUM(G126)</f>
        <v>87.077500000000001</v>
      </c>
      <c r="V126" s="3920">
        <f t="shared" si="76"/>
        <v>87.077500000000001</v>
      </c>
      <c r="W126" s="3853">
        <f t="shared" si="77"/>
        <v>348.31</v>
      </c>
    </row>
    <row r="127" spans="1:23" ht="18.75" customHeight="1">
      <c r="A127" s="3850" t="s">
        <v>543</v>
      </c>
      <c r="B127" s="3852">
        <f>SUM(стоки!BU44)</f>
        <v>26.05</v>
      </c>
      <c r="C127" s="3852">
        <f>SUM(стоки!BW44)</f>
        <v>25.87</v>
      </c>
      <c r="D127" s="3852">
        <f>SUM(стоки!BX44)</f>
        <v>0.18</v>
      </c>
      <c r="E127" s="3820">
        <v>0</v>
      </c>
      <c r="F127" s="3820">
        <v>0</v>
      </c>
      <c r="G127" s="3919">
        <f t="shared" ref="G127:G128" si="102">SUM(B127/12*3)</f>
        <v>6.5125000000000002</v>
      </c>
      <c r="H127" s="3920">
        <f t="shared" si="71"/>
        <v>6.5125000000000002</v>
      </c>
      <c r="I127" s="3820">
        <v>0</v>
      </c>
      <c r="J127" s="3820">
        <v>0</v>
      </c>
      <c r="K127" s="3919">
        <f t="shared" ref="K127:K128" si="103">SUM(G127)</f>
        <v>6.5125000000000002</v>
      </c>
      <c r="L127" s="3920">
        <f t="shared" si="96"/>
        <v>6.5125000000000002</v>
      </c>
      <c r="M127" s="3920">
        <f t="shared" si="97"/>
        <v>13.025</v>
      </c>
      <c r="N127" s="3820">
        <v>0</v>
      </c>
      <c r="O127" s="3820">
        <v>0</v>
      </c>
      <c r="P127" s="3919">
        <f t="shared" ref="P127:P128" si="104">SUM(G127)</f>
        <v>6.5125000000000002</v>
      </c>
      <c r="Q127" s="3920">
        <f t="shared" si="99"/>
        <v>6.5125000000000002</v>
      </c>
      <c r="R127" s="3920">
        <f t="shared" si="100"/>
        <v>19.537500000000001</v>
      </c>
      <c r="S127" s="3820">
        <v>0</v>
      </c>
      <c r="T127" s="3820">
        <v>0</v>
      </c>
      <c r="U127" s="3919">
        <f t="shared" ref="U127:U128" si="105">SUM(G127)</f>
        <v>6.5125000000000002</v>
      </c>
      <c r="V127" s="3920">
        <f t="shared" si="76"/>
        <v>6.5125000000000002</v>
      </c>
      <c r="W127" s="3853">
        <f t="shared" si="77"/>
        <v>26.05</v>
      </c>
    </row>
    <row r="128" spans="1:23" ht="18.75" customHeight="1">
      <c r="A128" s="3850" t="s">
        <v>545</v>
      </c>
      <c r="B128" s="3852">
        <f>SUM(стоки!BU45)</f>
        <v>1419.68</v>
      </c>
      <c r="C128" s="3852">
        <f>SUM(стоки!BW45)</f>
        <v>1409.39</v>
      </c>
      <c r="D128" s="3852">
        <f>SUM(стоки!BX45)</f>
        <v>10.29</v>
      </c>
      <c r="E128" s="3820">
        <v>0</v>
      </c>
      <c r="F128" s="3820">
        <v>0</v>
      </c>
      <c r="G128" s="3919">
        <f t="shared" si="102"/>
        <v>354.92</v>
      </c>
      <c r="H128" s="3920">
        <f t="shared" si="71"/>
        <v>354.92</v>
      </c>
      <c r="I128" s="3820">
        <v>0</v>
      </c>
      <c r="J128" s="3820">
        <v>0</v>
      </c>
      <c r="K128" s="3919">
        <f t="shared" si="103"/>
        <v>354.92</v>
      </c>
      <c r="L128" s="3920">
        <f t="shared" si="96"/>
        <v>354.92</v>
      </c>
      <c r="M128" s="3920">
        <f t="shared" si="97"/>
        <v>709.84</v>
      </c>
      <c r="N128" s="3820">
        <v>0</v>
      </c>
      <c r="O128" s="3820">
        <v>0</v>
      </c>
      <c r="P128" s="3919">
        <f t="shared" si="104"/>
        <v>354.92</v>
      </c>
      <c r="Q128" s="3920">
        <f t="shared" si="99"/>
        <v>354.92</v>
      </c>
      <c r="R128" s="3920">
        <f t="shared" si="100"/>
        <v>1064.76</v>
      </c>
      <c r="S128" s="3820">
        <v>0</v>
      </c>
      <c r="T128" s="3820">
        <v>0</v>
      </c>
      <c r="U128" s="3919">
        <f t="shared" si="105"/>
        <v>354.92</v>
      </c>
      <c r="V128" s="3920">
        <f t="shared" si="76"/>
        <v>354.92</v>
      </c>
      <c r="W128" s="3853">
        <f t="shared" si="77"/>
        <v>1419.68</v>
      </c>
    </row>
    <row r="129" spans="1:23" ht="18.75" customHeight="1">
      <c r="A129" s="3831" t="s">
        <v>1746</v>
      </c>
      <c r="B129" s="3787">
        <f>SUM(стоки!BU46)</f>
        <v>14681.99</v>
      </c>
      <c r="C129" s="3787">
        <f>SUM(стоки!BW46)</f>
        <v>14675.18</v>
      </c>
      <c r="D129" s="3787">
        <f>SUM(стоки!BX46)</f>
        <v>6.81</v>
      </c>
      <c r="E129" s="3823">
        <f>SUM(E130+E131+E132)</f>
        <v>1190.9632808539122</v>
      </c>
      <c r="F129" s="3823">
        <f t="shared" ref="F129:G129" si="106">SUM(F130+F131+F132)</f>
        <v>1190.9632808539122</v>
      </c>
      <c r="G129" s="3823">
        <f t="shared" si="106"/>
        <v>1190.9632808539122</v>
      </c>
      <c r="H129" s="3829">
        <f t="shared" si="71"/>
        <v>3572.8898425617367</v>
      </c>
      <c r="I129" s="3823">
        <f t="shared" ref="I129:K129" si="107">SUM(I130+I131+I132)</f>
        <v>1190.9632808539122</v>
      </c>
      <c r="J129" s="3823">
        <f t="shared" si="107"/>
        <v>1190.9632808539122</v>
      </c>
      <c r="K129" s="3823">
        <f t="shared" si="107"/>
        <v>1190.9632808539122</v>
      </c>
      <c r="L129" s="3829">
        <f t="shared" si="96"/>
        <v>3572.8898425617367</v>
      </c>
      <c r="M129" s="3829">
        <f t="shared" si="97"/>
        <v>7145.7796851234734</v>
      </c>
      <c r="N129" s="3823">
        <f t="shared" ref="N129:P129" si="108">SUM(N130+N131+N132)</f>
        <v>1256.0350524794212</v>
      </c>
      <c r="O129" s="3823">
        <f t="shared" si="108"/>
        <v>1256.0350524794212</v>
      </c>
      <c r="P129" s="3823">
        <f t="shared" si="108"/>
        <v>1256.0350524794212</v>
      </c>
      <c r="Q129" s="3829">
        <f t="shared" si="99"/>
        <v>3768.1051574382636</v>
      </c>
      <c r="R129" s="3829">
        <f t="shared" si="100"/>
        <v>10913.884842561736</v>
      </c>
      <c r="S129" s="3823">
        <f t="shared" ref="S129:U129" si="109">SUM(S130+S131+S132)</f>
        <v>1256.0350524794212</v>
      </c>
      <c r="T129" s="3823">
        <f t="shared" si="109"/>
        <v>1256.0350524794212</v>
      </c>
      <c r="U129" s="3823">
        <f t="shared" si="109"/>
        <v>1256.0350524794212</v>
      </c>
      <c r="V129" s="3829">
        <f t="shared" si="76"/>
        <v>3768.1051574382636</v>
      </c>
      <c r="W129" s="3830">
        <f t="shared" si="77"/>
        <v>14681.99</v>
      </c>
    </row>
    <row r="130" spans="1:23" ht="18.75" customHeight="1">
      <c r="A130" s="3820" t="s">
        <v>1747</v>
      </c>
      <c r="B130" s="3794">
        <f>SUM('ОХР '!BN10*(B129/'ОХР '!AU57))</f>
        <v>10423.29593721353</v>
      </c>
      <c r="C130" s="3794">
        <f>SUM(B130)</f>
        <v>10423.29593721353</v>
      </c>
      <c r="D130" s="3794">
        <v>0</v>
      </c>
      <c r="E130" s="3900">
        <f>SUM(B130/2)/(1+(106.03%*100-100)/2/100)/6</f>
        <v>843.18593871552127</v>
      </c>
      <c r="F130" s="3900">
        <f>SUM(E130)</f>
        <v>843.18593871552127</v>
      </c>
      <c r="G130" s="3900">
        <f>SUM(E130)</f>
        <v>843.18593871552127</v>
      </c>
      <c r="H130" s="3803">
        <f t="shared" ref="H130:H131" si="110">SUM(E130+F130+G130)</f>
        <v>2529.5578161465637</v>
      </c>
      <c r="I130" s="3900">
        <f>SUM(E130)</f>
        <v>843.18593871552127</v>
      </c>
      <c r="J130" s="3900">
        <f>SUM(E130)</f>
        <v>843.18593871552127</v>
      </c>
      <c r="K130" s="3900">
        <f>SUM(E130)</f>
        <v>843.18593871552127</v>
      </c>
      <c r="L130" s="3803">
        <f t="shared" ref="L130:L131" si="111">SUM(I130+J130+K130)</f>
        <v>2529.5578161465637</v>
      </c>
      <c r="M130" s="3803">
        <f t="shared" si="97"/>
        <v>5059.1156322931274</v>
      </c>
      <c r="N130" s="3900">
        <f>SUM(B130-M130)/6</f>
        <v>894.03005082006712</v>
      </c>
      <c r="O130" s="3900">
        <f>SUM(N130)</f>
        <v>894.03005082006712</v>
      </c>
      <c r="P130" s="3900">
        <f>SUM(N130)</f>
        <v>894.03005082006712</v>
      </c>
      <c r="Q130" s="3803">
        <f t="shared" ref="Q130:Q131" si="112">SUM(N130+O130+P130)</f>
        <v>2682.0901524602014</v>
      </c>
      <c r="R130" s="3803">
        <f t="shared" si="100"/>
        <v>7741.2057847533288</v>
      </c>
      <c r="S130" s="3900">
        <f>SUM(N130)</f>
        <v>894.03005082006712</v>
      </c>
      <c r="T130" s="3900">
        <f>SUM(N130)</f>
        <v>894.03005082006712</v>
      </c>
      <c r="U130" s="3900">
        <f>SUM(N130)</f>
        <v>894.03005082006712</v>
      </c>
      <c r="V130" s="3803">
        <f t="shared" ref="V130:V131" si="113">SUM(S130+T130+U130)</f>
        <v>2682.0901524602014</v>
      </c>
      <c r="W130" s="3814">
        <f t="shared" si="77"/>
        <v>10423.29593721353</v>
      </c>
    </row>
    <row r="131" spans="1:23" ht="18.75" customHeight="1">
      <c r="A131" s="3820" t="s">
        <v>1748</v>
      </c>
      <c r="B131" s="3794">
        <f>SUM('ОХР '!BN11*(B129/'ОХР '!AU57))</f>
        <v>2916.7409861731821</v>
      </c>
      <c r="C131" s="3794">
        <f>SUM(B131)</f>
        <v>2916.7409861731821</v>
      </c>
      <c r="D131" s="3794">
        <v>0</v>
      </c>
      <c r="E131" s="3900">
        <f>SUM(B131/2)/(1+(106.03%*100-100)/2/100)/6</f>
        <v>235.94791908728359</v>
      </c>
      <c r="F131" s="3900">
        <f>SUM(E131)</f>
        <v>235.94791908728359</v>
      </c>
      <c r="G131" s="3900">
        <f>SUM(E131)</f>
        <v>235.94791908728359</v>
      </c>
      <c r="H131" s="3803">
        <f t="shared" si="110"/>
        <v>707.84375726185078</v>
      </c>
      <c r="I131" s="3900">
        <f>SUM(E131)</f>
        <v>235.94791908728359</v>
      </c>
      <c r="J131" s="3900">
        <f>SUM(E131)</f>
        <v>235.94791908728359</v>
      </c>
      <c r="K131" s="3900">
        <f>SUM(E131)</f>
        <v>235.94791908728359</v>
      </c>
      <c r="L131" s="3803">
        <f t="shared" si="111"/>
        <v>707.84375726185078</v>
      </c>
      <c r="M131" s="3803">
        <f t="shared" si="97"/>
        <v>1415.6875145237016</v>
      </c>
      <c r="N131" s="3900">
        <f>SUM(B131-M131)/6</f>
        <v>250.17557860824675</v>
      </c>
      <c r="O131" s="3900">
        <f>SUM(N131)</f>
        <v>250.17557860824675</v>
      </c>
      <c r="P131" s="3900">
        <f>SUM(N131)</f>
        <v>250.17557860824675</v>
      </c>
      <c r="Q131" s="3803">
        <f t="shared" si="112"/>
        <v>750.52673582474029</v>
      </c>
      <c r="R131" s="3803">
        <f t="shared" si="100"/>
        <v>2166.214250348442</v>
      </c>
      <c r="S131" s="3900">
        <f>SUM(N131)</f>
        <v>250.17557860824675</v>
      </c>
      <c r="T131" s="3900">
        <f>SUM(N131)</f>
        <v>250.17557860824675</v>
      </c>
      <c r="U131" s="3900">
        <f>SUM(N131)</f>
        <v>250.17557860824675</v>
      </c>
      <c r="V131" s="3803">
        <f t="shared" si="113"/>
        <v>750.52673582474029</v>
      </c>
      <c r="W131" s="3814">
        <f t="shared" si="77"/>
        <v>2916.7409861731817</v>
      </c>
    </row>
    <row r="132" spans="1:23" ht="18.75" customHeight="1">
      <c r="A132" s="3820" t="s">
        <v>1749</v>
      </c>
      <c r="B132" s="3794">
        <f>SUM(B129-B130-B131)</f>
        <v>1341.9530766132875</v>
      </c>
      <c r="C132" s="3794">
        <f>SUM(C129-C130-C131)</f>
        <v>1335.143076613288</v>
      </c>
      <c r="D132" s="3794">
        <f>SUM(D129-D130-D131)</f>
        <v>6.81</v>
      </c>
      <c r="E132" s="3900">
        <f>SUM(B132/12)</f>
        <v>111.8294230511073</v>
      </c>
      <c r="F132" s="3900">
        <f t="shared" ref="F132:F135" si="114">SUM(E132)</f>
        <v>111.8294230511073</v>
      </c>
      <c r="G132" s="3900">
        <f t="shared" ref="G132:G135" si="115">SUM(F132)</f>
        <v>111.8294230511073</v>
      </c>
      <c r="H132" s="3803">
        <f>SUM(E132+F132+G132)</f>
        <v>335.48826915332188</v>
      </c>
      <c r="I132" s="3900">
        <f>SUM(E132)</f>
        <v>111.8294230511073</v>
      </c>
      <c r="J132" s="3900">
        <f>SUM(E132)</f>
        <v>111.8294230511073</v>
      </c>
      <c r="K132" s="3900">
        <f>SUM(E132)</f>
        <v>111.8294230511073</v>
      </c>
      <c r="L132" s="3803">
        <f>SUM(I132+J132+K132)</f>
        <v>335.48826915332188</v>
      </c>
      <c r="M132" s="3803">
        <f>SUM(H132+L132)</f>
        <v>670.97653830664376</v>
      </c>
      <c r="N132" s="3802">
        <f>SUM(E132)</f>
        <v>111.8294230511073</v>
      </c>
      <c r="O132" s="3802">
        <f>SUM(E132)</f>
        <v>111.8294230511073</v>
      </c>
      <c r="P132" s="3802">
        <f>E132</f>
        <v>111.8294230511073</v>
      </c>
      <c r="Q132" s="3803">
        <f>SUM(N132+O132+P132)</f>
        <v>335.48826915332188</v>
      </c>
      <c r="R132" s="3803">
        <f>SUM(M132+Q132)</f>
        <v>1006.4648074599656</v>
      </c>
      <c r="S132" s="3900">
        <f>E132</f>
        <v>111.8294230511073</v>
      </c>
      <c r="T132" s="3900">
        <f>E132</f>
        <v>111.8294230511073</v>
      </c>
      <c r="U132" s="3900">
        <f>E132</f>
        <v>111.8294230511073</v>
      </c>
      <c r="V132" s="3803">
        <f>SUM(S132+T132+U132)</f>
        <v>335.48826915332188</v>
      </c>
      <c r="W132" s="3814">
        <f t="shared" si="77"/>
        <v>1341.9530766132875</v>
      </c>
    </row>
    <row r="133" spans="1:23" ht="18.75" customHeight="1">
      <c r="A133" s="3834" t="s">
        <v>1750</v>
      </c>
      <c r="B133" s="3827">
        <f>SUM(стоки!BU48)</f>
        <v>361.57999999999993</v>
      </c>
      <c r="C133" s="3827">
        <f>SUM(стоки!BW48)</f>
        <v>361.57999999999993</v>
      </c>
      <c r="D133" s="3827">
        <f>SUM(стоки!BX48)</f>
        <v>0</v>
      </c>
      <c r="E133" s="3902">
        <f>SUM(B133/12)</f>
        <v>30.131666666666661</v>
      </c>
      <c r="F133" s="3902">
        <f t="shared" si="114"/>
        <v>30.131666666666661</v>
      </c>
      <c r="G133" s="3902">
        <f t="shared" si="115"/>
        <v>30.131666666666661</v>
      </c>
      <c r="H133" s="3829">
        <f>SUM(E133+F133+G133)</f>
        <v>90.394999999999982</v>
      </c>
      <c r="I133" s="3902">
        <f>SUM(E133)</f>
        <v>30.131666666666661</v>
      </c>
      <c r="J133" s="3902">
        <f>SUM(E133)</f>
        <v>30.131666666666661</v>
      </c>
      <c r="K133" s="3902">
        <f>SUM(E133)</f>
        <v>30.131666666666661</v>
      </c>
      <c r="L133" s="3829">
        <f>SUM(I133+J133+K133)</f>
        <v>90.394999999999982</v>
      </c>
      <c r="M133" s="3829">
        <f>SUM(H133+L133)</f>
        <v>180.78999999999996</v>
      </c>
      <c r="N133" s="3828">
        <f>SUM(E133)</f>
        <v>30.131666666666661</v>
      </c>
      <c r="O133" s="3828">
        <f>SUM(E133)</f>
        <v>30.131666666666661</v>
      </c>
      <c r="P133" s="3828">
        <f>E133</f>
        <v>30.131666666666661</v>
      </c>
      <c r="Q133" s="3829">
        <f>SUM(N133+O133+P133)</f>
        <v>90.394999999999982</v>
      </c>
      <c r="R133" s="3829">
        <f>SUM(M133+Q133)</f>
        <v>271.18499999999995</v>
      </c>
      <c r="S133" s="3902">
        <f>E133</f>
        <v>30.131666666666661</v>
      </c>
      <c r="T133" s="3902">
        <f>E133</f>
        <v>30.131666666666661</v>
      </c>
      <c r="U133" s="3902">
        <f>E133</f>
        <v>30.131666666666661</v>
      </c>
      <c r="V133" s="3829">
        <f>SUM(S133+T133+U133)</f>
        <v>90.394999999999982</v>
      </c>
      <c r="W133" s="3830">
        <f t="shared" si="77"/>
        <v>361.57999999999993</v>
      </c>
    </row>
    <row r="134" spans="1:23" ht="18.75" customHeight="1">
      <c r="A134" s="3850" t="s">
        <v>286</v>
      </c>
      <c r="B134" s="3794">
        <f>SUM('Выпадающ15-16'!K18)</f>
        <v>361.57999999999993</v>
      </c>
      <c r="C134" s="3794">
        <f>SUM(B134)</f>
        <v>361.57999999999993</v>
      </c>
      <c r="D134" s="3794">
        <f>SUM(D133)</f>
        <v>0</v>
      </c>
      <c r="E134" s="3919">
        <f t="shared" ref="E134" si="116">SUM(B134/12)</f>
        <v>30.131666666666661</v>
      </c>
      <c r="F134" s="3919">
        <f t="shared" si="114"/>
        <v>30.131666666666661</v>
      </c>
      <c r="G134" s="3919">
        <f t="shared" si="115"/>
        <v>30.131666666666661</v>
      </c>
      <c r="H134" s="3920">
        <f t="shared" ref="H134:H138" si="117">SUM(E134+F134+G134)</f>
        <v>90.394999999999982</v>
      </c>
      <c r="I134" s="3919">
        <f t="shared" ref="I134:I135" si="118">SUM(E134)</f>
        <v>30.131666666666661</v>
      </c>
      <c r="J134" s="3919">
        <f t="shared" ref="J134:J135" si="119">SUM(E134)</f>
        <v>30.131666666666661</v>
      </c>
      <c r="K134" s="3919">
        <f t="shared" ref="K134:K135" si="120">SUM(E134)</f>
        <v>30.131666666666661</v>
      </c>
      <c r="L134" s="3920">
        <f t="shared" ref="L134:L135" si="121">SUM(I134+J134+K134)</f>
        <v>90.394999999999982</v>
      </c>
      <c r="M134" s="3920">
        <f t="shared" ref="M134:M138" si="122">SUM(H134+L134)</f>
        <v>180.78999999999996</v>
      </c>
      <c r="N134" s="3921">
        <f t="shared" ref="N134:N135" si="123">SUM(E134)</f>
        <v>30.131666666666661</v>
      </c>
      <c r="O134" s="3921">
        <f t="shared" ref="O134:O135" si="124">SUM(E134)</f>
        <v>30.131666666666661</v>
      </c>
      <c r="P134" s="3921">
        <f t="shared" ref="P134:P135" si="125">E134</f>
        <v>30.131666666666661</v>
      </c>
      <c r="Q134" s="3920">
        <f t="shared" ref="Q134:Q135" si="126">SUM(N134+O134+P134)</f>
        <v>90.394999999999982</v>
      </c>
      <c r="R134" s="3920">
        <f t="shared" ref="R134:R138" si="127">SUM(M134+Q134)</f>
        <v>271.18499999999995</v>
      </c>
      <c r="S134" s="3919">
        <f t="shared" ref="S134:S135" si="128">E134</f>
        <v>30.131666666666661</v>
      </c>
      <c r="T134" s="3919">
        <f t="shared" ref="T134:T135" si="129">E134</f>
        <v>30.131666666666661</v>
      </c>
      <c r="U134" s="3919">
        <f t="shared" ref="U134:U135" si="130">E134</f>
        <v>30.131666666666661</v>
      </c>
      <c r="V134" s="3920">
        <f t="shared" ref="V134:V138" si="131">SUM(S134+T134+U134)</f>
        <v>90.394999999999982</v>
      </c>
      <c r="W134" s="3853">
        <f t="shared" si="77"/>
        <v>361.57999999999993</v>
      </c>
    </row>
    <row r="135" spans="1:23" ht="18.75" customHeight="1">
      <c r="A135" s="3834" t="s">
        <v>1751</v>
      </c>
      <c r="B135" s="3790">
        <f>SUM(стоки!BU47)</f>
        <v>265.39999999999998</v>
      </c>
      <c r="C135" s="3790">
        <f>SUM(стоки!BW47)</f>
        <v>265.39999999999998</v>
      </c>
      <c r="D135" s="3790">
        <f>SUM(стоки!BX47)</f>
        <v>0</v>
      </c>
      <c r="E135" s="3922">
        <f t="shared" ref="E135" si="132">SUM(B135/12)</f>
        <v>22.116666666666664</v>
      </c>
      <c r="F135" s="3922">
        <f t="shared" si="114"/>
        <v>22.116666666666664</v>
      </c>
      <c r="G135" s="3922">
        <f t="shared" si="115"/>
        <v>22.116666666666664</v>
      </c>
      <c r="H135" s="3923">
        <f t="shared" si="117"/>
        <v>66.349999999999994</v>
      </c>
      <c r="I135" s="3922">
        <f t="shared" si="118"/>
        <v>22.116666666666664</v>
      </c>
      <c r="J135" s="3922">
        <f t="shared" si="119"/>
        <v>22.116666666666664</v>
      </c>
      <c r="K135" s="3922">
        <f t="shared" si="120"/>
        <v>22.116666666666664</v>
      </c>
      <c r="L135" s="3923">
        <f t="shared" si="121"/>
        <v>66.349999999999994</v>
      </c>
      <c r="M135" s="3923">
        <f t="shared" si="122"/>
        <v>132.69999999999999</v>
      </c>
      <c r="N135" s="3924">
        <f t="shared" si="123"/>
        <v>22.116666666666664</v>
      </c>
      <c r="O135" s="3924">
        <f t="shared" si="124"/>
        <v>22.116666666666664</v>
      </c>
      <c r="P135" s="3924">
        <f t="shared" si="125"/>
        <v>22.116666666666664</v>
      </c>
      <c r="Q135" s="3923">
        <f t="shared" si="126"/>
        <v>66.349999999999994</v>
      </c>
      <c r="R135" s="3923">
        <f t="shared" si="127"/>
        <v>199.04999999999998</v>
      </c>
      <c r="S135" s="3922">
        <f t="shared" si="128"/>
        <v>22.116666666666664</v>
      </c>
      <c r="T135" s="3922">
        <f t="shared" si="129"/>
        <v>22.116666666666664</v>
      </c>
      <c r="U135" s="3922">
        <f t="shared" si="130"/>
        <v>22.116666666666664</v>
      </c>
      <c r="V135" s="3923">
        <f t="shared" si="131"/>
        <v>66.349999999999994</v>
      </c>
      <c r="W135" s="3853">
        <f t="shared" si="77"/>
        <v>265.40000000000003</v>
      </c>
    </row>
    <row r="136" spans="1:23" ht="18.75" customHeight="1">
      <c r="A136" s="3834" t="s">
        <v>12</v>
      </c>
      <c r="B136" s="3787">
        <f>SUM(стоки!BU49)</f>
        <v>85973.202221013722</v>
      </c>
      <c r="C136" s="3787">
        <f>SUM(стоки!BW49)</f>
        <v>85653.917552547806</v>
      </c>
      <c r="D136" s="3787">
        <f>SUM(стоки!BX49)</f>
        <v>319.28466846594</v>
      </c>
      <c r="E136" s="3823">
        <f>SUM(E34+E53+E88+E107+E125+E129+E133+E135)</f>
        <v>6877.1763786613501</v>
      </c>
      <c r="F136" s="3823">
        <f t="shared" ref="F136:G136" si="133">SUM(F34+F53+F88+F107+F125+F129+F133+F135)</f>
        <v>6869.7482613637712</v>
      </c>
      <c r="G136" s="3823">
        <f t="shared" si="133"/>
        <v>7316.5539671615043</v>
      </c>
      <c r="H136" s="3829">
        <f t="shared" si="117"/>
        <v>21063.478607186626</v>
      </c>
      <c r="I136" s="3823">
        <f t="shared" ref="I136:K136" si="134">SUM(I34+I53+I88+I107+I125+I129+I133+I135)</f>
        <v>6845.7196710029457</v>
      </c>
      <c r="J136" s="3823">
        <f t="shared" si="134"/>
        <v>6809.2667310467095</v>
      </c>
      <c r="K136" s="3823">
        <f t="shared" si="134"/>
        <v>7230.6356874556514</v>
      </c>
      <c r="L136" s="3829">
        <f t="shared" ref="L136:L138" si="135">SUM(I136+J136+K136)</f>
        <v>20885.622089505305</v>
      </c>
      <c r="M136" s="3829">
        <f t="shared" si="122"/>
        <v>41949.10069669193</v>
      </c>
      <c r="N136" s="3808">
        <f t="shared" ref="N136:P136" si="136">SUM(N34+N53+N88+N107+N125+N129+N133+N135)</f>
        <v>7121.9166884714596</v>
      </c>
      <c r="O136" s="3808">
        <f t="shared" si="136"/>
        <v>7142.1045009726586</v>
      </c>
      <c r="P136" s="3808">
        <f t="shared" si="136"/>
        <v>7631.2834159331287</v>
      </c>
      <c r="Q136" s="3829">
        <f t="shared" ref="Q136:Q138" si="137">SUM(N136+O136+P136)</f>
        <v>21895.304605377249</v>
      </c>
      <c r="R136" s="3829">
        <f t="shared" si="127"/>
        <v>63844.405302069179</v>
      </c>
      <c r="S136" s="3823">
        <f t="shared" ref="S136:U136" si="138">SUM(S34+S53+S88+S107+S125+S129+S133+S135)</f>
        <v>7215.9231101838031</v>
      </c>
      <c r="T136" s="3823">
        <f t="shared" si="138"/>
        <v>7225.9360991479898</v>
      </c>
      <c r="U136" s="3823">
        <f t="shared" si="138"/>
        <v>7686.937706733399</v>
      </c>
      <c r="V136" s="3829">
        <f t="shared" si="131"/>
        <v>22128.796916065192</v>
      </c>
      <c r="W136" s="3854">
        <f t="shared" si="77"/>
        <v>85973.202218134378</v>
      </c>
    </row>
    <row r="137" spans="1:23" ht="18.75" customHeight="1">
      <c r="A137" s="3912" t="s">
        <v>1791</v>
      </c>
      <c r="B137" s="3925">
        <f>SUM(стоки!BU50)</f>
        <v>-5234.7</v>
      </c>
      <c r="C137" s="3925">
        <f>SUM(стоки!BW50)</f>
        <v>-5234.7</v>
      </c>
      <c r="D137" s="3925">
        <f>SUM(стоки!BX50)</f>
        <v>0</v>
      </c>
      <c r="E137" s="3902">
        <f t="shared" ref="E137" si="139">SUM(B137/12)</f>
        <v>-436.22499999999997</v>
      </c>
      <c r="F137" s="3902">
        <f t="shared" ref="F137" si="140">SUM(E137)</f>
        <v>-436.22499999999997</v>
      </c>
      <c r="G137" s="3902">
        <f t="shared" ref="G137" si="141">SUM(F137)</f>
        <v>-436.22499999999997</v>
      </c>
      <c r="H137" s="3829">
        <f t="shared" ref="H137" si="142">SUM(E137+F137+G137)</f>
        <v>-1308.675</v>
      </c>
      <c r="I137" s="3902">
        <f t="shared" ref="I137" si="143">SUM(E137)</f>
        <v>-436.22499999999997</v>
      </c>
      <c r="J137" s="3902">
        <f t="shared" ref="J137" si="144">SUM(E137)</f>
        <v>-436.22499999999997</v>
      </c>
      <c r="K137" s="3902">
        <f t="shared" ref="K137" si="145">SUM(E137)</f>
        <v>-436.22499999999997</v>
      </c>
      <c r="L137" s="3829">
        <f t="shared" ref="L137" si="146">SUM(I137+J137+K137)</f>
        <v>-1308.675</v>
      </c>
      <c r="M137" s="3829">
        <f t="shared" ref="M137" si="147">SUM(H137+L137)</f>
        <v>-2617.35</v>
      </c>
      <c r="N137" s="3828">
        <f t="shared" ref="N137" si="148">SUM(E137)</f>
        <v>-436.22499999999997</v>
      </c>
      <c r="O137" s="3828">
        <f t="shared" ref="O137" si="149">SUM(E137)</f>
        <v>-436.22499999999997</v>
      </c>
      <c r="P137" s="3828">
        <f t="shared" ref="P137" si="150">E137</f>
        <v>-436.22499999999997</v>
      </c>
      <c r="Q137" s="3829">
        <f t="shared" ref="Q137" si="151">SUM(N137+O137+P137)</f>
        <v>-1308.675</v>
      </c>
      <c r="R137" s="3829">
        <f t="shared" ref="R137" si="152">SUM(M137+Q137)</f>
        <v>-3926.0249999999996</v>
      </c>
      <c r="S137" s="3902">
        <f t="shared" ref="S137" si="153">E137</f>
        <v>-436.22499999999997</v>
      </c>
      <c r="T137" s="3902">
        <f t="shared" ref="T137" si="154">E137</f>
        <v>-436.22499999999997</v>
      </c>
      <c r="U137" s="3902">
        <f t="shared" ref="U137" si="155">E137</f>
        <v>-436.22499999999997</v>
      </c>
      <c r="V137" s="3829">
        <f t="shared" ref="V137" si="156">SUM(S137+T137+U137)</f>
        <v>-1308.675</v>
      </c>
      <c r="W137" s="3853">
        <f t="shared" si="77"/>
        <v>-5234.7000000000007</v>
      </c>
    </row>
    <row r="138" spans="1:23" ht="18.75" customHeight="1">
      <c r="A138" s="3834" t="s">
        <v>13</v>
      </c>
      <c r="B138" s="3787">
        <f>SUM(B13)</f>
        <v>3295.75</v>
      </c>
      <c r="C138" s="3787">
        <f>SUM(C13)</f>
        <v>3272.75</v>
      </c>
      <c r="D138" s="3787">
        <f>SUM(D13)</f>
        <v>23</v>
      </c>
      <c r="E138" s="3832">
        <f>SUM(E13)</f>
        <v>279.83532500000001</v>
      </c>
      <c r="F138" s="3832">
        <f t="shared" ref="F138:K138" si="157">SUM(F13)</f>
        <v>280.62512500000003</v>
      </c>
      <c r="G138" s="3832">
        <f t="shared" si="157"/>
        <v>281.65160000000003</v>
      </c>
      <c r="H138" s="3829">
        <f t="shared" si="117"/>
        <v>842.11205000000007</v>
      </c>
      <c r="I138" s="3832">
        <f t="shared" si="157"/>
        <v>277.73444999999998</v>
      </c>
      <c r="J138" s="3832">
        <f t="shared" si="157"/>
        <v>272.48882499999996</v>
      </c>
      <c r="K138" s="3832">
        <f t="shared" si="157"/>
        <v>262.85564999999997</v>
      </c>
      <c r="L138" s="3829">
        <f t="shared" si="135"/>
        <v>813.07892499999991</v>
      </c>
      <c r="M138" s="3829">
        <f t="shared" si="122"/>
        <v>1655.190975</v>
      </c>
      <c r="N138" s="3832">
        <f t="shared" ref="N138:P138" si="158">SUM(N13)</f>
        <v>255.37707499999999</v>
      </c>
      <c r="O138" s="3832">
        <f t="shared" si="158"/>
        <v>264.26979999999998</v>
      </c>
      <c r="P138" s="3832">
        <f t="shared" si="158"/>
        <v>275.95735000000002</v>
      </c>
      <c r="Q138" s="3829">
        <f t="shared" si="137"/>
        <v>795.60422499999993</v>
      </c>
      <c r="R138" s="3829">
        <f t="shared" si="127"/>
        <v>2450.7952</v>
      </c>
      <c r="S138" s="3832">
        <f t="shared" ref="S138:U138" si="159">SUM(S13)</f>
        <v>281.65160000000003</v>
      </c>
      <c r="T138" s="3832">
        <f t="shared" si="159"/>
        <v>281.65160000000003</v>
      </c>
      <c r="U138" s="3832">
        <f t="shared" si="159"/>
        <v>281.65160000000003</v>
      </c>
      <c r="V138" s="3829">
        <f t="shared" si="131"/>
        <v>844.95480000000009</v>
      </c>
      <c r="W138" s="3854">
        <f t="shared" si="77"/>
        <v>3295.7500000000005</v>
      </c>
    </row>
    <row r="139" spans="1:23" ht="18.75" customHeight="1">
      <c r="A139" s="3834" t="s">
        <v>14</v>
      </c>
      <c r="B139" s="3787">
        <f>SUM(стоки!BU56)</f>
        <v>26.086081232197138</v>
      </c>
      <c r="C139" s="3787">
        <f>SUM(стоки!BW56)</f>
        <v>26.171848614329786</v>
      </c>
      <c r="D139" s="3787">
        <f>SUM(стоки!BX56)</f>
        <v>13.881942107214783</v>
      </c>
      <c r="E139" s="3823">
        <f>SUM(E136/E138)</f>
        <v>24.575797850615714</v>
      </c>
      <c r="F139" s="3823">
        <f t="shared" ref="F139:W139" si="160">SUM(F136/F138)</f>
        <v>24.480161073830331</v>
      </c>
      <c r="G139" s="3823">
        <f t="shared" si="160"/>
        <v>25.977320800455256</v>
      </c>
      <c r="H139" s="3797">
        <f t="shared" si="160"/>
        <v>25.012679259472208</v>
      </c>
      <c r="I139" s="3823">
        <f t="shared" si="160"/>
        <v>24.648435478576555</v>
      </c>
      <c r="J139" s="3823">
        <f t="shared" si="160"/>
        <v>24.989159577632993</v>
      </c>
      <c r="K139" s="3823">
        <f t="shared" si="160"/>
        <v>27.508009386351986</v>
      </c>
      <c r="L139" s="3797">
        <f t="shared" si="160"/>
        <v>25.687078397100635</v>
      </c>
      <c r="M139" s="3797">
        <f t="shared" si="160"/>
        <v>25.343964128786972</v>
      </c>
      <c r="N139" s="3808">
        <f t="shared" si="160"/>
        <v>27.887846583219968</v>
      </c>
      <c r="O139" s="3808">
        <f t="shared" si="160"/>
        <v>27.025806584682243</v>
      </c>
      <c r="P139" s="3808">
        <f t="shared" si="160"/>
        <v>27.653850915487947</v>
      </c>
      <c r="Q139" s="3797">
        <f t="shared" si="160"/>
        <v>27.52034732517572</v>
      </c>
      <c r="R139" s="3797">
        <f t="shared" si="160"/>
        <v>26.050485696262658</v>
      </c>
      <c r="S139" s="3823">
        <f t="shared" si="160"/>
        <v>25.620032373981907</v>
      </c>
      <c r="T139" s="3823">
        <f t="shared" si="160"/>
        <v>25.655583348889156</v>
      </c>
      <c r="U139" s="3823">
        <f t="shared" si="160"/>
        <v>27.292363000009225</v>
      </c>
      <c r="V139" s="3797">
        <f t="shared" si="160"/>
        <v>26.189326240960096</v>
      </c>
      <c r="W139" s="3809">
        <f t="shared" si="160"/>
        <v>26.086081231323483</v>
      </c>
    </row>
    <row r="140" spans="1:23" ht="18.75" customHeight="1">
      <c r="A140" s="3834" t="s">
        <v>436</v>
      </c>
      <c r="B140" s="3787">
        <f>SUM(стоки!BU57)</f>
        <v>4298.66</v>
      </c>
      <c r="C140" s="3787">
        <f>SUM(стоки!BW57)</f>
        <v>4282.7</v>
      </c>
      <c r="D140" s="3787">
        <f>SUM(стоки!BX57)</f>
        <v>15.96</v>
      </c>
      <c r="E140" s="3823">
        <f>SUM(E136*(B140/B136))</f>
        <v>343.85881004989068</v>
      </c>
      <c r="F140" s="3823">
        <f>SUM(F136*(B140/B136))</f>
        <v>343.48740419460654</v>
      </c>
      <c r="G140" s="3823">
        <f>SUM(G136*(B140/B136))</f>
        <v>365.82768890735895</v>
      </c>
      <c r="H140" s="3797">
        <f>SUM(E140+F140+G140)</f>
        <v>1053.1739031518562</v>
      </c>
      <c r="I140" s="3823">
        <f>SUM(I136*(B140/B136))</f>
        <v>342.28597470760275</v>
      </c>
      <c r="J140" s="3823">
        <f>SUM(J136*(B140/B136))</f>
        <v>340.46332775687682</v>
      </c>
      <c r="K140" s="3823">
        <f>SUM(K136*(B140/B136))</f>
        <v>361.53177503304607</v>
      </c>
      <c r="L140" s="3797">
        <f>SUM(I140+J140+K140)</f>
        <v>1044.2810774975255</v>
      </c>
      <c r="M140" s="3797">
        <f>SUM(H140+L140)</f>
        <v>2097.4549806493815</v>
      </c>
      <c r="N140" s="3808">
        <f>SUM(N136*(B140/B136))</f>
        <v>356.09582522426768</v>
      </c>
      <c r="O140" s="3808">
        <f>SUM(O136*(B140/B136))</f>
        <v>357.10521582325123</v>
      </c>
      <c r="P140" s="3808">
        <f>SUM(P136*(B140/B136))</f>
        <v>381.56416093940743</v>
      </c>
      <c r="Q140" s="3797">
        <f>SUM(N140+O140+P140)</f>
        <v>1094.7652019869263</v>
      </c>
      <c r="R140" s="3797">
        <f>SUM(M140+Q140)</f>
        <v>3192.220182636308</v>
      </c>
      <c r="S140" s="3823">
        <f>SUM(S136*(B140/B136))</f>
        <v>360.79614618845773</v>
      </c>
      <c r="T140" s="3823">
        <f>SUM(T136*(B140/B136))</f>
        <v>361.29679562373337</v>
      </c>
      <c r="U140" s="3823">
        <f>SUM(U136*(B140/B136))</f>
        <v>384.34687540753288</v>
      </c>
      <c r="V140" s="3797">
        <f>SUM(S140+T140+U140)</f>
        <v>1106.4398172197241</v>
      </c>
      <c r="W140" s="3843">
        <f t="shared" ref="W140:W141" si="161">SUM(E140+F140+G140+I140+J140+K140+N140+O140+P140+S140+T140+U140)</f>
        <v>4298.6599998560323</v>
      </c>
    </row>
    <row r="141" spans="1:23" ht="18.75" customHeight="1">
      <c r="A141" s="3834" t="s">
        <v>548</v>
      </c>
      <c r="B141" s="3787">
        <f>SUM(стоки!BU58)</f>
        <v>90271.862221013726</v>
      </c>
      <c r="C141" s="3787">
        <f>SUM(стоки!BW58)</f>
        <v>89936.617552547803</v>
      </c>
      <c r="D141" s="3787">
        <f>SUM(стоки!BX58)</f>
        <v>335.24466846593998</v>
      </c>
      <c r="E141" s="3823">
        <f>SUM(E136+E140)</f>
        <v>7221.0351887112411</v>
      </c>
      <c r="F141" s="3823">
        <f>SUM(F136+F140)</f>
        <v>7213.2356655583781</v>
      </c>
      <c r="G141" s="3823">
        <f>SUM(G136+G140)</f>
        <v>7682.3816560688629</v>
      </c>
      <c r="H141" s="3797">
        <f>SUM(E141+F141+G141)</f>
        <v>22116.652510338485</v>
      </c>
      <c r="I141" s="3823">
        <f>SUM(I136+I140)</f>
        <v>7188.0056457105484</v>
      </c>
      <c r="J141" s="3823">
        <f>SUM(J136+J140)</f>
        <v>7149.730058803586</v>
      </c>
      <c r="K141" s="3823">
        <f>SUM(K136+K140)</f>
        <v>7592.1674624886973</v>
      </c>
      <c r="L141" s="3797">
        <f>SUM(I141+J141+K141)</f>
        <v>21929.903167002831</v>
      </c>
      <c r="M141" s="3797">
        <f>SUM(H141+L141)</f>
        <v>44046.555677341312</v>
      </c>
      <c r="N141" s="3808">
        <f>SUM(N136+N140)</f>
        <v>7478.0125136957276</v>
      </c>
      <c r="O141" s="3808">
        <f>SUM(O136+O140)</f>
        <v>7499.20971679591</v>
      </c>
      <c r="P141" s="3808">
        <f>SUM(P136+P140)</f>
        <v>8012.8475768725366</v>
      </c>
      <c r="Q141" s="3797">
        <f>SUM(N141+O141+P141)</f>
        <v>22990.069807364176</v>
      </c>
      <c r="R141" s="3797">
        <f>SUM(M141+Q141)</f>
        <v>67036.625484705495</v>
      </c>
      <c r="S141" s="3823">
        <f>SUM(S136+S140)</f>
        <v>7576.719256372261</v>
      </c>
      <c r="T141" s="3823">
        <f>SUM(T136+T140)</f>
        <v>7587.2328947717233</v>
      </c>
      <c r="U141" s="3823">
        <f>SUM(U136+U140)</f>
        <v>8071.2845821409319</v>
      </c>
      <c r="V141" s="3797">
        <f>SUM(S141+T141+U141)</f>
        <v>23235.236733284917</v>
      </c>
      <c r="W141" s="3843">
        <f t="shared" si="161"/>
        <v>90271.86221799039</v>
      </c>
    </row>
    <row r="142" spans="1:23" ht="18.75" customHeight="1">
      <c r="A142" s="3834" t="s">
        <v>70</v>
      </c>
      <c r="B142" s="3787">
        <f>SUM(стоки!BU59)</f>
        <v>27.390385260111881</v>
      </c>
      <c r="C142" s="3787">
        <f>SUM(стоки!BW59)</f>
        <v>27.48044230465138</v>
      </c>
      <c r="D142" s="3787">
        <f>SUM(стоки!BX59)</f>
        <v>14.575855150693043</v>
      </c>
      <c r="E142" s="3823">
        <f t="shared" ref="E142:W142" si="162">SUM(E141/E138)</f>
        <v>25.804587711402199</v>
      </c>
      <c r="F142" s="3823">
        <f t="shared" si="162"/>
        <v>25.704169095901079</v>
      </c>
      <c r="G142" s="3823">
        <f t="shared" si="162"/>
        <v>27.276186806923384</v>
      </c>
      <c r="H142" s="3797">
        <f t="shared" si="162"/>
        <v>26.263313190137207</v>
      </c>
      <c r="I142" s="3823">
        <f t="shared" si="162"/>
        <v>25.880857220667256</v>
      </c>
      <c r="J142" s="3823">
        <f t="shared" si="162"/>
        <v>26.238617524236403</v>
      </c>
      <c r="K142" s="3823">
        <f t="shared" si="162"/>
        <v>28.883409820137775</v>
      </c>
      <c r="L142" s="3797">
        <f t="shared" si="162"/>
        <v>26.971432283775936</v>
      </c>
      <c r="M142" s="3797">
        <f t="shared" si="162"/>
        <v>26.611162302489785</v>
      </c>
      <c r="N142" s="3808">
        <f t="shared" si="162"/>
        <v>29.28223887635853</v>
      </c>
      <c r="O142" s="3808">
        <f t="shared" si="162"/>
        <v>28.377096879007404</v>
      </c>
      <c r="P142" s="3808">
        <f t="shared" si="162"/>
        <v>29.036543425542156</v>
      </c>
      <c r="Q142" s="3797">
        <f t="shared" si="162"/>
        <v>28.89636465588676</v>
      </c>
      <c r="R142" s="3797">
        <f t="shared" si="162"/>
        <v>27.353009947426653</v>
      </c>
      <c r="S142" s="3823">
        <f t="shared" si="162"/>
        <v>26.901033959587874</v>
      </c>
      <c r="T142" s="3823">
        <f t="shared" si="162"/>
        <v>26.938362483194567</v>
      </c>
      <c r="U142" s="3823">
        <f t="shared" si="162"/>
        <v>28.656981114756427</v>
      </c>
      <c r="V142" s="3797">
        <f t="shared" si="162"/>
        <v>27.498792519179624</v>
      </c>
      <c r="W142" s="3809">
        <f t="shared" si="162"/>
        <v>27.390385259194531</v>
      </c>
    </row>
    <row r="143" spans="1:23" ht="18.75" customHeight="1">
      <c r="A143" s="3834" t="s">
        <v>327</v>
      </c>
      <c r="B143" s="3787">
        <f>SUM(C143:D143)</f>
        <v>0</v>
      </c>
      <c r="C143" s="3797">
        <v>0</v>
      </c>
      <c r="D143" s="3787">
        <v>0</v>
      </c>
      <c r="E143" s="3823">
        <v>0</v>
      </c>
      <c r="F143" s="3823">
        <f t="shared" ref="F143" si="163">SUM(E143)</f>
        <v>0</v>
      </c>
      <c r="G143" s="3823">
        <f t="shared" ref="G143" si="164">SUM(F143)</f>
        <v>0</v>
      </c>
      <c r="H143" s="3797">
        <f>SUM(E143+F143+G143)</f>
        <v>0</v>
      </c>
      <c r="I143" s="3823">
        <f>SUM(E143)</f>
        <v>0</v>
      </c>
      <c r="J143" s="3823">
        <f>SUM(E143)</f>
        <v>0</v>
      </c>
      <c r="K143" s="3823">
        <f>SUM(E143)</f>
        <v>0</v>
      </c>
      <c r="L143" s="3797">
        <f>SUM(I143+J143+K143)</f>
        <v>0</v>
      </c>
      <c r="M143" s="3797">
        <f>SUM(H143+L143)</f>
        <v>0</v>
      </c>
      <c r="N143" s="3808">
        <f>SUM(E143)</f>
        <v>0</v>
      </c>
      <c r="O143" s="3808">
        <f>SUM(E143)</f>
        <v>0</v>
      </c>
      <c r="P143" s="3808">
        <f>E143</f>
        <v>0</v>
      </c>
      <c r="Q143" s="3797">
        <f>SUM(N143+O143+P143)</f>
        <v>0</v>
      </c>
      <c r="R143" s="3797">
        <f>SUM(M143+Q143)</f>
        <v>0</v>
      </c>
      <c r="S143" s="3823">
        <f>E143</f>
        <v>0</v>
      </c>
      <c r="T143" s="3823">
        <f>E143</f>
        <v>0</v>
      </c>
      <c r="U143" s="3823">
        <f>E143</f>
        <v>0</v>
      </c>
      <c r="V143" s="3797">
        <f>SUM(S143+T143+U143)</f>
        <v>0</v>
      </c>
      <c r="W143" s="3843">
        <f t="shared" ref="W143:W144" si="165">SUM(E143+F143+G143+I143+J143+K143+N143+O143+P143+S143+T143+U143)</f>
        <v>0</v>
      </c>
    </row>
    <row r="144" spans="1:23" ht="18.75" customHeight="1">
      <c r="A144" s="3913" t="s">
        <v>1720</v>
      </c>
      <c r="B144" s="3926">
        <f>SUM(стоки!BU62)</f>
        <v>85037.162221013728</v>
      </c>
      <c r="C144" s="3787">
        <f>SUM(стоки!BW62)</f>
        <v>84701.917552547806</v>
      </c>
      <c r="D144" s="3787">
        <f>SUM(стоки!BX62)</f>
        <v>335.24466846593998</v>
      </c>
      <c r="E144" s="3823">
        <f>SUM(E143+E141+E137)</f>
        <v>6784.8101887112407</v>
      </c>
      <c r="F144" s="3823">
        <f t="shared" ref="F144:G144" si="166">SUM(F143+F141+F137)</f>
        <v>6777.0106655583777</v>
      </c>
      <c r="G144" s="3823">
        <f t="shared" si="166"/>
        <v>7246.1566560688625</v>
      </c>
      <c r="H144" s="3797">
        <f>SUM(E144+F144+G144)</f>
        <v>20807.977510338482</v>
      </c>
      <c r="I144" s="3823">
        <f>SUM(I143+I141+I137)</f>
        <v>6751.780645710548</v>
      </c>
      <c r="J144" s="3823">
        <f t="shared" ref="J144" si="167">SUM(J143+J141+J137)</f>
        <v>6713.5050588035856</v>
      </c>
      <c r="K144" s="3823">
        <f t="shared" ref="K144" si="168">SUM(K143+K141+K137)</f>
        <v>7155.9424624886969</v>
      </c>
      <c r="L144" s="3797">
        <f>SUM(I144+J144+K144)</f>
        <v>20621.228167002831</v>
      </c>
      <c r="M144" s="3797">
        <f>SUM(H144+L144)</f>
        <v>41429.205677341313</v>
      </c>
      <c r="N144" s="3808">
        <f>SUM(N143+N141+N137)</f>
        <v>7041.7875136957273</v>
      </c>
      <c r="O144" s="3808">
        <f t="shared" ref="O144" si="169">SUM(O143+O141+O137)</f>
        <v>7062.9847167959097</v>
      </c>
      <c r="P144" s="3808">
        <f t="shared" ref="P144" si="170">SUM(P143+P141+P137)</f>
        <v>7576.6225768725362</v>
      </c>
      <c r="Q144" s="3797">
        <f>SUM(N144+O144+P144)</f>
        <v>21681.394807364173</v>
      </c>
      <c r="R144" s="3797">
        <f>SUM(M144+Q144)</f>
        <v>63110.600484705486</v>
      </c>
      <c r="S144" s="3808">
        <f>SUM(S143+S141+S137)</f>
        <v>7140.4942563722607</v>
      </c>
      <c r="T144" s="3808">
        <f t="shared" ref="T144" si="171">SUM(T143+T141+T137)</f>
        <v>7151.0078947717229</v>
      </c>
      <c r="U144" s="3808">
        <f t="shared" ref="U144" si="172">SUM(U143+U141+U137)</f>
        <v>7635.0595821409315</v>
      </c>
      <c r="V144" s="3797">
        <f>SUM(S144+T144+U144)</f>
        <v>21926.561733284914</v>
      </c>
      <c r="W144" s="3843">
        <f t="shared" si="165"/>
        <v>85037.162217990408</v>
      </c>
    </row>
    <row r="145" spans="1:23" ht="18.75" customHeight="1">
      <c r="A145" s="3913" t="s">
        <v>1721</v>
      </c>
      <c r="B145" s="3914">
        <f>SUM(стоки!BU63)</f>
        <v>25.802066971406731</v>
      </c>
      <c r="C145" s="3787">
        <f>SUM(стоки!BW63)</f>
        <v>25.880961745488598</v>
      </c>
      <c r="D145" s="3787">
        <f>SUM(стоки!BX63)</f>
        <v>14.575855150693043</v>
      </c>
      <c r="E145" s="3823">
        <f t="shared" ref="E145:W145" si="173">SUM(E144/E138)</f>
        <v>24.245724476390677</v>
      </c>
      <c r="F145" s="3823">
        <f t="shared" si="173"/>
        <v>24.149693173618637</v>
      </c>
      <c r="G145" s="3823">
        <f t="shared" si="173"/>
        <v>25.727376148649117</v>
      </c>
      <c r="H145" s="3797">
        <f t="shared" si="173"/>
        <v>24.709274152220576</v>
      </c>
      <c r="I145" s="3823">
        <f t="shared" si="173"/>
        <v>24.310202229901794</v>
      </c>
      <c r="J145" s="3823">
        <f t="shared" si="173"/>
        <v>24.637726184931022</v>
      </c>
      <c r="K145" s="3823">
        <f t="shared" si="173"/>
        <v>27.223848764478518</v>
      </c>
      <c r="L145" s="3797">
        <f t="shared" si="173"/>
        <v>25.361902188035231</v>
      </c>
      <c r="M145" s="3797">
        <f t="shared" si="173"/>
        <v>25.02986441026318</v>
      </c>
      <c r="N145" s="3808">
        <f t="shared" si="173"/>
        <v>27.574078502135432</v>
      </c>
      <c r="O145" s="3808">
        <f t="shared" si="173"/>
        <v>26.726416400193706</v>
      </c>
      <c r="P145" s="3808">
        <f t="shared" si="173"/>
        <v>27.45577378849498</v>
      </c>
      <c r="Q145" s="3797">
        <f t="shared" si="173"/>
        <v>27.251482742395158</v>
      </c>
      <c r="R145" s="3797">
        <f t="shared" si="173"/>
        <v>25.75107070746078</v>
      </c>
      <c r="S145" s="3808">
        <f t="shared" si="173"/>
        <v>25.352223301313607</v>
      </c>
      <c r="T145" s="3808">
        <f t="shared" si="173"/>
        <v>25.3895518249203</v>
      </c>
      <c r="U145" s="3808">
        <f t="shared" si="173"/>
        <v>27.10817045648216</v>
      </c>
      <c r="V145" s="3797">
        <f t="shared" si="173"/>
        <v>25.949981860905353</v>
      </c>
      <c r="W145" s="3809">
        <f t="shared" si="173"/>
        <v>25.802066970489388</v>
      </c>
    </row>
    <row r="146" spans="1:23" ht="18.75" customHeight="1">
      <c r="A146" s="4403" t="s">
        <v>1752</v>
      </c>
      <c r="B146" s="4387"/>
      <c r="C146" s="4387"/>
      <c r="D146" s="4387"/>
      <c r="E146" s="4387"/>
      <c r="F146" s="4387"/>
      <c r="G146" s="4387"/>
      <c r="H146" s="4387"/>
      <c r="I146" s="4387"/>
      <c r="J146" s="4387"/>
      <c r="K146" s="4387"/>
      <c r="L146" s="4387"/>
      <c r="M146" s="4387"/>
      <c r="N146" s="4387"/>
      <c r="O146" s="4387"/>
      <c r="P146" s="4387"/>
      <c r="Q146" s="4387"/>
      <c r="R146" s="4387"/>
      <c r="S146" s="4387"/>
      <c r="T146" s="4387"/>
      <c r="U146" s="4387"/>
      <c r="V146" s="4388"/>
      <c r="W146" s="3835"/>
    </row>
    <row r="147" spans="1:23" ht="18.75" customHeight="1">
      <c r="A147" s="4383" t="s">
        <v>546</v>
      </c>
      <c r="B147" s="4389" t="s">
        <v>1782</v>
      </c>
      <c r="C147" s="4389" t="s">
        <v>1561</v>
      </c>
      <c r="D147" s="4390"/>
      <c r="E147" s="4383" t="s">
        <v>587</v>
      </c>
      <c r="F147" s="4383" t="s">
        <v>588</v>
      </c>
      <c r="G147" s="4383" t="s">
        <v>589</v>
      </c>
      <c r="H147" s="4384" t="s">
        <v>601</v>
      </c>
      <c r="I147" s="4383" t="s">
        <v>590</v>
      </c>
      <c r="J147" s="4383" t="s">
        <v>591</v>
      </c>
      <c r="K147" s="4383" t="s">
        <v>592</v>
      </c>
      <c r="L147" s="4384" t="s">
        <v>600</v>
      </c>
      <c r="M147" s="4384" t="s">
        <v>599</v>
      </c>
      <c r="N147" s="4383" t="s">
        <v>593</v>
      </c>
      <c r="O147" s="4383" t="s">
        <v>594</v>
      </c>
      <c r="P147" s="4383" t="s">
        <v>595</v>
      </c>
      <c r="Q147" s="4384" t="s">
        <v>225</v>
      </c>
      <c r="R147" s="4384" t="s">
        <v>229</v>
      </c>
      <c r="S147" s="4383" t="s">
        <v>596</v>
      </c>
      <c r="T147" s="4383" t="s">
        <v>597</v>
      </c>
      <c r="U147" s="4383" t="s">
        <v>598</v>
      </c>
      <c r="V147" s="4384" t="s">
        <v>135</v>
      </c>
      <c r="W147" s="4385" t="s">
        <v>602</v>
      </c>
    </row>
    <row r="148" spans="1:23" ht="40.5" customHeight="1">
      <c r="A148" s="4383"/>
      <c r="B148" s="4389"/>
      <c r="C148" s="3906" t="s">
        <v>352</v>
      </c>
      <c r="D148" s="3906" t="s">
        <v>1770</v>
      </c>
      <c r="E148" s="4383"/>
      <c r="F148" s="4383"/>
      <c r="G148" s="4383"/>
      <c r="H148" s="4384"/>
      <c r="I148" s="4383"/>
      <c r="J148" s="4383"/>
      <c r="K148" s="4383"/>
      <c r="L148" s="4384"/>
      <c r="M148" s="4384"/>
      <c r="N148" s="4383"/>
      <c r="O148" s="4383"/>
      <c r="P148" s="4383"/>
      <c r="Q148" s="4384"/>
      <c r="R148" s="4384"/>
      <c r="S148" s="4383"/>
      <c r="T148" s="4383"/>
      <c r="U148" s="4383"/>
      <c r="V148" s="4384"/>
      <c r="W148" s="4385"/>
    </row>
    <row r="149" spans="1:23" ht="18.75" customHeight="1">
      <c r="A149" s="3822" t="s">
        <v>1753</v>
      </c>
      <c r="B149" s="3787">
        <f>SUM(B141)</f>
        <v>90271.862221013726</v>
      </c>
      <c r="C149" s="3787">
        <f>SUM(C141)</f>
        <v>89936.617552547803</v>
      </c>
      <c r="D149" s="3787">
        <f>SUM(D141)</f>
        <v>335.24466846593998</v>
      </c>
      <c r="E149" s="3808">
        <f>SUM(E141)</f>
        <v>7221.0351887112411</v>
      </c>
      <c r="F149" s="3808">
        <f t="shared" ref="F149:K149" si="174">SUM(F141)</f>
        <v>7213.2356655583781</v>
      </c>
      <c r="G149" s="3808">
        <f t="shared" si="174"/>
        <v>7682.3816560688629</v>
      </c>
      <c r="H149" s="3797">
        <f t="shared" ref="H149:H151" si="175">SUM(E149+F149+G149)</f>
        <v>22116.652510338485</v>
      </c>
      <c r="I149" s="3808">
        <f t="shared" si="174"/>
        <v>7188.0056457105484</v>
      </c>
      <c r="J149" s="3808">
        <f t="shared" si="174"/>
        <v>7149.730058803586</v>
      </c>
      <c r="K149" s="3808">
        <f t="shared" si="174"/>
        <v>7592.1674624886973</v>
      </c>
      <c r="L149" s="3797">
        <f t="shared" ref="L149:L151" si="176">SUM(I149+J149+K149)</f>
        <v>21929.903167002831</v>
      </c>
      <c r="M149" s="3797">
        <f t="shared" ref="M149:M151" si="177">SUM(H149+L149)</f>
        <v>44046.555677341312</v>
      </c>
      <c r="N149" s="3808">
        <f t="shared" ref="N149:P149" si="178">SUM(N141)</f>
        <v>7478.0125136957276</v>
      </c>
      <c r="O149" s="3808">
        <f t="shared" si="178"/>
        <v>7499.20971679591</v>
      </c>
      <c r="P149" s="3808">
        <f t="shared" si="178"/>
        <v>8012.8475768725366</v>
      </c>
      <c r="Q149" s="3797">
        <f t="shared" ref="Q149:Q151" si="179">SUM(N149+O149+P149)</f>
        <v>22990.069807364176</v>
      </c>
      <c r="R149" s="3797">
        <f t="shared" ref="R149:R151" si="180">SUM(M149+Q149)</f>
        <v>67036.625484705495</v>
      </c>
      <c r="S149" s="3808">
        <f t="shared" ref="S149:U149" si="181">SUM(S141)</f>
        <v>7576.719256372261</v>
      </c>
      <c r="T149" s="3808">
        <f t="shared" si="181"/>
        <v>7587.2328947717233</v>
      </c>
      <c r="U149" s="3808">
        <f t="shared" si="181"/>
        <v>8071.2845821409319</v>
      </c>
      <c r="V149" s="3797">
        <f t="shared" ref="V149:V151" si="182">SUM(S149+T149+U149)</f>
        <v>23235.236733284917</v>
      </c>
      <c r="W149" s="3812">
        <f t="shared" ref="W149:W157" si="183">SUM(E149+F149+G149+I149+J149+K149+N149+O149+P149+S149+T149+U149)</f>
        <v>90271.86221799039</v>
      </c>
    </row>
    <row r="150" spans="1:23" ht="18.75" customHeight="1">
      <c r="A150" s="3786" t="s">
        <v>391</v>
      </c>
      <c r="B150" s="3790">
        <f>SUM(C150:D150)</f>
        <v>41280.35763186391</v>
      </c>
      <c r="C150" s="3790">
        <f>SUM(C153*C159)</f>
        <v>41116.152089317548</v>
      </c>
      <c r="D150" s="3790">
        <f>SUM(D153*D159)</f>
        <v>164.20554254636119</v>
      </c>
      <c r="E150" s="3801">
        <f>SUM(E153*E159)</f>
        <v>3505.0299003349369</v>
      </c>
      <c r="F150" s="3801">
        <f t="shared" ref="F150:K150" si="184">SUM(F153*F159)</f>
        <v>3514.9224062767244</v>
      </c>
      <c r="G150" s="3801">
        <f t="shared" si="184"/>
        <v>3527.7793447884951</v>
      </c>
      <c r="H150" s="3799">
        <f t="shared" si="175"/>
        <v>10547.731651400158</v>
      </c>
      <c r="I150" s="3801">
        <f t="shared" si="184"/>
        <v>3478.7157468524692</v>
      </c>
      <c r="J150" s="3801">
        <f t="shared" si="184"/>
        <v>3413.0125606269826</v>
      </c>
      <c r="K150" s="3801">
        <f t="shared" si="184"/>
        <v>3292.3538610501546</v>
      </c>
      <c r="L150" s="3799">
        <f t="shared" si="176"/>
        <v>10184.082168529607</v>
      </c>
      <c r="M150" s="3799">
        <f t="shared" si="177"/>
        <v>20731.813819929765</v>
      </c>
      <c r="N150" s="3801">
        <f t="shared" ref="N150:P150" si="185">SUM(N153*N159)</f>
        <v>3198.6822383309814</v>
      </c>
      <c r="O150" s="3801">
        <f t="shared" si="185"/>
        <v>3310.0665570207534</v>
      </c>
      <c r="P150" s="3801">
        <f t="shared" si="185"/>
        <v>3456.4569822169283</v>
      </c>
      <c r="Q150" s="3799">
        <f t="shared" si="179"/>
        <v>9965.2057775686626</v>
      </c>
      <c r="R150" s="3799">
        <f t="shared" si="180"/>
        <v>30697.019597498427</v>
      </c>
      <c r="S150" s="3801">
        <f t="shared" ref="S150:U150" si="186">SUM(S153*S159)</f>
        <v>3527.7793447884951</v>
      </c>
      <c r="T150" s="3801">
        <f t="shared" si="186"/>
        <v>3527.7793447884951</v>
      </c>
      <c r="U150" s="3801">
        <f t="shared" si="186"/>
        <v>3527.7793447884951</v>
      </c>
      <c r="V150" s="3799">
        <f t="shared" si="182"/>
        <v>10583.338034365486</v>
      </c>
      <c r="W150" s="3814">
        <f t="shared" si="183"/>
        <v>41280.357631863917</v>
      </c>
    </row>
    <row r="151" spans="1:23" ht="18.75" customHeight="1">
      <c r="A151" s="3786" t="s">
        <v>1754</v>
      </c>
      <c r="B151" s="3790">
        <f>SUM(B149-B150)</f>
        <v>48991.504589149816</v>
      </c>
      <c r="C151" s="3790">
        <f>SUM(C149-C150)</f>
        <v>48820.465463230255</v>
      </c>
      <c r="D151" s="3790">
        <f>SUM(D149-D150)</f>
        <v>171.03912591957879</v>
      </c>
      <c r="E151" s="3801">
        <f>SUM(E149-E150)</f>
        <v>3716.0052883763042</v>
      </c>
      <c r="F151" s="3801">
        <f t="shared" ref="F151:G151" si="187">SUM(F149-F150)</f>
        <v>3698.3132592816537</v>
      </c>
      <c r="G151" s="3801">
        <f t="shared" si="187"/>
        <v>4154.6023112803678</v>
      </c>
      <c r="H151" s="3799">
        <f t="shared" si="175"/>
        <v>11568.920858938327</v>
      </c>
      <c r="I151" s="3801">
        <f t="shared" ref="I151:K151" si="188">SUM(I149-I150)</f>
        <v>3709.2898988580791</v>
      </c>
      <c r="J151" s="3801">
        <f t="shared" si="188"/>
        <v>3736.7174981766034</v>
      </c>
      <c r="K151" s="3801">
        <f t="shared" si="188"/>
        <v>4299.8136014385427</v>
      </c>
      <c r="L151" s="3799">
        <f t="shared" si="176"/>
        <v>11745.820998473224</v>
      </c>
      <c r="M151" s="3799">
        <f t="shared" si="177"/>
        <v>23314.741857411551</v>
      </c>
      <c r="N151" s="3801">
        <f t="shared" ref="N151:P151" si="189">SUM(N149-N150)</f>
        <v>4279.3302753647458</v>
      </c>
      <c r="O151" s="3801">
        <f t="shared" si="189"/>
        <v>4189.1431597751562</v>
      </c>
      <c r="P151" s="3801">
        <f t="shared" si="189"/>
        <v>4556.3905946556079</v>
      </c>
      <c r="Q151" s="3799">
        <f t="shared" si="179"/>
        <v>13024.86402979551</v>
      </c>
      <c r="R151" s="3799">
        <f t="shared" si="180"/>
        <v>36339.605887207057</v>
      </c>
      <c r="S151" s="3801">
        <f t="shared" ref="S151:U151" si="190">SUM(S149-S150)</f>
        <v>4048.9399115837659</v>
      </c>
      <c r="T151" s="3801">
        <f t="shared" si="190"/>
        <v>4059.4535499832282</v>
      </c>
      <c r="U151" s="3801">
        <f t="shared" si="190"/>
        <v>4543.5052373524368</v>
      </c>
      <c r="V151" s="3799">
        <f t="shared" si="182"/>
        <v>12651.898698919431</v>
      </c>
      <c r="W151" s="3814">
        <f t="shared" si="183"/>
        <v>48991.504586126488</v>
      </c>
    </row>
    <row r="152" spans="1:23" ht="18.75" customHeight="1">
      <c r="A152" s="3822" t="s">
        <v>1755</v>
      </c>
      <c r="B152" s="3787">
        <f>SUM(B138)</f>
        <v>3295.75</v>
      </c>
      <c r="C152" s="3787">
        <f>SUM(C138)</f>
        <v>3272.75</v>
      </c>
      <c r="D152" s="3787">
        <f>SUM(D138)</f>
        <v>23</v>
      </c>
      <c r="E152" s="3804">
        <f>SUM(E138)</f>
        <v>279.83532500000001</v>
      </c>
      <c r="F152" s="3804">
        <f t="shared" ref="F152:K152" si="191">SUM(F138)</f>
        <v>280.62512500000003</v>
      </c>
      <c r="G152" s="3804">
        <f t="shared" si="191"/>
        <v>281.65160000000003</v>
      </c>
      <c r="H152" s="3797">
        <f>SUM(E152+F152+G152)</f>
        <v>842.11205000000007</v>
      </c>
      <c r="I152" s="3804">
        <f t="shared" si="191"/>
        <v>277.73444999999998</v>
      </c>
      <c r="J152" s="3804">
        <f t="shared" si="191"/>
        <v>272.48882499999996</v>
      </c>
      <c r="K152" s="3804">
        <f t="shared" si="191"/>
        <v>262.85564999999997</v>
      </c>
      <c r="L152" s="3797">
        <f>SUM(I152+J152+K152)</f>
        <v>813.07892499999991</v>
      </c>
      <c r="M152" s="3797">
        <f>SUM(H152+L152)</f>
        <v>1655.190975</v>
      </c>
      <c r="N152" s="3804">
        <f t="shared" ref="N152:P152" si="192">SUM(N138)</f>
        <v>255.37707499999999</v>
      </c>
      <c r="O152" s="3804">
        <f t="shared" si="192"/>
        <v>264.26979999999998</v>
      </c>
      <c r="P152" s="3804">
        <f t="shared" si="192"/>
        <v>275.95735000000002</v>
      </c>
      <c r="Q152" s="3797">
        <f>SUM(N152+O152+P152)</f>
        <v>795.60422499999993</v>
      </c>
      <c r="R152" s="3797">
        <f>SUM(M152+Q152)</f>
        <v>2450.7952</v>
      </c>
      <c r="S152" s="3804">
        <f t="shared" ref="S152:U152" si="193">SUM(S138)</f>
        <v>281.65160000000003</v>
      </c>
      <c r="T152" s="3804">
        <f t="shared" si="193"/>
        <v>281.65160000000003</v>
      </c>
      <c r="U152" s="3804">
        <f t="shared" si="193"/>
        <v>281.65160000000003</v>
      </c>
      <c r="V152" s="3797">
        <f>SUM(S152+T152+U152)</f>
        <v>844.95480000000009</v>
      </c>
      <c r="W152" s="3812">
        <f t="shared" si="183"/>
        <v>3295.7500000000005</v>
      </c>
    </row>
    <row r="153" spans="1:23" ht="18.75" customHeight="1">
      <c r="A153" s="3786" t="s">
        <v>391</v>
      </c>
      <c r="B153" s="3790">
        <f>SUM(B152/2)</f>
        <v>1647.875</v>
      </c>
      <c r="C153" s="3790">
        <f>SUM(C152/2)</f>
        <v>1636.375</v>
      </c>
      <c r="D153" s="3790">
        <f>SUM(D152/2)</f>
        <v>11.5</v>
      </c>
      <c r="E153" s="3801">
        <f>SUM(E152/2)</f>
        <v>139.91766250000001</v>
      </c>
      <c r="F153" s="3801">
        <f t="shared" ref="F153:G153" si="194">SUM(F152/2)</f>
        <v>140.31256250000001</v>
      </c>
      <c r="G153" s="3801">
        <f t="shared" si="194"/>
        <v>140.82580000000002</v>
      </c>
      <c r="H153" s="3799">
        <f t="shared" ref="H153:H157" si="195">SUM(E153+F153+G153)</f>
        <v>421.05602500000003</v>
      </c>
      <c r="I153" s="3801">
        <f t="shared" ref="I153" si="196">SUM(I152/2)</f>
        <v>138.86722499999999</v>
      </c>
      <c r="J153" s="3801">
        <f t="shared" ref="J153:K153" si="197">SUM(J152/2)</f>
        <v>136.24441249999998</v>
      </c>
      <c r="K153" s="3801">
        <f t="shared" si="197"/>
        <v>131.42782499999998</v>
      </c>
      <c r="L153" s="3799">
        <f t="shared" ref="L153:L157" si="198">SUM(I153+J153+K153)</f>
        <v>406.53946249999996</v>
      </c>
      <c r="M153" s="3799">
        <f t="shared" ref="M153:M157" si="199">SUM(H153+L153)</f>
        <v>827.59548749999999</v>
      </c>
      <c r="N153" s="3801">
        <f t="shared" ref="N153" si="200">SUM(N152/2)</f>
        <v>127.6885375</v>
      </c>
      <c r="O153" s="3801">
        <f t="shared" ref="O153:P153" si="201">SUM(O152/2)</f>
        <v>132.13489999999999</v>
      </c>
      <c r="P153" s="3801">
        <f t="shared" si="201"/>
        <v>137.97867500000001</v>
      </c>
      <c r="Q153" s="3799">
        <f t="shared" ref="Q153:Q157" si="202">SUM(N153+O153+P153)</f>
        <v>397.80211249999996</v>
      </c>
      <c r="R153" s="3799">
        <f t="shared" ref="R153:R157" si="203">SUM(M153+Q153)</f>
        <v>1225.3976</v>
      </c>
      <c r="S153" s="3801">
        <f t="shared" ref="S153" si="204">SUM(S152/2)</f>
        <v>140.82580000000002</v>
      </c>
      <c r="T153" s="3801">
        <f t="shared" ref="T153:U153" si="205">SUM(T152/2)</f>
        <v>140.82580000000002</v>
      </c>
      <c r="U153" s="3801">
        <f t="shared" si="205"/>
        <v>140.82580000000002</v>
      </c>
      <c r="V153" s="3799">
        <f t="shared" ref="V153:V157" si="206">SUM(S153+T153+U153)</f>
        <v>422.47740000000005</v>
      </c>
      <c r="W153" s="669">
        <f t="shared" si="183"/>
        <v>1647.8750000000002</v>
      </c>
    </row>
    <row r="154" spans="1:23" ht="18.75" customHeight="1">
      <c r="A154" s="3786" t="s">
        <v>1754</v>
      </c>
      <c r="B154" s="3790">
        <f>SUM(B152-B153)</f>
        <v>1647.875</v>
      </c>
      <c r="C154" s="3790">
        <f>SUM(C152-C153)</f>
        <v>1636.375</v>
      </c>
      <c r="D154" s="3790">
        <f>SUM(D152-D153)</f>
        <v>11.5</v>
      </c>
      <c r="E154" s="3801">
        <f>SUM(E152-E153)</f>
        <v>139.91766250000001</v>
      </c>
      <c r="F154" s="3801">
        <f t="shared" ref="F154:G154" si="207">SUM(F152-F153)</f>
        <v>140.31256250000001</v>
      </c>
      <c r="G154" s="3801">
        <f t="shared" si="207"/>
        <v>140.82580000000002</v>
      </c>
      <c r="H154" s="3799">
        <f t="shared" si="195"/>
        <v>421.05602500000003</v>
      </c>
      <c r="I154" s="3801">
        <f t="shared" ref="I154:K154" si="208">SUM(I152-I153)</f>
        <v>138.86722499999999</v>
      </c>
      <c r="J154" s="3801">
        <f t="shared" si="208"/>
        <v>136.24441249999998</v>
      </c>
      <c r="K154" s="3801">
        <f t="shared" si="208"/>
        <v>131.42782499999998</v>
      </c>
      <c r="L154" s="3799">
        <f t="shared" si="198"/>
        <v>406.53946249999996</v>
      </c>
      <c r="M154" s="3799">
        <f t="shared" si="199"/>
        <v>827.59548749999999</v>
      </c>
      <c r="N154" s="3801">
        <f t="shared" ref="N154:P154" si="209">SUM(N152-N153)</f>
        <v>127.6885375</v>
      </c>
      <c r="O154" s="3801">
        <f t="shared" si="209"/>
        <v>132.13489999999999</v>
      </c>
      <c r="P154" s="3801">
        <f t="shared" si="209"/>
        <v>137.97867500000001</v>
      </c>
      <c r="Q154" s="3799">
        <f t="shared" si="202"/>
        <v>397.80211249999996</v>
      </c>
      <c r="R154" s="3799">
        <f t="shared" si="203"/>
        <v>1225.3976</v>
      </c>
      <c r="S154" s="3801">
        <f t="shared" ref="S154:U154" si="210">SUM(S152-S153)</f>
        <v>140.82580000000002</v>
      </c>
      <c r="T154" s="3801">
        <f t="shared" si="210"/>
        <v>140.82580000000002</v>
      </c>
      <c r="U154" s="3801">
        <f t="shared" si="210"/>
        <v>140.82580000000002</v>
      </c>
      <c r="V154" s="3799">
        <f t="shared" si="206"/>
        <v>422.47740000000005</v>
      </c>
      <c r="W154" s="669">
        <f t="shared" si="183"/>
        <v>1647.8750000000002</v>
      </c>
    </row>
    <row r="155" spans="1:23" ht="18.75" customHeight="1">
      <c r="A155" s="3822" t="s">
        <v>1756</v>
      </c>
      <c r="B155" s="3787">
        <f>SUM(B14)</f>
        <v>2300</v>
      </c>
      <c r="C155" s="3787">
        <f>SUM(C14)</f>
        <v>2300</v>
      </c>
      <c r="D155" s="3787">
        <f>SUM(D14)</f>
        <v>0</v>
      </c>
      <c r="E155" s="3832">
        <f>SUM(E14)</f>
        <v>197.79999999999998</v>
      </c>
      <c r="F155" s="3832">
        <f t="shared" ref="F155:K155" si="211">SUM(F14)</f>
        <v>195.5</v>
      </c>
      <c r="G155" s="3832">
        <f t="shared" si="211"/>
        <v>196.42</v>
      </c>
      <c r="H155" s="3797">
        <f t="shared" si="195"/>
        <v>589.71999999999991</v>
      </c>
      <c r="I155" s="3832">
        <f t="shared" si="211"/>
        <v>193.89</v>
      </c>
      <c r="J155" s="3832">
        <f t="shared" si="211"/>
        <v>188.59999999999997</v>
      </c>
      <c r="K155" s="3832">
        <f t="shared" si="211"/>
        <v>181.47</v>
      </c>
      <c r="L155" s="3797">
        <f t="shared" si="198"/>
        <v>563.95999999999992</v>
      </c>
      <c r="M155" s="3797">
        <f t="shared" si="199"/>
        <v>1153.6799999999998</v>
      </c>
      <c r="N155" s="3832">
        <f t="shared" ref="N155:P155" si="212">SUM(N14)</f>
        <v>179.17</v>
      </c>
      <c r="O155" s="3832">
        <f t="shared" si="212"/>
        <v>186.52999999999997</v>
      </c>
      <c r="P155" s="3832">
        <f t="shared" si="212"/>
        <v>191.35999999999999</v>
      </c>
      <c r="Q155" s="3797">
        <f t="shared" si="202"/>
        <v>557.05999999999995</v>
      </c>
      <c r="R155" s="3797">
        <f t="shared" si="203"/>
        <v>1710.7399999999998</v>
      </c>
      <c r="S155" s="3832">
        <f t="shared" ref="S155:U155" si="213">SUM(S14)</f>
        <v>196.42</v>
      </c>
      <c r="T155" s="3832">
        <f t="shared" si="213"/>
        <v>196.42</v>
      </c>
      <c r="U155" s="3832">
        <f t="shared" si="213"/>
        <v>196.42</v>
      </c>
      <c r="V155" s="3797">
        <f t="shared" si="206"/>
        <v>589.26</v>
      </c>
      <c r="W155" s="3812">
        <f t="shared" si="183"/>
        <v>2300</v>
      </c>
    </row>
    <row r="156" spans="1:23" ht="18.75" customHeight="1">
      <c r="A156" s="3786" t="s">
        <v>391</v>
      </c>
      <c r="B156" s="3790">
        <f>SUM(B155/2)</f>
        <v>1150</v>
      </c>
      <c r="C156" s="3790">
        <f>SUM(C155/2)</f>
        <v>1150</v>
      </c>
      <c r="D156" s="3790">
        <f>SUM(D155/2)</f>
        <v>0</v>
      </c>
      <c r="E156" s="3798">
        <f>SUM(E155/2)</f>
        <v>98.899999999999991</v>
      </c>
      <c r="F156" s="3798">
        <f t="shared" ref="F156:G156" si="214">SUM(F155/2)</f>
        <v>97.75</v>
      </c>
      <c r="G156" s="3798">
        <f t="shared" si="214"/>
        <v>98.21</v>
      </c>
      <c r="H156" s="3799">
        <f t="shared" si="195"/>
        <v>294.85999999999996</v>
      </c>
      <c r="I156" s="3798">
        <f t="shared" ref="I156:K156" si="215">SUM(I155/2)</f>
        <v>96.944999999999993</v>
      </c>
      <c r="J156" s="3798">
        <f t="shared" si="215"/>
        <v>94.299999999999983</v>
      </c>
      <c r="K156" s="3798">
        <f t="shared" si="215"/>
        <v>90.734999999999999</v>
      </c>
      <c r="L156" s="3799">
        <f t="shared" si="198"/>
        <v>281.97999999999996</v>
      </c>
      <c r="M156" s="3799">
        <f t="shared" si="199"/>
        <v>576.83999999999992</v>
      </c>
      <c r="N156" s="3798">
        <f t="shared" ref="N156:P156" si="216">SUM(N155/2)</f>
        <v>89.584999999999994</v>
      </c>
      <c r="O156" s="3798">
        <f t="shared" si="216"/>
        <v>93.264999999999986</v>
      </c>
      <c r="P156" s="3798">
        <f t="shared" si="216"/>
        <v>95.679999999999993</v>
      </c>
      <c r="Q156" s="3799">
        <f t="shared" si="202"/>
        <v>278.52999999999997</v>
      </c>
      <c r="R156" s="3799">
        <f t="shared" si="203"/>
        <v>855.36999999999989</v>
      </c>
      <c r="S156" s="3798">
        <f t="shared" ref="S156:U156" si="217">SUM(S155/2)</f>
        <v>98.21</v>
      </c>
      <c r="T156" s="3798">
        <f t="shared" si="217"/>
        <v>98.21</v>
      </c>
      <c r="U156" s="3798">
        <f t="shared" si="217"/>
        <v>98.21</v>
      </c>
      <c r="V156" s="3799">
        <f t="shared" si="206"/>
        <v>294.63</v>
      </c>
      <c r="W156" s="3814">
        <f t="shared" si="183"/>
        <v>1150</v>
      </c>
    </row>
    <row r="157" spans="1:23" ht="18.75" customHeight="1">
      <c r="A157" s="3786" t="s">
        <v>1754</v>
      </c>
      <c r="B157" s="3790">
        <f>SUM(B155-B156)</f>
        <v>1150</v>
      </c>
      <c r="C157" s="3790">
        <f>SUM(C155-C156)</f>
        <v>1150</v>
      </c>
      <c r="D157" s="3790">
        <f>SUM(D155-D156)</f>
        <v>0</v>
      </c>
      <c r="E157" s="3798">
        <f>SUM(E155-E156)</f>
        <v>98.899999999999991</v>
      </c>
      <c r="F157" s="3798">
        <f t="shared" ref="F157:G157" si="218">SUM(F155-F156)</f>
        <v>97.75</v>
      </c>
      <c r="G157" s="3798">
        <f t="shared" si="218"/>
        <v>98.21</v>
      </c>
      <c r="H157" s="3799">
        <f t="shared" si="195"/>
        <v>294.85999999999996</v>
      </c>
      <c r="I157" s="3798">
        <f t="shared" ref="I157:K157" si="219">SUM(I155-I156)</f>
        <v>96.944999999999993</v>
      </c>
      <c r="J157" s="3798">
        <f t="shared" si="219"/>
        <v>94.299999999999983</v>
      </c>
      <c r="K157" s="3798">
        <f t="shared" si="219"/>
        <v>90.734999999999999</v>
      </c>
      <c r="L157" s="3799">
        <f t="shared" si="198"/>
        <v>281.97999999999996</v>
      </c>
      <c r="M157" s="3799">
        <f t="shared" si="199"/>
        <v>576.83999999999992</v>
      </c>
      <c r="N157" s="3798">
        <f t="shared" ref="N157:P157" si="220">SUM(N155-N156)</f>
        <v>89.584999999999994</v>
      </c>
      <c r="O157" s="3798">
        <f t="shared" si="220"/>
        <v>93.264999999999986</v>
      </c>
      <c r="P157" s="3798">
        <f t="shared" si="220"/>
        <v>95.679999999999993</v>
      </c>
      <c r="Q157" s="3799">
        <f t="shared" si="202"/>
        <v>278.52999999999997</v>
      </c>
      <c r="R157" s="3799">
        <f t="shared" si="203"/>
        <v>855.36999999999989</v>
      </c>
      <c r="S157" s="3798">
        <f t="shared" ref="S157:U157" si="221">SUM(S155-S156)</f>
        <v>98.21</v>
      </c>
      <c r="T157" s="3798">
        <f t="shared" si="221"/>
        <v>98.21</v>
      </c>
      <c r="U157" s="3798">
        <f t="shared" si="221"/>
        <v>98.21</v>
      </c>
      <c r="V157" s="3799">
        <f t="shared" si="206"/>
        <v>294.63</v>
      </c>
      <c r="W157" s="3814">
        <f t="shared" si="183"/>
        <v>1150</v>
      </c>
    </row>
    <row r="158" spans="1:23" ht="18.75" customHeight="1">
      <c r="A158" s="3822" t="s">
        <v>1757</v>
      </c>
      <c r="B158" s="3787">
        <f>SUM(B142)</f>
        <v>27.390385260111881</v>
      </c>
      <c r="C158" s="3787">
        <f>SUM(C142)</f>
        <v>27.48044230465138</v>
      </c>
      <c r="D158" s="3787">
        <f>SUM(D142)</f>
        <v>14.575855150693043</v>
      </c>
      <c r="E158" s="3808">
        <f>SUM(E142)</f>
        <v>25.804587711402199</v>
      </c>
      <c r="F158" s="3808">
        <f t="shared" ref="F158:W158" si="222">SUM(F142)</f>
        <v>25.704169095901079</v>
      </c>
      <c r="G158" s="3808">
        <f t="shared" si="222"/>
        <v>27.276186806923384</v>
      </c>
      <c r="H158" s="3797">
        <f t="shared" si="222"/>
        <v>26.263313190137207</v>
      </c>
      <c r="I158" s="3808">
        <f t="shared" si="222"/>
        <v>25.880857220667256</v>
      </c>
      <c r="J158" s="3808">
        <f t="shared" si="222"/>
        <v>26.238617524236403</v>
      </c>
      <c r="K158" s="3808">
        <f t="shared" si="222"/>
        <v>28.883409820137775</v>
      </c>
      <c r="L158" s="3797">
        <f t="shared" si="222"/>
        <v>26.971432283775936</v>
      </c>
      <c r="M158" s="3797">
        <f t="shared" si="222"/>
        <v>26.611162302489785</v>
      </c>
      <c r="N158" s="3808">
        <f t="shared" si="222"/>
        <v>29.28223887635853</v>
      </c>
      <c r="O158" s="3808">
        <f t="shared" si="222"/>
        <v>28.377096879007404</v>
      </c>
      <c r="P158" s="3808">
        <f t="shared" si="222"/>
        <v>29.036543425542156</v>
      </c>
      <c r="Q158" s="3797">
        <f t="shared" si="222"/>
        <v>28.89636465588676</v>
      </c>
      <c r="R158" s="3797">
        <f t="shared" si="222"/>
        <v>27.353009947426653</v>
      </c>
      <c r="S158" s="3808">
        <f t="shared" si="222"/>
        <v>26.901033959587874</v>
      </c>
      <c r="T158" s="3808">
        <f t="shared" si="222"/>
        <v>26.938362483194567</v>
      </c>
      <c r="U158" s="3808">
        <f t="shared" si="222"/>
        <v>28.656981114756427</v>
      </c>
      <c r="V158" s="3797">
        <f t="shared" si="222"/>
        <v>27.498792519179624</v>
      </c>
      <c r="W158" s="3833">
        <f t="shared" si="222"/>
        <v>27.390385259194531</v>
      </c>
    </row>
    <row r="159" spans="1:23" ht="18.75" customHeight="1">
      <c r="A159" s="3786" t="s">
        <v>391</v>
      </c>
      <c r="B159" s="3790">
        <f>SUM(B150/B153)</f>
        <v>25.050660779406151</v>
      </c>
      <c r="C159" s="3790">
        <f>SUM('Тариф стоки 2016-2017 ПЛАН'!J32)</f>
        <v>25.126362899285034</v>
      </c>
      <c r="D159" s="3790">
        <f>SUM('Тариф очистка 2016-2017 ПЛАН'!J31)</f>
        <v>14.278742830118365</v>
      </c>
      <c r="E159" s="3791">
        <f>SUM(B159)</f>
        <v>25.050660779406151</v>
      </c>
      <c r="F159" s="3791">
        <f>SUM(E159)</f>
        <v>25.050660779406151</v>
      </c>
      <c r="G159" s="3791">
        <f>SUM(E159)</f>
        <v>25.050660779406151</v>
      </c>
      <c r="H159" s="3790">
        <f>SUM(E159)</f>
        <v>25.050660779406151</v>
      </c>
      <c r="I159" s="3791">
        <f>SUM(E159)</f>
        <v>25.050660779406151</v>
      </c>
      <c r="J159" s="3791">
        <f>SUM(E159)</f>
        <v>25.050660779406151</v>
      </c>
      <c r="K159" s="3791">
        <f>SUM(E159)</f>
        <v>25.050660779406151</v>
      </c>
      <c r="L159" s="3790">
        <f>SUM(E159)</f>
        <v>25.050660779406151</v>
      </c>
      <c r="M159" s="3790">
        <f>SUM(E159)</f>
        <v>25.050660779406151</v>
      </c>
      <c r="N159" s="3791">
        <f>SUM(E159)</f>
        <v>25.050660779406151</v>
      </c>
      <c r="O159" s="3791">
        <f>SUM(E159)</f>
        <v>25.050660779406151</v>
      </c>
      <c r="P159" s="3791">
        <f>SUM(E159)</f>
        <v>25.050660779406151</v>
      </c>
      <c r="Q159" s="3790">
        <f>SUM(E159)</f>
        <v>25.050660779406151</v>
      </c>
      <c r="R159" s="3790">
        <f>SUM(E159)</f>
        <v>25.050660779406151</v>
      </c>
      <c r="S159" s="3791">
        <f>SUM(E159)</f>
        <v>25.050660779406151</v>
      </c>
      <c r="T159" s="3791">
        <f>SUM(E159)</f>
        <v>25.050660779406151</v>
      </c>
      <c r="U159" s="3791">
        <f>SUM(E159)</f>
        <v>25.050660779406151</v>
      </c>
      <c r="V159" s="3790">
        <f>SUM(E159)</f>
        <v>25.050660779406151</v>
      </c>
      <c r="W159" s="3836">
        <f>SUM(E159)</f>
        <v>25.050660779406151</v>
      </c>
    </row>
    <row r="160" spans="1:23" ht="18.75" customHeight="1">
      <c r="A160" s="3786" t="s">
        <v>1754</v>
      </c>
      <c r="B160" s="3790">
        <f>SUM(B151/B154)</f>
        <v>29.730109740817607</v>
      </c>
      <c r="C160" s="3790">
        <f>SUM(C151/C154)</f>
        <v>29.834521710017725</v>
      </c>
      <c r="D160" s="3790">
        <f>SUM(D151/D154)</f>
        <v>14.872967471267721</v>
      </c>
      <c r="E160" s="3801">
        <f>SUM(E151/E154)</f>
        <v>26.558514643398247</v>
      </c>
      <c r="F160" s="3801">
        <f t="shared" ref="F160:W160" si="223">SUM(F151/F154)</f>
        <v>26.357677412396008</v>
      </c>
      <c r="G160" s="3801">
        <f t="shared" si="223"/>
        <v>29.501712834440617</v>
      </c>
      <c r="H160" s="3799">
        <f t="shared" si="223"/>
        <v>27.47596560086826</v>
      </c>
      <c r="I160" s="3801">
        <f t="shared" si="223"/>
        <v>26.711053661928361</v>
      </c>
      <c r="J160" s="3801">
        <f t="shared" si="223"/>
        <v>27.426574269066659</v>
      </c>
      <c r="K160" s="3801">
        <f t="shared" si="223"/>
        <v>32.716158860869406</v>
      </c>
      <c r="L160" s="3799">
        <f t="shared" si="223"/>
        <v>28.892203788145721</v>
      </c>
      <c r="M160" s="3799">
        <f t="shared" si="223"/>
        <v>28.171663825573422</v>
      </c>
      <c r="N160" s="3801">
        <f t="shared" si="223"/>
        <v>33.513816973310902</v>
      </c>
      <c r="O160" s="3801">
        <f t="shared" si="223"/>
        <v>31.703532978608653</v>
      </c>
      <c r="P160" s="3801">
        <f t="shared" si="223"/>
        <v>33.022426071678161</v>
      </c>
      <c r="Q160" s="3799">
        <f t="shared" si="223"/>
        <v>32.742068532367362</v>
      </c>
      <c r="R160" s="3799">
        <f t="shared" si="223"/>
        <v>29.655359115447148</v>
      </c>
      <c r="S160" s="3801">
        <f t="shared" si="223"/>
        <v>28.751407139769597</v>
      </c>
      <c r="T160" s="3801">
        <f t="shared" si="223"/>
        <v>28.826064186982979</v>
      </c>
      <c r="U160" s="3801">
        <f t="shared" si="223"/>
        <v>32.263301450106702</v>
      </c>
      <c r="V160" s="3799">
        <f t="shared" si="223"/>
        <v>29.946924258953093</v>
      </c>
      <c r="W160" s="669">
        <f t="shared" si="223"/>
        <v>29.730109738982922</v>
      </c>
    </row>
    <row r="161" spans="1:23" ht="18.75" customHeight="1">
      <c r="A161" s="3826" t="s">
        <v>1758</v>
      </c>
      <c r="B161" s="3795">
        <f>SUM(B160/B159)</f>
        <v>1.1867994222834384</v>
      </c>
      <c r="C161" s="3795">
        <f t="shared" ref="C161:W161" si="224">SUM(C160/C159)</f>
        <v>1.1873792410626474</v>
      </c>
      <c r="D161" s="3795">
        <f t="shared" si="224"/>
        <v>1.0416160335835694</v>
      </c>
      <c r="E161" s="3824">
        <f t="shared" si="224"/>
        <v>1.0601921792510833</v>
      </c>
      <c r="F161" s="3824">
        <f t="shared" si="224"/>
        <v>1.0521749364018509</v>
      </c>
      <c r="G161" s="3824">
        <f t="shared" si="224"/>
        <v>1.1776820218129185</v>
      </c>
      <c r="H161" s="3795">
        <f t="shared" si="224"/>
        <v>1.0968160018938871</v>
      </c>
      <c r="I161" s="3824">
        <f t="shared" si="224"/>
        <v>1.0662814006042987</v>
      </c>
      <c r="J161" s="3824">
        <f t="shared" si="224"/>
        <v>1.0948443440507454</v>
      </c>
      <c r="K161" s="3824">
        <f t="shared" si="224"/>
        <v>1.3059998356516396</v>
      </c>
      <c r="L161" s="3795">
        <f t="shared" si="224"/>
        <v>1.1533509651728491</v>
      </c>
      <c r="M161" s="3795">
        <f t="shared" si="224"/>
        <v>1.1245876535413792</v>
      </c>
      <c r="N161" s="3824">
        <f t="shared" si="224"/>
        <v>1.3378416349345248</v>
      </c>
      <c r="O161" s="3824">
        <f t="shared" si="224"/>
        <v>1.2655767150330721</v>
      </c>
      <c r="P161" s="3824">
        <f t="shared" si="224"/>
        <v>1.3182257491117961</v>
      </c>
      <c r="Q161" s="3795">
        <f t="shared" si="224"/>
        <v>1.3070341265921506</v>
      </c>
      <c r="R161" s="3795">
        <f t="shared" si="224"/>
        <v>1.1838154440950501</v>
      </c>
      <c r="S161" s="3824">
        <f t="shared" si="224"/>
        <v>1.1477304887464599</v>
      </c>
      <c r="T161" s="3824">
        <f t="shared" si="224"/>
        <v>1.1507107313784131</v>
      </c>
      <c r="U161" s="3824">
        <f t="shared" si="224"/>
        <v>1.2879221723616161</v>
      </c>
      <c r="V161" s="3795">
        <f t="shared" si="224"/>
        <v>1.1954544641621629</v>
      </c>
      <c r="W161" s="3816">
        <f t="shared" si="224"/>
        <v>1.1867994222101994</v>
      </c>
    </row>
    <row r="162" spans="1:23" ht="18.75" customHeight="1">
      <c r="A162" s="3822" t="s">
        <v>1759</v>
      </c>
      <c r="B162" s="3797">
        <f>SUM((B163*B156)+(B164*B157))/B155</f>
        <v>22.984999999999999</v>
      </c>
      <c r="C162" s="3797">
        <f>SUM((C163*C156)+(C164*C157))/C155</f>
        <v>22.984999999999999</v>
      </c>
      <c r="D162" s="3797">
        <v>0</v>
      </c>
      <c r="E162" s="3808">
        <f>SUM((E163*E156)+(E164*E157))/E155</f>
        <v>22.984999999999996</v>
      </c>
      <c r="F162" s="3808">
        <f>SUM((F163*F156)+(F164*F157))/F155</f>
        <v>22.985000000000007</v>
      </c>
      <c r="G162" s="3808">
        <f>SUM((G163*G156)+(G164*G157))/G155</f>
        <v>22.985000000000003</v>
      </c>
      <c r="H162" s="3797">
        <f>SUM((H163*H156)+(H164*H157))/H155</f>
        <v>22.984999999999999</v>
      </c>
      <c r="I162" s="3808">
        <f t="shared" ref="I162:W162" si="225">SUM((I163*I156)+(I164*I157))/I155</f>
        <v>22.984999999999999</v>
      </c>
      <c r="J162" s="3808">
        <f t="shared" si="225"/>
        <v>22.985000000000003</v>
      </c>
      <c r="K162" s="3808">
        <f t="shared" si="225"/>
        <v>22.984999999999999</v>
      </c>
      <c r="L162" s="3797">
        <f t="shared" si="225"/>
        <v>22.984999999999999</v>
      </c>
      <c r="M162" s="3797">
        <f t="shared" si="225"/>
        <v>22.984999999999999</v>
      </c>
      <c r="N162" s="3808">
        <f t="shared" si="225"/>
        <v>22.985000000000003</v>
      </c>
      <c r="O162" s="3808">
        <f t="shared" si="225"/>
        <v>22.984999999999999</v>
      </c>
      <c r="P162" s="3808">
        <f t="shared" si="225"/>
        <v>22.985000000000003</v>
      </c>
      <c r="Q162" s="3797">
        <f t="shared" si="225"/>
        <v>22.984999999999999</v>
      </c>
      <c r="R162" s="3797">
        <f t="shared" si="225"/>
        <v>22.984999999999999</v>
      </c>
      <c r="S162" s="3808">
        <f t="shared" si="225"/>
        <v>22.985000000000003</v>
      </c>
      <c r="T162" s="3808">
        <f t="shared" si="225"/>
        <v>22.985000000000003</v>
      </c>
      <c r="U162" s="3808">
        <f t="shared" si="225"/>
        <v>22.985000000000003</v>
      </c>
      <c r="V162" s="3797">
        <f t="shared" si="225"/>
        <v>22.985000000000003</v>
      </c>
      <c r="W162" s="3833">
        <f t="shared" si="225"/>
        <v>22.984999999999999</v>
      </c>
    </row>
    <row r="163" spans="1:23" ht="18.75" customHeight="1">
      <c r="A163" s="3786" t="s">
        <v>391</v>
      </c>
      <c r="B163" s="3790">
        <f>SUM(C163)</f>
        <v>22.500000000000004</v>
      </c>
      <c r="C163" s="3790">
        <f>SUM('Тариф стоки 2016-2017 ПЛАН'!J39)</f>
        <v>22.500000000000004</v>
      </c>
      <c r="D163" s="3790">
        <v>0</v>
      </c>
      <c r="E163" s="3791">
        <f>SUM(C163)</f>
        <v>22.500000000000004</v>
      </c>
      <c r="F163" s="3791">
        <f>SUM(E163)</f>
        <v>22.500000000000004</v>
      </c>
      <c r="G163" s="3791">
        <f>SUM(E163)</f>
        <v>22.500000000000004</v>
      </c>
      <c r="H163" s="3790">
        <f>SUM(E163)</f>
        <v>22.500000000000004</v>
      </c>
      <c r="I163" s="3791">
        <f>SUM(E163)</f>
        <v>22.500000000000004</v>
      </c>
      <c r="J163" s="3791">
        <f>SUM(E163)</f>
        <v>22.500000000000004</v>
      </c>
      <c r="K163" s="3791">
        <f>SUM(E163)</f>
        <v>22.500000000000004</v>
      </c>
      <c r="L163" s="3790">
        <f>SUM(E163)</f>
        <v>22.500000000000004</v>
      </c>
      <c r="M163" s="3790">
        <f>SUM(E163)</f>
        <v>22.500000000000004</v>
      </c>
      <c r="N163" s="3791">
        <f>SUM(E163)</f>
        <v>22.500000000000004</v>
      </c>
      <c r="O163" s="3791">
        <f>SUM(E163)</f>
        <v>22.500000000000004</v>
      </c>
      <c r="P163" s="3791">
        <f>SUM(E163)</f>
        <v>22.500000000000004</v>
      </c>
      <c r="Q163" s="3790">
        <f>SUM(E163)</f>
        <v>22.500000000000004</v>
      </c>
      <c r="R163" s="3790">
        <f>SUM(E163)</f>
        <v>22.500000000000004</v>
      </c>
      <c r="S163" s="3791">
        <f>SUM(E163)</f>
        <v>22.500000000000004</v>
      </c>
      <c r="T163" s="3791">
        <f>SUM(E163)</f>
        <v>22.500000000000004</v>
      </c>
      <c r="U163" s="3791">
        <f>SUM(E163)</f>
        <v>22.500000000000004</v>
      </c>
      <c r="V163" s="3790">
        <f>SUM(E163)</f>
        <v>22.500000000000004</v>
      </c>
      <c r="W163" s="3836">
        <f>SUM(E163)</f>
        <v>22.500000000000004</v>
      </c>
    </row>
    <row r="164" spans="1:23" ht="18.75" customHeight="1">
      <c r="A164" s="3786" t="s">
        <v>1754</v>
      </c>
      <c r="B164" s="3790">
        <f>SUM(C164)</f>
        <v>23.47</v>
      </c>
      <c r="C164" s="3790">
        <f>SUM('Тариф стоки 2016-2017 ПЛАН'!J40)</f>
        <v>23.47</v>
      </c>
      <c r="D164" s="3790">
        <v>0</v>
      </c>
      <c r="E164" s="3791">
        <f>SUM(C164)</f>
        <v>23.47</v>
      </c>
      <c r="F164" s="3791">
        <f>SUM(E164)</f>
        <v>23.47</v>
      </c>
      <c r="G164" s="3791">
        <f>SUM(E164)</f>
        <v>23.47</v>
      </c>
      <c r="H164" s="3790">
        <f>SUM(E164)</f>
        <v>23.47</v>
      </c>
      <c r="I164" s="3791">
        <f>SUM(E164)</f>
        <v>23.47</v>
      </c>
      <c r="J164" s="3791">
        <f>SUM(E164)</f>
        <v>23.47</v>
      </c>
      <c r="K164" s="3791">
        <f>SUM(E164)</f>
        <v>23.47</v>
      </c>
      <c r="L164" s="3790">
        <f>SUM(E164)</f>
        <v>23.47</v>
      </c>
      <c r="M164" s="3790">
        <f>SUM(E164)</f>
        <v>23.47</v>
      </c>
      <c r="N164" s="3791">
        <f>SUM(E164)</f>
        <v>23.47</v>
      </c>
      <c r="O164" s="3791">
        <f>SUM(E164)</f>
        <v>23.47</v>
      </c>
      <c r="P164" s="3791">
        <f>SUM(E164)</f>
        <v>23.47</v>
      </c>
      <c r="Q164" s="3790">
        <f>SUM(E164)</f>
        <v>23.47</v>
      </c>
      <c r="R164" s="3790">
        <f>SUM(E164)</f>
        <v>23.47</v>
      </c>
      <c r="S164" s="3791">
        <f>SUM(E164)</f>
        <v>23.47</v>
      </c>
      <c r="T164" s="3791">
        <f>SUM(E164)</f>
        <v>23.47</v>
      </c>
      <c r="U164" s="3791">
        <f>SUM(E164)</f>
        <v>23.47</v>
      </c>
      <c r="V164" s="3790">
        <f>SUM(E164)</f>
        <v>23.47</v>
      </c>
      <c r="W164" s="3836">
        <f>SUM(E164)</f>
        <v>23.47</v>
      </c>
    </row>
    <row r="165" spans="1:23" ht="18.75" customHeight="1">
      <c r="A165" s="3826" t="s">
        <v>1760</v>
      </c>
      <c r="B165" s="3795">
        <f>SUM(B164/B163)</f>
        <v>1.0431111111111109</v>
      </c>
      <c r="C165" s="3795">
        <f t="shared" ref="C165:W165" si="226">SUM(C164/C163)</f>
        <v>1.0431111111111109</v>
      </c>
      <c r="D165" s="3795">
        <v>0</v>
      </c>
      <c r="E165" s="3824">
        <f t="shared" si="226"/>
        <v>1.0431111111111109</v>
      </c>
      <c r="F165" s="3824">
        <f t="shared" si="226"/>
        <v>1.0431111111111109</v>
      </c>
      <c r="G165" s="3824">
        <f t="shared" si="226"/>
        <v>1.0431111111111109</v>
      </c>
      <c r="H165" s="3795">
        <f t="shared" si="226"/>
        <v>1.0431111111111109</v>
      </c>
      <c r="I165" s="3824">
        <f t="shared" si="226"/>
        <v>1.0431111111111109</v>
      </c>
      <c r="J165" s="3824">
        <f t="shared" si="226"/>
        <v>1.0431111111111109</v>
      </c>
      <c r="K165" s="3824">
        <f t="shared" si="226"/>
        <v>1.0431111111111109</v>
      </c>
      <c r="L165" s="3795">
        <f t="shared" si="226"/>
        <v>1.0431111111111109</v>
      </c>
      <c r="M165" s="3795">
        <f t="shared" si="226"/>
        <v>1.0431111111111109</v>
      </c>
      <c r="N165" s="3824">
        <f t="shared" si="226"/>
        <v>1.0431111111111109</v>
      </c>
      <c r="O165" s="3824">
        <f t="shared" si="226"/>
        <v>1.0431111111111109</v>
      </c>
      <c r="P165" s="3824">
        <f t="shared" si="226"/>
        <v>1.0431111111111109</v>
      </c>
      <c r="Q165" s="3795">
        <f t="shared" si="226"/>
        <v>1.0431111111111109</v>
      </c>
      <c r="R165" s="3795">
        <f t="shared" si="226"/>
        <v>1.0431111111111109</v>
      </c>
      <c r="S165" s="3824">
        <f t="shared" si="226"/>
        <v>1.0431111111111109</v>
      </c>
      <c r="T165" s="3824">
        <f t="shared" si="226"/>
        <v>1.0431111111111109</v>
      </c>
      <c r="U165" s="3824">
        <f t="shared" si="226"/>
        <v>1.0431111111111109</v>
      </c>
      <c r="V165" s="3795">
        <f t="shared" si="226"/>
        <v>1.0431111111111109</v>
      </c>
      <c r="W165" s="3816">
        <f t="shared" si="226"/>
        <v>1.0431111111111109</v>
      </c>
    </row>
    <row r="166" spans="1:23" ht="18.75" customHeight="1">
      <c r="A166" s="3822" t="s">
        <v>1761</v>
      </c>
      <c r="B166" s="3787">
        <f>SUM(B167:B168)</f>
        <v>10339.517300698169</v>
      </c>
      <c r="C166" s="3787">
        <f>SUM(C167:C168)</f>
        <v>10339.517300698169</v>
      </c>
      <c r="D166" s="3787">
        <f>SUM(D167:D168)</f>
        <v>0</v>
      </c>
      <c r="E166" s="3823">
        <f>SUM(E167:E168)</f>
        <v>889.19848786004252</v>
      </c>
      <c r="F166" s="3823">
        <f t="shared" ref="F166:G166" si="227">SUM(F167:F168)</f>
        <v>878.85897055934447</v>
      </c>
      <c r="G166" s="3823">
        <f t="shared" si="227"/>
        <v>882.99477747962374</v>
      </c>
      <c r="H166" s="3797">
        <f t="shared" ref="H166:H167" si="228">SUM(E166+F166+G166)</f>
        <v>2651.0522358990106</v>
      </c>
      <c r="I166" s="3823">
        <f t="shared" ref="I166:K166" si="229">SUM(I167:I168)</f>
        <v>871.62130844885564</v>
      </c>
      <c r="J166" s="3823">
        <f t="shared" si="229"/>
        <v>847.84041865724987</v>
      </c>
      <c r="K166" s="3823">
        <f t="shared" si="229"/>
        <v>815.78791502508557</v>
      </c>
      <c r="L166" s="3797">
        <f t="shared" ref="L166:L167" si="230">SUM(I166+J166+K166)</f>
        <v>2535.2496421311912</v>
      </c>
      <c r="M166" s="3797">
        <f t="shared" ref="M166:M168" si="231">SUM(H166+L166)</f>
        <v>5186.3018780302018</v>
      </c>
      <c r="N166" s="3823">
        <f t="shared" ref="N166:P166" si="232">SUM(N167:N168)</f>
        <v>805.44839772438741</v>
      </c>
      <c r="O166" s="3823">
        <f t="shared" si="232"/>
        <v>838.53485308662152</v>
      </c>
      <c r="P166" s="3823">
        <f t="shared" si="232"/>
        <v>860.24783941808778</v>
      </c>
      <c r="Q166" s="3797">
        <f t="shared" ref="Q166:Q167" si="233">SUM(N166+O166+P166)</f>
        <v>2504.2310902290965</v>
      </c>
      <c r="R166" s="3797">
        <f t="shared" ref="R166:R168" si="234">SUM(M166+Q166)</f>
        <v>7690.5329682592983</v>
      </c>
      <c r="S166" s="3823">
        <f t="shared" ref="S166:U166" si="235">SUM(S167:S168)</f>
        <v>882.99477747962374</v>
      </c>
      <c r="T166" s="3823">
        <f t="shared" si="235"/>
        <v>882.99477747962374</v>
      </c>
      <c r="U166" s="3823">
        <f t="shared" si="235"/>
        <v>882.99477747962374</v>
      </c>
      <c r="V166" s="3797">
        <f t="shared" ref="V166:V167" si="236">SUM(S166+T166+U166)</f>
        <v>2648.9843324388712</v>
      </c>
      <c r="W166" s="3812">
        <f t="shared" ref="W166:W168" si="237">SUM(E166+F166+G166+I166+J166+K166+N166+O166+P166+S166+T166+U166)</f>
        <v>10339.517300698169</v>
      </c>
    </row>
    <row r="167" spans="1:23" ht="18.75" customHeight="1">
      <c r="A167" s="3786" t="s">
        <v>391</v>
      </c>
      <c r="B167" s="3790">
        <f>SUM(C159-C163)*C156</f>
        <v>3020.3173341777851</v>
      </c>
      <c r="C167" s="3790">
        <f>SUM(C159-C163)*C156</f>
        <v>3020.3173341777851</v>
      </c>
      <c r="D167" s="3790">
        <f>SUM(D159-D163)*D156</f>
        <v>0</v>
      </c>
      <c r="E167" s="3798">
        <f>SUM(C159-E163)*E156</f>
        <v>259.7472907392895</v>
      </c>
      <c r="F167" s="3798">
        <f>SUM(C159-F163)*F156</f>
        <v>256.72697340511178</v>
      </c>
      <c r="G167" s="3798">
        <f>SUM(C159-G163)*G156</f>
        <v>257.93510033878283</v>
      </c>
      <c r="H167" s="3799">
        <f t="shared" si="228"/>
        <v>774.40936448318416</v>
      </c>
      <c r="I167" s="3798">
        <f>SUM(C159-I163)*I156</f>
        <v>254.61275127118728</v>
      </c>
      <c r="J167" s="3798">
        <f>SUM(C159-J163)*J156</f>
        <v>247.66602140257837</v>
      </c>
      <c r="K167" s="3798">
        <f>SUM(C159-K163)*K156</f>
        <v>238.30303766662726</v>
      </c>
      <c r="L167" s="3799">
        <f t="shared" si="230"/>
        <v>740.58181034039285</v>
      </c>
      <c r="M167" s="3799">
        <f t="shared" si="231"/>
        <v>1514.991174823577</v>
      </c>
      <c r="N167" s="3798">
        <f>SUM(C159-N163)*N156</f>
        <v>235.28272033244946</v>
      </c>
      <c r="O167" s="3798">
        <f>SUM(C159-O163)*O156</f>
        <v>244.94773580181837</v>
      </c>
      <c r="P167" s="3798">
        <f>SUM(C159-P163)*P156</f>
        <v>251.29040220359173</v>
      </c>
      <c r="Q167" s="3799">
        <f t="shared" si="233"/>
        <v>731.52085833785952</v>
      </c>
      <c r="R167" s="3799">
        <f t="shared" si="234"/>
        <v>2246.5120331614366</v>
      </c>
      <c r="S167" s="3798">
        <f>SUM(C159-S163)*S156</f>
        <v>257.93510033878283</v>
      </c>
      <c r="T167" s="3798">
        <f>SUM(C159-T163)*T156</f>
        <v>257.93510033878283</v>
      </c>
      <c r="U167" s="3798">
        <f>SUM(C159-U163)*U156</f>
        <v>257.93510033878283</v>
      </c>
      <c r="V167" s="3799">
        <f t="shared" si="236"/>
        <v>773.80530101634849</v>
      </c>
      <c r="W167" s="3814">
        <f t="shared" si="237"/>
        <v>3020.3173341777851</v>
      </c>
    </row>
    <row r="168" spans="1:23" ht="18.75" customHeight="1">
      <c r="A168" s="3786" t="s">
        <v>1754</v>
      </c>
      <c r="B168" s="3790">
        <f>SUM(C160-C164)*C157</f>
        <v>7319.1999665203848</v>
      </c>
      <c r="C168" s="3790">
        <f>SUM(C160-C164)*C157</f>
        <v>7319.1999665203848</v>
      </c>
      <c r="D168" s="3790">
        <f>SUM([20]стоки!AI113)</f>
        <v>0</v>
      </c>
      <c r="E168" s="3798">
        <f>SUM(C160-E164)*E157</f>
        <v>629.45119712075302</v>
      </c>
      <c r="F168" s="3798">
        <f>SUM(C160-F164)*F157</f>
        <v>622.13199715423275</v>
      </c>
      <c r="G168" s="3798">
        <f>SUM(C160-G164)*G157</f>
        <v>625.0596771408409</v>
      </c>
      <c r="H168" s="3799">
        <f t="shared" ref="H168" si="238">SUM(E168+F168+G168)</f>
        <v>1876.6428714158267</v>
      </c>
      <c r="I168" s="3798">
        <f>SUM(C160-I164)*I157</f>
        <v>617.00855717766842</v>
      </c>
      <c r="J168" s="3798">
        <f>SUM(C160-J164)*J157</f>
        <v>600.17439725467148</v>
      </c>
      <c r="K168" s="3798">
        <f>SUM(C160-K164)*K157</f>
        <v>577.48487735845833</v>
      </c>
      <c r="L168" s="3799">
        <f t="shared" ref="L168" si="239">SUM(I168+J168+K168)</f>
        <v>1794.6678317907983</v>
      </c>
      <c r="M168" s="3799">
        <f t="shared" si="231"/>
        <v>3671.310703206625</v>
      </c>
      <c r="N168" s="3798">
        <f>SUM(C160-N164)*N157</f>
        <v>570.16567739193795</v>
      </c>
      <c r="O168" s="3798">
        <f>SUM(C160-O164)*O157</f>
        <v>593.58711728480318</v>
      </c>
      <c r="P168" s="3798">
        <f>SUM(C160-P164)*P157</f>
        <v>608.95743721449605</v>
      </c>
      <c r="Q168" s="3799">
        <f t="shared" ref="Q168" si="240">SUM(N168+O168+P168)</f>
        <v>1772.7102318912371</v>
      </c>
      <c r="R168" s="3799">
        <f t="shared" si="234"/>
        <v>5444.0209350978621</v>
      </c>
      <c r="S168" s="3798">
        <f>SUM(C160-S164)*S157</f>
        <v>625.0596771408409</v>
      </c>
      <c r="T168" s="3798">
        <f>SUM(C160-T164)*T157</f>
        <v>625.0596771408409</v>
      </c>
      <c r="U168" s="3798">
        <f>SUM(C160-U164)*U157</f>
        <v>625.0596771408409</v>
      </c>
      <c r="V168" s="3799">
        <f t="shared" ref="V168" si="241">SUM(S168+T168+U168)</f>
        <v>1875.1790314225227</v>
      </c>
      <c r="W168" s="3814">
        <f t="shared" si="237"/>
        <v>7319.1999665203839</v>
      </c>
    </row>
    <row r="169" spans="1:23" ht="18.75" customHeight="1">
      <c r="A169" s="4386" t="s">
        <v>1792</v>
      </c>
      <c r="B169" s="4387"/>
      <c r="C169" s="4387"/>
      <c r="D169" s="4387"/>
      <c r="E169" s="4387"/>
      <c r="F169" s="4387"/>
      <c r="G169" s="4387"/>
      <c r="H169" s="4387"/>
      <c r="I169" s="4387"/>
      <c r="J169" s="4387"/>
      <c r="K169" s="4387"/>
      <c r="L169" s="4387"/>
      <c r="M169" s="4387"/>
      <c r="N169" s="4387"/>
      <c r="O169" s="4387"/>
      <c r="P169" s="4387"/>
      <c r="Q169" s="4387"/>
      <c r="R169" s="4387"/>
      <c r="S169" s="4387"/>
      <c r="T169" s="4387"/>
      <c r="U169" s="4387"/>
      <c r="V169" s="4388"/>
      <c r="W169" s="3835"/>
    </row>
    <row r="170" spans="1:23" ht="18.75" customHeight="1">
      <c r="A170" s="4383" t="s">
        <v>546</v>
      </c>
      <c r="B170" s="4389" t="s">
        <v>1782</v>
      </c>
      <c r="C170" s="4389" t="s">
        <v>1561</v>
      </c>
      <c r="D170" s="4390"/>
      <c r="E170" s="4383" t="s">
        <v>587</v>
      </c>
      <c r="F170" s="4383" t="s">
        <v>588</v>
      </c>
      <c r="G170" s="4383" t="s">
        <v>589</v>
      </c>
      <c r="H170" s="4384" t="s">
        <v>601</v>
      </c>
      <c r="I170" s="4383" t="s">
        <v>590</v>
      </c>
      <c r="J170" s="4383" t="s">
        <v>591</v>
      </c>
      <c r="K170" s="4383" t="s">
        <v>592</v>
      </c>
      <c r="L170" s="4384" t="s">
        <v>600</v>
      </c>
      <c r="M170" s="4384" t="s">
        <v>599</v>
      </c>
      <c r="N170" s="4383" t="s">
        <v>593</v>
      </c>
      <c r="O170" s="4383" t="s">
        <v>594</v>
      </c>
      <c r="P170" s="4383" t="s">
        <v>595</v>
      </c>
      <c r="Q170" s="4384" t="s">
        <v>225</v>
      </c>
      <c r="R170" s="4384" t="s">
        <v>229</v>
      </c>
      <c r="S170" s="4383" t="s">
        <v>596</v>
      </c>
      <c r="T170" s="4383" t="s">
        <v>597</v>
      </c>
      <c r="U170" s="4383" t="s">
        <v>598</v>
      </c>
      <c r="V170" s="4384" t="s">
        <v>135</v>
      </c>
      <c r="W170" s="4385" t="s">
        <v>602</v>
      </c>
    </row>
    <row r="171" spans="1:23" ht="40.5" customHeight="1">
      <c r="A171" s="4383"/>
      <c r="B171" s="4389"/>
      <c r="C171" s="3906" t="s">
        <v>352</v>
      </c>
      <c r="D171" s="3906" t="s">
        <v>1770</v>
      </c>
      <c r="E171" s="4383"/>
      <c r="F171" s="4383"/>
      <c r="G171" s="4383"/>
      <c r="H171" s="4384"/>
      <c r="I171" s="4383"/>
      <c r="J171" s="4383"/>
      <c r="K171" s="4383"/>
      <c r="L171" s="4384"/>
      <c r="M171" s="4384"/>
      <c r="N171" s="4383"/>
      <c r="O171" s="4383"/>
      <c r="P171" s="4383"/>
      <c r="Q171" s="4384"/>
      <c r="R171" s="4384"/>
      <c r="S171" s="4383"/>
      <c r="T171" s="4383"/>
      <c r="U171" s="4383"/>
      <c r="V171" s="4384"/>
      <c r="W171" s="4385"/>
    </row>
    <row r="172" spans="1:23" ht="18.75" customHeight="1">
      <c r="A172" s="3822" t="s">
        <v>1753</v>
      </c>
      <c r="B172" s="3787">
        <f>SUM(B144)</f>
        <v>85037.162221013728</v>
      </c>
      <c r="C172" s="3787">
        <f>SUM(C144)</f>
        <v>84701.917552547806</v>
      </c>
      <c r="D172" s="3787">
        <f>SUM(D144)</f>
        <v>335.24466846593998</v>
      </c>
      <c r="E172" s="3808">
        <f>SUM(E144)</f>
        <v>6784.8101887112407</v>
      </c>
      <c r="F172" s="3808">
        <f t="shared" ref="F172:K172" si="242">SUM(F144)</f>
        <v>6777.0106655583777</v>
      </c>
      <c r="G172" s="3808">
        <f t="shared" si="242"/>
        <v>7246.1566560688625</v>
      </c>
      <c r="H172" s="3797">
        <f t="shared" ref="H172:H174" si="243">SUM(E172+F172+G172)</f>
        <v>20807.977510338482</v>
      </c>
      <c r="I172" s="3808">
        <f t="shared" si="242"/>
        <v>6751.780645710548</v>
      </c>
      <c r="J172" s="3808">
        <f t="shared" si="242"/>
        <v>6713.5050588035856</v>
      </c>
      <c r="K172" s="3808">
        <f t="shared" si="242"/>
        <v>7155.9424624886969</v>
      </c>
      <c r="L172" s="3797">
        <f t="shared" ref="L172:L174" si="244">SUM(I172+J172+K172)</f>
        <v>20621.228167002831</v>
      </c>
      <c r="M172" s="3797">
        <f t="shared" ref="M172:M174" si="245">SUM(H172+L172)</f>
        <v>41429.205677341313</v>
      </c>
      <c r="N172" s="3808">
        <f t="shared" ref="N172:P172" si="246">SUM(N144)</f>
        <v>7041.7875136957273</v>
      </c>
      <c r="O172" s="3808">
        <f t="shared" si="246"/>
        <v>7062.9847167959097</v>
      </c>
      <c r="P172" s="3808">
        <f t="shared" si="246"/>
        <v>7576.6225768725362</v>
      </c>
      <c r="Q172" s="3797">
        <f t="shared" ref="Q172:Q174" si="247">SUM(N172+O172+P172)</f>
        <v>21681.394807364173</v>
      </c>
      <c r="R172" s="3797">
        <f t="shared" ref="R172:R174" si="248">SUM(M172+Q172)</f>
        <v>63110.600484705486</v>
      </c>
      <c r="S172" s="3808">
        <f t="shared" ref="S172:U172" si="249">SUM(S144)</f>
        <v>7140.4942563722607</v>
      </c>
      <c r="T172" s="3808">
        <f t="shared" si="249"/>
        <v>7151.0078947717229</v>
      </c>
      <c r="U172" s="3808">
        <f t="shared" si="249"/>
        <v>7635.0595821409315</v>
      </c>
      <c r="V172" s="3797">
        <f t="shared" ref="V172:V174" si="250">SUM(S172+T172+U172)</f>
        <v>21926.561733284914</v>
      </c>
      <c r="W172" s="3812">
        <f t="shared" ref="W172:W180" si="251">SUM(E172+F172+G172+I172+J172+K172+N172+O172+P172+S172+T172+U172)</f>
        <v>85037.162217990408</v>
      </c>
    </row>
    <row r="173" spans="1:23" ht="18.75" customHeight="1">
      <c r="A173" s="3786" t="s">
        <v>391</v>
      </c>
      <c r="B173" s="3790">
        <f>SUM(C173:D173)</f>
        <v>41280.35763186391</v>
      </c>
      <c r="C173" s="3790">
        <f>SUM(C176*C182)</f>
        <v>41116.152089317548</v>
      </c>
      <c r="D173" s="3790">
        <f>SUM(D176*D182)</f>
        <v>164.20554254636119</v>
      </c>
      <c r="E173" s="3801">
        <f>SUM(E176*E182)</f>
        <v>3390.6881033368868</v>
      </c>
      <c r="F173" s="3801">
        <f t="shared" ref="F173:G173" si="252">SUM(F176*F182)</f>
        <v>3400.2578939414702</v>
      </c>
      <c r="G173" s="3801">
        <f t="shared" si="252"/>
        <v>3412.6954107949009</v>
      </c>
      <c r="H173" s="3799">
        <f t="shared" si="243"/>
        <v>10203.641408073257</v>
      </c>
      <c r="I173" s="3801">
        <f t="shared" ref="I173:K173" si="253">SUM(I176*I182)</f>
        <v>3365.2323755116095</v>
      </c>
      <c r="J173" s="3801">
        <f t="shared" si="253"/>
        <v>3301.6725719661972</v>
      </c>
      <c r="K173" s="3801">
        <f t="shared" si="253"/>
        <v>3184.9500249830303</v>
      </c>
      <c r="L173" s="3799">
        <f t="shared" si="244"/>
        <v>9851.8549724608365</v>
      </c>
      <c r="M173" s="3799">
        <f t="shared" si="245"/>
        <v>20055.496380534096</v>
      </c>
      <c r="N173" s="3801">
        <f t="shared" ref="N173:P173" si="254">SUM(N176*N182)</f>
        <v>3094.3341769573653</v>
      </c>
      <c r="O173" s="3801">
        <f t="shared" si="254"/>
        <v>3202.084893789654</v>
      </c>
      <c r="P173" s="3801">
        <f t="shared" si="254"/>
        <v>3343.6997408149718</v>
      </c>
      <c r="Q173" s="3799">
        <f t="shared" si="247"/>
        <v>9640.1188115619916</v>
      </c>
      <c r="R173" s="3799">
        <f t="shared" si="248"/>
        <v>29695.615192096087</v>
      </c>
      <c r="S173" s="3801">
        <f t="shared" ref="S173:U173" si="255">SUM(S176*S182)</f>
        <v>3412.6954107949009</v>
      </c>
      <c r="T173" s="3801">
        <f t="shared" si="255"/>
        <v>3412.6954107949009</v>
      </c>
      <c r="U173" s="3801">
        <f t="shared" si="255"/>
        <v>3412.6954107949009</v>
      </c>
      <c r="V173" s="3799">
        <f t="shared" si="250"/>
        <v>10238.086232384703</v>
      </c>
      <c r="W173" s="3814">
        <f t="shared" si="251"/>
        <v>39933.701424480787</v>
      </c>
    </row>
    <row r="174" spans="1:23" ht="18.75" customHeight="1">
      <c r="A174" s="3786" t="s">
        <v>1754</v>
      </c>
      <c r="B174" s="3790">
        <f>SUM(B172-B173)</f>
        <v>43756.804589149819</v>
      </c>
      <c r="C174" s="3790">
        <f t="shared" ref="C174:D174" si="256">SUM(C172-C173)</f>
        <v>43585.765463230258</v>
      </c>
      <c r="D174" s="3790">
        <f t="shared" si="256"/>
        <v>171.03912591957879</v>
      </c>
      <c r="E174" s="3801">
        <f>SUM(E172-E173)</f>
        <v>3394.1220853743539</v>
      </c>
      <c r="F174" s="3801">
        <f t="shared" ref="F174:G174" si="257">SUM(F172-F173)</f>
        <v>3376.7527716169075</v>
      </c>
      <c r="G174" s="3801">
        <f t="shared" si="257"/>
        <v>3833.4612452739616</v>
      </c>
      <c r="H174" s="3799">
        <f t="shared" si="243"/>
        <v>10604.336102265223</v>
      </c>
      <c r="I174" s="3801">
        <f t="shared" ref="I174:K174" si="258">SUM(I172-I173)</f>
        <v>3386.5482701989386</v>
      </c>
      <c r="J174" s="3801">
        <f t="shared" si="258"/>
        <v>3411.8324868373884</v>
      </c>
      <c r="K174" s="3801">
        <f t="shared" si="258"/>
        <v>3970.9924375056667</v>
      </c>
      <c r="L174" s="3799">
        <f t="shared" si="244"/>
        <v>10769.373194541993</v>
      </c>
      <c r="M174" s="3799">
        <f t="shared" si="245"/>
        <v>21373.709296807217</v>
      </c>
      <c r="N174" s="3801">
        <f t="shared" ref="N174:P174" si="259">SUM(N172-N173)</f>
        <v>3947.4533367383619</v>
      </c>
      <c r="O174" s="3801">
        <f t="shared" si="259"/>
        <v>3860.8998230062557</v>
      </c>
      <c r="P174" s="3801">
        <f t="shared" si="259"/>
        <v>4232.9228360575644</v>
      </c>
      <c r="Q174" s="3799">
        <f t="shared" si="247"/>
        <v>12041.275995802182</v>
      </c>
      <c r="R174" s="3799">
        <f t="shared" si="248"/>
        <v>33414.985292609403</v>
      </c>
      <c r="S174" s="3801">
        <f t="shared" ref="S174:U174" si="260">SUM(S172-S173)</f>
        <v>3727.7988455773598</v>
      </c>
      <c r="T174" s="3801">
        <f t="shared" si="260"/>
        <v>3738.312483976822</v>
      </c>
      <c r="U174" s="3801">
        <f t="shared" si="260"/>
        <v>4222.3641713460311</v>
      </c>
      <c r="V174" s="3799">
        <f t="shared" si="250"/>
        <v>11688.475500900213</v>
      </c>
      <c r="W174" s="3814">
        <f t="shared" si="251"/>
        <v>45103.460793509606</v>
      </c>
    </row>
    <row r="175" spans="1:23" ht="18.75" customHeight="1">
      <c r="A175" s="3822" t="s">
        <v>1755</v>
      </c>
      <c r="B175" s="3787">
        <f>SUM(B138)</f>
        <v>3295.75</v>
      </c>
      <c r="C175" s="3787">
        <f t="shared" ref="C175:D175" si="261">SUM(C138)</f>
        <v>3272.75</v>
      </c>
      <c r="D175" s="3787">
        <f t="shared" si="261"/>
        <v>23</v>
      </c>
      <c r="E175" s="3804">
        <f>SUM(E138)</f>
        <v>279.83532500000001</v>
      </c>
      <c r="F175" s="3804">
        <f t="shared" ref="F175:K175" si="262">SUM(F138)</f>
        <v>280.62512500000003</v>
      </c>
      <c r="G175" s="3804">
        <f t="shared" si="262"/>
        <v>281.65160000000003</v>
      </c>
      <c r="H175" s="3797">
        <f>SUM(E175+F175+G175)</f>
        <v>842.11205000000007</v>
      </c>
      <c r="I175" s="3804">
        <f t="shared" si="262"/>
        <v>277.73444999999998</v>
      </c>
      <c r="J175" s="3804">
        <f t="shared" si="262"/>
        <v>272.48882499999996</v>
      </c>
      <c r="K175" s="3804">
        <f t="shared" si="262"/>
        <v>262.85564999999997</v>
      </c>
      <c r="L175" s="3797">
        <f>SUM(I175+J175+K175)</f>
        <v>813.07892499999991</v>
      </c>
      <c r="M175" s="3797">
        <f>SUM(H175+L175)</f>
        <v>1655.190975</v>
      </c>
      <c r="N175" s="3804">
        <f t="shared" ref="N175:P175" si="263">SUM(N138)</f>
        <v>255.37707499999999</v>
      </c>
      <c r="O175" s="3804">
        <f t="shared" si="263"/>
        <v>264.26979999999998</v>
      </c>
      <c r="P175" s="3804">
        <f t="shared" si="263"/>
        <v>275.95735000000002</v>
      </c>
      <c r="Q175" s="3797">
        <f>SUM(N175+O175+P175)</f>
        <v>795.60422499999993</v>
      </c>
      <c r="R175" s="3797">
        <f>SUM(M175+Q175)</f>
        <v>2450.7952</v>
      </c>
      <c r="S175" s="3804">
        <f t="shared" ref="S175:U175" si="264">SUM(S138)</f>
        <v>281.65160000000003</v>
      </c>
      <c r="T175" s="3804">
        <f t="shared" si="264"/>
        <v>281.65160000000003</v>
      </c>
      <c r="U175" s="3804">
        <f t="shared" si="264"/>
        <v>281.65160000000003</v>
      </c>
      <c r="V175" s="3797">
        <f>SUM(S175+T175+U175)</f>
        <v>844.95480000000009</v>
      </c>
      <c r="W175" s="3812">
        <f t="shared" si="251"/>
        <v>3295.7500000000005</v>
      </c>
    </row>
    <row r="176" spans="1:23" ht="18.75" customHeight="1">
      <c r="A176" s="3786" t="s">
        <v>391</v>
      </c>
      <c r="B176" s="3790">
        <f>SUM(B175/2)</f>
        <v>1647.875</v>
      </c>
      <c r="C176" s="3790">
        <f>SUM(C175/2)</f>
        <v>1636.375</v>
      </c>
      <c r="D176" s="3790">
        <f>SUM(D175/2)</f>
        <v>11.5</v>
      </c>
      <c r="E176" s="3801">
        <f>SUM(E175/2)</f>
        <v>139.91766250000001</v>
      </c>
      <c r="F176" s="3801">
        <f t="shared" ref="F176:G176" si="265">SUM(F175/2)</f>
        <v>140.31256250000001</v>
      </c>
      <c r="G176" s="3801">
        <f t="shared" si="265"/>
        <v>140.82580000000002</v>
      </c>
      <c r="H176" s="3799">
        <f t="shared" ref="H176:H180" si="266">SUM(E176+F176+G176)</f>
        <v>421.05602500000003</v>
      </c>
      <c r="I176" s="3801">
        <f t="shared" ref="I176" si="267">SUM(I175/2)</f>
        <v>138.86722499999999</v>
      </c>
      <c r="J176" s="3801">
        <f t="shared" ref="J176:K176" si="268">SUM(J175/2)</f>
        <v>136.24441249999998</v>
      </c>
      <c r="K176" s="3801">
        <f t="shared" si="268"/>
        <v>131.42782499999998</v>
      </c>
      <c r="L176" s="3799">
        <f t="shared" ref="L176:L180" si="269">SUM(I176+J176+K176)</f>
        <v>406.53946249999996</v>
      </c>
      <c r="M176" s="3799">
        <f t="shared" ref="M176:M180" si="270">SUM(H176+L176)</f>
        <v>827.59548749999999</v>
      </c>
      <c r="N176" s="3801">
        <f t="shared" ref="N176" si="271">SUM(N175/2)</f>
        <v>127.6885375</v>
      </c>
      <c r="O176" s="3801">
        <f t="shared" ref="O176:P176" si="272">SUM(O175/2)</f>
        <v>132.13489999999999</v>
      </c>
      <c r="P176" s="3801">
        <f t="shared" si="272"/>
        <v>137.97867500000001</v>
      </c>
      <c r="Q176" s="3799">
        <f t="shared" ref="Q176:Q180" si="273">SUM(N176+O176+P176)</f>
        <v>397.80211249999996</v>
      </c>
      <c r="R176" s="3799">
        <f t="shared" ref="R176:R180" si="274">SUM(M176+Q176)</f>
        <v>1225.3976</v>
      </c>
      <c r="S176" s="3801">
        <f t="shared" ref="S176" si="275">SUM(S175/2)</f>
        <v>140.82580000000002</v>
      </c>
      <c r="T176" s="3801">
        <f t="shared" ref="T176:U176" si="276">SUM(T175/2)</f>
        <v>140.82580000000002</v>
      </c>
      <c r="U176" s="3801">
        <f t="shared" si="276"/>
        <v>140.82580000000002</v>
      </c>
      <c r="V176" s="3799">
        <f t="shared" ref="V176:V180" si="277">SUM(S176+T176+U176)</f>
        <v>422.47740000000005</v>
      </c>
      <c r="W176" s="3814">
        <f t="shared" si="251"/>
        <v>1647.8750000000002</v>
      </c>
    </row>
    <row r="177" spans="1:23" ht="18.75" customHeight="1">
      <c r="A177" s="3786" t="s">
        <v>1754</v>
      </c>
      <c r="B177" s="3790">
        <f>SUM(B175-B176)</f>
        <v>1647.875</v>
      </c>
      <c r="C177" s="3790">
        <f>SUM(C175-C176)</f>
        <v>1636.375</v>
      </c>
      <c r="D177" s="3790">
        <f>SUM(D175-D176)</f>
        <v>11.5</v>
      </c>
      <c r="E177" s="3801">
        <f>SUM(E175-E176)</f>
        <v>139.91766250000001</v>
      </c>
      <c r="F177" s="3801">
        <f t="shared" ref="F177:G177" si="278">SUM(F175-F176)</f>
        <v>140.31256250000001</v>
      </c>
      <c r="G177" s="3801">
        <f t="shared" si="278"/>
        <v>140.82580000000002</v>
      </c>
      <c r="H177" s="3799">
        <f t="shared" si="266"/>
        <v>421.05602500000003</v>
      </c>
      <c r="I177" s="3801">
        <f t="shared" ref="I177:K177" si="279">SUM(I175-I176)</f>
        <v>138.86722499999999</v>
      </c>
      <c r="J177" s="3801">
        <f t="shared" si="279"/>
        <v>136.24441249999998</v>
      </c>
      <c r="K177" s="3801">
        <f t="shared" si="279"/>
        <v>131.42782499999998</v>
      </c>
      <c r="L177" s="3799">
        <f t="shared" si="269"/>
        <v>406.53946249999996</v>
      </c>
      <c r="M177" s="3799">
        <f t="shared" si="270"/>
        <v>827.59548749999999</v>
      </c>
      <c r="N177" s="3801">
        <f t="shared" ref="N177:P177" si="280">SUM(N175-N176)</f>
        <v>127.6885375</v>
      </c>
      <c r="O177" s="3801">
        <f t="shared" si="280"/>
        <v>132.13489999999999</v>
      </c>
      <c r="P177" s="3801">
        <f t="shared" si="280"/>
        <v>137.97867500000001</v>
      </c>
      <c r="Q177" s="3799">
        <f t="shared" si="273"/>
        <v>397.80211249999996</v>
      </c>
      <c r="R177" s="3799">
        <f t="shared" si="274"/>
        <v>1225.3976</v>
      </c>
      <c r="S177" s="3801">
        <f t="shared" ref="S177:U177" si="281">SUM(S175-S176)</f>
        <v>140.82580000000002</v>
      </c>
      <c r="T177" s="3801">
        <f t="shared" si="281"/>
        <v>140.82580000000002</v>
      </c>
      <c r="U177" s="3801">
        <f t="shared" si="281"/>
        <v>140.82580000000002</v>
      </c>
      <c r="V177" s="3799">
        <f t="shared" si="277"/>
        <v>422.47740000000005</v>
      </c>
      <c r="W177" s="3814">
        <f t="shared" si="251"/>
        <v>1647.8750000000002</v>
      </c>
    </row>
    <row r="178" spans="1:23" ht="18.75" customHeight="1">
      <c r="A178" s="3822" t="s">
        <v>1756</v>
      </c>
      <c r="B178" s="3787">
        <f>SUM(B14)</f>
        <v>2300</v>
      </c>
      <c r="C178" s="3787">
        <f t="shared" ref="C178:D178" si="282">SUM(C14)</f>
        <v>2300</v>
      </c>
      <c r="D178" s="3787">
        <f t="shared" si="282"/>
        <v>0</v>
      </c>
      <c r="E178" s="3804">
        <f>SUM(E14)</f>
        <v>197.79999999999998</v>
      </c>
      <c r="F178" s="3804">
        <f t="shared" ref="F178:K178" si="283">SUM(F14)</f>
        <v>195.5</v>
      </c>
      <c r="G178" s="3804">
        <f t="shared" si="283"/>
        <v>196.42</v>
      </c>
      <c r="H178" s="3797">
        <f t="shared" si="266"/>
        <v>589.71999999999991</v>
      </c>
      <c r="I178" s="3804">
        <f t="shared" si="283"/>
        <v>193.89</v>
      </c>
      <c r="J178" s="3804">
        <f t="shared" si="283"/>
        <v>188.59999999999997</v>
      </c>
      <c r="K178" s="3804">
        <f t="shared" si="283"/>
        <v>181.47</v>
      </c>
      <c r="L178" s="3797">
        <f t="shared" si="269"/>
        <v>563.95999999999992</v>
      </c>
      <c r="M178" s="3797">
        <f t="shared" si="270"/>
        <v>1153.6799999999998</v>
      </c>
      <c r="N178" s="3804">
        <f t="shared" ref="N178:P178" si="284">SUM(N14)</f>
        <v>179.17</v>
      </c>
      <c r="O178" s="3804">
        <f t="shared" si="284"/>
        <v>186.52999999999997</v>
      </c>
      <c r="P178" s="3804">
        <f t="shared" si="284"/>
        <v>191.35999999999999</v>
      </c>
      <c r="Q178" s="3797">
        <f t="shared" si="273"/>
        <v>557.05999999999995</v>
      </c>
      <c r="R178" s="3797">
        <f t="shared" si="274"/>
        <v>1710.7399999999998</v>
      </c>
      <c r="S178" s="3804">
        <f t="shared" ref="S178:U178" si="285">SUM(S14)</f>
        <v>196.42</v>
      </c>
      <c r="T178" s="3804">
        <f t="shared" si="285"/>
        <v>196.42</v>
      </c>
      <c r="U178" s="3804">
        <f t="shared" si="285"/>
        <v>196.42</v>
      </c>
      <c r="V178" s="3797">
        <f t="shared" si="277"/>
        <v>589.26</v>
      </c>
      <c r="W178" s="3812">
        <f t="shared" si="251"/>
        <v>2300</v>
      </c>
    </row>
    <row r="179" spans="1:23" ht="18.75" customHeight="1">
      <c r="A179" s="3786" t="s">
        <v>391</v>
      </c>
      <c r="B179" s="3790">
        <f>SUM(B178/2)</f>
        <v>1150</v>
      </c>
      <c r="C179" s="3790">
        <f>SUM(C178/2)</f>
        <v>1150</v>
      </c>
      <c r="D179" s="3790">
        <f>SUM(D178/2)</f>
        <v>0</v>
      </c>
      <c r="E179" s="3801">
        <f>SUM(E178/2)</f>
        <v>98.899999999999991</v>
      </c>
      <c r="F179" s="3801">
        <f t="shared" ref="F179:G179" si="286">SUM(F178/2)</f>
        <v>97.75</v>
      </c>
      <c r="G179" s="3801">
        <f t="shared" si="286"/>
        <v>98.21</v>
      </c>
      <c r="H179" s="3799">
        <f t="shared" si="266"/>
        <v>294.85999999999996</v>
      </c>
      <c r="I179" s="3801">
        <f t="shared" ref="I179:K179" si="287">SUM(I178/2)</f>
        <v>96.944999999999993</v>
      </c>
      <c r="J179" s="3801">
        <f t="shared" si="287"/>
        <v>94.299999999999983</v>
      </c>
      <c r="K179" s="3801">
        <f t="shared" si="287"/>
        <v>90.734999999999999</v>
      </c>
      <c r="L179" s="3799">
        <f t="shared" si="269"/>
        <v>281.97999999999996</v>
      </c>
      <c r="M179" s="3799">
        <f t="shared" si="270"/>
        <v>576.83999999999992</v>
      </c>
      <c r="N179" s="3801">
        <f t="shared" ref="N179:P179" si="288">SUM(N178/2)</f>
        <v>89.584999999999994</v>
      </c>
      <c r="O179" s="3801">
        <f t="shared" si="288"/>
        <v>93.264999999999986</v>
      </c>
      <c r="P179" s="3801">
        <f t="shared" si="288"/>
        <v>95.679999999999993</v>
      </c>
      <c r="Q179" s="3799">
        <f t="shared" si="273"/>
        <v>278.52999999999997</v>
      </c>
      <c r="R179" s="3799">
        <f t="shared" si="274"/>
        <v>855.36999999999989</v>
      </c>
      <c r="S179" s="3801">
        <f t="shared" ref="S179:U179" si="289">SUM(S178/2)</f>
        <v>98.21</v>
      </c>
      <c r="T179" s="3801">
        <f t="shared" si="289"/>
        <v>98.21</v>
      </c>
      <c r="U179" s="3801">
        <f t="shared" si="289"/>
        <v>98.21</v>
      </c>
      <c r="V179" s="3799">
        <f t="shared" si="277"/>
        <v>294.63</v>
      </c>
      <c r="W179" s="3814">
        <f t="shared" si="251"/>
        <v>1150</v>
      </c>
    </row>
    <row r="180" spans="1:23" ht="18.75" customHeight="1">
      <c r="A180" s="3786" t="s">
        <v>1754</v>
      </c>
      <c r="B180" s="3790">
        <f>SUM(B178-B179)</f>
        <v>1150</v>
      </c>
      <c r="C180" s="3790">
        <f>SUM(C178-C179)</f>
        <v>1150</v>
      </c>
      <c r="D180" s="3790">
        <f>SUM(D178-D179)</f>
        <v>0</v>
      </c>
      <c r="E180" s="3801">
        <f>SUM(E178-E179)</f>
        <v>98.899999999999991</v>
      </c>
      <c r="F180" s="3801">
        <f t="shared" ref="F180:G180" si="290">SUM(F178-F179)</f>
        <v>97.75</v>
      </c>
      <c r="G180" s="3801">
        <f t="shared" si="290"/>
        <v>98.21</v>
      </c>
      <c r="H180" s="3799">
        <f t="shared" si="266"/>
        <v>294.85999999999996</v>
      </c>
      <c r="I180" s="3801">
        <f t="shared" ref="I180:K180" si="291">SUM(I178-I179)</f>
        <v>96.944999999999993</v>
      </c>
      <c r="J180" s="3801">
        <f t="shared" si="291"/>
        <v>94.299999999999983</v>
      </c>
      <c r="K180" s="3801">
        <f t="shared" si="291"/>
        <v>90.734999999999999</v>
      </c>
      <c r="L180" s="3799">
        <f t="shared" si="269"/>
        <v>281.97999999999996</v>
      </c>
      <c r="M180" s="3799">
        <f t="shared" si="270"/>
        <v>576.83999999999992</v>
      </c>
      <c r="N180" s="3801">
        <f t="shared" ref="N180:P180" si="292">SUM(N178-N179)</f>
        <v>89.584999999999994</v>
      </c>
      <c r="O180" s="3801">
        <f t="shared" si="292"/>
        <v>93.264999999999986</v>
      </c>
      <c r="P180" s="3801">
        <f t="shared" si="292"/>
        <v>95.679999999999993</v>
      </c>
      <c r="Q180" s="3799">
        <f t="shared" si="273"/>
        <v>278.52999999999997</v>
      </c>
      <c r="R180" s="3799">
        <f t="shared" si="274"/>
        <v>855.36999999999989</v>
      </c>
      <c r="S180" s="3801">
        <f t="shared" ref="S180:U180" si="293">SUM(S178-S179)</f>
        <v>98.21</v>
      </c>
      <c r="T180" s="3801">
        <f t="shared" si="293"/>
        <v>98.21</v>
      </c>
      <c r="U180" s="3801">
        <f t="shared" si="293"/>
        <v>98.21</v>
      </c>
      <c r="V180" s="3799">
        <f t="shared" si="277"/>
        <v>294.63</v>
      </c>
      <c r="W180" s="3814">
        <f t="shared" si="251"/>
        <v>1150</v>
      </c>
    </row>
    <row r="181" spans="1:23" ht="18.75" customHeight="1">
      <c r="A181" s="3822" t="s">
        <v>1757</v>
      </c>
      <c r="B181" s="3787">
        <f>SUM(B145)</f>
        <v>25.802066971406731</v>
      </c>
      <c r="C181" s="3787">
        <f t="shared" ref="C181:D181" si="294">SUM(C145)</f>
        <v>25.880961745488598</v>
      </c>
      <c r="D181" s="3787">
        <f t="shared" si="294"/>
        <v>14.575855150693043</v>
      </c>
      <c r="E181" s="3808">
        <f>SUM(E145)</f>
        <v>24.245724476390677</v>
      </c>
      <c r="F181" s="3808">
        <f t="shared" ref="F181:W181" si="295">SUM(F145)</f>
        <v>24.149693173618637</v>
      </c>
      <c r="G181" s="3808">
        <f t="shared" si="295"/>
        <v>25.727376148649117</v>
      </c>
      <c r="H181" s="3797">
        <f t="shared" si="295"/>
        <v>24.709274152220576</v>
      </c>
      <c r="I181" s="3808">
        <f t="shared" si="295"/>
        <v>24.310202229901794</v>
      </c>
      <c r="J181" s="3808">
        <f t="shared" si="295"/>
        <v>24.637726184931022</v>
      </c>
      <c r="K181" s="3808">
        <f t="shared" si="295"/>
        <v>27.223848764478518</v>
      </c>
      <c r="L181" s="3797">
        <f t="shared" si="295"/>
        <v>25.361902188035231</v>
      </c>
      <c r="M181" s="3797">
        <f t="shared" si="295"/>
        <v>25.02986441026318</v>
      </c>
      <c r="N181" s="3808">
        <f t="shared" si="295"/>
        <v>27.574078502135432</v>
      </c>
      <c r="O181" s="3808">
        <f t="shared" si="295"/>
        <v>26.726416400193706</v>
      </c>
      <c r="P181" s="3808">
        <f t="shared" si="295"/>
        <v>27.45577378849498</v>
      </c>
      <c r="Q181" s="3797">
        <f t="shared" si="295"/>
        <v>27.251482742395158</v>
      </c>
      <c r="R181" s="3797">
        <f t="shared" si="295"/>
        <v>25.75107070746078</v>
      </c>
      <c r="S181" s="3808">
        <f t="shared" si="295"/>
        <v>25.352223301313607</v>
      </c>
      <c r="T181" s="3808">
        <f t="shared" si="295"/>
        <v>25.3895518249203</v>
      </c>
      <c r="U181" s="3808">
        <f t="shared" si="295"/>
        <v>27.10817045648216</v>
      </c>
      <c r="V181" s="3797">
        <f t="shared" si="295"/>
        <v>25.949981860905353</v>
      </c>
      <c r="W181" s="3838">
        <f t="shared" si="295"/>
        <v>25.802066970489388</v>
      </c>
    </row>
    <row r="182" spans="1:23" ht="18.75" customHeight="1">
      <c r="A182" s="3786" t="s">
        <v>391</v>
      </c>
      <c r="B182" s="3790">
        <f>SUM('[18]расчет тарифов '!B112)</f>
        <v>24.23345303768841</v>
      </c>
      <c r="C182" s="3790">
        <f>SUM('Тариф стоки 2016-2017 ПЛАН'!J32)</f>
        <v>25.126362899285034</v>
      </c>
      <c r="D182" s="3790">
        <f>SUM('Тариф очистка 2016-2017 ПЛАН'!J31)</f>
        <v>14.278742830118365</v>
      </c>
      <c r="E182" s="3791">
        <f>SUM(B182)</f>
        <v>24.23345303768841</v>
      </c>
      <c r="F182" s="3791">
        <f>SUM(E182)</f>
        <v>24.23345303768841</v>
      </c>
      <c r="G182" s="3791">
        <f>SUM(E182)</f>
        <v>24.23345303768841</v>
      </c>
      <c r="H182" s="3790">
        <f>SUM(E182)</f>
        <v>24.23345303768841</v>
      </c>
      <c r="I182" s="3791">
        <f>SUM(E182)</f>
        <v>24.23345303768841</v>
      </c>
      <c r="J182" s="3791">
        <f>SUM(E182)</f>
        <v>24.23345303768841</v>
      </c>
      <c r="K182" s="3791">
        <f>SUM(E182)</f>
        <v>24.23345303768841</v>
      </c>
      <c r="L182" s="3790">
        <f>SUM(E182)</f>
        <v>24.23345303768841</v>
      </c>
      <c r="M182" s="3790">
        <f>SUM(E182)</f>
        <v>24.23345303768841</v>
      </c>
      <c r="N182" s="3791">
        <f>SUM(E182)</f>
        <v>24.23345303768841</v>
      </c>
      <c r="O182" s="3791">
        <f>SUM(E182)</f>
        <v>24.23345303768841</v>
      </c>
      <c r="P182" s="3791">
        <f>SUM(E182)</f>
        <v>24.23345303768841</v>
      </c>
      <c r="Q182" s="3790">
        <f>SUM(E182)</f>
        <v>24.23345303768841</v>
      </c>
      <c r="R182" s="3790">
        <f>SUM(E182)</f>
        <v>24.23345303768841</v>
      </c>
      <c r="S182" s="3791">
        <f>SUM(E182)</f>
        <v>24.23345303768841</v>
      </c>
      <c r="T182" s="3791">
        <f>SUM(E182)</f>
        <v>24.23345303768841</v>
      </c>
      <c r="U182" s="3791">
        <f>SUM(E182)</f>
        <v>24.23345303768841</v>
      </c>
      <c r="V182" s="3790">
        <f>SUM(E182)</f>
        <v>24.23345303768841</v>
      </c>
      <c r="W182" s="3836">
        <f>SUM(E182)</f>
        <v>24.23345303768841</v>
      </c>
    </row>
    <row r="183" spans="1:23" ht="18.75" customHeight="1">
      <c r="A183" s="3786" t="s">
        <v>1754</v>
      </c>
      <c r="B183" s="3790">
        <f>SUM(B174/B177)</f>
        <v>26.553473163407308</v>
      </c>
      <c r="C183" s="3790">
        <f>SUM(C174/C177)</f>
        <v>26.635560591692158</v>
      </c>
      <c r="D183" s="3790">
        <f>SUM(D174/D177)</f>
        <v>14.872967471267721</v>
      </c>
      <c r="E183" s="3801">
        <f>SUM(E174/E177)</f>
        <v>24.257995915092948</v>
      </c>
      <c r="F183" s="3801">
        <f t="shared" ref="F183:W183" si="296">SUM(F174/F177)</f>
        <v>24.065933309548868</v>
      </c>
      <c r="G183" s="3801">
        <f t="shared" si="296"/>
        <v>27.221299259609825</v>
      </c>
      <c r="H183" s="3799">
        <f t="shared" si="296"/>
        <v>25.185095266752736</v>
      </c>
      <c r="I183" s="3801">
        <f t="shared" si="296"/>
        <v>24.386951422115182</v>
      </c>
      <c r="J183" s="3801">
        <f t="shared" si="296"/>
        <v>25.041999332173631</v>
      </c>
      <c r="K183" s="3801">
        <f t="shared" si="296"/>
        <v>30.214244491268627</v>
      </c>
      <c r="L183" s="3799">
        <f t="shared" si="296"/>
        <v>26.490351338382052</v>
      </c>
      <c r="M183" s="3799">
        <f t="shared" si="296"/>
        <v>25.82627578283795</v>
      </c>
      <c r="N183" s="3801">
        <f t="shared" si="296"/>
        <v>30.914703966582451</v>
      </c>
      <c r="O183" s="3801">
        <f t="shared" si="296"/>
        <v>29.219379762698999</v>
      </c>
      <c r="P183" s="3801">
        <f t="shared" si="296"/>
        <v>30.678094539301554</v>
      </c>
      <c r="Q183" s="3799">
        <f t="shared" si="296"/>
        <v>30.269512447101906</v>
      </c>
      <c r="R183" s="3799">
        <f t="shared" si="296"/>
        <v>27.268688377233154</v>
      </c>
      <c r="S183" s="3801">
        <f t="shared" si="296"/>
        <v>26.470993564938805</v>
      </c>
      <c r="T183" s="3801">
        <f t="shared" si="296"/>
        <v>26.545650612152187</v>
      </c>
      <c r="U183" s="3801">
        <f t="shared" si="296"/>
        <v>29.982887875275914</v>
      </c>
      <c r="V183" s="3799">
        <f t="shared" si="296"/>
        <v>27.666510684122301</v>
      </c>
      <c r="W183" s="669">
        <f t="shared" si="296"/>
        <v>27.37068090329036</v>
      </c>
    </row>
    <row r="184" spans="1:23" ht="18.75" customHeight="1">
      <c r="A184" s="3826" t="s">
        <v>1758</v>
      </c>
      <c r="B184" s="3795">
        <f>SUM(B183/B182)</f>
        <v>1.0957362585559207</v>
      </c>
      <c r="C184" s="3795">
        <f t="shared" ref="C184:D184" si="297">SUM(C183/C182)</f>
        <v>1.0600643116736195</v>
      </c>
      <c r="D184" s="3795">
        <f t="shared" si="297"/>
        <v>1.0416160335835694</v>
      </c>
      <c r="E184" s="3796">
        <f>SUM(E183/E182)</f>
        <v>1.0010127684802643</v>
      </c>
      <c r="F184" s="3796">
        <f t="shared" ref="F184:W184" si="298">SUM(F183/F182)</f>
        <v>0.99308725306793832</v>
      </c>
      <c r="G184" s="3796">
        <f t="shared" si="298"/>
        <v>1.1232942832073767</v>
      </c>
      <c r="H184" s="3795">
        <f t="shared" si="298"/>
        <v>1.0392697742077579</v>
      </c>
      <c r="I184" s="3796">
        <f t="shared" si="298"/>
        <v>1.0063341523879428</v>
      </c>
      <c r="J184" s="3796">
        <f t="shared" si="298"/>
        <v>1.0333648817288956</v>
      </c>
      <c r="K184" s="3796">
        <f t="shared" si="298"/>
        <v>1.2467989784319533</v>
      </c>
      <c r="L184" s="3795">
        <f t="shared" si="298"/>
        <v>1.093131519358123</v>
      </c>
      <c r="M184" s="3795">
        <f t="shared" si="298"/>
        <v>1.0657282617822705</v>
      </c>
      <c r="N184" s="3796">
        <f t="shared" si="298"/>
        <v>1.2757036283068373</v>
      </c>
      <c r="O184" s="3796">
        <f t="shared" si="298"/>
        <v>1.205745616081058</v>
      </c>
      <c r="P184" s="3796">
        <f t="shared" si="298"/>
        <v>1.2659398762359739</v>
      </c>
      <c r="Q184" s="3795">
        <f t="shared" si="298"/>
        <v>1.2490796255913708</v>
      </c>
      <c r="R184" s="3795">
        <f t="shared" si="298"/>
        <v>1.1252498079751276</v>
      </c>
      <c r="S184" s="3796">
        <f t="shared" si="298"/>
        <v>1.0923327155965155</v>
      </c>
      <c r="T184" s="3796">
        <f t="shared" si="298"/>
        <v>1.095413458860683</v>
      </c>
      <c r="U184" s="3796">
        <f t="shared" si="298"/>
        <v>1.2372519850409207</v>
      </c>
      <c r="V184" s="3795">
        <f t="shared" si="298"/>
        <v>1.1416660531660396</v>
      </c>
      <c r="W184" s="3816">
        <f t="shared" si="298"/>
        <v>1.1294585571739555</v>
      </c>
    </row>
    <row r="185" spans="1:23" ht="18.75" customHeight="1">
      <c r="A185" s="3822" t="s">
        <v>1759</v>
      </c>
      <c r="B185" s="3797">
        <f>SUM((B186*B179)+(B187*B180))/B178</f>
        <v>22.984999999999999</v>
      </c>
      <c r="C185" s="3797">
        <f>SUM((C186*C179)+(C187*C180))/C178</f>
        <v>22.984999999999999</v>
      </c>
      <c r="D185" s="3797">
        <v>0</v>
      </c>
      <c r="E185" s="3808">
        <f>SUM((E186*E179)+(E187*E180))/E178</f>
        <v>22.984999999999996</v>
      </c>
      <c r="F185" s="3808">
        <f>SUM((F186*F179)+(F187*F180))/F178</f>
        <v>22.985000000000007</v>
      </c>
      <c r="G185" s="3808">
        <f>SUM((G186*G179)+(G187*G180))/G178</f>
        <v>22.985000000000003</v>
      </c>
      <c r="H185" s="3797">
        <f>SUM((H186*H179)+(H187*H180))/H178</f>
        <v>22.984999999999999</v>
      </c>
      <c r="I185" s="3808">
        <f t="shared" ref="I185:W185" si="299">SUM((I186*I179)+(I187*I180))/I178</f>
        <v>22.984999999999999</v>
      </c>
      <c r="J185" s="3808">
        <f t="shared" si="299"/>
        <v>22.985000000000003</v>
      </c>
      <c r="K185" s="3808">
        <f t="shared" si="299"/>
        <v>22.984999999999999</v>
      </c>
      <c r="L185" s="3797">
        <f t="shared" si="299"/>
        <v>22.984999999999999</v>
      </c>
      <c r="M185" s="3797">
        <f t="shared" si="299"/>
        <v>22.984999999999999</v>
      </c>
      <c r="N185" s="3808">
        <f t="shared" si="299"/>
        <v>22.985000000000003</v>
      </c>
      <c r="O185" s="3808">
        <f t="shared" si="299"/>
        <v>22.984999999999999</v>
      </c>
      <c r="P185" s="3808">
        <f t="shared" si="299"/>
        <v>22.985000000000003</v>
      </c>
      <c r="Q185" s="3797">
        <f t="shared" si="299"/>
        <v>22.984999999999999</v>
      </c>
      <c r="R185" s="3797">
        <f t="shared" si="299"/>
        <v>22.984999999999999</v>
      </c>
      <c r="S185" s="3808">
        <f t="shared" si="299"/>
        <v>22.985000000000003</v>
      </c>
      <c r="T185" s="3808">
        <f t="shared" si="299"/>
        <v>22.985000000000003</v>
      </c>
      <c r="U185" s="3808">
        <f t="shared" si="299"/>
        <v>22.985000000000003</v>
      </c>
      <c r="V185" s="3797">
        <f t="shared" si="299"/>
        <v>22.985000000000003</v>
      </c>
      <c r="W185" s="3833">
        <f t="shared" si="299"/>
        <v>22.984999999999999</v>
      </c>
    </row>
    <row r="186" spans="1:23" ht="18.75" customHeight="1">
      <c r="A186" s="3786" t="s">
        <v>391</v>
      </c>
      <c r="B186" s="3790">
        <f>SUM(C186)</f>
        <v>22.500000000000004</v>
      </c>
      <c r="C186" s="3790">
        <f>SUM('Тариф стоки 2016-2017 ПЛАН'!J39)</f>
        <v>22.500000000000004</v>
      </c>
      <c r="D186" s="3790">
        <v>0</v>
      </c>
      <c r="E186" s="3791">
        <f>SUM(C186)</f>
        <v>22.500000000000004</v>
      </c>
      <c r="F186" s="3791">
        <f>SUM(E186)</f>
        <v>22.500000000000004</v>
      </c>
      <c r="G186" s="3791">
        <f>SUM(E186)</f>
        <v>22.500000000000004</v>
      </c>
      <c r="H186" s="3790">
        <f>SUM(E186)</f>
        <v>22.500000000000004</v>
      </c>
      <c r="I186" s="3791">
        <f>SUM(E186)</f>
        <v>22.500000000000004</v>
      </c>
      <c r="J186" s="3791">
        <f>SUM(E186)</f>
        <v>22.500000000000004</v>
      </c>
      <c r="K186" s="3791">
        <f>SUM(E186)</f>
        <v>22.500000000000004</v>
      </c>
      <c r="L186" s="3790">
        <f>SUM(E186)</f>
        <v>22.500000000000004</v>
      </c>
      <c r="M186" s="3790">
        <f>SUM(E186)</f>
        <v>22.500000000000004</v>
      </c>
      <c r="N186" s="3791">
        <f>SUM(E186)</f>
        <v>22.500000000000004</v>
      </c>
      <c r="O186" s="3791">
        <f>SUM(E186)</f>
        <v>22.500000000000004</v>
      </c>
      <c r="P186" s="3791">
        <f>SUM(E186)</f>
        <v>22.500000000000004</v>
      </c>
      <c r="Q186" s="3790">
        <f>SUM(E186)</f>
        <v>22.500000000000004</v>
      </c>
      <c r="R186" s="3790">
        <f>SUM(E186)</f>
        <v>22.500000000000004</v>
      </c>
      <c r="S186" s="3791">
        <f>SUM(E186)</f>
        <v>22.500000000000004</v>
      </c>
      <c r="T186" s="3791">
        <f>SUM(E186)</f>
        <v>22.500000000000004</v>
      </c>
      <c r="U186" s="3791">
        <f>SUM(E186)</f>
        <v>22.500000000000004</v>
      </c>
      <c r="V186" s="3790">
        <f>SUM(E186)</f>
        <v>22.500000000000004</v>
      </c>
      <c r="W186" s="3836">
        <f>SUM(E186)</f>
        <v>22.500000000000004</v>
      </c>
    </row>
    <row r="187" spans="1:23" ht="18.75" customHeight="1">
      <c r="A187" s="3786" t="s">
        <v>1754</v>
      </c>
      <c r="B187" s="3790">
        <f>SUM(C187)</f>
        <v>23.47</v>
      </c>
      <c r="C187" s="3790">
        <f>SUM('Тариф стоки 2016-2017 ПЛАН'!J40)</f>
        <v>23.47</v>
      </c>
      <c r="D187" s="3790">
        <v>0</v>
      </c>
      <c r="E187" s="3791">
        <f>SUM(C187)</f>
        <v>23.47</v>
      </c>
      <c r="F187" s="3791">
        <f>SUM(E187)</f>
        <v>23.47</v>
      </c>
      <c r="G187" s="3791">
        <f>SUM(E187)</f>
        <v>23.47</v>
      </c>
      <c r="H187" s="3790">
        <f>SUM(E187)</f>
        <v>23.47</v>
      </c>
      <c r="I187" s="3791">
        <f>SUM(E187)</f>
        <v>23.47</v>
      </c>
      <c r="J187" s="3791">
        <f>SUM(E187)</f>
        <v>23.47</v>
      </c>
      <c r="K187" s="3791">
        <f>SUM(E187)</f>
        <v>23.47</v>
      </c>
      <c r="L187" s="3790">
        <f>SUM(E187)</f>
        <v>23.47</v>
      </c>
      <c r="M187" s="3790">
        <f>SUM(E187)</f>
        <v>23.47</v>
      </c>
      <c r="N187" s="3791">
        <f>SUM(E187)</f>
        <v>23.47</v>
      </c>
      <c r="O187" s="3791">
        <f>SUM(E187)</f>
        <v>23.47</v>
      </c>
      <c r="P187" s="3791">
        <f>SUM(E187)</f>
        <v>23.47</v>
      </c>
      <c r="Q187" s="3790">
        <f>SUM(E187)</f>
        <v>23.47</v>
      </c>
      <c r="R187" s="3790">
        <f>SUM(E187)</f>
        <v>23.47</v>
      </c>
      <c r="S187" s="3791">
        <f>SUM(E187)</f>
        <v>23.47</v>
      </c>
      <c r="T187" s="3791">
        <f>SUM(E187)</f>
        <v>23.47</v>
      </c>
      <c r="U187" s="3791">
        <f>SUM(E187)</f>
        <v>23.47</v>
      </c>
      <c r="V187" s="3790">
        <f>SUM(E187)</f>
        <v>23.47</v>
      </c>
      <c r="W187" s="3836">
        <f>SUM(E187)</f>
        <v>23.47</v>
      </c>
    </row>
    <row r="188" spans="1:23" ht="18.75" customHeight="1">
      <c r="A188" s="3826" t="s">
        <v>1760</v>
      </c>
      <c r="B188" s="3795">
        <f>SUM(B187/B186)</f>
        <v>1.0431111111111109</v>
      </c>
      <c r="C188" s="3795">
        <f t="shared" ref="C188" si="300">SUM(C187/C186)</f>
        <v>1.0431111111111109</v>
      </c>
      <c r="D188" s="3795">
        <v>0</v>
      </c>
      <c r="E188" s="3796">
        <f>SUM(E187/E186)</f>
        <v>1.0431111111111109</v>
      </c>
      <c r="F188" s="3796">
        <f t="shared" ref="F188:W188" si="301">SUM(F187/F186)</f>
        <v>1.0431111111111109</v>
      </c>
      <c r="G188" s="3796">
        <f t="shared" si="301"/>
        <v>1.0431111111111109</v>
      </c>
      <c r="H188" s="3795">
        <f t="shared" si="301"/>
        <v>1.0431111111111109</v>
      </c>
      <c r="I188" s="3796">
        <f t="shared" si="301"/>
        <v>1.0431111111111109</v>
      </c>
      <c r="J188" s="3796">
        <f t="shared" si="301"/>
        <v>1.0431111111111109</v>
      </c>
      <c r="K188" s="3796">
        <f t="shared" si="301"/>
        <v>1.0431111111111109</v>
      </c>
      <c r="L188" s="3795">
        <f t="shared" si="301"/>
        <v>1.0431111111111109</v>
      </c>
      <c r="M188" s="3795">
        <f t="shared" si="301"/>
        <v>1.0431111111111109</v>
      </c>
      <c r="N188" s="3796">
        <f t="shared" si="301"/>
        <v>1.0431111111111109</v>
      </c>
      <c r="O188" s="3796">
        <f t="shared" si="301"/>
        <v>1.0431111111111109</v>
      </c>
      <c r="P188" s="3796">
        <f t="shared" si="301"/>
        <v>1.0431111111111109</v>
      </c>
      <c r="Q188" s="3795">
        <f t="shared" si="301"/>
        <v>1.0431111111111109</v>
      </c>
      <c r="R188" s="3795">
        <f t="shared" si="301"/>
        <v>1.0431111111111109</v>
      </c>
      <c r="S188" s="3796">
        <f t="shared" si="301"/>
        <v>1.0431111111111109</v>
      </c>
      <c r="T188" s="3796">
        <f t="shared" si="301"/>
        <v>1.0431111111111109</v>
      </c>
      <c r="U188" s="3796">
        <f t="shared" si="301"/>
        <v>1.0431111111111109</v>
      </c>
      <c r="V188" s="3795">
        <f t="shared" si="301"/>
        <v>1.0431111111111109</v>
      </c>
      <c r="W188" s="3816">
        <f t="shared" si="301"/>
        <v>1.0431111111111109</v>
      </c>
    </row>
    <row r="189" spans="1:23" ht="18.75" customHeight="1">
      <c r="A189" s="3822" t="s">
        <v>1761</v>
      </c>
      <c r="B189" s="3787">
        <f>SUM(B190:B191)</f>
        <v>6660.7120146237685</v>
      </c>
      <c r="C189" s="3787">
        <f>SUM(C190:C191)</f>
        <v>6660.7120146237685</v>
      </c>
      <c r="D189" s="3787">
        <f>SUM(D190:D191)</f>
        <v>0</v>
      </c>
      <c r="E189" s="3808">
        <f>SUM(E190:E191)</f>
        <v>572.82123325764405</v>
      </c>
      <c r="F189" s="3808">
        <f t="shared" ref="F189:G189" si="302">SUM(F190:F191)</f>
        <v>566.16052124302041</v>
      </c>
      <c r="G189" s="3808">
        <f t="shared" si="302"/>
        <v>568.82480604886973</v>
      </c>
      <c r="H189" s="3797">
        <f t="shared" ref="H189:H191" si="303">SUM(E189+F189+G189)</f>
        <v>1707.8065605495342</v>
      </c>
      <c r="I189" s="3808">
        <f t="shared" ref="I189:K189" si="304">SUM(I190:I191)</f>
        <v>561.49802283278359</v>
      </c>
      <c r="J189" s="3808">
        <f t="shared" si="304"/>
        <v>546.17838519914892</v>
      </c>
      <c r="K189" s="3808">
        <f t="shared" si="304"/>
        <v>525.53017795381538</v>
      </c>
      <c r="L189" s="3797">
        <f t="shared" ref="L189:L191" si="305">SUM(I189+J189+K189)</f>
        <v>1633.206585985748</v>
      </c>
      <c r="M189" s="3797">
        <f t="shared" ref="M189:M191" si="306">SUM(H189+L189)</f>
        <v>3341.0131465352824</v>
      </c>
      <c r="N189" s="3808">
        <f t="shared" ref="N189:P189" si="307">SUM(N190:N191)</f>
        <v>518.86946593919151</v>
      </c>
      <c r="O189" s="3808">
        <f t="shared" si="307"/>
        <v>540.18374438598755</v>
      </c>
      <c r="P189" s="3808">
        <f t="shared" si="307"/>
        <v>554.17123961669745</v>
      </c>
      <c r="Q189" s="3797">
        <f t="shared" ref="Q189:Q191" si="308">SUM(N189+O189+P189)</f>
        <v>1613.2244499418764</v>
      </c>
      <c r="R189" s="3797">
        <f t="shared" ref="R189:R191" si="309">SUM(M189+Q189)</f>
        <v>4954.2375964771591</v>
      </c>
      <c r="S189" s="3808">
        <f t="shared" ref="S189:U189" si="310">SUM(S190:S191)</f>
        <v>568.82480604886973</v>
      </c>
      <c r="T189" s="3808">
        <f t="shared" si="310"/>
        <v>568.82480604886973</v>
      </c>
      <c r="U189" s="3808">
        <f t="shared" si="310"/>
        <v>568.82480604886973</v>
      </c>
      <c r="V189" s="3797">
        <f t="shared" ref="V189:V191" si="311">SUM(S189+T189+U189)</f>
        <v>1706.4744181466092</v>
      </c>
      <c r="W189" s="3812">
        <f t="shared" ref="W189:W191" si="312">SUM(E189+F189+G189+I189+J189+K189+N189+O189+P189+S189+T189+U189)</f>
        <v>6660.7120146237676</v>
      </c>
    </row>
    <row r="190" spans="1:23" ht="18.75" customHeight="1">
      <c r="A190" s="3786" t="s">
        <v>391</v>
      </c>
      <c r="B190" s="3790">
        <f>SUM(C182-C186)*C179</f>
        <v>3020.3173341777851</v>
      </c>
      <c r="C190" s="3790">
        <f>SUM(C182-C186)*C179</f>
        <v>3020.3173341777851</v>
      </c>
      <c r="D190" s="3790">
        <f>SUM(D182-D186)*D179</f>
        <v>0</v>
      </c>
      <c r="E190" s="3798">
        <f>SUM(C182-E186)*E179</f>
        <v>259.7472907392895</v>
      </c>
      <c r="F190" s="3798">
        <f>SUM(C182-F186)*F179</f>
        <v>256.72697340511178</v>
      </c>
      <c r="G190" s="3798">
        <f>SUM(C182-G186)*G179</f>
        <v>257.93510033878283</v>
      </c>
      <c r="H190" s="3799">
        <f t="shared" si="303"/>
        <v>774.40936448318416</v>
      </c>
      <c r="I190" s="3798">
        <f>SUM(C182-I186)*I179</f>
        <v>254.61275127118728</v>
      </c>
      <c r="J190" s="3798">
        <f>SUM(C182-J186)*J179</f>
        <v>247.66602140257837</v>
      </c>
      <c r="K190" s="3798">
        <f>SUM(C182-K186)*K179</f>
        <v>238.30303766662726</v>
      </c>
      <c r="L190" s="3799">
        <f t="shared" si="305"/>
        <v>740.58181034039285</v>
      </c>
      <c r="M190" s="3799">
        <f t="shared" si="306"/>
        <v>1514.991174823577</v>
      </c>
      <c r="N190" s="3798">
        <f>SUM(C182-N186)*N179</f>
        <v>235.28272033244946</v>
      </c>
      <c r="O190" s="3798">
        <f>SUM(C182-O186)*O179</f>
        <v>244.94773580181837</v>
      </c>
      <c r="P190" s="3798">
        <f>SUM(C182-P186)*P179</f>
        <v>251.29040220359173</v>
      </c>
      <c r="Q190" s="3799">
        <f t="shared" si="308"/>
        <v>731.52085833785952</v>
      </c>
      <c r="R190" s="3799">
        <f t="shared" si="309"/>
        <v>2246.5120331614366</v>
      </c>
      <c r="S190" s="3798">
        <f>SUM(C182-S186)*S179</f>
        <v>257.93510033878283</v>
      </c>
      <c r="T190" s="3798">
        <f>SUM(C182-T186)*T179</f>
        <v>257.93510033878283</v>
      </c>
      <c r="U190" s="3798">
        <f>SUM(C182-U186)*U179</f>
        <v>257.93510033878283</v>
      </c>
      <c r="V190" s="3799">
        <f t="shared" si="311"/>
        <v>773.80530101634849</v>
      </c>
      <c r="W190" s="3814">
        <f t="shared" si="312"/>
        <v>3020.3173341777851</v>
      </c>
    </row>
    <row r="191" spans="1:23" ht="18.75" customHeight="1">
      <c r="A191" s="3786" t="s">
        <v>1754</v>
      </c>
      <c r="B191" s="3790">
        <f>SUM(C183-C187)*C180</f>
        <v>3640.3946804459833</v>
      </c>
      <c r="C191" s="3790">
        <f>SUM(C183-C187)*C180</f>
        <v>3640.3946804459833</v>
      </c>
      <c r="D191" s="3790">
        <f>SUM([20]стоки!AI136)</f>
        <v>0</v>
      </c>
      <c r="E191" s="3798">
        <f>SUM(C183-E187)*E180</f>
        <v>313.07394251835456</v>
      </c>
      <c r="F191" s="3798">
        <f>SUM(C183-F187)*F180</f>
        <v>309.43354783790858</v>
      </c>
      <c r="G191" s="3798">
        <f>SUM(C183-G187)*G180</f>
        <v>310.88970571008696</v>
      </c>
      <c r="H191" s="3799">
        <f t="shared" si="303"/>
        <v>933.39719606635003</v>
      </c>
      <c r="I191" s="3798">
        <f>SUM(C183-I187)*I180</f>
        <v>306.88527156159637</v>
      </c>
      <c r="J191" s="3798">
        <f>SUM(C183-J187)*J180</f>
        <v>298.51236379657058</v>
      </c>
      <c r="K191" s="3798">
        <f>SUM(C183-K187)*K180</f>
        <v>287.22714028718809</v>
      </c>
      <c r="L191" s="3799">
        <f t="shared" si="305"/>
        <v>892.62477564535516</v>
      </c>
      <c r="M191" s="3799">
        <f t="shared" si="306"/>
        <v>1826.0219717117052</v>
      </c>
      <c r="N191" s="3798">
        <f>SUM(C183-N187)*N180</f>
        <v>283.58674560674206</v>
      </c>
      <c r="O191" s="3798">
        <f>SUM(C183-O187)*O180</f>
        <v>295.23600858416921</v>
      </c>
      <c r="P191" s="3798">
        <f>SUM(C183-P187)*P180</f>
        <v>302.88083741310578</v>
      </c>
      <c r="Q191" s="3799">
        <f t="shared" si="308"/>
        <v>881.70359160401699</v>
      </c>
      <c r="R191" s="3799">
        <f t="shared" si="309"/>
        <v>2707.725563315722</v>
      </c>
      <c r="S191" s="3798">
        <f>SUM(C183-S187)*S180</f>
        <v>310.88970571008696</v>
      </c>
      <c r="T191" s="3798">
        <f>SUM(C183-T187)*T180</f>
        <v>310.88970571008696</v>
      </c>
      <c r="U191" s="3798">
        <f>SUM(C183-U187)*U180</f>
        <v>310.88970571008696</v>
      </c>
      <c r="V191" s="3799">
        <f t="shared" si="311"/>
        <v>932.66911713026093</v>
      </c>
      <c r="W191" s="3814">
        <f t="shared" si="312"/>
        <v>3640.3946804459838</v>
      </c>
    </row>
    <row r="192" spans="1:23" ht="18.75" customHeight="1"/>
    <row r="193" spans="1:3" ht="18.75" customHeight="1"/>
    <row r="194" spans="1:3" ht="18.75" customHeight="1">
      <c r="A194" s="435" t="s">
        <v>1763</v>
      </c>
      <c r="B194" s="435"/>
      <c r="C194" s="435" t="s">
        <v>1764</v>
      </c>
    </row>
    <row r="195" spans="1:3" ht="18.75" customHeight="1"/>
    <row r="196" spans="1:3" ht="18.75" customHeight="1"/>
    <row r="197" spans="1:3" ht="18.75" customHeight="1"/>
    <row r="198" spans="1:3" ht="18.75" customHeight="1"/>
    <row r="199" spans="1:3" ht="18.75" customHeight="1"/>
    <row r="200" spans="1:3" ht="18.75" customHeight="1"/>
    <row r="201" spans="1:3" ht="18.75" customHeight="1"/>
    <row r="202" spans="1:3" ht="18.75" customHeight="1"/>
    <row r="203" spans="1:3" ht="18.75" customHeight="1"/>
    <row r="204" spans="1:3" ht="18.75" customHeight="1"/>
    <row r="205" spans="1:3" ht="18.75" customHeight="1"/>
    <row r="206" spans="1:3" ht="18.75" customHeight="1"/>
    <row r="207" spans="1:3" ht="18.75" customHeight="1"/>
    <row r="208" spans="1:3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</sheetData>
  <mergeCells count="117">
    <mergeCell ref="A7:V7"/>
    <mergeCell ref="A8:D8"/>
    <mergeCell ref="A9:V9"/>
    <mergeCell ref="A10:A11"/>
    <mergeCell ref="B10:B11"/>
    <mergeCell ref="C10:D10"/>
    <mergeCell ref="E10:E11"/>
    <mergeCell ref="F10:F11"/>
    <mergeCell ref="G10:G11"/>
    <mergeCell ref="T10:T11"/>
    <mergeCell ref="U10:U11"/>
    <mergeCell ref="V10:V11"/>
    <mergeCell ref="W10:W11"/>
    <mergeCell ref="A17:V17"/>
    <mergeCell ref="A18:A19"/>
    <mergeCell ref="B18:B19"/>
    <mergeCell ref="C18:D18"/>
    <mergeCell ref="E18:E19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K10:K11"/>
    <mergeCell ref="L10:L11"/>
    <mergeCell ref="M10:M11"/>
    <mergeCell ref="F18:F19"/>
    <mergeCell ref="G18:G19"/>
    <mergeCell ref="H18:H19"/>
    <mergeCell ref="I18:I19"/>
    <mergeCell ref="J18:J19"/>
    <mergeCell ref="K18:K19"/>
    <mergeCell ref="R18:R19"/>
    <mergeCell ref="S18:S19"/>
    <mergeCell ref="T18:T19"/>
    <mergeCell ref="U18:U19"/>
    <mergeCell ref="V18:V19"/>
    <mergeCell ref="W18:W19"/>
    <mergeCell ref="L18:L19"/>
    <mergeCell ref="M18:M19"/>
    <mergeCell ref="N18:N19"/>
    <mergeCell ref="O18:O19"/>
    <mergeCell ref="P18:P19"/>
    <mergeCell ref="Q18:Q19"/>
    <mergeCell ref="A31:V31"/>
    <mergeCell ref="A32:A33"/>
    <mergeCell ref="B32:B33"/>
    <mergeCell ref="C32:D32"/>
    <mergeCell ref="E32:E33"/>
    <mergeCell ref="F32:F33"/>
    <mergeCell ref="G32:G33"/>
    <mergeCell ref="H32:H33"/>
    <mergeCell ref="I32:I33"/>
    <mergeCell ref="V32:V33"/>
    <mergeCell ref="W32:W33"/>
    <mergeCell ref="A146:V146"/>
    <mergeCell ref="A147:A148"/>
    <mergeCell ref="B147:B148"/>
    <mergeCell ref="C147:D147"/>
    <mergeCell ref="E147:E148"/>
    <mergeCell ref="F147:F148"/>
    <mergeCell ref="G147:G148"/>
    <mergeCell ref="P32:P33"/>
    <mergeCell ref="Q32:Q33"/>
    <mergeCell ref="R32:R33"/>
    <mergeCell ref="S32:S33"/>
    <mergeCell ref="T32:T33"/>
    <mergeCell ref="U32:U33"/>
    <mergeCell ref="J32:J33"/>
    <mergeCell ref="K32:K33"/>
    <mergeCell ref="L32:L33"/>
    <mergeCell ref="M32:M33"/>
    <mergeCell ref="N32:N33"/>
    <mergeCell ref="O32:O33"/>
    <mergeCell ref="W147:W148"/>
    <mergeCell ref="U147:U148"/>
    <mergeCell ref="V147:V148"/>
    <mergeCell ref="A169:V169"/>
    <mergeCell ref="A170:A171"/>
    <mergeCell ref="B170:B171"/>
    <mergeCell ref="C170:D170"/>
    <mergeCell ref="E170:E171"/>
    <mergeCell ref="N147:N148"/>
    <mergeCell ref="O147:O148"/>
    <mergeCell ref="P147:P148"/>
    <mergeCell ref="Q147:Q148"/>
    <mergeCell ref="R147:R148"/>
    <mergeCell ref="S147:S148"/>
    <mergeCell ref="H147:H148"/>
    <mergeCell ref="I147:I148"/>
    <mergeCell ref="J147:J148"/>
    <mergeCell ref="K147:K148"/>
    <mergeCell ref="L147:L148"/>
    <mergeCell ref="M147:M148"/>
    <mergeCell ref="F170:F171"/>
    <mergeCell ref="G170:G171"/>
    <mergeCell ref="H170:H171"/>
    <mergeCell ref="I170:I171"/>
    <mergeCell ref="J170:J171"/>
    <mergeCell ref="K170:K171"/>
    <mergeCell ref="T147:T148"/>
    <mergeCell ref="R170:R171"/>
    <mergeCell ref="S170:S171"/>
    <mergeCell ref="T170:T171"/>
    <mergeCell ref="U170:U171"/>
    <mergeCell ref="V170:V171"/>
    <mergeCell ref="W170:W171"/>
    <mergeCell ref="L170:L171"/>
    <mergeCell ref="M170:M171"/>
    <mergeCell ref="N170:N171"/>
    <mergeCell ref="O170:O171"/>
    <mergeCell ref="P170:P171"/>
    <mergeCell ref="Q170:Q171"/>
  </mergeCells>
  <printOptions horizontalCentered="1"/>
  <pageMargins left="0.35433070866141736" right="0.35433070866141736" top="0.6692913385826772" bottom="0.6692913385826772" header="0" footer="0"/>
  <pageSetup paperSize="9" scale="45" fitToHeight="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Z129"/>
  <sheetViews>
    <sheetView topLeftCell="A51" zoomScale="80" zoomScaleNormal="80" zoomScalePageLayoutView="90" workbookViewId="0">
      <selection activeCell="A7" sqref="A7:V125"/>
    </sheetView>
  </sheetViews>
  <sheetFormatPr defaultRowHeight="12.75"/>
  <cols>
    <col min="1" max="1" width="54.5703125" customWidth="1"/>
    <col min="2" max="2" width="13.42578125" customWidth="1"/>
    <col min="3" max="3" width="13.7109375" customWidth="1"/>
    <col min="4" max="22" width="11.7109375" customWidth="1"/>
    <col min="23" max="23" width="13.85546875" customWidth="1"/>
  </cols>
  <sheetData>
    <row r="1" spans="1:52" ht="23.25">
      <c r="R1" s="3778" t="s">
        <v>1724</v>
      </c>
      <c r="S1" s="3778"/>
    </row>
    <row r="2" spans="1:52" ht="23.25">
      <c r="R2" s="3778" t="s">
        <v>1779</v>
      </c>
      <c r="S2" s="3778"/>
    </row>
    <row r="3" spans="1:52" ht="31.5" customHeight="1">
      <c r="R3" s="3778" t="s">
        <v>1780</v>
      </c>
      <c r="S3" s="3778"/>
    </row>
    <row r="4" spans="1:52" ht="31.5" customHeight="1">
      <c r="R4" s="3778" t="s">
        <v>1781</v>
      </c>
      <c r="S4" s="3778"/>
    </row>
    <row r="5" spans="1:52" ht="23.25">
      <c r="R5" s="3778"/>
      <c r="S5" s="3778"/>
    </row>
    <row r="6" spans="1:52">
      <c r="E6" s="3782">
        <f>SUM(E18/B18)</f>
        <v>8.5008138976390715E-2</v>
      </c>
      <c r="F6" s="3782">
        <f>SUM(F18/B18)</f>
        <v>8.5134035273460723E-2</v>
      </c>
      <c r="G6" s="3782">
        <f>SUM(G18/B18)</f>
        <v>8.545361410938429E-2</v>
      </c>
      <c r="H6" s="3782">
        <f>SUM(H18/B18)</f>
        <v>0.25559578835923574</v>
      </c>
      <c r="I6" s="3782">
        <f>SUM(I18/B18)</f>
        <v>8.4273192945307843E-2</v>
      </c>
      <c r="J6" s="3782">
        <f>SUM(J18/B18)</f>
        <v>8.261656225791926E-2</v>
      </c>
      <c r="K6" s="3782">
        <f>SUM(K18/B18)</f>
        <v>7.9677404586072129E-2</v>
      </c>
      <c r="L6" s="3782">
        <f>SUM(L18/B18)</f>
        <v>0.24656715978929925</v>
      </c>
      <c r="M6" s="3782">
        <f>SUM(M18/B18)</f>
        <v>0.50216294814853502</v>
      </c>
      <c r="N6" s="3782">
        <f>SUM(N18/B18)</f>
        <v>7.7524701234310003E-2</v>
      </c>
      <c r="O6" s="3782">
        <f>SUM(O18/B18)</f>
        <v>8.026898130454356E-2</v>
      </c>
      <c r="P6" s="3782">
        <f>SUM(P18/B18)</f>
        <v>8.368252698445855E-2</v>
      </c>
      <c r="Q6" s="3782">
        <f>SUM(Q18/B18)</f>
        <v>0.24147620952331211</v>
      </c>
      <c r="R6" s="3782">
        <f>SUM(R18/B18)</f>
        <v>0.74363915767184718</v>
      </c>
      <c r="S6" s="3782">
        <f>SUM(S18/B18)</f>
        <v>8.545361410938429E-2</v>
      </c>
      <c r="T6" s="3782">
        <f>SUM(T18/B18)</f>
        <v>8.545361410938429E-2</v>
      </c>
      <c r="U6" s="3782">
        <f>SUM(U18/B18)</f>
        <v>8.545361410938429E-2</v>
      </c>
      <c r="V6" s="3782">
        <f>SUM(V18/B18)</f>
        <v>0.25636084232815287</v>
      </c>
      <c r="W6" s="3782">
        <f>SUM(W18/B18)</f>
        <v>1.0000000000000002</v>
      </c>
    </row>
    <row r="7" spans="1:52" ht="23.25">
      <c r="A7" s="4398" t="s">
        <v>1784</v>
      </c>
      <c r="B7" s="4398"/>
      <c r="C7" s="4398"/>
      <c r="D7" s="4398"/>
      <c r="E7" s="4398"/>
      <c r="F7" s="4398"/>
      <c r="G7" s="4399"/>
      <c r="H7" s="4399"/>
      <c r="I7" s="4399"/>
      <c r="J7" s="4399"/>
      <c r="K7" s="4399"/>
      <c r="L7" s="4399"/>
      <c r="M7" s="4399"/>
      <c r="N7" s="4399"/>
      <c r="O7" s="4399"/>
      <c r="P7" s="4399"/>
      <c r="Q7" s="4399"/>
      <c r="R7" s="4399"/>
      <c r="S7" s="4399"/>
      <c r="T7" s="4399"/>
      <c r="U7" s="4399"/>
      <c r="V7" s="4399"/>
    </row>
    <row r="8" spans="1:52" collapsed="1"/>
    <row r="9" spans="1:52" ht="18.75">
      <c r="A9" s="4404" t="s">
        <v>1725</v>
      </c>
      <c r="B9" s="4411"/>
      <c r="C9" s="4411"/>
      <c r="D9" s="4411"/>
      <c r="E9" s="4411"/>
      <c r="F9" s="4411"/>
      <c r="G9" s="4411"/>
      <c r="H9" s="4411"/>
      <c r="I9" s="4411"/>
      <c r="J9" s="4411"/>
      <c r="K9" s="4411"/>
      <c r="L9" s="4411"/>
      <c r="M9" s="4411"/>
      <c r="N9" s="4411"/>
      <c r="O9" s="4411"/>
      <c r="P9" s="4411"/>
      <c r="Q9" s="4411"/>
      <c r="R9" s="4411"/>
      <c r="S9" s="4411"/>
      <c r="T9" s="4411"/>
      <c r="U9" s="4411"/>
      <c r="V9" s="4411"/>
      <c r="W9" s="3783"/>
    </row>
    <row r="10" spans="1:52" ht="18.75">
      <c r="A10" s="4396" t="s">
        <v>546</v>
      </c>
      <c r="B10" s="4389" t="s">
        <v>1782</v>
      </c>
      <c r="C10" s="4389" t="s">
        <v>576</v>
      </c>
      <c r="D10" s="4389"/>
      <c r="E10" s="4383" t="s">
        <v>587</v>
      </c>
      <c r="F10" s="4383" t="s">
        <v>588</v>
      </c>
      <c r="G10" s="4383" t="s">
        <v>589</v>
      </c>
      <c r="H10" s="4384" t="s">
        <v>601</v>
      </c>
      <c r="I10" s="4383" t="s">
        <v>590</v>
      </c>
      <c r="J10" s="4383" t="s">
        <v>591</v>
      </c>
      <c r="K10" s="4383" t="s">
        <v>592</v>
      </c>
      <c r="L10" s="4384" t="s">
        <v>600</v>
      </c>
      <c r="M10" s="4384" t="s">
        <v>599</v>
      </c>
      <c r="N10" s="4383" t="s">
        <v>593</v>
      </c>
      <c r="O10" s="4383" t="s">
        <v>594</v>
      </c>
      <c r="P10" s="4383" t="s">
        <v>595</v>
      </c>
      <c r="Q10" s="4384" t="s">
        <v>225</v>
      </c>
      <c r="R10" s="4384" t="s">
        <v>229</v>
      </c>
      <c r="S10" s="4383" t="s">
        <v>596</v>
      </c>
      <c r="T10" s="4383" t="s">
        <v>597</v>
      </c>
      <c r="U10" s="4383" t="s">
        <v>598</v>
      </c>
      <c r="V10" s="4384" t="s">
        <v>135</v>
      </c>
      <c r="W10" s="4409" t="s">
        <v>602</v>
      </c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</row>
    <row r="11" spans="1:52" ht="37.5">
      <c r="A11" s="4397"/>
      <c r="B11" s="4389"/>
      <c r="C11" s="3784" t="s">
        <v>1554</v>
      </c>
      <c r="D11" s="3784" t="s">
        <v>1555</v>
      </c>
      <c r="E11" s="4383"/>
      <c r="F11" s="4383"/>
      <c r="G11" s="4383"/>
      <c r="H11" s="4384"/>
      <c r="I11" s="4383"/>
      <c r="J11" s="4383"/>
      <c r="K11" s="4383"/>
      <c r="L11" s="4384"/>
      <c r="M11" s="4384"/>
      <c r="N11" s="4383"/>
      <c r="O11" s="4383"/>
      <c r="P11" s="4383"/>
      <c r="Q11" s="4384"/>
      <c r="R11" s="4384"/>
      <c r="S11" s="4383"/>
      <c r="T11" s="4383"/>
      <c r="U11" s="4383"/>
      <c r="V11" s="4384"/>
      <c r="W11" s="4409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  <c r="AY11" s="435"/>
      <c r="AZ11" s="435"/>
    </row>
    <row r="12" spans="1:52" ht="18.75">
      <c r="A12" s="3785" t="s">
        <v>1726</v>
      </c>
      <c r="B12" s="3787">
        <f>SUM('Произв. прогр. Вода'!B11)</f>
        <v>5570.6850000000004</v>
      </c>
      <c r="C12" s="3787">
        <f>SUM('Произв. прогр. Вода'!C11)</f>
        <v>5550.3360000000002</v>
      </c>
      <c r="D12" s="3787">
        <f>SUM('Произв. прогр. Вода'!D11)</f>
        <v>20.349</v>
      </c>
      <c r="E12" s="3800">
        <f>SUM('Произв. прогр. Вода'!E11)</f>
        <v>473.55356467369512</v>
      </c>
      <c r="F12" s="3800">
        <f>SUM('Произв. прогр. Вода'!F11)</f>
        <v>474.25489328733858</v>
      </c>
      <c r="G12" s="3800">
        <f>SUM('Произв. прогр. Вода'!G11)</f>
        <v>476.03516631493545</v>
      </c>
      <c r="H12" s="3787">
        <f>SUM('Произв. прогр. Вода'!H11)</f>
        <v>1423.8436242759692</v>
      </c>
      <c r="I12" s="3800">
        <f>SUM('Произв. прогр. Вода'!I11)</f>
        <v>469.45941184253223</v>
      </c>
      <c r="J12" s="3800">
        <f>SUM('Произв. прогр. Вода'!J11)</f>
        <v>460.230844121757</v>
      </c>
      <c r="K12" s="3800">
        <f>SUM('Произв. прогр. Вода'!K11)</f>
        <v>443.85772256656327</v>
      </c>
      <c r="L12" s="3787">
        <f>SUM('Произв. прогр. Вода'!L11)</f>
        <v>1373.5479785308526</v>
      </c>
      <c r="M12" s="3787">
        <f>SUM('Произв. прогр. Вода'!M11)</f>
        <v>2797.3916028068215</v>
      </c>
      <c r="N12" s="3800">
        <f>SUM('Произв. прогр. Вода'!N11)</f>
        <v>431.86569029545223</v>
      </c>
      <c r="O12" s="3800">
        <f>SUM('Произв. прогр. Вода'!O11)</f>
        <v>447.15321011850125</v>
      </c>
      <c r="P12" s="3800">
        <f>SUM('Произв. прогр. Вода'!P11)</f>
        <v>466.16899783441852</v>
      </c>
      <c r="Q12" s="3787">
        <f>SUM('Произв. прогр. Вода'!Q11)</f>
        <v>1345.187898248372</v>
      </c>
      <c r="R12" s="3787">
        <f>SUM('Произв. прогр. Вода'!R11)</f>
        <v>4142.5795010551938</v>
      </c>
      <c r="S12" s="3800">
        <f>SUM('Произв. прогр. Вода'!S11)</f>
        <v>476.03516631493545</v>
      </c>
      <c r="T12" s="3800">
        <f>SUM('Произв. прогр. Вода'!T11)</f>
        <v>476.03516631493545</v>
      </c>
      <c r="U12" s="3800">
        <f>SUM('Произв. прогр. Вода'!U11)</f>
        <v>476.03516631493545</v>
      </c>
      <c r="V12" s="3787">
        <f>SUM('Произв. прогр. Вода'!V11)</f>
        <v>1428.1054989448064</v>
      </c>
      <c r="W12" s="3788">
        <f t="shared" ref="W12:W16" si="0">SUM(E12+F12+G12+I12+J12+K12+N12+O12+P12+S12+T12+U12)</f>
        <v>5570.6850000000013</v>
      </c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5"/>
    </row>
    <row r="13" spans="1:52" ht="18.75">
      <c r="A13" s="3789" t="s">
        <v>20</v>
      </c>
      <c r="B13" s="3790">
        <f>SUM('Произв. прогр. Вода'!B12)</f>
        <v>854.197</v>
      </c>
      <c r="C13" s="3790">
        <f>SUM('Произв. прогр. Вода'!C12)</f>
        <v>854.197</v>
      </c>
      <c r="D13" s="3790">
        <f>SUM('Произв. прогр. Вода'!D12)</f>
        <v>0</v>
      </c>
      <c r="E13" s="3819">
        <f>SUM('Произв. прогр. Вода'!E12)</f>
        <v>71.183083333333329</v>
      </c>
      <c r="F13" s="3819">
        <f>SUM('Произв. прогр. Вода'!F12)</f>
        <v>71.183083333333329</v>
      </c>
      <c r="G13" s="3819">
        <f>SUM('Произв. прогр. Вода'!G12)</f>
        <v>71.183083333333329</v>
      </c>
      <c r="H13" s="3790">
        <f>SUM('Произв. прогр. Вода'!H12)</f>
        <v>213.54924999999997</v>
      </c>
      <c r="I13" s="3819">
        <f>SUM('Произв. прогр. Вода'!I12)</f>
        <v>71.183083333333329</v>
      </c>
      <c r="J13" s="3819">
        <f>SUM('Произв. прогр. Вода'!J12)</f>
        <v>71.183083333333329</v>
      </c>
      <c r="K13" s="3819">
        <f>SUM('Произв. прогр. Вода'!K12)</f>
        <v>71.183083333333329</v>
      </c>
      <c r="L13" s="3790">
        <f>SUM('Произв. прогр. Вода'!L12)</f>
        <v>213.54924999999997</v>
      </c>
      <c r="M13" s="3790">
        <f>SUM('Произв. прогр. Вода'!M12)</f>
        <v>427.09849999999994</v>
      </c>
      <c r="N13" s="3819">
        <f>SUM('Произв. прогр. Вода'!N12)</f>
        <v>71.183083333333329</v>
      </c>
      <c r="O13" s="3819">
        <f>SUM('Произв. прогр. Вода'!O12)</f>
        <v>71.183083333333329</v>
      </c>
      <c r="P13" s="3819">
        <f>SUM('Произв. прогр. Вода'!P12)</f>
        <v>71.183083333333329</v>
      </c>
      <c r="Q13" s="3790">
        <f>SUM('Произв. прогр. Вода'!Q12)</f>
        <v>213.54924999999997</v>
      </c>
      <c r="R13" s="3790">
        <f>SUM('Произв. прогр. Вода'!R12)</f>
        <v>640.64774999999986</v>
      </c>
      <c r="S13" s="3819">
        <f>SUM('Произв. прогр. Вода'!S12)</f>
        <v>71.183083333333329</v>
      </c>
      <c r="T13" s="3819">
        <f>SUM('Произв. прогр. Вода'!T12)</f>
        <v>71.183083333333329</v>
      </c>
      <c r="U13" s="3819">
        <f>SUM('Произв. прогр. Вода'!U12)</f>
        <v>71.183083333333329</v>
      </c>
      <c r="V13" s="3790">
        <f>SUM('Произв. прогр. Вода'!V12)</f>
        <v>213.54924999999997</v>
      </c>
      <c r="W13" s="3792">
        <f t="shared" si="0"/>
        <v>854.197</v>
      </c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  <c r="AY13" s="435"/>
      <c r="AZ13" s="435"/>
    </row>
    <row r="14" spans="1:52" ht="18.75">
      <c r="A14" s="3793" t="s">
        <v>389</v>
      </c>
      <c r="B14" s="3794">
        <f>SUM('Произв. прогр. Вода'!B13)</f>
        <v>0.15333787496510751</v>
      </c>
      <c r="C14" s="3794">
        <f>SUM('Произв. прогр. Вода'!C13)</f>
        <v>0.15390005217702135</v>
      </c>
      <c r="D14" s="3794">
        <f>SUM('Произв. прогр. Вода'!D13)</f>
        <v>0</v>
      </c>
      <c r="E14" s="3821">
        <f>SUM('Произв. прогр. Вода'!E13)</f>
        <v>0.15031685672640319</v>
      </c>
      <c r="F14" s="3821">
        <f>SUM('Произв. прогр. Вода'!F13)</f>
        <v>0.15009456800734658</v>
      </c>
      <c r="G14" s="3821">
        <f>SUM('Произв. прогр. Вода'!G13)</f>
        <v>0.14953324537843074</v>
      </c>
      <c r="H14" s="3794">
        <f>SUM('Произв. прогр. Вода'!H13)</f>
        <v>0.14998083101196644</v>
      </c>
      <c r="I14" s="3821">
        <f>SUM('Произв. прогр. Вода'!I13)</f>
        <v>0.15162776916955242</v>
      </c>
      <c r="J14" s="3821">
        <f>SUM('Произв. прогр. Вода'!J13)</f>
        <v>0.15466821540214151</v>
      </c>
      <c r="K14" s="3821">
        <f>SUM('Произв. прогр. Вода'!K13)</f>
        <v>0.16037365064130057</v>
      </c>
      <c r="L14" s="3794">
        <f>SUM('Произв. прогр. Вода'!L13)</f>
        <v>0.15547272708188348</v>
      </c>
      <c r="M14" s="3794">
        <f>SUM('Произв. прогр. Вода'!M13)</f>
        <v>0.15267740832976753</v>
      </c>
      <c r="N14" s="3821">
        <f>SUM('Произв. прогр. Вода'!N13)</f>
        <v>0.16482690089280966</v>
      </c>
      <c r="O14" s="3821">
        <f>SUM('Произв. прогр. Вода'!O13)</f>
        <v>0.15919170817194606</v>
      </c>
      <c r="P14" s="3821">
        <f>SUM('Произв. прогр. Вода'!P13)</f>
        <v>0.15269802081222333</v>
      </c>
      <c r="Q14" s="3794">
        <f>SUM('Произв. прогр. Вода'!Q13)</f>
        <v>0.15875049892886473</v>
      </c>
      <c r="R14" s="3794">
        <f>SUM('Произв. прогр. Вода'!R13)</f>
        <v>0.15464947621085237</v>
      </c>
      <c r="S14" s="3821">
        <f>SUM('Произв. прогр. Вода'!S13)</f>
        <v>0.14953324537843074</v>
      </c>
      <c r="T14" s="3821">
        <f>SUM('Произв. прогр. Вода'!T13)</f>
        <v>0.14953324537843074</v>
      </c>
      <c r="U14" s="3821">
        <f>SUM('Произв. прогр. Вода'!U13)</f>
        <v>0.14953324537843074</v>
      </c>
      <c r="V14" s="3794">
        <f>SUM('Произв. прогр. Вода'!V13)</f>
        <v>0.14953324537843071</v>
      </c>
      <c r="W14" s="3860">
        <f t="shared" ref="W14" si="1">SUM(W13/W12)</f>
        <v>0.15333787496510748</v>
      </c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  <c r="AV14" s="435"/>
      <c r="AW14" s="435"/>
      <c r="AX14" s="435"/>
      <c r="AY14" s="435"/>
      <c r="AZ14" s="435"/>
    </row>
    <row r="15" spans="1:52" ht="18.75">
      <c r="A15" s="3785" t="s">
        <v>1727</v>
      </c>
      <c r="B15" s="3787">
        <f>SUM('Произв. прогр. Вода'!B14)</f>
        <v>4716.4880000000003</v>
      </c>
      <c r="C15" s="3787">
        <f>SUM('Произв. прогр. Вода'!C14)</f>
        <v>4696.1390000000001</v>
      </c>
      <c r="D15" s="3787">
        <f>SUM('Произв. прогр. Вода'!D14)</f>
        <v>20.349</v>
      </c>
      <c r="E15" s="3800">
        <f>SUM('Произв. прогр. Вода'!E14)</f>
        <v>402.37048134036178</v>
      </c>
      <c r="F15" s="3800">
        <f>SUM('Произв. прогр. Вода'!F14)</f>
        <v>403.07180995400523</v>
      </c>
      <c r="G15" s="3800">
        <f>SUM('Произв. прогр. Вода'!G14)</f>
        <v>404.85208298160211</v>
      </c>
      <c r="H15" s="3787">
        <f>SUM('Произв. прогр. Вода'!H14)</f>
        <v>1210.2943742759692</v>
      </c>
      <c r="I15" s="3800">
        <f>SUM('Произв. прогр. Вода'!I14)</f>
        <v>398.27632850919889</v>
      </c>
      <c r="J15" s="3800">
        <f>SUM('Произв. прогр. Вода'!J14)</f>
        <v>389.04776078842366</v>
      </c>
      <c r="K15" s="3800">
        <f>SUM('Произв. прогр. Вода'!K14)</f>
        <v>372.67463923322993</v>
      </c>
      <c r="L15" s="3787">
        <f>SUM('Произв. прогр. Вода'!L14)</f>
        <v>1159.9987285308525</v>
      </c>
      <c r="M15" s="3787">
        <f>SUM('Произв. прогр. Вода'!M14)</f>
        <v>2370.2931028068215</v>
      </c>
      <c r="N15" s="3800">
        <f>SUM('Произв. прогр. Вода'!N14)</f>
        <v>360.68260696211888</v>
      </c>
      <c r="O15" s="3800">
        <f>SUM('Произв. прогр. Вода'!O14)</f>
        <v>375.97012678516791</v>
      </c>
      <c r="P15" s="3800">
        <f>SUM('Произв. прогр. Вода'!P14)</f>
        <v>394.98591450108518</v>
      </c>
      <c r="Q15" s="3787">
        <f>SUM('Произв. прогр. Вода'!Q14)</f>
        <v>1131.638648248372</v>
      </c>
      <c r="R15" s="3787">
        <f>SUM('Произв. прогр. Вода'!R14)</f>
        <v>3501.9317510551937</v>
      </c>
      <c r="S15" s="3800">
        <f>SUM('Произв. прогр. Вода'!S14)</f>
        <v>404.85208298160211</v>
      </c>
      <c r="T15" s="3800">
        <f>SUM('Произв. прогр. Вода'!T14)</f>
        <v>404.85208298160211</v>
      </c>
      <c r="U15" s="3800">
        <f>SUM('Произв. прогр. Вода'!U14)</f>
        <v>404.85208298160211</v>
      </c>
      <c r="V15" s="3787">
        <f>SUM('Произв. прогр. Вода'!V14)</f>
        <v>1214.5562489448064</v>
      </c>
      <c r="W15" s="3788">
        <f t="shared" si="0"/>
        <v>4716.4880000000003</v>
      </c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  <c r="AV15" s="435"/>
      <c r="AW15" s="435"/>
      <c r="AX15" s="435"/>
      <c r="AY15" s="435"/>
      <c r="AZ15" s="435"/>
    </row>
    <row r="16" spans="1:52" ht="18.75">
      <c r="A16" s="3789" t="s">
        <v>51</v>
      </c>
      <c r="B16" s="3790">
        <f>SUM('Произв. прогр. Вода'!B15)</f>
        <v>925.13900000000012</v>
      </c>
      <c r="C16" s="3790">
        <f>SUM('Произв. прогр. Вода'!C15)</f>
        <v>925.13900000000012</v>
      </c>
      <c r="D16" s="3790">
        <f>SUM('Произв. прогр. Вода'!D15)</f>
        <v>0</v>
      </c>
      <c r="E16" s="3819">
        <f>SUM('Произв. прогр. Вода'!E15)</f>
        <v>80.074958640361785</v>
      </c>
      <c r="F16" s="3819">
        <f>SUM('Произв. прогр. Вода'!F15)</f>
        <v>80.2989704540052</v>
      </c>
      <c r="G16" s="3819">
        <f>SUM('Произв. прогр. Вода'!G15)</f>
        <v>80.867608581602099</v>
      </c>
      <c r="H16" s="3790">
        <f>SUM('Произв. прогр. Вода'!H15)</f>
        <v>241.24153767596908</v>
      </c>
      <c r="I16" s="3819">
        <f>SUM('Произв. прогр. Вода'!I15)</f>
        <v>78.767242709198911</v>
      </c>
      <c r="J16" s="3819">
        <f>SUM('Произв. прогр. Вода'!J15)</f>
        <v>75.819540088423707</v>
      </c>
      <c r="K16" s="3819">
        <f>SUM('Произв. прогр. Вода'!K15)</f>
        <v>70.589791033229915</v>
      </c>
      <c r="L16" s="3790">
        <f>SUM('Произв. прогр. Вода'!L15)</f>
        <v>225.17657383085253</v>
      </c>
      <c r="M16" s="3790">
        <f>SUM('Произв. прогр. Вода'!M15)</f>
        <v>466.41811150682162</v>
      </c>
      <c r="N16" s="3819">
        <f>SUM('Произв. прогр. Вода'!N15)</f>
        <v>66.75940846211887</v>
      </c>
      <c r="O16" s="3819">
        <f>SUM('Произв. прогр. Вода'!O15)</f>
        <v>71.642404785167969</v>
      </c>
      <c r="P16" s="3819">
        <f>SUM('Произв. прогр. Вода'!P15)</f>
        <v>77.716249501085201</v>
      </c>
      <c r="Q16" s="3790">
        <f>SUM('Произв. прогр. Вода'!Q15)</f>
        <v>216.11806274837204</v>
      </c>
      <c r="R16" s="3790">
        <f>SUM('Произв. прогр. Вода'!R15)</f>
        <v>682.5361742551936</v>
      </c>
      <c r="S16" s="3819">
        <f>SUM('Произв. прогр. Вода'!S15)</f>
        <v>80.867608581602099</v>
      </c>
      <c r="T16" s="3819">
        <f>SUM('Произв. прогр. Вода'!T15)</f>
        <v>80.867608581602099</v>
      </c>
      <c r="U16" s="3819">
        <f>SUM('Произв. прогр. Вода'!U15)</f>
        <v>80.867608581602099</v>
      </c>
      <c r="V16" s="3790">
        <f>SUM('Произв. прогр. Вода'!V15)</f>
        <v>242.6028257448063</v>
      </c>
      <c r="W16" s="3792">
        <f t="shared" si="0"/>
        <v>925.1389999999999</v>
      </c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  <c r="AV16" s="435"/>
      <c r="AW16" s="435"/>
      <c r="AX16" s="435"/>
      <c r="AY16" s="435"/>
      <c r="AZ16" s="435"/>
    </row>
    <row r="17" spans="1:52" ht="18.75" customHeight="1">
      <c r="A17" s="3793" t="s">
        <v>117</v>
      </c>
      <c r="B17" s="3794">
        <f>SUM('Произв. прогр. Вода'!B16)</f>
        <v>0.19614997430291353</v>
      </c>
      <c r="C17" s="3794">
        <f>SUM('Произв. прогр. Вода'!C16)</f>
        <v>0.19699991844364065</v>
      </c>
      <c r="D17" s="3794">
        <f>SUM('Произв. прогр. Вода'!D16)</f>
        <v>0</v>
      </c>
      <c r="E17" s="3821">
        <f>SUM('Произв. прогр. Вода'!E16)</f>
        <v>0.19900803451987586</v>
      </c>
      <c r="F17" s="3821">
        <f>SUM('Произв. прогр. Вода'!F16)</f>
        <v>0.19921753015465946</v>
      </c>
      <c r="G17" s="3821">
        <f>SUM('Произв. прогр. Вода'!G16)</f>
        <v>0.19974606030439271</v>
      </c>
      <c r="H17" s="3794">
        <f>SUM('Произв. прогр. Вода'!H16)</f>
        <v>0.19932467902305692</v>
      </c>
      <c r="I17" s="3821">
        <f>SUM('Произв. прогр. Вода'!I16)</f>
        <v>0.19777033449121906</v>
      </c>
      <c r="J17" s="3821">
        <f>SUM('Произв. прогр. Вода'!J16)</f>
        <v>0.19488491576142689</v>
      </c>
      <c r="K17" s="3821">
        <f>SUM('Произв. прогр. Вода'!K16)</f>
        <v>0.18941399172872855</v>
      </c>
      <c r="L17" s="3794">
        <f>SUM('Произв. прогр. Вода'!L16)</f>
        <v>0.19411794883261677</v>
      </c>
      <c r="M17" s="3794">
        <f>SUM('Произв. прогр. Вода'!M16)</f>
        <v>0.19677655516716686</v>
      </c>
      <c r="N17" s="3821">
        <f>SUM('Произв. прогр. Вода'!N16)</f>
        <v>0.18509184300403583</v>
      </c>
      <c r="O17" s="3821">
        <f>SUM('Произв. прогр. Вода'!O16)</f>
        <v>0.19055345007797644</v>
      </c>
      <c r="P17" s="3821">
        <f>SUM('Произв. прогр. Вода'!P16)</f>
        <v>0.19675701499191481</v>
      </c>
      <c r="Q17" s="3794">
        <f>SUM('Произв. прогр. Вода'!Q16)</f>
        <v>0.19097797966064028</v>
      </c>
      <c r="R17" s="3794">
        <f>SUM('Произв. прогр. Вода'!R16)</f>
        <v>0.19490276303915216</v>
      </c>
      <c r="S17" s="3821">
        <f>SUM('Произв. прогр. Вода'!S16)</f>
        <v>0.19974606030439271</v>
      </c>
      <c r="T17" s="3821">
        <f>SUM('Произв. прогр. Вода'!T16)</f>
        <v>0.19974606030439271</v>
      </c>
      <c r="U17" s="3821">
        <f>SUM('Произв. прогр. Вода'!U16)</f>
        <v>0.19974606030439271</v>
      </c>
      <c r="V17" s="3794">
        <f>SUM('Произв. прогр. Вода'!V16)</f>
        <v>0.19974606030439271</v>
      </c>
      <c r="W17" s="3860">
        <f t="shared" ref="W17" si="2">SUM(W16/W15)</f>
        <v>0.19614997430291348</v>
      </c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  <c r="AV17" s="435"/>
      <c r="AW17" s="435"/>
      <c r="AX17" s="435"/>
      <c r="AY17" s="435"/>
      <c r="AZ17" s="435"/>
    </row>
    <row r="18" spans="1:52" ht="18.75">
      <c r="A18" s="3785" t="s">
        <v>1728</v>
      </c>
      <c r="B18" s="3787">
        <f>SUM('Произв. прогр. Вода'!B17)</f>
        <v>3791.3490000000002</v>
      </c>
      <c r="C18" s="3787">
        <f>SUM('Произв. прогр. Вода'!C17)</f>
        <v>3771</v>
      </c>
      <c r="D18" s="3787">
        <f>SUM('Произв. прогр. Вода'!D17)</f>
        <v>20.349</v>
      </c>
      <c r="E18" s="3800">
        <f>SUM('Произв. прогр. Вода'!E17)</f>
        <v>322.29552269999999</v>
      </c>
      <c r="F18" s="3800">
        <f>SUM('Произв. прогр. Вода'!F17)</f>
        <v>322.77283950000003</v>
      </c>
      <c r="G18" s="3800">
        <f>SUM('Произв. прогр. Вода'!G17)</f>
        <v>323.98447440000001</v>
      </c>
      <c r="H18" s="3787">
        <f>SUM('Произв. прогр. Вода'!H17)</f>
        <v>969.05283660000009</v>
      </c>
      <c r="I18" s="3800">
        <f>SUM('Произв. прогр. Вода'!I17)</f>
        <v>319.50908579999998</v>
      </c>
      <c r="J18" s="3800">
        <f>SUM('Произв. прогр. Вода'!J17)</f>
        <v>313.22822069999995</v>
      </c>
      <c r="K18" s="3800">
        <f>SUM('Произв. прогр. Вода'!K17)</f>
        <v>302.08484820000001</v>
      </c>
      <c r="L18" s="3787">
        <f>SUM('Произв. прогр. Вода'!L17)</f>
        <v>934.82215469999994</v>
      </c>
      <c r="M18" s="3787">
        <f>SUM('Произв. прогр. Вода'!M17)</f>
        <v>1903.8749913000001</v>
      </c>
      <c r="N18" s="3800">
        <f>SUM('Произв. прогр. Вода'!N17)</f>
        <v>293.92319850000001</v>
      </c>
      <c r="O18" s="3800">
        <f>SUM('Произв. прогр. Вода'!O17)</f>
        <v>304.32772199999994</v>
      </c>
      <c r="P18" s="3800">
        <f>SUM('Произв. прогр. Вода'!P17)</f>
        <v>317.26966499999997</v>
      </c>
      <c r="Q18" s="3787">
        <f>SUM('Произв. прогр. Вода'!Q17)</f>
        <v>915.52058549999992</v>
      </c>
      <c r="R18" s="3787">
        <f>SUM('Произв. прогр. Вода'!R17)</f>
        <v>2819.3955768000001</v>
      </c>
      <c r="S18" s="3800">
        <f>SUM('Произв. прогр. Вода'!S17)</f>
        <v>323.98447440000001</v>
      </c>
      <c r="T18" s="3800">
        <f>SUM('Произв. прогр. Вода'!T17)</f>
        <v>323.98447440000001</v>
      </c>
      <c r="U18" s="3800">
        <f>SUM('Произв. прогр. Вода'!U17)</f>
        <v>323.98447440000001</v>
      </c>
      <c r="V18" s="3787">
        <f>SUM('Произв. прогр. Вода'!V17)</f>
        <v>971.95342320000009</v>
      </c>
      <c r="W18" s="3788">
        <f t="shared" ref="W18:W24" si="3">SUM(E18+F18+G18+I18+J18+K18+N18+O18+P18+S18+T18+U18)</f>
        <v>3791.3490000000006</v>
      </c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435"/>
      <c r="AY18" s="435"/>
      <c r="AZ18" s="435"/>
    </row>
    <row r="19" spans="1:52" ht="18.75">
      <c r="A19" s="3789" t="s">
        <v>24</v>
      </c>
      <c r="B19" s="3790">
        <f>SUM('Произв. прогр. Вода'!B18)</f>
        <v>2380</v>
      </c>
      <c r="C19" s="3790">
        <f>SUM('Произв. прогр. Вода'!C18)</f>
        <v>2380</v>
      </c>
      <c r="D19" s="3790">
        <f>SUM('Произв. прогр. Вода'!D18)</f>
        <v>0</v>
      </c>
      <c r="E19" s="3819">
        <f>SUM('Произв. прогр. Вода'!E18)</f>
        <v>204.67999999999998</v>
      </c>
      <c r="F19" s="3819">
        <f>SUM('Произв. прогр. Вода'!F18)</f>
        <v>202.3</v>
      </c>
      <c r="G19" s="3819">
        <f>SUM('Произв. прогр. Вода'!G18)</f>
        <v>203.25199999999998</v>
      </c>
      <c r="H19" s="3790">
        <f>SUM('Произв. прогр. Вода'!H18)</f>
        <v>610.23199999999997</v>
      </c>
      <c r="I19" s="3819">
        <f>SUM('Произв. прогр. Вода'!I18)</f>
        <v>200.63399999999999</v>
      </c>
      <c r="J19" s="3819">
        <f>SUM('Произв. прогр. Вода'!J18)</f>
        <v>195.15999999999997</v>
      </c>
      <c r="K19" s="3819">
        <f>SUM('Произв. прогр. Вода'!K18)</f>
        <v>187.78199999999998</v>
      </c>
      <c r="L19" s="3790">
        <f>SUM('Произв. прогр. Вода'!L18)</f>
        <v>583.57600000000002</v>
      </c>
      <c r="M19" s="3790">
        <f>SUM('Произв. прогр. Вода'!M18)</f>
        <v>1193.808</v>
      </c>
      <c r="N19" s="3819">
        <f>SUM('Произв. прогр. Вода'!N18)</f>
        <v>185.40199999999999</v>
      </c>
      <c r="O19" s="3819">
        <f>SUM('Произв. прогр. Вода'!O18)</f>
        <v>193.01799999999997</v>
      </c>
      <c r="P19" s="3819">
        <f>SUM('Произв. прогр. Вода'!P18)</f>
        <v>198.01599999999999</v>
      </c>
      <c r="Q19" s="3790">
        <f>SUM('Произв. прогр. Вода'!Q18)</f>
        <v>576.43599999999992</v>
      </c>
      <c r="R19" s="3790">
        <f>SUM('Произв. прогр. Вода'!R18)</f>
        <v>1770.2439999999999</v>
      </c>
      <c r="S19" s="3819">
        <f>SUM('Произв. прогр. Вода'!S18)</f>
        <v>203.25199999999998</v>
      </c>
      <c r="T19" s="3819">
        <f>SUM('Произв. прогр. Вода'!T18)</f>
        <v>203.25199999999998</v>
      </c>
      <c r="U19" s="3819">
        <f>SUM('Произв. прогр. Вода'!U18)</f>
        <v>203.25199999999998</v>
      </c>
      <c r="V19" s="3790">
        <f>SUM('Произв. прогр. Вода'!V18)</f>
        <v>609.75599999999997</v>
      </c>
      <c r="W19" s="3792">
        <f t="shared" si="3"/>
        <v>2380</v>
      </c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  <c r="AV19" s="435"/>
      <c r="AW19" s="435"/>
      <c r="AX19" s="435"/>
      <c r="AY19" s="435"/>
      <c r="AZ19" s="435"/>
    </row>
    <row r="20" spans="1:52" ht="18.75">
      <c r="A20" s="3789" t="s">
        <v>1729</v>
      </c>
      <c r="B20" s="3790">
        <f>SUM('Произв. прогр. Вода'!B19)</f>
        <v>1016.349</v>
      </c>
      <c r="C20" s="3790">
        <f>SUM('Произв. прогр. Вода'!C19)</f>
        <v>996</v>
      </c>
      <c r="D20" s="3790">
        <f>SUM('Произв. прогр. Вода'!D19)</f>
        <v>20.349</v>
      </c>
      <c r="E20" s="3819">
        <f>SUM('Произв. прогр. Вода'!E19)</f>
        <v>83.645522700000001</v>
      </c>
      <c r="F20" s="3819">
        <f>SUM('Произв. прогр. Вода'!F19)</f>
        <v>86.897839500000018</v>
      </c>
      <c r="G20" s="3819">
        <f>SUM('Произв. прогр. Вода'!G19)</f>
        <v>86.999474400000011</v>
      </c>
      <c r="H20" s="3790">
        <f>SUM('Произв. прогр. Вода'!H19)</f>
        <v>257.54283660000004</v>
      </c>
      <c r="I20" s="3819">
        <f>SUM('Произв. прогр. Вода'!I19)</f>
        <v>85.576585800000004</v>
      </c>
      <c r="J20" s="3819">
        <f>SUM('Произв. прогр. Вода'!J19)</f>
        <v>85.678220699999997</v>
      </c>
      <c r="K20" s="3819">
        <f>SUM('Произв. прогр. Вода'!K19)</f>
        <v>83.137348200000005</v>
      </c>
      <c r="L20" s="3790">
        <f>SUM('Произв. прогр. Вода'!L19)</f>
        <v>254.39215469999999</v>
      </c>
      <c r="M20" s="3790">
        <f>SUM('Произв. прогр. Вода'!M19)</f>
        <v>511.93499130000004</v>
      </c>
      <c r="N20" s="3819">
        <f>SUM('Произв. прогр. Вода'!N19)</f>
        <v>77.750698499999999</v>
      </c>
      <c r="O20" s="3819">
        <f>SUM('Произв. прогр. Вода'!O19)</f>
        <v>79.275221999999999</v>
      </c>
      <c r="P20" s="3819">
        <f>SUM('Произв. прогр. Вода'!P19)</f>
        <v>86.389665000000008</v>
      </c>
      <c r="Q20" s="3790">
        <f>SUM('Произв. прогр. Вода'!Q19)</f>
        <v>243.41558549999999</v>
      </c>
      <c r="R20" s="3790">
        <f>SUM('Произв. прогр. Вода'!R19)</f>
        <v>755.3505768</v>
      </c>
      <c r="S20" s="3819">
        <f>SUM('Произв. прогр. Вода'!S19)</f>
        <v>86.999474400000011</v>
      </c>
      <c r="T20" s="3819">
        <f>SUM('Произв. прогр. Вода'!T19)</f>
        <v>86.999474400000011</v>
      </c>
      <c r="U20" s="3819">
        <f>SUM('Произв. прогр. Вода'!U19)</f>
        <v>86.999474400000011</v>
      </c>
      <c r="V20" s="3790">
        <f>SUM('Произв. прогр. Вода'!V19)</f>
        <v>260.99842320000005</v>
      </c>
      <c r="W20" s="3792">
        <f t="shared" si="3"/>
        <v>1016.3490000000003</v>
      </c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  <c r="AV20" s="435"/>
      <c r="AW20" s="435"/>
      <c r="AX20" s="435"/>
      <c r="AY20" s="435"/>
      <c r="AZ20" s="435"/>
    </row>
    <row r="21" spans="1:52" ht="18.75">
      <c r="A21" s="3793" t="s">
        <v>25</v>
      </c>
      <c r="B21" s="3794">
        <f>SUM('Произв. прогр. Вода'!B20)</f>
        <v>20.349</v>
      </c>
      <c r="C21" s="3794">
        <f>SUM('Произв. прогр. Вода'!C20)</f>
        <v>0</v>
      </c>
      <c r="D21" s="3794">
        <f>SUM('Произв. прогр. Вода'!D20)</f>
        <v>20.349</v>
      </c>
      <c r="E21" s="3821">
        <f>SUM('Произв. прогр. Вода'!E20)</f>
        <v>1.6957500000000001</v>
      </c>
      <c r="F21" s="3821">
        <f>SUM('Произв. прогр. Вода'!F20)</f>
        <v>1.6957500000000001</v>
      </c>
      <c r="G21" s="3821">
        <f>SUM('Произв. прогр. Вода'!G20)</f>
        <v>1.6957500000000001</v>
      </c>
      <c r="H21" s="3794">
        <f>SUM('Произв. прогр. Вода'!H20)</f>
        <v>5.08725</v>
      </c>
      <c r="I21" s="3821">
        <f>SUM('Произв. прогр. Вода'!I20)</f>
        <v>1.6957500000000001</v>
      </c>
      <c r="J21" s="3821">
        <f>SUM('Произв. прогр. Вода'!J20)</f>
        <v>1.6957500000000001</v>
      </c>
      <c r="K21" s="3821">
        <f>SUM('Произв. прогр. Вода'!K20)</f>
        <v>1.6957500000000001</v>
      </c>
      <c r="L21" s="3794">
        <f>SUM('Произв. прогр. Вода'!L20)</f>
        <v>5.08725</v>
      </c>
      <c r="M21" s="3794">
        <f>SUM('Произв. прогр. Вода'!M20)</f>
        <v>10.1745</v>
      </c>
      <c r="N21" s="3821">
        <f>SUM('Произв. прогр. Вода'!N20)</f>
        <v>1.6957500000000001</v>
      </c>
      <c r="O21" s="3821">
        <f>SUM('Произв. прогр. Вода'!O20)</f>
        <v>1.6957500000000001</v>
      </c>
      <c r="P21" s="3821">
        <f>SUM('Произв. прогр. Вода'!P20)</f>
        <v>1.6957500000000001</v>
      </c>
      <c r="Q21" s="3794">
        <f>SUM('Произв. прогр. Вода'!Q20)</f>
        <v>5.08725</v>
      </c>
      <c r="R21" s="3794">
        <f>SUM('Произв. прогр. Вода'!R20)</f>
        <v>15.261749999999999</v>
      </c>
      <c r="S21" s="3821">
        <f>SUM('Произв. прогр. Вода'!S20)</f>
        <v>1.6957500000000001</v>
      </c>
      <c r="T21" s="3821">
        <f>SUM('Произв. прогр. Вода'!T20)</f>
        <v>1.6957500000000001</v>
      </c>
      <c r="U21" s="3821">
        <f>SUM('Произв. прогр. Вода'!U20)</f>
        <v>1.6957500000000001</v>
      </c>
      <c r="V21" s="3794">
        <f>SUM('Произв. прогр. Вода'!V20)</f>
        <v>5.08725</v>
      </c>
      <c r="W21" s="3792">
        <f t="shared" si="3"/>
        <v>20.349</v>
      </c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  <c r="AY21" s="435"/>
      <c r="AZ21" s="435"/>
    </row>
    <row r="22" spans="1:52" ht="18.75">
      <c r="A22" s="3785" t="s">
        <v>1730</v>
      </c>
      <c r="B22" s="3787">
        <f>SUM('Произв. прогр. Вода'!B21)</f>
        <v>395</v>
      </c>
      <c r="C22" s="3787">
        <f>SUM('Произв. прогр. Вода'!C21)</f>
        <v>395</v>
      </c>
      <c r="D22" s="3787">
        <f>SUM('Произв. прогр. Вода'!D21)</f>
        <v>0</v>
      </c>
      <c r="E22" s="3800">
        <f>SUM('Произв. прогр. Вода'!E21)</f>
        <v>33.97</v>
      </c>
      <c r="F22" s="3800">
        <f>SUM('Произв. прогр. Вода'!F21)</f>
        <v>33.575000000000003</v>
      </c>
      <c r="G22" s="3800">
        <f>SUM('Произв. прогр. Вода'!G21)</f>
        <v>33.732999999999997</v>
      </c>
      <c r="H22" s="3787">
        <f>SUM('Произв. прогр. Вода'!H21)</f>
        <v>101.27799999999999</v>
      </c>
      <c r="I22" s="3800">
        <f>SUM('Произв. прогр. Вода'!I21)</f>
        <v>33.298499999999997</v>
      </c>
      <c r="J22" s="3800">
        <f>SUM('Произв. прогр. Вода'!J21)</f>
        <v>32.389999999999993</v>
      </c>
      <c r="K22" s="3800">
        <f>SUM('Произв. прогр. Вода'!K21)</f>
        <v>31.165499999999998</v>
      </c>
      <c r="L22" s="3787">
        <f>SUM('Произв. прогр. Вода'!L21)</f>
        <v>96.853999999999985</v>
      </c>
      <c r="M22" s="3787">
        <f>SUM('Произв. прогр. Вода'!M21)</f>
        <v>198.13199999999998</v>
      </c>
      <c r="N22" s="3800">
        <f>SUM('Произв. прогр. Вода'!N21)</f>
        <v>30.770500000000002</v>
      </c>
      <c r="O22" s="3800">
        <f>SUM('Произв. прогр. Вода'!O21)</f>
        <v>32.034499999999994</v>
      </c>
      <c r="P22" s="3800">
        <f>SUM('Произв. прогр. Вода'!P21)</f>
        <v>32.863999999999997</v>
      </c>
      <c r="Q22" s="3787">
        <f>SUM('Произв. прогр. Вода'!Q21)</f>
        <v>95.668999999999983</v>
      </c>
      <c r="R22" s="3787">
        <f>SUM('Произв. прогр. Вода'!R21)</f>
        <v>293.80099999999993</v>
      </c>
      <c r="S22" s="3800">
        <f>SUM('Произв. прогр. Вода'!S21)</f>
        <v>33.732999999999997</v>
      </c>
      <c r="T22" s="3800">
        <f>SUM('Произв. прогр. Вода'!T21)</f>
        <v>33.732999999999997</v>
      </c>
      <c r="U22" s="3800">
        <f>SUM('Произв. прогр. Вода'!U21)</f>
        <v>33.732999999999997</v>
      </c>
      <c r="V22" s="3787">
        <f>SUM('Произв. прогр. Вода'!V21)</f>
        <v>101.19899999999998</v>
      </c>
      <c r="W22" s="3788">
        <f t="shared" si="3"/>
        <v>394.99999999999994</v>
      </c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  <c r="AY22" s="435"/>
      <c r="AZ22" s="435"/>
    </row>
    <row r="23" spans="1:52" ht="18.75">
      <c r="A23" s="3793" t="s">
        <v>655</v>
      </c>
      <c r="B23" s="3794">
        <f>SUM('Произв. прогр. Вода'!B22)</f>
        <v>350</v>
      </c>
      <c r="C23" s="3794">
        <f>SUM('Произв. прогр. Вода'!C22)</f>
        <v>350</v>
      </c>
      <c r="D23" s="3794">
        <f>SUM('Произв. прогр. Вода'!D22)</f>
        <v>0</v>
      </c>
      <c r="E23" s="3821">
        <f>SUM('Произв. прогр. Вода'!E22)</f>
        <v>30.099999999999998</v>
      </c>
      <c r="F23" s="3821">
        <f>SUM('Произв. прогр. Вода'!F22)</f>
        <v>29.750000000000004</v>
      </c>
      <c r="G23" s="3821">
        <f>SUM('Произв. прогр. Вода'!G22)</f>
        <v>29.889999999999997</v>
      </c>
      <c r="H23" s="3794">
        <f>SUM('Произв. прогр. Вода'!H22)</f>
        <v>89.74</v>
      </c>
      <c r="I23" s="3821">
        <f>SUM('Произв. прогр. Вода'!I22)</f>
        <v>29.504999999999999</v>
      </c>
      <c r="J23" s="3821">
        <f>SUM('Произв. прогр. Вода'!J22)</f>
        <v>28.699999999999996</v>
      </c>
      <c r="K23" s="3821">
        <f>SUM('Произв. прогр. Вода'!K22)</f>
        <v>27.614999999999998</v>
      </c>
      <c r="L23" s="3794">
        <f>SUM('Произв. прогр. Вода'!L22)</f>
        <v>85.82</v>
      </c>
      <c r="M23" s="3794">
        <f>SUM('Произв. прогр. Вода'!M22)</f>
        <v>175.56</v>
      </c>
      <c r="N23" s="3821">
        <f>SUM('Произв. прогр. Вода'!N22)</f>
        <v>27.265000000000001</v>
      </c>
      <c r="O23" s="3821">
        <f>SUM('Произв. прогр. Вода'!O22)</f>
        <v>28.384999999999998</v>
      </c>
      <c r="P23" s="3821">
        <f>SUM('Произв. прогр. Вода'!P22)</f>
        <v>29.119999999999997</v>
      </c>
      <c r="Q23" s="3794">
        <f>SUM('Произв. прогр. Вода'!Q22)</f>
        <v>84.77</v>
      </c>
      <c r="R23" s="3794">
        <f>SUM('Произв. прогр. Вода'!R22)</f>
        <v>260.33</v>
      </c>
      <c r="S23" s="3821">
        <f>SUM('Произв. прогр. Вода'!S22)</f>
        <v>29.889999999999997</v>
      </c>
      <c r="T23" s="3821">
        <f>SUM('Произв. прогр. Вода'!T22)</f>
        <v>29.889999999999997</v>
      </c>
      <c r="U23" s="3821">
        <f>SUM('Произв. прогр. Вода'!U22)</f>
        <v>29.889999999999997</v>
      </c>
      <c r="V23" s="3794">
        <f>SUM('Произв. прогр. Вода'!V22)</f>
        <v>89.669999999999987</v>
      </c>
      <c r="W23" s="3792">
        <f t="shared" si="3"/>
        <v>349.99999999999994</v>
      </c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  <c r="AY23" s="435"/>
      <c r="AZ23" s="435"/>
    </row>
    <row r="24" spans="1:52" ht="18.75">
      <c r="A24" s="3793" t="s">
        <v>656</v>
      </c>
      <c r="B24" s="3794">
        <f>SUM('Произв. прогр. Вода'!B23)</f>
        <v>45</v>
      </c>
      <c r="C24" s="3794">
        <f>SUM('Произв. прогр. Вода'!C23)</f>
        <v>45</v>
      </c>
      <c r="D24" s="3794">
        <f>SUM('Произв. прогр. Вода'!D23)</f>
        <v>0</v>
      </c>
      <c r="E24" s="3821">
        <f>SUM('Произв. прогр. Вода'!E23)</f>
        <v>3.8699999999999997</v>
      </c>
      <c r="F24" s="3821">
        <f>SUM('Произв. прогр. Вода'!F23)</f>
        <v>3.8250000000000002</v>
      </c>
      <c r="G24" s="3821">
        <f>SUM('Произв. прогр. Вода'!G23)</f>
        <v>3.8429999999999995</v>
      </c>
      <c r="H24" s="3794">
        <f>SUM('Произв. прогр. Вода'!H23)</f>
        <v>11.538</v>
      </c>
      <c r="I24" s="3821">
        <f>SUM('Произв. прогр. Вода'!I23)</f>
        <v>3.7934999999999999</v>
      </c>
      <c r="J24" s="3821">
        <f>SUM('Произв. прогр. Вода'!J23)</f>
        <v>3.6899999999999995</v>
      </c>
      <c r="K24" s="3821">
        <f>SUM('Произв. прогр. Вода'!K23)</f>
        <v>3.5505</v>
      </c>
      <c r="L24" s="3794">
        <f>SUM('Произв. прогр. Вода'!L23)</f>
        <v>11.033999999999999</v>
      </c>
      <c r="M24" s="3794">
        <f>SUM('Произв. прогр. Вода'!M23)</f>
        <v>22.571999999999999</v>
      </c>
      <c r="N24" s="3821">
        <f>SUM('Произв. прогр. Вода'!N23)</f>
        <v>3.5055000000000001</v>
      </c>
      <c r="O24" s="3821">
        <f>SUM('Произв. прогр. Вода'!O23)</f>
        <v>3.6494999999999997</v>
      </c>
      <c r="P24" s="3821">
        <f>SUM('Произв. прогр. Вода'!P23)</f>
        <v>3.7439999999999998</v>
      </c>
      <c r="Q24" s="3794">
        <f>SUM('Произв. прогр. Вода'!Q23)</f>
        <v>10.898999999999999</v>
      </c>
      <c r="R24" s="3794">
        <f>SUM('Произв. прогр. Вода'!R23)</f>
        <v>33.470999999999997</v>
      </c>
      <c r="S24" s="3821">
        <f>SUM('Произв. прогр. Вода'!S23)</f>
        <v>3.8429999999999995</v>
      </c>
      <c r="T24" s="3821">
        <f>SUM('Произв. прогр. Вода'!T23)</f>
        <v>3.8429999999999995</v>
      </c>
      <c r="U24" s="3821">
        <f>SUM('Произв. прогр. Вода'!U23)</f>
        <v>3.8429999999999995</v>
      </c>
      <c r="V24" s="3794">
        <f>SUM('Произв. прогр. Вода'!V23)</f>
        <v>11.528999999999998</v>
      </c>
      <c r="W24" s="3792">
        <f t="shared" si="3"/>
        <v>44.999999999999993</v>
      </c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  <c r="AY24" s="435"/>
      <c r="AZ24" s="435"/>
    </row>
    <row r="25" spans="1:52" ht="18.75" customHeight="1">
      <c r="A25" s="4386" t="s">
        <v>1731</v>
      </c>
      <c r="B25" s="4394"/>
      <c r="C25" s="4394"/>
      <c r="D25" s="4394"/>
      <c r="E25" s="4394"/>
      <c r="F25" s="4394"/>
      <c r="G25" s="4394"/>
      <c r="H25" s="4394"/>
      <c r="I25" s="4394"/>
      <c r="J25" s="4394"/>
      <c r="K25" s="4394"/>
      <c r="L25" s="4394"/>
      <c r="M25" s="4394"/>
      <c r="N25" s="4394"/>
      <c r="O25" s="4394"/>
      <c r="P25" s="4394"/>
      <c r="Q25" s="4394"/>
      <c r="R25" s="4394"/>
      <c r="S25" s="4394"/>
      <c r="T25" s="4394"/>
      <c r="U25" s="4394"/>
      <c r="V25" s="4395"/>
      <c r="W25" s="3792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  <c r="AV25" s="435"/>
      <c r="AW25" s="435"/>
      <c r="AX25" s="435"/>
      <c r="AY25" s="435"/>
      <c r="AZ25" s="435"/>
    </row>
    <row r="26" spans="1:52" ht="18.75" customHeight="1">
      <c r="A26" s="4396" t="s">
        <v>546</v>
      </c>
      <c r="B26" s="4389" t="s">
        <v>1782</v>
      </c>
      <c r="C26" s="4389" t="s">
        <v>576</v>
      </c>
      <c r="D26" s="4389"/>
      <c r="E26" s="4383" t="s">
        <v>587</v>
      </c>
      <c r="F26" s="4383" t="s">
        <v>588</v>
      </c>
      <c r="G26" s="4383" t="s">
        <v>589</v>
      </c>
      <c r="H26" s="4384" t="s">
        <v>601</v>
      </c>
      <c r="I26" s="4383" t="s">
        <v>590</v>
      </c>
      <c r="J26" s="4383" t="s">
        <v>591</v>
      </c>
      <c r="K26" s="4383" t="s">
        <v>592</v>
      </c>
      <c r="L26" s="4384" t="s">
        <v>600</v>
      </c>
      <c r="M26" s="4384" t="s">
        <v>599</v>
      </c>
      <c r="N26" s="4383" t="s">
        <v>593</v>
      </c>
      <c r="O26" s="4383" t="s">
        <v>594</v>
      </c>
      <c r="P26" s="4383" t="s">
        <v>595</v>
      </c>
      <c r="Q26" s="4384" t="s">
        <v>225</v>
      </c>
      <c r="R26" s="4384" t="s">
        <v>229</v>
      </c>
      <c r="S26" s="4383" t="s">
        <v>596</v>
      </c>
      <c r="T26" s="4383" t="s">
        <v>597</v>
      </c>
      <c r="U26" s="4383" t="s">
        <v>598</v>
      </c>
      <c r="V26" s="4384" t="s">
        <v>135</v>
      </c>
      <c r="W26" s="4385" t="s">
        <v>602</v>
      </c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  <c r="AY26" s="435"/>
      <c r="AZ26" s="435"/>
    </row>
    <row r="27" spans="1:52" ht="37.5">
      <c r="A27" s="4397"/>
      <c r="B27" s="4389"/>
      <c r="C27" s="3784" t="s">
        <v>1554</v>
      </c>
      <c r="D27" s="3784" t="s">
        <v>1555</v>
      </c>
      <c r="E27" s="4383"/>
      <c r="F27" s="4383"/>
      <c r="G27" s="4383"/>
      <c r="H27" s="4384"/>
      <c r="I27" s="4383"/>
      <c r="J27" s="4383"/>
      <c r="K27" s="4383"/>
      <c r="L27" s="4384"/>
      <c r="M27" s="4384"/>
      <c r="N27" s="4383"/>
      <c r="O27" s="4383"/>
      <c r="P27" s="4383"/>
      <c r="Q27" s="4384"/>
      <c r="R27" s="4384"/>
      <c r="S27" s="4383"/>
      <c r="T27" s="4383"/>
      <c r="U27" s="4383"/>
      <c r="V27" s="4384"/>
      <c r="W27" s="438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  <c r="AY27" s="435"/>
      <c r="AZ27" s="435"/>
    </row>
    <row r="28" spans="1:52" ht="18.75">
      <c r="A28" s="3805" t="s">
        <v>1732</v>
      </c>
      <c r="B28" s="3799">
        <f>SUM(C28:D28)</f>
        <v>67539.98272</v>
      </c>
      <c r="C28" s="3799">
        <f>SUM(H28+L28+Q28+V28)</f>
        <v>67539.98272</v>
      </c>
      <c r="D28" s="3898">
        <v>0</v>
      </c>
      <c r="E28" s="3801">
        <f>SUM(E19*E38)</f>
        <v>5690.1039999999994</v>
      </c>
      <c r="F28" s="3801">
        <f t="shared" ref="F28:K28" si="4">SUM(F19*F38)</f>
        <v>5623.9400000000005</v>
      </c>
      <c r="G28" s="3801">
        <f t="shared" si="4"/>
        <v>5650.4056</v>
      </c>
      <c r="H28" s="3799">
        <f>SUM(E28:G28)</f>
        <v>16964.4496</v>
      </c>
      <c r="I28" s="3801">
        <f t="shared" si="4"/>
        <v>5577.6251999999995</v>
      </c>
      <c r="J28" s="3801">
        <f t="shared" si="4"/>
        <v>5425.4479999999994</v>
      </c>
      <c r="K28" s="3801">
        <f t="shared" si="4"/>
        <v>5220.3395999999993</v>
      </c>
      <c r="L28" s="3799">
        <f>SUM(I28:K28)</f>
        <v>16223.412799999998</v>
      </c>
      <c r="M28" s="3799">
        <f>SUM(H28+L28)</f>
        <v>33187.862399999998</v>
      </c>
      <c r="N28" s="3801">
        <f t="shared" ref="N28:P28" si="5">SUM(N19*N38)</f>
        <v>5369.2419199999995</v>
      </c>
      <c r="O28" s="3801">
        <f t="shared" si="5"/>
        <v>5589.8012799999997</v>
      </c>
      <c r="P28" s="3801">
        <f t="shared" si="5"/>
        <v>5734.5433599999997</v>
      </c>
      <c r="Q28" s="3799">
        <f>SUM(N28:P28)</f>
        <v>16693.58656</v>
      </c>
      <c r="R28" s="3799">
        <f>SUM(M28+Q28)</f>
        <v>49881.448959999994</v>
      </c>
      <c r="S28" s="3801">
        <f t="shared" ref="S28:U28" si="6">SUM(S19*S38)</f>
        <v>5886.1779199999992</v>
      </c>
      <c r="T28" s="3801">
        <f t="shared" si="6"/>
        <v>5886.1779199999992</v>
      </c>
      <c r="U28" s="3801">
        <f t="shared" si="6"/>
        <v>5886.1779199999992</v>
      </c>
      <c r="V28" s="3799">
        <f>SUM(S28:U28)</f>
        <v>17658.533759999998</v>
      </c>
      <c r="W28" s="3792">
        <f t="shared" ref="W28:W36" si="7">SUM(E28+F28+G28+I28+J28+K28+N28+O28+P28+S28+T28+U28)</f>
        <v>67539.98272</v>
      </c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  <c r="AY28" s="435"/>
      <c r="AZ28" s="435"/>
    </row>
    <row r="29" spans="1:52" ht="18.75">
      <c r="A29" s="3805" t="s">
        <v>1733</v>
      </c>
      <c r="B29" s="3799">
        <f t="shared" ref="B29:B36" si="8">SUM(C29:D29)</f>
        <v>15453.720799999996</v>
      </c>
      <c r="C29" s="3799">
        <f t="shared" ref="C29:C34" si="9">SUM(H29+L29+Q29+V29)</f>
        <v>15453.720799999996</v>
      </c>
      <c r="D29" s="3898">
        <v>0</v>
      </c>
      <c r="E29" s="3801">
        <f>SUM(E19*E39)</f>
        <v>1211.7055999999995</v>
      </c>
      <c r="F29" s="3801">
        <f t="shared" ref="F29:K29" si="10">SUM(F19*F39)</f>
        <v>1197.6159999999998</v>
      </c>
      <c r="G29" s="3801">
        <f t="shared" si="10"/>
        <v>1203.2518399999994</v>
      </c>
      <c r="H29" s="3799">
        <f>SUM(E29:G29)</f>
        <v>3612.5734399999988</v>
      </c>
      <c r="I29" s="3801">
        <f t="shared" si="10"/>
        <v>1187.7532799999994</v>
      </c>
      <c r="J29" s="3801">
        <f t="shared" si="10"/>
        <v>1155.3471999999995</v>
      </c>
      <c r="K29" s="3801">
        <f t="shared" si="10"/>
        <v>1111.6694399999994</v>
      </c>
      <c r="L29" s="3799">
        <f>SUM(I29:K29)</f>
        <v>3454.7699199999988</v>
      </c>
      <c r="M29" s="3799">
        <f t="shared" ref="M29:M35" si="11">SUM(H29+L29)</f>
        <v>7067.3433599999971</v>
      </c>
      <c r="N29" s="3801">
        <f t="shared" ref="N29:P31" si="12">SUM(N19*N39)</f>
        <v>1310.79214</v>
      </c>
      <c r="O29" s="3801">
        <f t="shared" si="12"/>
        <v>1364.63726</v>
      </c>
      <c r="P29" s="3801">
        <f t="shared" si="12"/>
        <v>1399.9731199999999</v>
      </c>
      <c r="Q29" s="3799">
        <f>SUM(N29:P29)</f>
        <v>4075.4025199999996</v>
      </c>
      <c r="R29" s="3799">
        <f t="shared" ref="R29:R35" si="13">SUM(M29+Q29)</f>
        <v>11142.745879999997</v>
      </c>
      <c r="S29" s="3801">
        <f t="shared" ref="S29:U31" si="14">SUM(S19*S39)</f>
        <v>1436.99164</v>
      </c>
      <c r="T29" s="3801">
        <f t="shared" si="14"/>
        <v>1436.99164</v>
      </c>
      <c r="U29" s="3801">
        <f t="shared" si="14"/>
        <v>1436.99164</v>
      </c>
      <c r="V29" s="3799">
        <f>SUM(S29:U29)</f>
        <v>4310.9749199999997</v>
      </c>
      <c r="W29" s="3792">
        <f t="shared" si="7"/>
        <v>15453.720799999997</v>
      </c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  <c r="AY29" s="435"/>
      <c r="AZ29" s="435"/>
    </row>
    <row r="30" spans="1:52" ht="18.75">
      <c r="A30" s="3805" t="s">
        <v>1734</v>
      </c>
      <c r="B30" s="3799">
        <f t="shared" si="8"/>
        <v>34726.813265096993</v>
      </c>
      <c r="C30" s="3799">
        <f t="shared" si="9"/>
        <v>34726.813265096993</v>
      </c>
      <c r="D30" s="3898">
        <v>0</v>
      </c>
      <c r="E30" s="3801">
        <f>SUM(E20-E21)*E40</f>
        <v>2763.3463354439996</v>
      </c>
      <c r="F30" s="3801">
        <f t="shared" ref="F30:K30" si="15">SUM(F20-F21)*F40</f>
        <v>2873.0144579400003</v>
      </c>
      <c r="G30" s="3801">
        <f t="shared" si="15"/>
        <v>2876.441586768</v>
      </c>
      <c r="H30" s="3799">
        <f t="shared" ref="H30:H35" si="16">SUM(E30:G30)</f>
        <v>8512.8023801519994</v>
      </c>
      <c r="I30" s="3801">
        <f t="shared" si="15"/>
        <v>2828.4617831759997</v>
      </c>
      <c r="J30" s="3801">
        <f t="shared" si="15"/>
        <v>2831.8889120039998</v>
      </c>
      <c r="K30" s="3801">
        <f t="shared" si="15"/>
        <v>2746.2106913039997</v>
      </c>
      <c r="L30" s="3799">
        <f t="shared" ref="L30:L35" si="17">SUM(I30:K30)</f>
        <v>8406.5613864839979</v>
      </c>
      <c r="M30" s="3799">
        <f t="shared" si="11"/>
        <v>16919.363766635997</v>
      </c>
      <c r="N30" s="3801">
        <f t="shared" ref="N30:P30" si="18">SUM(N20-N21)*N40</f>
        <v>2740.2597944549998</v>
      </c>
      <c r="O30" s="3801">
        <f t="shared" si="18"/>
        <v>2795.1883761599997</v>
      </c>
      <c r="P30" s="3801">
        <f t="shared" si="18"/>
        <v>3051.5217574500002</v>
      </c>
      <c r="Q30" s="3799">
        <f t="shared" ref="Q30:Q35" si="19">SUM(N30:P30)</f>
        <v>8586.9699280650002</v>
      </c>
      <c r="R30" s="3799">
        <f t="shared" si="13"/>
        <v>25506.333694700996</v>
      </c>
      <c r="S30" s="3801">
        <f t="shared" ref="S30:U30" si="20">SUM(S20-S21)*S40</f>
        <v>3073.4931901320006</v>
      </c>
      <c r="T30" s="3801">
        <f t="shared" si="20"/>
        <v>3073.4931901320006</v>
      </c>
      <c r="U30" s="3801">
        <f t="shared" si="20"/>
        <v>3073.4931901320006</v>
      </c>
      <c r="V30" s="3799">
        <f t="shared" ref="V30:V35" si="21">SUM(S30:U30)</f>
        <v>9220.4795703960008</v>
      </c>
      <c r="W30" s="3792">
        <f t="shared" si="7"/>
        <v>34726.813265097007</v>
      </c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  <c r="AV30" s="435"/>
      <c r="AW30" s="435"/>
      <c r="AX30" s="435"/>
      <c r="AY30" s="435"/>
      <c r="AZ30" s="435"/>
    </row>
    <row r="31" spans="1:52" ht="18.75">
      <c r="A31" s="3805" t="s">
        <v>1735</v>
      </c>
      <c r="B31" s="3799">
        <f t="shared" si="8"/>
        <v>345.831255</v>
      </c>
      <c r="C31" s="3898">
        <v>0</v>
      </c>
      <c r="D31" s="3799">
        <f>SUM(H31+L31+Q31+V31)</f>
        <v>345.831255</v>
      </c>
      <c r="E31" s="3801">
        <f>SUM(E21*E41)</f>
        <v>27.233744999999999</v>
      </c>
      <c r="F31" s="3801">
        <f t="shared" ref="F31:K31" si="22">SUM(F21*F41)</f>
        <v>27.233744999999999</v>
      </c>
      <c r="G31" s="3801">
        <f t="shared" si="22"/>
        <v>27.233744999999999</v>
      </c>
      <c r="H31" s="3799">
        <f t="shared" si="16"/>
        <v>81.701234999999997</v>
      </c>
      <c r="I31" s="3801">
        <f t="shared" si="22"/>
        <v>27.233744999999999</v>
      </c>
      <c r="J31" s="3801">
        <f t="shared" si="22"/>
        <v>27.233744999999999</v>
      </c>
      <c r="K31" s="3801">
        <f t="shared" si="22"/>
        <v>27.233744999999999</v>
      </c>
      <c r="L31" s="3799">
        <f t="shared" si="17"/>
        <v>81.701234999999997</v>
      </c>
      <c r="M31" s="3799">
        <f t="shared" si="11"/>
        <v>163.40246999999999</v>
      </c>
      <c r="N31" s="3801">
        <f t="shared" si="12"/>
        <v>30.404797500000001</v>
      </c>
      <c r="O31" s="3801">
        <f t="shared" si="12"/>
        <v>30.404797500000001</v>
      </c>
      <c r="P31" s="3801">
        <f t="shared" si="12"/>
        <v>30.404797500000001</v>
      </c>
      <c r="Q31" s="3799">
        <f t="shared" si="19"/>
        <v>91.214392500000002</v>
      </c>
      <c r="R31" s="3799">
        <f t="shared" si="13"/>
        <v>254.6168625</v>
      </c>
      <c r="S31" s="3801">
        <f t="shared" si="14"/>
        <v>30.404797500000001</v>
      </c>
      <c r="T31" s="3801">
        <f t="shared" si="14"/>
        <v>30.404797500000001</v>
      </c>
      <c r="U31" s="3801">
        <f t="shared" si="14"/>
        <v>30.404797500000001</v>
      </c>
      <c r="V31" s="3799">
        <f t="shared" si="21"/>
        <v>91.214392500000002</v>
      </c>
      <c r="W31" s="3792">
        <f t="shared" si="7"/>
        <v>345.83125499999994</v>
      </c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  <c r="AY31" s="435"/>
      <c r="AZ31" s="435"/>
    </row>
    <row r="32" spans="1:52" ht="18.75">
      <c r="A32" s="3805" t="s">
        <v>1736</v>
      </c>
      <c r="B32" s="3799">
        <f t="shared" si="8"/>
        <v>13774.165079999999</v>
      </c>
      <c r="C32" s="3799">
        <f t="shared" si="9"/>
        <v>13774.165079999999</v>
      </c>
      <c r="D32" s="3898">
        <v>0</v>
      </c>
      <c r="E32" s="3801">
        <f>SUM(E33:E34)</f>
        <v>1145.4683999999997</v>
      </c>
      <c r="F32" s="3801">
        <f t="shared" ref="F32:G32" si="23">SUM(F33:F34)</f>
        <v>1132.1490000000001</v>
      </c>
      <c r="G32" s="3801">
        <f t="shared" si="23"/>
        <v>1137.4767599999998</v>
      </c>
      <c r="H32" s="3799">
        <f t="shared" si="16"/>
        <v>3415.0941599999996</v>
      </c>
      <c r="I32" s="3801">
        <f>SUM(I33:I34)</f>
        <v>1122.8254199999999</v>
      </c>
      <c r="J32" s="3801">
        <f t="shared" ref="J32:K32" si="24">SUM(J33:J34)</f>
        <v>1092.1907999999999</v>
      </c>
      <c r="K32" s="3801">
        <f t="shared" si="24"/>
        <v>1050.90066</v>
      </c>
      <c r="L32" s="3799">
        <f t="shared" si="17"/>
        <v>3265.9168799999998</v>
      </c>
      <c r="M32" s="3799">
        <f t="shared" si="11"/>
        <v>6681.0110399999994</v>
      </c>
      <c r="N32" s="3801">
        <f>SUM(N33:N34)</f>
        <v>1108.6611150000001</v>
      </c>
      <c r="O32" s="3801">
        <f t="shared" ref="O32:P32" si="25">SUM(O33:O34)</f>
        <v>1154.203035</v>
      </c>
      <c r="P32" s="3801">
        <f t="shared" si="25"/>
        <v>1184.0899199999999</v>
      </c>
      <c r="Q32" s="3799">
        <f t="shared" si="19"/>
        <v>3446.9540700000002</v>
      </c>
      <c r="R32" s="3799">
        <f t="shared" si="13"/>
        <v>10127.965109999999</v>
      </c>
      <c r="S32" s="3801">
        <f>SUM(S33:S34)</f>
        <v>1215.3999899999999</v>
      </c>
      <c r="T32" s="3801">
        <f t="shared" ref="T32:U32" si="26">SUM(T33:T34)</f>
        <v>1215.3999899999999</v>
      </c>
      <c r="U32" s="3801">
        <f t="shared" si="26"/>
        <v>1215.3999899999999</v>
      </c>
      <c r="V32" s="3799">
        <f t="shared" si="21"/>
        <v>3646.1999699999997</v>
      </c>
      <c r="W32" s="3792">
        <f t="shared" si="7"/>
        <v>13774.165080000001</v>
      </c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  <c r="AY32" s="435"/>
      <c r="AZ32" s="435"/>
    </row>
    <row r="33" spans="1:52" ht="18.75">
      <c r="A33" s="3806" t="s">
        <v>655</v>
      </c>
      <c r="B33" s="3803">
        <f t="shared" si="8"/>
        <v>12204.956399999999</v>
      </c>
      <c r="C33" s="3803">
        <f t="shared" si="9"/>
        <v>12204.956399999999</v>
      </c>
      <c r="D33" s="3899">
        <v>0</v>
      </c>
      <c r="E33" s="3802">
        <f>SUM(E23*E40)</f>
        <v>1014.9719999999999</v>
      </c>
      <c r="F33" s="3802">
        <f t="shared" ref="F33:G33" si="27">SUM(F23*F40)</f>
        <v>1003.1700000000001</v>
      </c>
      <c r="G33" s="3802">
        <f t="shared" si="27"/>
        <v>1007.8907999999999</v>
      </c>
      <c r="H33" s="3799">
        <f t="shared" si="16"/>
        <v>3026.0328</v>
      </c>
      <c r="I33" s="3802">
        <f>SUM(I23*I40)</f>
        <v>994.90859999999998</v>
      </c>
      <c r="J33" s="3802">
        <f t="shared" ref="J33:K33" si="28">SUM(J23*J40)</f>
        <v>967.76399999999978</v>
      </c>
      <c r="K33" s="3802">
        <f t="shared" si="28"/>
        <v>931.17779999999993</v>
      </c>
      <c r="L33" s="3799">
        <f t="shared" si="17"/>
        <v>2893.8503999999998</v>
      </c>
      <c r="M33" s="3799">
        <f t="shared" si="11"/>
        <v>5919.8832000000002</v>
      </c>
      <c r="N33" s="3802">
        <f>SUM(N23*N40)</f>
        <v>982.35795000000007</v>
      </c>
      <c r="O33" s="3802">
        <f t="shared" ref="O33:P33" si="29">SUM(O23*O40)</f>
        <v>1022.71155</v>
      </c>
      <c r="P33" s="3802">
        <f t="shared" si="29"/>
        <v>1049.1935999999998</v>
      </c>
      <c r="Q33" s="3799">
        <f t="shared" si="19"/>
        <v>3054.2631000000001</v>
      </c>
      <c r="R33" s="3799">
        <f t="shared" si="13"/>
        <v>8974.1463000000003</v>
      </c>
      <c r="S33" s="3802">
        <f>SUM(S23*S40)</f>
        <v>1076.9367</v>
      </c>
      <c r="T33" s="3802">
        <f t="shared" ref="T33:U33" si="30">SUM(T23*T40)</f>
        <v>1076.9367</v>
      </c>
      <c r="U33" s="3802">
        <f t="shared" si="30"/>
        <v>1076.9367</v>
      </c>
      <c r="V33" s="3799">
        <f t="shared" si="21"/>
        <v>3230.8100999999997</v>
      </c>
      <c r="W33" s="3792">
        <f t="shared" si="7"/>
        <v>12204.956400000001</v>
      </c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</row>
    <row r="34" spans="1:52" ht="18.75">
      <c r="A34" s="3806" t="s">
        <v>656</v>
      </c>
      <c r="B34" s="3803">
        <f t="shared" si="8"/>
        <v>1569.20868</v>
      </c>
      <c r="C34" s="3803">
        <f t="shared" si="9"/>
        <v>1569.20868</v>
      </c>
      <c r="D34" s="3899">
        <v>0</v>
      </c>
      <c r="E34" s="3802">
        <f>SUM(E24*E40)</f>
        <v>130.49639999999999</v>
      </c>
      <c r="F34" s="3802">
        <f t="shared" ref="F34:G34" si="31">SUM(F24*F40)</f>
        <v>128.97900000000001</v>
      </c>
      <c r="G34" s="3802">
        <f t="shared" si="31"/>
        <v>129.58595999999997</v>
      </c>
      <c r="H34" s="3799">
        <f t="shared" si="16"/>
        <v>389.06136000000004</v>
      </c>
      <c r="I34" s="3802">
        <f>SUM(I24*I40)</f>
        <v>127.91681999999999</v>
      </c>
      <c r="J34" s="3802">
        <f t="shared" ref="J34:K34" si="32">SUM(J24*J40)</f>
        <v>124.42679999999999</v>
      </c>
      <c r="K34" s="3802">
        <f t="shared" si="32"/>
        <v>119.72286</v>
      </c>
      <c r="L34" s="3799">
        <f t="shared" si="17"/>
        <v>372.06647999999996</v>
      </c>
      <c r="M34" s="3799">
        <f t="shared" si="11"/>
        <v>761.12783999999999</v>
      </c>
      <c r="N34" s="3802">
        <f>SUM(N24*N40)</f>
        <v>126.30316500000001</v>
      </c>
      <c r="O34" s="3802">
        <f t="shared" ref="O34:P34" si="33">SUM(O24*O40)</f>
        <v>131.49148499999998</v>
      </c>
      <c r="P34" s="3802">
        <f t="shared" si="33"/>
        <v>134.89632</v>
      </c>
      <c r="Q34" s="3799">
        <f t="shared" si="19"/>
        <v>392.69096999999999</v>
      </c>
      <c r="R34" s="3799">
        <f t="shared" si="13"/>
        <v>1153.81881</v>
      </c>
      <c r="S34" s="3802">
        <f>SUM(S24*S40)</f>
        <v>138.46329</v>
      </c>
      <c r="T34" s="3802">
        <f t="shared" ref="T34:U34" si="34">SUM(T24*T40)</f>
        <v>138.46329</v>
      </c>
      <c r="U34" s="3802">
        <f t="shared" si="34"/>
        <v>138.46329</v>
      </c>
      <c r="V34" s="3799">
        <f t="shared" si="21"/>
        <v>415.38986999999997</v>
      </c>
      <c r="W34" s="3792">
        <f t="shared" si="7"/>
        <v>1569.2086799999997</v>
      </c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  <c r="AY34" s="435"/>
      <c r="AZ34" s="435"/>
    </row>
    <row r="35" spans="1:52" ht="18.75">
      <c r="A35" s="3807" t="s">
        <v>1737</v>
      </c>
      <c r="B35" s="3797">
        <f t="shared" si="8"/>
        <v>131840.51312009699</v>
      </c>
      <c r="C35" s="3797">
        <f>SUM(C28:C32)</f>
        <v>131494.68186509699</v>
      </c>
      <c r="D35" s="3797">
        <f>SUM(D28:D34)</f>
        <v>345.831255</v>
      </c>
      <c r="E35" s="3808">
        <f>SUM(E28+E29+E30+E31+E32)</f>
        <v>10837.858080443997</v>
      </c>
      <c r="F35" s="3808">
        <f t="shared" ref="F35:G35" si="35">SUM(F28+F29+F30+F31+F32)</f>
        <v>10853.95320294</v>
      </c>
      <c r="G35" s="3808">
        <f t="shared" si="35"/>
        <v>10894.809531767998</v>
      </c>
      <c r="H35" s="3797">
        <f t="shared" si="16"/>
        <v>32586.620815151997</v>
      </c>
      <c r="I35" s="3808">
        <f>SUM(I28+I29+I30+I31+I32)</f>
        <v>10743.899428175999</v>
      </c>
      <c r="J35" s="3808">
        <f t="shared" ref="J35:K35" si="36">SUM(J28+J29+J30+J31+J32)</f>
        <v>10532.108657003999</v>
      </c>
      <c r="K35" s="3808">
        <f t="shared" si="36"/>
        <v>10156.354136303997</v>
      </c>
      <c r="L35" s="3797">
        <f t="shared" si="17"/>
        <v>31432.362221483992</v>
      </c>
      <c r="M35" s="3797">
        <f t="shared" si="11"/>
        <v>64018.983036635989</v>
      </c>
      <c r="N35" s="3808">
        <f>SUM(N28+N29+N30+N31+N32)</f>
        <v>10559.359766955</v>
      </c>
      <c r="O35" s="3808">
        <f t="shared" ref="O35:P35" si="37">SUM(O28+O29+O30+O31+O32)</f>
        <v>10934.234748659999</v>
      </c>
      <c r="P35" s="3808">
        <f t="shared" si="37"/>
        <v>11400.53295495</v>
      </c>
      <c r="Q35" s="3797">
        <f t="shared" si="19"/>
        <v>32894.127470564999</v>
      </c>
      <c r="R35" s="3797">
        <f t="shared" si="13"/>
        <v>96913.110507200996</v>
      </c>
      <c r="S35" s="3808">
        <f>SUM(S28+S29+S30+S31+S32)</f>
        <v>11642.467537631999</v>
      </c>
      <c r="T35" s="3808">
        <f t="shared" ref="T35:U35" si="38">SUM(T28+T29+T30+T31+T32)</f>
        <v>11642.467537631999</v>
      </c>
      <c r="U35" s="3808">
        <f t="shared" si="38"/>
        <v>11642.467537631999</v>
      </c>
      <c r="V35" s="3797">
        <f t="shared" si="21"/>
        <v>34927.402612895996</v>
      </c>
      <c r="W35" s="3788">
        <f t="shared" si="7"/>
        <v>131840.51312009699</v>
      </c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  <c r="AY35" s="435"/>
      <c r="AZ35" s="435"/>
    </row>
    <row r="36" spans="1:52" ht="18.75">
      <c r="A36" s="3806" t="s">
        <v>1738</v>
      </c>
      <c r="B36" s="3803">
        <f t="shared" si="8"/>
        <v>-1205.4349999999999</v>
      </c>
      <c r="C36" s="3803">
        <f>SUM(H36+L36+Q36+V36)</f>
        <v>-1205.4349999999999</v>
      </c>
      <c r="D36" s="3899">
        <v>0</v>
      </c>
      <c r="E36" s="3802">
        <f>SUM('Произв. прогр. Вода'!E35)</f>
        <v>-100.45291666666667</v>
      </c>
      <c r="F36" s="3802">
        <f>SUM('Произв. прогр. Вода'!F35)</f>
        <v>-100.45291666666667</v>
      </c>
      <c r="G36" s="3802">
        <f>SUM('Произв. прогр. Вода'!G35)</f>
        <v>-100.45291666666667</v>
      </c>
      <c r="H36" s="3803">
        <f>SUM('Произв. прогр. Вода'!H35)</f>
        <v>-301.35874999999999</v>
      </c>
      <c r="I36" s="3802">
        <f>SUM('Произв. прогр. Вода'!I35)</f>
        <v>-100.45291666666667</v>
      </c>
      <c r="J36" s="3802">
        <f>SUM('Произв. прогр. Вода'!J35)</f>
        <v>-100.45291666666667</v>
      </c>
      <c r="K36" s="3802">
        <f>SUM('Произв. прогр. Вода'!K35)</f>
        <v>-100.45291666666667</v>
      </c>
      <c r="L36" s="3803">
        <f>SUM('Произв. прогр. Вода'!L35)</f>
        <v>-301.35874999999999</v>
      </c>
      <c r="M36" s="3803">
        <f>SUM('Произв. прогр. Вода'!M35)</f>
        <v>-602.71749999999997</v>
      </c>
      <c r="N36" s="3802">
        <f>SUM('Произв. прогр. Вода'!N35)</f>
        <v>-100.45291666666667</v>
      </c>
      <c r="O36" s="3802">
        <f>SUM('Произв. прогр. Вода'!O35)</f>
        <v>-100.45291666666667</v>
      </c>
      <c r="P36" s="3802">
        <f>SUM('Произв. прогр. Вода'!P35)</f>
        <v>-100.45291666666667</v>
      </c>
      <c r="Q36" s="3803">
        <f>SUM('Произв. прогр. Вода'!Q35)</f>
        <v>-301.35874999999999</v>
      </c>
      <c r="R36" s="3803">
        <f>SUM('Произв. прогр. Вода'!R35)</f>
        <v>-904.07624999999996</v>
      </c>
      <c r="S36" s="3802">
        <f>SUM('Произв. прогр. Вода'!S35)</f>
        <v>-100.45291666666667</v>
      </c>
      <c r="T36" s="3802">
        <f>SUM('Произв. прогр. Вода'!T35)</f>
        <v>-100.45291666666667</v>
      </c>
      <c r="U36" s="3802">
        <f>SUM('Произв. прогр. Вода'!U35)</f>
        <v>-100.45291666666667</v>
      </c>
      <c r="V36" s="3803">
        <f>SUM('Произв. прогр. Вода'!V35)</f>
        <v>-301.35874999999999</v>
      </c>
      <c r="W36" s="3792">
        <f t="shared" si="7"/>
        <v>-1205.4349999999997</v>
      </c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  <c r="AY36" s="435"/>
      <c r="AZ36" s="435"/>
    </row>
    <row r="37" spans="1:52" ht="18.75">
      <c r="A37" s="3807" t="s">
        <v>1739</v>
      </c>
      <c r="B37" s="3797">
        <f>SUM(B35/B18)</f>
        <v>34.774037715888724</v>
      </c>
      <c r="C37" s="3797">
        <f>SUM(C35/C18)</f>
        <v>34.869976628241048</v>
      </c>
      <c r="D37" s="3797">
        <f>SUM(D35/D18)</f>
        <v>16.995000000000001</v>
      </c>
      <c r="E37" s="3808">
        <f>SUM(E35/E18)</f>
        <v>33.627082342475241</v>
      </c>
      <c r="F37" s="3808">
        <f t="shared" ref="F37:H37" si="39">SUM(F35/F18)</f>
        <v>33.627219749200734</v>
      </c>
      <c r="G37" s="3808">
        <f t="shared" si="39"/>
        <v>33.62756672814195</v>
      </c>
      <c r="H37" s="3797">
        <f t="shared" si="39"/>
        <v>33.627290055189128</v>
      </c>
      <c r="I37" s="3808">
        <f>SUM(I35/I18)</f>
        <v>33.626272008118271</v>
      </c>
      <c r="J37" s="3808">
        <f t="shared" ref="J37:M37" si="40">SUM(J35/J18)</f>
        <v>33.62439257058935</v>
      </c>
      <c r="K37" s="3808">
        <f t="shared" si="40"/>
        <v>33.620865782648664</v>
      </c>
      <c r="L37" s="3797">
        <f t="shared" si="40"/>
        <v>33.623895265480911</v>
      </c>
      <c r="M37" s="3797">
        <f t="shared" si="40"/>
        <v>33.62562317861147</v>
      </c>
      <c r="N37" s="3808">
        <f>SUM(N35/N18)</f>
        <v>35.925574506685287</v>
      </c>
      <c r="O37" s="3808">
        <f t="shared" ref="O37:R37" si="41">SUM(O35/O18)</f>
        <v>35.929144662871039</v>
      </c>
      <c r="P37" s="3808">
        <f t="shared" si="41"/>
        <v>35.933258715263563</v>
      </c>
      <c r="Q37" s="3797">
        <f t="shared" si="41"/>
        <v>35.929424189408358</v>
      </c>
      <c r="R37" s="3797">
        <f t="shared" si="41"/>
        <v>34.373718716405484</v>
      </c>
      <c r="S37" s="3808">
        <f>SUM(S35/S18)</f>
        <v>35.935263747416158</v>
      </c>
      <c r="T37" s="3808">
        <f t="shared" ref="T37:V37" si="42">SUM(T35/T18)</f>
        <v>35.935263747416158</v>
      </c>
      <c r="U37" s="3808">
        <f t="shared" si="42"/>
        <v>35.935263747416158</v>
      </c>
      <c r="V37" s="3797">
        <f t="shared" si="42"/>
        <v>35.935263747416158</v>
      </c>
      <c r="W37" s="3809">
        <f t="shared" ref="W37" si="43">SUM(W35/W18)</f>
        <v>34.774037715888717</v>
      </c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</row>
    <row r="38" spans="1:52" ht="18.75">
      <c r="A38" s="3806" t="s">
        <v>264</v>
      </c>
      <c r="B38" s="3803">
        <f>SUM(C28/C19)</f>
        <v>28.378143999999999</v>
      </c>
      <c r="C38" s="3803">
        <f>SUM(C28/C19)</f>
        <v>28.378143999999999</v>
      </c>
      <c r="D38" s="3899">
        <v>0</v>
      </c>
      <c r="E38" s="3900">
        <v>27.8</v>
      </c>
      <c r="F38" s="3900">
        <f>SUM(E38)</f>
        <v>27.8</v>
      </c>
      <c r="G38" s="3900">
        <f>SUM(E38)</f>
        <v>27.8</v>
      </c>
      <c r="H38" s="3803">
        <f>SUM(G38)</f>
        <v>27.8</v>
      </c>
      <c r="I38" s="3900">
        <f>SUM(E38)</f>
        <v>27.8</v>
      </c>
      <c r="J38" s="3900">
        <f>SUM(E38)</f>
        <v>27.8</v>
      </c>
      <c r="K38" s="3900">
        <f>SUM(E38)</f>
        <v>27.8</v>
      </c>
      <c r="L38" s="3803">
        <f>SUM(K38)</f>
        <v>27.8</v>
      </c>
      <c r="M38" s="3803">
        <f>SUM(L38)</f>
        <v>27.8</v>
      </c>
      <c r="N38" s="3900">
        <v>28.96</v>
      </c>
      <c r="O38" s="3900">
        <f>SUM(N38)</f>
        <v>28.96</v>
      </c>
      <c r="P38" s="3900">
        <f>SUM(N38)</f>
        <v>28.96</v>
      </c>
      <c r="Q38" s="3803">
        <f>SUM(P38)</f>
        <v>28.96</v>
      </c>
      <c r="R38" s="3803">
        <f>SUM(Q38)</f>
        <v>28.96</v>
      </c>
      <c r="S38" s="3900">
        <f>SUM(N38)</f>
        <v>28.96</v>
      </c>
      <c r="T38" s="3900">
        <f>SUM(S38)</f>
        <v>28.96</v>
      </c>
      <c r="U38" s="3900">
        <f>SUM(S38)</f>
        <v>28.96</v>
      </c>
      <c r="V38" s="3803">
        <f>SUM(U38)</f>
        <v>28.96</v>
      </c>
      <c r="W38" s="3810">
        <f>SUM(W28/W19)</f>
        <v>28.378143999999999</v>
      </c>
      <c r="X38" s="435"/>
      <c r="Y38" s="435"/>
      <c r="Z38" s="435"/>
      <c r="AA38" s="435"/>
      <c r="AB38" s="435"/>
      <c r="AC38" s="435"/>
      <c r="AD38" s="435"/>
      <c r="AE38" s="435"/>
      <c r="AF38" s="435"/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  <c r="AY38" s="435"/>
      <c r="AZ38" s="435"/>
    </row>
    <row r="39" spans="1:52" ht="18.75">
      <c r="A39" s="3806" t="s">
        <v>1740</v>
      </c>
      <c r="B39" s="3803">
        <f>SUM(C29/C19)</f>
        <v>6.4931599999999978</v>
      </c>
      <c r="C39" s="3803">
        <f>SUM(C29/C19)</f>
        <v>6.4931599999999978</v>
      </c>
      <c r="D39" s="3899">
        <v>0</v>
      </c>
      <c r="E39" s="3802">
        <f>SUM(E40-E38)</f>
        <v>5.9199999999999982</v>
      </c>
      <c r="F39" s="3802">
        <f t="shared" ref="F39:U39" si="44">SUM(F40-F38)</f>
        <v>5.9199999999999982</v>
      </c>
      <c r="G39" s="3802">
        <f t="shared" si="44"/>
        <v>5.9199999999999982</v>
      </c>
      <c r="H39" s="3803">
        <f t="shared" ref="H39:H41" si="45">SUM(G39)</f>
        <v>5.9199999999999982</v>
      </c>
      <c r="I39" s="3802">
        <f t="shared" si="44"/>
        <v>5.9199999999999982</v>
      </c>
      <c r="J39" s="3802">
        <f t="shared" si="44"/>
        <v>5.9199999999999982</v>
      </c>
      <c r="K39" s="3802">
        <f t="shared" si="44"/>
        <v>5.9199999999999982</v>
      </c>
      <c r="L39" s="3803">
        <f t="shared" ref="L39:M41" si="46">SUM(K39)</f>
        <v>5.9199999999999982</v>
      </c>
      <c r="M39" s="3803">
        <f t="shared" si="46"/>
        <v>5.9199999999999982</v>
      </c>
      <c r="N39" s="3802">
        <f t="shared" si="44"/>
        <v>7.07</v>
      </c>
      <c r="O39" s="3802">
        <f t="shared" si="44"/>
        <v>7.07</v>
      </c>
      <c r="P39" s="3802">
        <f t="shared" si="44"/>
        <v>7.07</v>
      </c>
      <c r="Q39" s="3803">
        <f t="shared" ref="Q39:R41" si="47">SUM(P39)</f>
        <v>7.07</v>
      </c>
      <c r="R39" s="3803">
        <f t="shared" si="47"/>
        <v>7.07</v>
      </c>
      <c r="S39" s="3802">
        <f t="shared" si="44"/>
        <v>7.07</v>
      </c>
      <c r="T39" s="3802">
        <f t="shared" si="44"/>
        <v>7.07</v>
      </c>
      <c r="U39" s="3802">
        <f t="shared" si="44"/>
        <v>7.07</v>
      </c>
      <c r="V39" s="3803">
        <f t="shared" ref="V39:V41" si="48">SUM(U39)</f>
        <v>7.07</v>
      </c>
      <c r="W39" s="3810">
        <f>SUM(W29/W19)</f>
        <v>6.4931599999999987</v>
      </c>
      <c r="X39" s="435"/>
      <c r="Y39" s="435"/>
      <c r="Z39" s="435"/>
      <c r="AA39" s="435"/>
      <c r="AB39" s="435"/>
      <c r="AC39" s="435"/>
      <c r="AD39" s="435"/>
      <c r="AE39" s="435"/>
      <c r="AF39" s="435"/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  <c r="AY39" s="435"/>
      <c r="AZ39" s="435"/>
    </row>
    <row r="40" spans="1:52" ht="18.75">
      <c r="A40" s="3806" t="s">
        <v>265</v>
      </c>
      <c r="B40" s="3803">
        <f>SUM(B30+B32)/(B20-B21+B22)</f>
        <v>34.86770549611574</v>
      </c>
      <c r="C40" s="3803">
        <f>SUM(C30+C32)/(C20+C22)</f>
        <v>34.86770549611574</v>
      </c>
      <c r="D40" s="3803">
        <v>0</v>
      </c>
      <c r="E40" s="3802">
        <v>33.72</v>
      </c>
      <c r="F40" s="3802">
        <f>SUM(E40)</f>
        <v>33.72</v>
      </c>
      <c r="G40" s="3802">
        <f>SUM(E40)</f>
        <v>33.72</v>
      </c>
      <c r="H40" s="3803">
        <f t="shared" si="45"/>
        <v>33.72</v>
      </c>
      <c r="I40" s="3802">
        <f>SUM(E40)</f>
        <v>33.72</v>
      </c>
      <c r="J40" s="3802">
        <f>SUM(E40)</f>
        <v>33.72</v>
      </c>
      <c r="K40" s="3802">
        <f>SUM(E40)</f>
        <v>33.72</v>
      </c>
      <c r="L40" s="3803">
        <f t="shared" si="46"/>
        <v>33.72</v>
      </c>
      <c r="M40" s="3803">
        <f t="shared" si="46"/>
        <v>33.72</v>
      </c>
      <c r="N40" s="3802">
        <v>36.03</v>
      </c>
      <c r="O40" s="3802">
        <f>SUM(N40)</f>
        <v>36.03</v>
      </c>
      <c r="P40" s="3802">
        <f>SUM(N40)</f>
        <v>36.03</v>
      </c>
      <c r="Q40" s="3803">
        <f t="shared" si="47"/>
        <v>36.03</v>
      </c>
      <c r="R40" s="3803">
        <f t="shared" si="47"/>
        <v>36.03</v>
      </c>
      <c r="S40" s="3802">
        <f>SUM(N40)</f>
        <v>36.03</v>
      </c>
      <c r="T40" s="3802">
        <f>SUM(N40)</f>
        <v>36.03</v>
      </c>
      <c r="U40" s="3802">
        <f>SUM(N40)</f>
        <v>36.03</v>
      </c>
      <c r="V40" s="3803">
        <f t="shared" si="48"/>
        <v>36.03</v>
      </c>
      <c r="W40" s="3810">
        <f>SUM(W30/(W20-W21))</f>
        <v>34.866278378611447</v>
      </c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</row>
    <row r="41" spans="1:52" ht="18.75">
      <c r="A41" s="3793" t="s">
        <v>25</v>
      </c>
      <c r="B41" s="3803">
        <f>SUM(B31/B21)</f>
        <v>16.995000000000001</v>
      </c>
      <c r="C41" s="3899">
        <v>0</v>
      </c>
      <c r="D41" s="3803">
        <f>SUM(D35/D18)</f>
        <v>16.995000000000001</v>
      </c>
      <c r="E41" s="3802">
        <v>16.059999999999999</v>
      </c>
      <c r="F41" s="3802">
        <f>SUM(E41)</f>
        <v>16.059999999999999</v>
      </c>
      <c r="G41" s="3802">
        <f>SUM(E41)</f>
        <v>16.059999999999999</v>
      </c>
      <c r="H41" s="3803">
        <f t="shared" si="45"/>
        <v>16.059999999999999</v>
      </c>
      <c r="I41" s="3802">
        <f>SUM(E41)</f>
        <v>16.059999999999999</v>
      </c>
      <c r="J41" s="3802">
        <f>SUM(E41)</f>
        <v>16.059999999999999</v>
      </c>
      <c r="K41" s="3802">
        <f>SUM(E41)</f>
        <v>16.059999999999999</v>
      </c>
      <c r="L41" s="3803">
        <f t="shared" si="46"/>
        <v>16.059999999999999</v>
      </c>
      <c r="M41" s="3803">
        <f t="shared" si="46"/>
        <v>16.059999999999999</v>
      </c>
      <c r="N41" s="3802">
        <v>17.93</v>
      </c>
      <c r="O41" s="3802">
        <f>SUM(N41)</f>
        <v>17.93</v>
      </c>
      <c r="P41" s="3802">
        <f>SUM(N41)</f>
        <v>17.93</v>
      </c>
      <c r="Q41" s="3803">
        <f t="shared" si="47"/>
        <v>17.93</v>
      </c>
      <c r="R41" s="3803">
        <f t="shared" si="47"/>
        <v>17.93</v>
      </c>
      <c r="S41" s="3802">
        <f>SUM(N41)</f>
        <v>17.93</v>
      </c>
      <c r="T41" s="3802">
        <f>SUM(N41)</f>
        <v>17.93</v>
      </c>
      <c r="U41" s="3802">
        <f>SUM(N41)</f>
        <v>17.93</v>
      </c>
      <c r="V41" s="3803">
        <f t="shared" si="48"/>
        <v>17.93</v>
      </c>
      <c r="W41" s="3810">
        <f>SUM(W31/W21)</f>
        <v>16.994999999999997</v>
      </c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</row>
    <row r="42" spans="1:52" ht="18.75">
      <c r="A42" s="4404" t="s">
        <v>1741</v>
      </c>
      <c r="B42" s="4405"/>
      <c r="C42" s="4405"/>
      <c r="D42" s="4405"/>
      <c r="E42" s="4406"/>
      <c r="F42" s="4406"/>
      <c r="G42" s="4406"/>
      <c r="H42" s="4406"/>
      <c r="I42" s="4406"/>
      <c r="J42" s="4406"/>
      <c r="K42" s="4406"/>
      <c r="L42" s="4406"/>
      <c r="M42" s="4406"/>
      <c r="N42" s="4406"/>
      <c r="O42" s="4406"/>
      <c r="P42" s="4406"/>
      <c r="Q42" s="4406"/>
      <c r="R42" s="4406"/>
      <c r="S42" s="4406"/>
      <c r="T42" s="4406"/>
      <c r="U42" s="4406"/>
      <c r="V42" s="4406"/>
      <c r="W42" s="3792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</row>
    <row r="43" spans="1:52" ht="18.75">
      <c r="A43" s="4396" t="s">
        <v>546</v>
      </c>
      <c r="B43" s="4389" t="s">
        <v>1782</v>
      </c>
      <c r="C43" s="4389" t="s">
        <v>576</v>
      </c>
      <c r="D43" s="4389"/>
      <c r="E43" s="4383" t="s">
        <v>587</v>
      </c>
      <c r="F43" s="4383" t="s">
        <v>588</v>
      </c>
      <c r="G43" s="4383" t="s">
        <v>589</v>
      </c>
      <c r="H43" s="4384" t="s">
        <v>601</v>
      </c>
      <c r="I43" s="4383" t="s">
        <v>590</v>
      </c>
      <c r="J43" s="4383" t="s">
        <v>591</v>
      </c>
      <c r="K43" s="4383" t="s">
        <v>592</v>
      </c>
      <c r="L43" s="4384" t="s">
        <v>600</v>
      </c>
      <c r="M43" s="4384" t="s">
        <v>599</v>
      </c>
      <c r="N43" s="4383" t="s">
        <v>593</v>
      </c>
      <c r="O43" s="4383" t="s">
        <v>594</v>
      </c>
      <c r="P43" s="4383" t="s">
        <v>595</v>
      </c>
      <c r="Q43" s="4384" t="s">
        <v>225</v>
      </c>
      <c r="R43" s="4384" t="s">
        <v>229</v>
      </c>
      <c r="S43" s="4383" t="s">
        <v>596</v>
      </c>
      <c r="T43" s="4383" t="s">
        <v>597</v>
      </c>
      <c r="U43" s="4383" t="s">
        <v>598</v>
      </c>
      <c r="V43" s="4384" t="s">
        <v>135</v>
      </c>
      <c r="W43" s="4409" t="s">
        <v>602</v>
      </c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  <c r="AY43" s="435"/>
      <c r="AZ43" s="435"/>
    </row>
    <row r="44" spans="1:52" ht="37.5">
      <c r="A44" s="4397"/>
      <c r="B44" s="4389"/>
      <c r="C44" s="3784" t="s">
        <v>1554</v>
      </c>
      <c r="D44" s="3784" t="s">
        <v>1555</v>
      </c>
      <c r="E44" s="4383"/>
      <c r="F44" s="4383"/>
      <c r="G44" s="4383"/>
      <c r="H44" s="4384"/>
      <c r="I44" s="4383"/>
      <c r="J44" s="4383"/>
      <c r="K44" s="4383"/>
      <c r="L44" s="4384"/>
      <c r="M44" s="4384"/>
      <c r="N44" s="4383"/>
      <c r="O44" s="4383"/>
      <c r="P44" s="4383"/>
      <c r="Q44" s="4384"/>
      <c r="R44" s="4384"/>
      <c r="S44" s="4383"/>
      <c r="T44" s="4383"/>
      <c r="U44" s="4383"/>
      <c r="V44" s="4384"/>
      <c r="W44" s="4409"/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  <c r="AY44" s="435"/>
      <c r="AZ44" s="435"/>
    </row>
    <row r="45" spans="1:52" ht="18.75">
      <c r="A45" s="3813" t="s">
        <v>1</v>
      </c>
      <c r="B45" s="3790">
        <f t="shared" ref="B45:B51" si="49">SUM(C45:D45)</f>
        <v>8799.36</v>
      </c>
      <c r="C45" s="3790">
        <f>SUM('Произв. прогр. Вода'!C45+'Произв. прогр. Вода'!C69)</f>
        <v>8778.432462107814</v>
      </c>
      <c r="D45" s="3790">
        <f>SUM('Произв. прогр. Вода'!D45+'Произв. прогр. Вода'!D69)</f>
        <v>20.927537892185683</v>
      </c>
      <c r="E45" s="3819">
        <f>SUM('Произв. прогр. Вода'!E45+'Произв. прогр. Вода'!E69)</f>
        <v>724.43963276186139</v>
      </c>
      <c r="F45" s="3819">
        <f>SUM('Произв. прогр. Вода'!F45+'Произв. прогр. Вода'!F69)</f>
        <v>725.6213751605469</v>
      </c>
      <c r="G45" s="3819">
        <f>SUM('Произв. прогр. Вода'!G45+'Произв. прогр. Вода'!G69)</f>
        <v>728.62114456538848</v>
      </c>
      <c r="H45" s="3790">
        <f>SUM('Произв. прогр. Вода'!H45+'Произв. прогр. Вода'!H69)</f>
        <v>2178.6821524877969</v>
      </c>
      <c r="I45" s="3819">
        <f>SUM('Произв. прогр. Вода'!I45+'Произв. прогр. Вода'!I69)</f>
        <v>717.54096373116442</v>
      </c>
      <c r="J45" s="3819">
        <f>SUM('Произв. прогр. Вода'!J45+'Произв. прогр. Вода'!J69)</f>
        <v>701.99077863587127</v>
      </c>
      <c r="K45" s="3819">
        <f>SUM('Произв. прогр. Вода'!K45+'Произв. прогр. Вода'!K69)</f>
        <v>674.40198279295464</v>
      </c>
      <c r="L45" s="3790">
        <f>SUM('Произв. прогр. Вода'!L45+'Произв. прогр. Вода'!L69)</f>
        <v>2093.9337251599904</v>
      </c>
      <c r="M45" s="3790">
        <f>SUM('Произв. прогр. Вода'!M45+'Произв. прогр. Вода'!M69)</f>
        <v>4272.6158776477869</v>
      </c>
      <c r="N45" s="3819">
        <f>SUM('Произв. прогр. Вода'!N45+'Произв. прогр. Вода'!N69)</f>
        <v>699.7562116679012</v>
      </c>
      <c r="O45" s="3819">
        <f>SUM('Произв. прогр. Вода'!O45+'Произв. прогр. Вода'!O69)</f>
        <v>727.30969481240072</v>
      </c>
      <c r="P45" s="3819">
        <f>SUM('Произв. прогр. Вода'!P45+'Произв. прогр. Вода'!P69)</f>
        <v>761.58282690802969</v>
      </c>
      <c r="Q45" s="3790">
        <f>SUM('Произв. прогр. Вода'!Q45+'Произв. прогр. Вода'!Q69)</f>
        <v>2188.6487333883315</v>
      </c>
      <c r="R45" s="3790">
        <f>SUM('Произв. прогр. Вода'!R45+'Произв. прогр. Вода'!R69)</f>
        <v>6465.4505760917154</v>
      </c>
      <c r="S45" s="3819">
        <f>SUM('Произв. прогр. Вода'!S45+'Произв. прогр. Вода'!S69)</f>
        <v>779.3651297325107</v>
      </c>
      <c r="T45" s="3819">
        <f>SUM('Произв. прогр. Вода'!T45+'Произв. прогр. Вода'!T69)</f>
        <v>779.3651297325107</v>
      </c>
      <c r="U45" s="3819">
        <f>SUM('Произв. прогр. Вода'!U45+'Произв. прогр. Вода'!U69)</f>
        <v>779.3651297325107</v>
      </c>
      <c r="V45" s="3790">
        <f>SUM('Произв. прогр. Вода'!V45+'Произв. прогр. Вода'!V69)</f>
        <v>2338.0953891975323</v>
      </c>
      <c r="W45" s="3792">
        <f t="shared" ref="W45:W78" si="50">SUM(E45+F45+G45+I45+J45+K45+N45+O45+P45+S45+T45+U45)</f>
        <v>8799.3600002336516</v>
      </c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</row>
    <row r="46" spans="1:52" ht="18.75">
      <c r="A46" s="3813" t="s">
        <v>2</v>
      </c>
      <c r="B46" s="3790">
        <f t="shared" si="49"/>
        <v>8296.68</v>
      </c>
      <c r="C46" s="3790">
        <f>SUM('Произв. прогр. Вода'!C46+'Произв. прогр. Вода'!C71+'Произв. прогр. Вода'!C106+'Произв. прогр. Вода'!C129)</f>
        <v>8277.2407919081052</v>
      </c>
      <c r="D46" s="3790">
        <f>SUM('Произв. прогр. Вода'!D46+'Произв. прогр. Вода'!D71+'Произв. прогр. Вода'!D106+'Произв. прогр. Вода'!D129)</f>
        <v>19.43920809189558</v>
      </c>
      <c r="E46" s="3819">
        <f>SUM('Произв. прогр. Вода'!E46+'Произв. прогр. Вода'!E71+'Произв. прогр. Вода'!E106+'Произв. прогр. Вода'!E129)</f>
        <v>691.3900000000001</v>
      </c>
      <c r="F46" s="3819">
        <f>SUM('Произв. прогр. Вода'!F46+'Произв. прогр. Вода'!F71+'Произв. прогр. Вода'!F106+'Произв. прогр. Вода'!F129)</f>
        <v>691.3900000000001</v>
      </c>
      <c r="G46" s="3819">
        <f>SUM('Произв. прогр. Вода'!G46+'Произв. прогр. Вода'!G71+'Произв. прогр. Вода'!G106+'Произв. прогр. Вода'!G129)</f>
        <v>691.3900000000001</v>
      </c>
      <c r="H46" s="3790">
        <f>SUM('Произв. прогр. Вода'!H46+'Произв. прогр. Вода'!H71+'Произв. прогр. Вода'!H106+'Произв. прогр. Вода'!H129)</f>
        <v>2074.17</v>
      </c>
      <c r="I46" s="3819">
        <f>SUM('Произв. прогр. Вода'!I46+'Произв. прогр. Вода'!I71+'Произв. прогр. Вода'!I106+'Произв. прогр. Вода'!I129)</f>
        <v>691.3900000000001</v>
      </c>
      <c r="J46" s="3819">
        <f>SUM('Произв. прогр. Вода'!J46+'Произв. прогр. Вода'!J71+'Произв. прогр. Вода'!J106+'Произв. прогр. Вода'!J129)</f>
        <v>691.3900000000001</v>
      </c>
      <c r="K46" s="3819">
        <f>SUM('Произв. прогр. Вода'!K46+'Произв. прогр. Вода'!K71+'Произв. прогр. Вода'!K106+'Произв. прогр. Вода'!K129)</f>
        <v>691.3900000000001</v>
      </c>
      <c r="L46" s="3790">
        <f>SUM('Произв. прогр. Вода'!L46+'Произв. прогр. Вода'!L71+'Произв. прогр. Вода'!L106+'Произв. прогр. Вода'!L129)</f>
        <v>2074.17</v>
      </c>
      <c r="M46" s="3790">
        <f>SUM('Произв. прогр. Вода'!M46+'Произв. прогр. Вода'!M71+'Произв. прогр. Вода'!M106+'Произв. прогр. Вода'!M129)</f>
        <v>4148.34</v>
      </c>
      <c r="N46" s="3819">
        <f>SUM('Произв. прогр. Вода'!N46+'Произв. прогр. Вода'!N71+'Произв. прогр. Вода'!N106+'Произв. прогр. Вода'!N129)</f>
        <v>691.3900000000001</v>
      </c>
      <c r="O46" s="3819">
        <f>SUM('Произв. прогр. Вода'!O46+'Произв. прогр. Вода'!O71+'Произв. прогр. Вода'!O106+'Произв. прогр. Вода'!O129)</f>
        <v>691.3900000000001</v>
      </c>
      <c r="P46" s="3819">
        <f>SUM('Произв. прогр. Вода'!P46+'Произв. прогр. Вода'!P71+'Произв. прогр. Вода'!P106+'Произв. прогр. Вода'!P129)</f>
        <v>691.3900000000001</v>
      </c>
      <c r="Q46" s="3790">
        <f>SUM('Произв. прогр. Вода'!Q46+'Произв. прогр. Вода'!Q71+'Произв. прогр. Вода'!Q106+'Произв. прогр. Вода'!Q129)</f>
        <v>2074.17</v>
      </c>
      <c r="R46" s="3790">
        <f>SUM('Произв. прогр. Вода'!R46+'Произв. прогр. Вода'!R71+'Произв. прогр. Вода'!R106+'Произв. прогр. Вода'!R129)</f>
        <v>6222.51</v>
      </c>
      <c r="S46" s="3819">
        <f>SUM('Произв. прогр. Вода'!S46+'Произв. прогр. Вода'!S71+'Произв. прогр. Вода'!S106+'Произв. прогр. Вода'!S129)</f>
        <v>691.3900000000001</v>
      </c>
      <c r="T46" s="3819">
        <f>SUM('Произв. прогр. Вода'!T46+'Произв. прогр. Вода'!T71+'Произв. прогр. Вода'!T106+'Произв. прогр. Вода'!T129)</f>
        <v>691.3900000000001</v>
      </c>
      <c r="U46" s="3819">
        <f>SUM('Произв. прогр. Вода'!U46+'Произв. прогр. Вода'!U71+'Произв. прогр. Вода'!U106+'Произв. прогр. Вода'!U129)</f>
        <v>691.3900000000001</v>
      </c>
      <c r="V46" s="3790">
        <f>SUM('Произв. прогр. Вода'!V46+'Произв. прогр. Вода'!V71+'Произв. прогр. Вода'!V106+'Произв. прогр. Вода'!V129)</f>
        <v>2074.17</v>
      </c>
      <c r="W46" s="3792">
        <f t="shared" si="50"/>
        <v>8296.6800000000021</v>
      </c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  <c r="AY46" s="435"/>
      <c r="AZ46" s="435"/>
    </row>
    <row r="47" spans="1:52" ht="18.75">
      <c r="A47" s="3813" t="s">
        <v>219</v>
      </c>
      <c r="B47" s="3790">
        <f t="shared" si="49"/>
        <v>0</v>
      </c>
      <c r="C47" s="3790">
        <v>0</v>
      </c>
      <c r="D47" s="3790">
        <v>0</v>
      </c>
      <c r="E47" s="3798">
        <v>0</v>
      </c>
      <c r="F47" s="3798">
        <v>0</v>
      </c>
      <c r="G47" s="3798">
        <v>0</v>
      </c>
      <c r="H47" s="3799">
        <v>0</v>
      </c>
      <c r="I47" s="3798">
        <v>0</v>
      </c>
      <c r="J47" s="3798">
        <v>0</v>
      </c>
      <c r="K47" s="3798">
        <v>0</v>
      </c>
      <c r="L47" s="3799">
        <v>0</v>
      </c>
      <c r="M47" s="3799">
        <v>0</v>
      </c>
      <c r="N47" s="3798">
        <v>0</v>
      </c>
      <c r="O47" s="3798">
        <v>0</v>
      </c>
      <c r="P47" s="3798">
        <v>0</v>
      </c>
      <c r="Q47" s="3799">
        <v>0</v>
      </c>
      <c r="R47" s="3799">
        <v>0</v>
      </c>
      <c r="S47" s="3798">
        <v>0</v>
      </c>
      <c r="T47" s="3798">
        <v>0</v>
      </c>
      <c r="U47" s="3798">
        <v>0</v>
      </c>
      <c r="V47" s="3799">
        <v>0</v>
      </c>
      <c r="W47" s="3792">
        <f t="shared" si="50"/>
        <v>0</v>
      </c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  <c r="AY47" s="435"/>
      <c r="AZ47" s="435"/>
    </row>
    <row r="48" spans="1:52" ht="18.75">
      <c r="A48" s="3813" t="s">
        <v>3</v>
      </c>
      <c r="B48" s="3790">
        <f t="shared" si="49"/>
        <v>530.71732297677954</v>
      </c>
      <c r="C48" s="3790">
        <f>SUM('Произв. прогр. Вода'!C48+'Произв. прогр. Вода'!C73+'Произв. прогр. Вода'!C105+'Произв. прогр. Вода'!C131)</f>
        <v>530.71732297677954</v>
      </c>
      <c r="D48" s="3790">
        <f>SUM('Произв. прогр. Вода'!D48+'Произв. прогр. Вода'!D73+'Произв. прогр. Вода'!D105+'Произв. прогр. Вода'!D131)</f>
        <v>0</v>
      </c>
      <c r="E48" s="3819">
        <f>SUM('Произв. прогр. Вода'!E48+'Произв. прогр. Вода'!E73+'Произв. прогр. Вода'!E105+'Произв. прогр. Вода'!E131)</f>
        <v>44.2264435813983</v>
      </c>
      <c r="F48" s="3819">
        <f>SUM('Произв. прогр. Вода'!F48+'Произв. прогр. Вода'!F73+'Произв. прогр. Вода'!F105+'Произв. прогр. Вода'!F131)</f>
        <v>44.2264435813983</v>
      </c>
      <c r="G48" s="3819">
        <f>SUM('Произв. прогр. Вода'!G48+'Произв. прогр. Вода'!G73+'Произв. прогр. Вода'!G105+'Произв. прогр. Вода'!G131)</f>
        <v>44.2264435813983</v>
      </c>
      <c r="H48" s="3790">
        <f>SUM('Произв. прогр. Вода'!H48+'Произв. прогр. Вода'!H73+'Произв. прогр. Вода'!H105+'Произв. прогр. Вода'!H131)</f>
        <v>132.67933074419489</v>
      </c>
      <c r="I48" s="3819">
        <f>SUM('Произв. прогр. Вода'!I48+'Произв. прогр. Вода'!I73+'Произв. прогр. Вода'!I105+'Произв. прогр. Вода'!I131)</f>
        <v>44.2264435813983</v>
      </c>
      <c r="J48" s="3819">
        <f>SUM('Произв. прогр. Вода'!J48+'Произв. прогр. Вода'!J73+'Произв. прогр. Вода'!J105+'Произв. прогр. Вода'!J131)</f>
        <v>44.2264435813983</v>
      </c>
      <c r="K48" s="3819">
        <f>SUM('Произв. прогр. Вода'!K48+'Произв. прогр. Вода'!K73+'Произв. прогр. Вода'!K105+'Произв. прогр. Вода'!K131)</f>
        <v>44.2264435813983</v>
      </c>
      <c r="L48" s="3790">
        <f>SUM('Произв. прогр. Вода'!L48+'Произв. прогр. Вода'!L73+'Произв. прогр. Вода'!L105+'Произв. прогр. Вода'!L131)</f>
        <v>132.67933074419489</v>
      </c>
      <c r="M48" s="3790">
        <f>SUM('Произв. прогр. Вода'!M48+'Произв. прогр. Вода'!M73+'Произв. прогр. Вода'!M105+'Произв. прогр. Вода'!M131)</f>
        <v>265.35866148838977</v>
      </c>
      <c r="N48" s="3819">
        <f>SUM('Произв. прогр. Вода'!N48+'Произв. прогр. Вода'!N73+'Произв. прогр. Вода'!N105+'Произв. прогр. Вода'!N131)</f>
        <v>44.2264435813983</v>
      </c>
      <c r="O48" s="3819">
        <f>SUM('Произв. прогр. Вода'!O48+'Произв. прогр. Вода'!O73+'Произв. прогр. Вода'!O105+'Произв. прогр. Вода'!O131)</f>
        <v>44.2264435813983</v>
      </c>
      <c r="P48" s="3819">
        <f>SUM('Произв. прогр. Вода'!P48+'Произв. прогр. Вода'!P73+'Произв. прогр. Вода'!P105+'Произв. прогр. Вода'!P131)</f>
        <v>44.2264435813983</v>
      </c>
      <c r="Q48" s="3790">
        <f>SUM('Произв. прогр. Вода'!Q48+'Произв. прогр. Вода'!Q73+'Произв. прогр. Вода'!Q105+'Произв. прогр. Вода'!Q131)</f>
        <v>132.67933074419489</v>
      </c>
      <c r="R48" s="3790">
        <f>SUM('Произв. прогр. Вода'!R48+'Произв. прогр. Вода'!R73+'Произв. прогр. Вода'!R105+'Произв. прогр. Вода'!R131)</f>
        <v>398.03799223258471</v>
      </c>
      <c r="S48" s="3819">
        <f>SUM('Произв. прогр. Вода'!S48+'Произв. прогр. Вода'!S73+'Произв. прогр. Вода'!S105+'Произв. прогр. Вода'!S131)</f>
        <v>44.2264435813983</v>
      </c>
      <c r="T48" s="3819">
        <f>SUM('Произв. прогр. Вода'!T48+'Произв. прогр. Вода'!T73+'Произв. прогр. Вода'!T105+'Произв. прогр. Вода'!T131)</f>
        <v>44.2264435813983</v>
      </c>
      <c r="U48" s="3819">
        <f>SUM('Произв. прогр. Вода'!U48+'Произв. прогр. Вода'!U73+'Произв. прогр. Вода'!U105+'Произв. прогр. Вода'!U131)</f>
        <v>44.2264435813983</v>
      </c>
      <c r="V48" s="3790">
        <f>SUM('Произв. прогр. Вода'!V48+'Произв. прогр. Вода'!V73+'Произв. прогр. Вода'!V105+'Произв. прогр. Вода'!V131)</f>
        <v>132.67933074419489</v>
      </c>
      <c r="W48" s="3792">
        <f t="shared" si="50"/>
        <v>530.71732297677966</v>
      </c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  <c r="AY48" s="435"/>
      <c r="AZ48" s="435"/>
    </row>
    <row r="49" spans="1:52" ht="18.75">
      <c r="A49" s="3813" t="s">
        <v>8</v>
      </c>
      <c r="B49" s="3790">
        <f t="shared" si="49"/>
        <v>7406.5798759443596</v>
      </c>
      <c r="C49" s="3790">
        <f>SUM('Произв. прогр. Вода'!C70)</f>
        <v>7406.5798759443596</v>
      </c>
      <c r="D49" s="3790">
        <f>SUM('Произв. прогр. Вода'!D70)</f>
        <v>0</v>
      </c>
      <c r="E49" s="3819">
        <f>SUM('Произв. прогр. Вода'!E70)</f>
        <v>617.21498966203001</v>
      </c>
      <c r="F49" s="3819">
        <f>SUM('Произв. прогр. Вода'!F70)</f>
        <v>617.21498966203001</v>
      </c>
      <c r="G49" s="3819">
        <f>SUM('Произв. прогр. Вода'!G70)</f>
        <v>617.21498966203001</v>
      </c>
      <c r="H49" s="3790">
        <f>SUM('Произв. прогр. Вода'!H70)</f>
        <v>1851.6449689860901</v>
      </c>
      <c r="I49" s="3819">
        <f>SUM('Произв. прогр. Вода'!I70)</f>
        <v>617.21498966203001</v>
      </c>
      <c r="J49" s="3819">
        <f>SUM('Произв. прогр. Вода'!J70)</f>
        <v>617.21498966203001</v>
      </c>
      <c r="K49" s="3819">
        <f>SUM('Произв. прогр. Вода'!K70)</f>
        <v>617.21498966203001</v>
      </c>
      <c r="L49" s="3790">
        <f>SUM('Произв. прогр. Вода'!L70)</f>
        <v>1851.6449689860901</v>
      </c>
      <c r="M49" s="3790">
        <f>SUM('Произв. прогр. Вода'!M70)</f>
        <v>3703.2899379721803</v>
      </c>
      <c r="N49" s="3819">
        <f>SUM('Произв. прогр. Вода'!N70)</f>
        <v>617.21498966203001</v>
      </c>
      <c r="O49" s="3819">
        <f>SUM('Произв. прогр. Вода'!O70)</f>
        <v>617.21498966203001</v>
      </c>
      <c r="P49" s="3819">
        <f>SUM('Произв. прогр. Вода'!P70)</f>
        <v>617.21498966203001</v>
      </c>
      <c r="Q49" s="3790">
        <f>SUM('Произв. прогр. Вода'!Q70)</f>
        <v>1851.6449689860901</v>
      </c>
      <c r="R49" s="3790">
        <f>SUM('Произв. прогр. Вода'!R70)</f>
        <v>5554.9349069582704</v>
      </c>
      <c r="S49" s="3819">
        <f>SUM('Произв. прогр. Вода'!S70)</f>
        <v>617.21498966203001</v>
      </c>
      <c r="T49" s="3819">
        <f>SUM('Произв. прогр. Вода'!T70)</f>
        <v>617.21498966203001</v>
      </c>
      <c r="U49" s="3819">
        <f>SUM('Произв. прогр. Вода'!U70)</f>
        <v>617.21498966203001</v>
      </c>
      <c r="V49" s="3790">
        <f>SUM('Произв. прогр. Вода'!V70)</f>
        <v>1851.6449689860901</v>
      </c>
      <c r="W49" s="3792">
        <f t="shared" si="50"/>
        <v>7406.5798759443614</v>
      </c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  <c r="AY49" s="435"/>
      <c r="AZ49" s="435"/>
    </row>
    <row r="50" spans="1:52" ht="18.75">
      <c r="A50" s="3813" t="s">
        <v>4</v>
      </c>
      <c r="B50" s="3790">
        <f t="shared" si="49"/>
        <v>50325.742371529755</v>
      </c>
      <c r="C50" s="3790">
        <f>SUM('Произв. прогр. Вода'!C49+'Произв. прогр. Вода'!C74+'Произв. прогр. Вода'!C108+'Произв. прогр. Вода'!C132)</f>
        <v>50183.617947489562</v>
      </c>
      <c r="D50" s="3790">
        <f>SUM('Произв. прогр. Вода'!D49+'Произв. прогр. Вода'!D74+'Произв. прогр. Вода'!D108+'Произв. прогр. Вода'!D132)</f>
        <v>142.12442404019475</v>
      </c>
      <c r="E50" s="3819">
        <f>SUM('Произв. прогр. Вода'!E49+'Произв. прогр. Вода'!E74+'Произв. прогр. Вода'!E108+'Произв. прогр. Вода'!E132)</f>
        <v>4071.0691300239259</v>
      </c>
      <c r="F50" s="3819">
        <f>SUM('Произв. прогр. Вода'!F49+'Произв. прогр. Вода'!F74+'Произв. прогр. Вода'!F108+'Произв. прогр. Вода'!F132)</f>
        <v>4071.0691300239259</v>
      </c>
      <c r="G50" s="3819">
        <f>SUM('Произв. прогр. Вода'!G49+'Произв. прогр. Вода'!G74+'Произв. прогр. Вода'!G108+'Произв. прогр. Вода'!G132)</f>
        <v>4071.0691300239259</v>
      </c>
      <c r="H50" s="3790">
        <f>SUM('Произв. прогр. Вода'!H49+'Произв. прогр. Вода'!H74+'Произв. прогр. Вода'!H108+'Произв. прогр. Вода'!H132)</f>
        <v>12213.207390071777</v>
      </c>
      <c r="I50" s="3819">
        <f>SUM('Произв. прогр. Вода'!I49+'Произв. прогр. Вода'!I74+'Произв. прогр. Вода'!I108+'Произв. прогр. Вода'!I132)</f>
        <v>4071.0691300239259</v>
      </c>
      <c r="J50" s="3819">
        <f>SUM('Произв. прогр. Вода'!J49+'Произв. прогр. Вода'!J74+'Произв. прогр. Вода'!J108+'Произв. прогр. Вода'!J132)</f>
        <v>4071.0691300239259</v>
      </c>
      <c r="K50" s="3819">
        <f>SUM('Произв. прогр. Вода'!K49+'Произв. прогр. Вода'!K74+'Произв. прогр. Вода'!K108+'Произв. прогр. Вода'!K132)</f>
        <v>4071.0691300239259</v>
      </c>
      <c r="L50" s="3790">
        <f>SUM('Произв. прогр. Вода'!L49+'Произв. прогр. Вода'!L74+'Произв. прогр. Вода'!L108+'Произв. прогр. Вода'!L132)</f>
        <v>12213.207390071777</v>
      </c>
      <c r="M50" s="3790">
        <f>SUM('Произв. прогр. Вода'!M49+'Произв. прогр. Вода'!M74+'Произв. прогр. Вода'!M108+'Произв. прогр. Вода'!M132)</f>
        <v>24426.414780143554</v>
      </c>
      <c r="N50" s="3819">
        <f>SUM('Произв. прогр. Вода'!N49+'Произв. прогр. Вода'!N74+'Произв. прогр. Вода'!N108+'Произв. прогр. Вода'!N132)</f>
        <v>4316.5545985643676</v>
      </c>
      <c r="O50" s="3819">
        <f>SUM('Произв. прогр. Вода'!O49+'Произв. прогр. Вода'!O74+'Произв. прогр. Вода'!O108+'Произв. прогр. Вода'!O132)</f>
        <v>4316.5545985643676</v>
      </c>
      <c r="P50" s="3819">
        <f>SUM('Произв. прогр. Вода'!P49+'Произв. прогр. Вода'!P74+'Произв. прогр. Вода'!P108+'Произв. прогр. Вода'!P132)</f>
        <v>4316.5545985643676</v>
      </c>
      <c r="Q50" s="3790">
        <f>SUM('Произв. прогр. Вода'!Q49+'Произв. прогр. Вода'!Q74+'Произв. прогр. Вода'!Q108+'Произв. прогр. Вода'!Q132)</f>
        <v>12949.663795693103</v>
      </c>
      <c r="R50" s="3790">
        <f>SUM('Произв. прогр. Вода'!R49+'Произв. прогр. Вода'!R74+'Произв. прогр. Вода'!R108+'Произв. прогр. Вода'!R132)</f>
        <v>37376.078575836662</v>
      </c>
      <c r="S50" s="3819">
        <f>SUM('Произв. прогр. Вода'!S49+'Произв. прогр. Вода'!S74+'Произв. прогр. Вода'!S108+'Произв. прогр. Вода'!S132)</f>
        <v>4316.5545985643676</v>
      </c>
      <c r="T50" s="3819">
        <f>SUM('Произв. прогр. Вода'!T49+'Произв. прогр. Вода'!T74+'Произв. прогр. Вода'!T108+'Произв. прогр. Вода'!T132)</f>
        <v>4316.5545985643676</v>
      </c>
      <c r="U50" s="3819">
        <f>SUM('Произв. прогр. Вода'!U49+'Произв. прогр. Вода'!U74+'Произв. прогр. Вода'!U108+'Произв. прогр. Вода'!U132)</f>
        <v>4316.5545985643676</v>
      </c>
      <c r="V50" s="3790">
        <f>SUM('Произв. прогр. Вода'!V49+'Произв. прогр. Вода'!V74+'Произв. прогр. Вода'!V108+'Произв. прогр. Вода'!V132)</f>
        <v>12949.663795693103</v>
      </c>
      <c r="W50" s="3792">
        <f t="shared" si="50"/>
        <v>50325.74237152977</v>
      </c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  <c r="AY50" s="435"/>
      <c r="AZ50" s="435"/>
    </row>
    <row r="51" spans="1:52" ht="18.75">
      <c r="A51" s="3813" t="s">
        <v>5</v>
      </c>
      <c r="B51" s="3790">
        <f t="shared" si="49"/>
        <v>15074.000484730655</v>
      </c>
      <c r="C51" s="3790">
        <f>SUM('Произв. прогр. Вода'!C50+'Произв. прогр. Вода'!C75+'Произв. прогр. Вода'!C109+'Произв. прогр. Вода'!C133)</f>
        <v>15031.263806268384</v>
      </c>
      <c r="D51" s="3790">
        <f>SUM('Произв. прогр. Вода'!D50+'Произв. прогр. Вода'!D75+'Произв. прогр. Вода'!D109+'Произв. прогр. Вода'!D133)</f>
        <v>42.736678462271527</v>
      </c>
      <c r="E51" s="3819">
        <f>SUM('Произв. прогр. Вода'!E50+'Произв. прогр. Вода'!E75+'Произв. прогр. Вода'!E109+'Произв. прогр. Вода'!E133)</f>
        <v>1219.401086400602</v>
      </c>
      <c r="F51" s="3819">
        <f>SUM('Произв. прогр. Вода'!F50+'Произв. прогр. Вода'!F75+'Произв. прогр. Вода'!F109+'Произв. прогр. Вода'!F133)</f>
        <v>1219.401086400602</v>
      </c>
      <c r="G51" s="3819">
        <f>SUM('Произв. прогр. Вода'!G50+'Произв. прогр. Вода'!G75+'Произв. прогр. Вода'!G109+'Произв. прогр. Вода'!G133)</f>
        <v>1219.401086400602</v>
      </c>
      <c r="H51" s="3790">
        <f>SUM('Произв. прогр. Вода'!H50+'Произв. прогр. Вода'!H75+'Произв. прогр. Вода'!H109+'Произв. прогр. Вода'!H133)</f>
        <v>3658.2032592018068</v>
      </c>
      <c r="I51" s="3819">
        <f>SUM('Произв. прогр. Вода'!I50+'Произв. прогр. Вода'!I75+'Произв. прогр. Вода'!I109+'Произв. прогр. Вода'!I133)</f>
        <v>1219.401086400602</v>
      </c>
      <c r="J51" s="3819">
        <f>SUM('Произв. прогр. Вода'!J50+'Произв. прогр. Вода'!J75+'Произв. прогр. Вода'!J109+'Произв. прогр. Вода'!J133)</f>
        <v>1219.401086400602</v>
      </c>
      <c r="K51" s="3819">
        <f>SUM('Произв. прогр. Вода'!K50+'Произв. прогр. Вода'!K75+'Произв. прогр. Вода'!K109+'Произв. прогр. Вода'!K133)</f>
        <v>1219.401086400602</v>
      </c>
      <c r="L51" s="3790">
        <f>SUM('Произв. прогр. Вода'!L50+'Произв. прогр. Вода'!L75+'Произв. прогр. Вода'!L109+'Произв. прогр. Вода'!L133)</f>
        <v>3658.2032592018068</v>
      </c>
      <c r="M51" s="3790">
        <f>SUM('Произв. прогр. Вода'!M50+'Произв. прогр. Вода'!M75+'Произв. прогр. Вода'!M109+'Произв. прогр. Вода'!M133)</f>
        <v>7316.4065184036135</v>
      </c>
      <c r="N51" s="3819">
        <f>SUM('Произв. прогр. Вода'!N50+'Произв. прогр. Вода'!N75+'Произв. прогр. Вода'!N109+'Произв. прогр. Вода'!N133)</f>
        <v>1292.9309719105581</v>
      </c>
      <c r="O51" s="3819">
        <f>SUM('Произв. прогр. Вода'!O50+'Произв. прогр. Вода'!O75+'Произв. прогр. Вода'!O109+'Произв. прогр. Вода'!O133)</f>
        <v>1292.9309719105581</v>
      </c>
      <c r="P51" s="3819">
        <f>SUM('Произв. прогр. Вода'!P50+'Произв. прогр. Вода'!P75+'Произв. прогр. Вода'!P109+'Произв. прогр. Вода'!P133)</f>
        <v>1292.9309719105581</v>
      </c>
      <c r="Q51" s="3790">
        <f>SUM('Произв. прогр. Вода'!Q50+'Произв. прогр. Вода'!Q75+'Произв. прогр. Вода'!Q109+'Произв. прогр. Вода'!Q133)</f>
        <v>3878.7929157316744</v>
      </c>
      <c r="R51" s="3790">
        <f>SUM('Произв. прогр. Вода'!R50+'Произв. прогр. Вода'!R75+'Произв. прогр. Вода'!R109+'Произв. прогр. Вода'!R133)</f>
        <v>11195.199434135287</v>
      </c>
      <c r="S51" s="3819">
        <f>SUM('Произв. прогр. Вода'!S50+'Произв. прогр. Вода'!S75+'Произв. прогр. Вода'!S109+'Произв. прогр. Вода'!S133)</f>
        <v>1292.9309719105581</v>
      </c>
      <c r="T51" s="3819">
        <f>SUM('Произв. прогр. Вода'!T50+'Произв. прогр. Вода'!T75+'Произв. прогр. Вода'!T109+'Произв. прогр. Вода'!T133)</f>
        <v>1292.9309719105581</v>
      </c>
      <c r="U51" s="3819">
        <f>SUM('Произв. прогр. Вода'!U50+'Произв. прогр. Вода'!U75+'Произв. прогр. Вода'!U109+'Произв. прогр. Вода'!U133)</f>
        <v>1292.9309719105581</v>
      </c>
      <c r="V51" s="3790">
        <f>SUM('Произв. прогр. Вода'!V50+'Произв. прогр. Вода'!V75+'Произв. прогр. Вода'!V109+'Произв. прогр. Вода'!V133)</f>
        <v>3878.7929157316744</v>
      </c>
      <c r="W51" s="3839">
        <f t="shared" si="50"/>
        <v>15073.992349866963</v>
      </c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  <c r="AY51" s="435"/>
      <c r="AZ51" s="435"/>
    </row>
    <row r="52" spans="1:52" ht="18.75">
      <c r="A52" s="3815" t="s">
        <v>322</v>
      </c>
      <c r="B52" s="3795">
        <f>SUM(B51/B50)</f>
        <v>0.29952862639256977</v>
      </c>
      <c r="C52" s="3795">
        <f t="shared" ref="C52:V52" si="51">SUM(C51/C50)</f>
        <v>0.29952531166638063</v>
      </c>
      <c r="D52" s="3795">
        <f t="shared" si="51"/>
        <v>0.30069904417121862</v>
      </c>
      <c r="E52" s="3824">
        <f t="shared" si="51"/>
        <v>0.29952846474838307</v>
      </c>
      <c r="F52" s="3824">
        <f t="shared" si="51"/>
        <v>0.29952846474838307</v>
      </c>
      <c r="G52" s="3824">
        <f t="shared" si="51"/>
        <v>0.29952846474838307</v>
      </c>
      <c r="H52" s="3795">
        <f t="shared" si="51"/>
        <v>0.29952846474838313</v>
      </c>
      <c r="I52" s="3824">
        <f t="shared" si="51"/>
        <v>0.29952846474838307</v>
      </c>
      <c r="J52" s="3824">
        <f t="shared" si="51"/>
        <v>0.29952846474838307</v>
      </c>
      <c r="K52" s="3824">
        <f t="shared" si="51"/>
        <v>0.29952846474838307</v>
      </c>
      <c r="L52" s="3795">
        <f t="shared" si="51"/>
        <v>0.29952846474838313</v>
      </c>
      <c r="M52" s="3795">
        <f t="shared" si="51"/>
        <v>0.29952846474838313</v>
      </c>
      <c r="N52" s="3824">
        <f t="shared" si="51"/>
        <v>0.29952846474838307</v>
      </c>
      <c r="O52" s="3824">
        <f t="shared" si="51"/>
        <v>0.29952846474838307</v>
      </c>
      <c r="P52" s="3824">
        <f t="shared" si="51"/>
        <v>0.29952846474838307</v>
      </c>
      <c r="Q52" s="3795">
        <f t="shared" si="51"/>
        <v>0.29952846474838307</v>
      </c>
      <c r="R52" s="3795">
        <f t="shared" si="51"/>
        <v>0.29952846474838307</v>
      </c>
      <c r="S52" s="3824">
        <f t="shared" si="51"/>
        <v>0.29952846474838307</v>
      </c>
      <c r="T52" s="3824">
        <f t="shared" si="51"/>
        <v>0.29952846474838307</v>
      </c>
      <c r="U52" s="3824">
        <f t="shared" si="51"/>
        <v>0.29952846474838307</v>
      </c>
      <c r="V52" s="3795">
        <f t="shared" si="51"/>
        <v>0.29952846474838307</v>
      </c>
      <c r="W52" s="3840">
        <f>SUM(W51/W50)</f>
        <v>0.29952846474838307</v>
      </c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  <c r="AY52" s="435"/>
      <c r="AZ52" s="435"/>
    </row>
    <row r="53" spans="1:52" ht="18.75">
      <c r="A53" s="3813" t="s">
        <v>1765</v>
      </c>
      <c r="B53" s="3790">
        <f>SUM(C53:D53)</f>
        <v>19752.050813946225</v>
      </c>
      <c r="C53" s="3790">
        <f>SUM('Произв. прогр. Вода'!C52+'Произв. прогр. Вода'!C77+'Произв. прогр. Вода'!C111+'Произв. прогр. Вода'!C135)</f>
        <v>19701.936459708602</v>
      </c>
      <c r="D53" s="3790">
        <f>SUM('Произв. прогр. Вода'!D52+'Произв. прогр. Вода'!D77+'Произв. прогр. Вода'!D111+'Произв. прогр. Вода'!D135)</f>
        <v>50.11435423762282</v>
      </c>
      <c r="E53" s="3819">
        <f>SUM('Произв. прогр. Вода'!E52+'Произв. прогр. Вода'!E77+'Произв. прогр. Вода'!E111+'Произв. прогр. Вода'!E135)</f>
        <v>1956.1587320419364</v>
      </c>
      <c r="F53" s="3819">
        <f>SUM('Произв. прогр. Вода'!F52+'Произв. прогр. Вода'!F77+'Произв. прогр. Вода'!F111+'Произв. прогр. Вода'!F135)</f>
        <v>1859.2014602321169</v>
      </c>
      <c r="G53" s="3819">
        <f>SUM('Произв. прогр. Вода'!G52+'Произв. прогр. Вода'!G77+'Произв. прогр. Вода'!G111+'Произв. прогр. Вода'!G135)</f>
        <v>1817.2116475469747</v>
      </c>
      <c r="H53" s="3790">
        <f>SUM('Произв. прогр. Вода'!H52+'Произв. прогр. Вода'!H77+'Произв. прогр. Вода'!H111+'Произв. прогр. Вода'!H135)</f>
        <v>5632.5718398210283</v>
      </c>
      <c r="I53" s="3819">
        <f>SUM('Произв. прогр. Вода'!I52+'Произв. прогр. Вода'!I77+'Произв. прогр. Вода'!I111+'Произв. прогр. Вода'!I135)</f>
        <v>1671.0170626237189</v>
      </c>
      <c r="J53" s="3819">
        <f>SUM('Произв. прогр. Вода'!J52+'Произв. прогр. Вода'!J77+'Произв. прогр. Вода'!J111+'Произв. прогр. Вода'!J135)</f>
        <v>1379.3831637844823</v>
      </c>
      <c r="K53" s="3819">
        <f>SUM('Произв. прогр. Вода'!K52+'Произв. прогр. Вода'!K77+'Произв. прогр. Вода'!K111+'Произв. прогр. Вода'!K135)</f>
        <v>1292.3381439109739</v>
      </c>
      <c r="L53" s="3790">
        <f>SUM('Произв. прогр. Вода'!L52+'Произв. прогр. Вода'!L77+'Произв. прогр. Вода'!L111+'Произв. прогр. Вода'!L135)</f>
        <v>4342.7383703191754</v>
      </c>
      <c r="M53" s="3790">
        <f>SUM('Произв. прогр. Вода'!M52+'Произв. прогр. Вода'!M77+'Произв. прогр. Вода'!M111+'Произв. прогр. Вода'!M135)</f>
        <v>9975.3102101402037</v>
      </c>
      <c r="N53" s="3819">
        <f>SUM('Произв. прогр. Вода'!N52+'Произв. прогр. Вода'!N77+'Произв. прогр. Вода'!N111+'Произв. прогр. Вода'!N135)</f>
        <v>1345.1914518890169</v>
      </c>
      <c r="O53" s="3819">
        <f>SUM('Произв. прогр. Вода'!O52+'Произв. прогр. Вода'!O77+'Произв. прогр. Вода'!O111+'Произв. прогр. Вода'!O135)</f>
        <v>1343.9281250874378</v>
      </c>
      <c r="P53" s="3819">
        <f>SUM('Произв. прогр. Вода'!P52+'Произв. прогр. Вода'!P77+'Произв. прогр. Вода'!P111+'Произв. прогр. Вода'!P135)</f>
        <v>1506.9441371873888</v>
      </c>
      <c r="Q53" s="3790">
        <f>SUM('Произв. прогр. Вода'!Q52+'Произв. прогр. Вода'!Q77+'Произв. прогр. Вода'!Q111+'Произв. прогр. Вода'!Q135)</f>
        <v>4196.0637141638435</v>
      </c>
      <c r="R53" s="3790">
        <f>SUM('Произв. прогр. Вода'!R52+'Произв. прогр. Вода'!R77+'Произв. прогр. Вода'!R111+'Произв. прогр. Вода'!R135)</f>
        <v>14171.373924304047</v>
      </c>
      <c r="S53" s="3819">
        <f>SUM('Произв. прогр. Вода'!S52+'Произв. прогр. Вода'!S77+'Произв. прогр. Вода'!S111+'Произв. прогр. Вода'!S135)</f>
        <v>1745.6647682955079</v>
      </c>
      <c r="T53" s="3819">
        <f>SUM('Произв. прогр. Вода'!T52+'Произв. прогр. Вода'!T77+'Произв. прогр. Вода'!T111+'Произв. прогр. Вода'!T135)</f>
        <v>1851.4933491685608</v>
      </c>
      <c r="U53" s="3819">
        <f>SUM('Произв. прогр. Вода'!U52+'Произв. прогр. Вода'!U77+'Произв. прогр. Вода'!U111+'Произв. прогр. Вода'!U135)</f>
        <v>1983.5187721781131</v>
      </c>
      <c r="V53" s="3790">
        <f>SUM('Произв. прогр. Вода'!V52+'Произв. прогр. Вода'!V77+'Произв. прогр. Вода'!V111+'Произв. прогр. Вода'!V135)</f>
        <v>5580.6768896421818</v>
      </c>
      <c r="W53" s="3839">
        <f t="shared" si="50"/>
        <v>19752.050813946233</v>
      </c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  <c r="AY53" s="435"/>
      <c r="AZ53" s="435"/>
    </row>
    <row r="54" spans="1:52" ht="18.75">
      <c r="A54" s="3815" t="s">
        <v>1766</v>
      </c>
      <c r="B54" s="3794">
        <f t="shared" ref="B54:B56" si="52">SUM(C54:D54)</f>
        <v>7705.8836024439597</v>
      </c>
      <c r="C54" s="3794">
        <f>SUM('Произв. прогр. Вода'!C53+'Произв. прогр. Вода'!C78+'Произв. прогр. Вода'!C112+'Произв. прогр. Вода'!C136)</f>
        <v>7681.238306971356</v>
      </c>
      <c r="D54" s="3794">
        <f>SUM('Произв. прогр. Вода'!D53+'Произв. прогр. Вода'!D78+'Произв. прогр. Вода'!D112+'Произв. прогр. Вода'!D136)</f>
        <v>24.645295472603493</v>
      </c>
      <c r="E54" s="3821">
        <f>SUM('Произв. прогр. Вода'!E53+'Произв. прогр. Вода'!E78+'Произв. прогр. Вода'!E112+'Произв. прогр. Вода'!E136)</f>
        <v>622.32528932990977</v>
      </c>
      <c r="F54" s="3821">
        <f>SUM('Произв. прогр. Вода'!F53+'Произв. прогр. Вода'!F78+'Произв. прогр. Вода'!F112+'Произв. прогр. Вода'!F136)</f>
        <v>622.32528932990977</v>
      </c>
      <c r="G54" s="3821">
        <f>SUM('Произв. прогр. Вода'!G53+'Произв. прогр. Вода'!G78+'Произв. прогр. Вода'!G112+'Произв. прогр. Вода'!G136)</f>
        <v>622.32528932990977</v>
      </c>
      <c r="H54" s="3794">
        <f>SUM('Произв. прогр. Вода'!H53+'Произв. прогр. Вода'!H78+'Произв. прогр. Вода'!H112+'Произв. прогр. Вода'!H136)</f>
        <v>1866.9758679897293</v>
      </c>
      <c r="I54" s="3821">
        <f>SUM('Произв. прогр. Вода'!I53+'Произв. прогр. Вода'!I78+'Произв. прогр. Вода'!I112+'Произв. прогр. Вода'!I136)</f>
        <v>622.32528932990977</v>
      </c>
      <c r="J54" s="3821">
        <f>SUM('Произв. прогр. Вода'!J53+'Произв. прогр. Вода'!J78+'Произв. прогр. Вода'!J112+'Произв. прогр. Вода'!J136)</f>
        <v>622.32528932990977</v>
      </c>
      <c r="K54" s="3821">
        <f>SUM('Произв. прогр. Вода'!K53+'Произв. прогр. Вода'!K78+'Произв. прогр. Вода'!K112+'Произв. прогр. Вода'!K136)</f>
        <v>622.32528932990977</v>
      </c>
      <c r="L54" s="3794">
        <f>SUM('Произв. прогр. Вода'!L53+'Произв. прогр. Вода'!L78+'Произв. прогр. Вода'!L112+'Произв. прогр. Вода'!L136)</f>
        <v>1866.9758679897293</v>
      </c>
      <c r="M54" s="3794">
        <f>SUM('Произв. прогр. Вода'!M53+'Произв. прогр. Вода'!M78+'Произв. прогр. Вода'!M112+'Произв. прогр. Вода'!M136)</f>
        <v>3733.9517359794586</v>
      </c>
      <c r="N54" s="3821">
        <f>SUM('Произв. прогр. Вода'!N53+'Произв. прогр. Вода'!N78+'Произв. прогр. Вода'!N112+'Произв. прогр. Вода'!N136)</f>
        <v>661.98864441075011</v>
      </c>
      <c r="O54" s="3821">
        <f>SUM('Произв. прогр. Вода'!O53+'Произв. прогр. Вода'!O78+'Произв. прогр. Вода'!O112+'Произв. прогр. Вода'!O136)</f>
        <v>661.98864441075011</v>
      </c>
      <c r="P54" s="3821">
        <f>SUM('Произв. прогр. Вода'!P53+'Произв. прогр. Вода'!P78+'Произв. прогр. Вода'!P112+'Произв. прогр. Вода'!P136)</f>
        <v>661.98864441075011</v>
      </c>
      <c r="Q54" s="3794">
        <f>SUM('Произв. прогр. Вода'!Q53+'Произв. прогр. Вода'!Q78+'Произв. прогр. Вода'!Q112+'Произв. прогр. Вода'!Q136)</f>
        <v>1985.9659332322503</v>
      </c>
      <c r="R54" s="3794">
        <f>SUM('Произв. прогр. Вода'!R53+'Произв. прогр. Вода'!R78+'Произв. прогр. Вода'!R112+'Произв. прогр. Вода'!R136)</f>
        <v>5719.9176692117089</v>
      </c>
      <c r="S54" s="3821">
        <f>SUM('Произв. прогр. Вода'!S53+'Произв. прогр. Вода'!S78+'Произв. прогр. Вода'!S112+'Произв. прогр. Вода'!S136)</f>
        <v>661.98864441075011</v>
      </c>
      <c r="T54" s="3821">
        <f>SUM('Произв. прогр. Вода'!T53+'Произв. прогр. Вода'!T78+'Произв. прогр. Вода'!T112+'Произв. прогр. Вода'!T136)</f>
        <v>661.98864441075011</v>
      </c>
      <c r="U54" s="3821">
        <f>SUM('Произв. прогр. Вода'!U53+'Произв. прогр. Вода'!U78+'Произв. прогр. Вода'!U112+'Произв. прогр. Вода'!U136)</f>
        <v>661.98864441075011</v>
      </c>
      <c r="V54" s="3794">
        <f>SUM('Произв. прогр. Вода'!V53+'Произв. прогр. Вода'!V78+'Произв. прогр. Вода'!V112+'Произв. прогр. Вода'!V136)</f>
        <v>1985.9659332322503</v>
      </c>
      <c r="W54" s="3839">
        <f t="shared" si="50"/>
        <v>7705.8836024439606</v>
      </c>
    </row>
    <row r="55" spans="1:52" ht="18.75">
      <c r="A55" s="3815" t="s">
        <v>1767</v>
      </c>
      <c r="B55" s="3794">
        <f t="shared" si="52"/>
        <v>4085.5343401678524</v>
      </c>
      <c r="C55" s="3794">
        <f>SUM('Произв. прогр. Вода'!C54+'Произв. прогр. Вода'!C79+'Произв. прогр. Вода'!C113+'Произв. прогр. Вода'!C133)</f>
        <v>4068.6317234821749</v>
      </c>
      <c r="D55" s="3794">
        <f>SUM('Произв. прогр. Вода'!D54+'Произв. прогр. Вода'!D79+'Произв. прогр. Вода'!D113+'Произв. прогр. Вода'!D133)</f>
        <v>16.902616685677355</v>
      </c>
      <c r="E55" s="3821">
        <f>SUM('Произв. прогр. Вода'!E54+'Произв. прогр. Вода'!E79+'Произв. прогр. Вода'!E113+'Произв. прогр. Вода'!E133)</f>
        <v>330.49671893800678</v>
      </c>
      <c r="F55" s="3821">
        <f>SUM('Произв. прогр. Вода'!F54+'Произв. прогр. Вода'!F79+'Произв. прогр. Вода'!F113+'Произв. прогр. Вода'!F133)</f>
        <v>330.49671893800678</v>
      </c>
      <c r="G55" s="3821">
        <f>SUM('Произв. прогр. Вода'!G54+'Произв. прогр. Вода'!G79+'Произв. прогр. Вода'!G113+'Произв. прогр. Вода'!G133)</f>
        <v>330.49671893800678</v>
      </c>
      <c r="H55" s="3794">
        <f>SUM('Произв. прогр. Вода'!H54+'Произв. прогр. Вода'!H79+'Произв. прогр. Вода'!H113+'Произв. прогр. Вода'!H133)</f>
        <v>991.49015681402045</v>
      </c>
      <c r="I55" s="3821">
        <f>SUM('Произв. прогр. Вода'!I54+'Произв. прогр. Вода'!I79+'Произв. прогр. Вода'!I113+'Произв. прогр. Вода'!I133)</f>
        <v>330.49671893800678</v>
      </c>
      <c r="J55" s="3821">
        <f>SUM('Произв. прогр. Вода'!J54+'Произв. прогр. Вода'!J79+'Произв. прогр. Вода'!J113+'Произв. прогр. Вода'!J133)</f>
        <v>330.49671893800678</v>
      </c>
      <c r="K55" s="3821">
        <f>SUM('Произв. прогр. Вода'!K54+'Произв. прогр. Вода'!K79+'Произв. прогр. Вода'!K113+'Произв. прогр. Вода'!K133)</f>
        <v>330.49671893800678</v>
      </c>
      <c r="L55" s="3794">
        <f>SUM('Произв. прогр. Вода'!L54+'Произв. прогр. Вода'!L79+'Произв. прогр. Вода'!L113+'Произв. прогр. Вода'!L133)</f>
        <v>991.49015681402045</v>
      </c>
      <c r="M55" s="3794">
        <f>SUM('Произв. прогр. Вода'!M54+'Произв. прогр. Вода'!M79+'Произв. прогр. Вода'!M113+'Произв. прогр. Вода'!M133)</f>
        <v>1982.9803136280409</v>
      </c>
      <c r="N55" s="3821">
        <f>SUM('Произв. прогр. Вода'!N54+'Произв. прогр. Вода'!N79+'Произв. прогр. Вода'!N113+'Произв. прогр. Вода'!N133)</f>
        <v>350.4256710899686</v>
      </c>
      <c r="O55" s="3821">
        <f>SUM('Произв. прогр. Вода'!O54+'Произв. прогр. Вода'!O79+'Произв. прогр. Вода'!O113+'Произв. прогр. Вода'!O133)</f>
        <v>350.4256710899686</v>
      </c>
      <c r="P55" s="3821">
        <f>SUM('Произв. прогр. Вода'!P54+'Произв. прогр. Вода'!P79+'Произв. прогр. Вода'!P113+'Произв. прогр. Вода'!P133)</f>
        <v>350.4256710899686</v>
      </c>
      <c r="Q55" s="3794">
        <f>SUM('Произв. прогр. Вода'!Q54+'Произв. прогр. Вода'!Q79+'Произв. прогр. Вода'!Q113+'Произв. прогр. Вода'!Q133)</f>
        <v>1051.2770132699059</v>
      </c>
      <c r="R55" s="3794">
        <f>SUM('Произв. прогр. Вода'!R54+'Произв. прогр. Вода'!R79+'Произв. прогр. Вода'!R113+'Произв. прогр. Вода'!R133)</f>
        <v>3034.2573268979468</v>
      </c>
      <c r="S55" s="3821">
        <f>SUM('Произв. прогр. Вода'!S54+'Произв. прогр. Вода'!S79+'Произв. прогр. Вода'!S113+'Произв. прогр. Вода'!S133)</f>
        <v>350.4256710899686</v>
      </c>
      <c r="T55" s="3821">
        <f>SUM('Произв. прогр. Вода'!T54+'Произв. прогр. Вода'!T79+'Произв. прогр. Вода'!T113+'Произв. прогр. Вода'!T133)</f>
        <v>350.4256710899686</v>
      </c>
      <c r="U55" s="3821">
        <f>SUM('Произв. прогр. Вода'!U54+'Произв. прогр. Вода'!U79+'Произв. прогр. Вода'!U113+'Произв. прогр. Вода'!U133)</f>
        <v>350.4256710899686</v>
      </c>
      <c r="V55" s="3794">
        <f>SUM('Произв. прогр. Вода'!V54+'Произв. прогр. Вода'!V79+'Произв. прогр. Вода'!V113+'Произв. прогр. Вода'!V133)</f>
        <v>1051.2770132699059</v>
      </c>
      <c r="W55" s="3839">
        <f t="shared" si="50"/>
        <v>4085.534340167852</v>
      </c>
    </row>
    <row r="56" spans="1:52" ht="18.75">
      <c r="A56" s="3815" t="s">
        <v>300</v>
      </c>
      <c r="B56" s="3794">
        <f t="shared" si="52"/>
        <v>7960.6328713344137</v>
      </c>
      <c r="C56" s="3794">
        <f>SUM(C53-C54-C55)</f>
        <v>7952.0664292550719</v>
      </c>
      <c r="D56" s="3794">
        <f t="shared" ref="D56:V56" si="53">SUM(D53-D54-D55)</f>
        <v>8.5664420793419715</v>
      </c>
      <c r="E56" s="3821">
        <f t="shared" si="53"/>
        <v>1003.3367237740199</v>
      </c>
      <c r="F56" s="3821">
        <f t="shared" si="53"/>
        <v>906.37945196420037</v>
      </c>
      <c r="G56" s="3821">
        <f t="shared" si="53"/>
        <v>864.3896392790582</v>
      </c>
      <c r="H56" s="3794">
        <f t="shared" si="53"/>
        <v>2774.1058150172785</v>
      </c>
      <c r="I56" s="3821">
        <f t="shared" si="53"/>
        <v>718.19505435580231</v>
      </c>
      <c r="J56" s="3821">
        <f t="shared" si="53"/>
        <v>426.5611555165658</v>
      </c>
      <c r="K56" s="3821">
        <f t="shared" si="53"/>
        <v>339.5161356430574</v>
      </c>
      <c r="L56" s="3794">
        <f t="shared" si="53"/>
        <v>1484.2723455154255</v>
      </c>
      <c r="M56" s="3794">
        <f t="shared" si="53"/>
        <v>4258.378160532704</v>
      </c>
      <c r="N56" s="3821">
        <f t="shared" si="53"/>
        <v>332.77713638829817</v>
      </c>
      <c r="O56" s="3821">
        <f t="shared" si="53"/>
        <v>331.51380958671911</v>
      </c>
      <c r="P56" s="3821">
        <f t="shared" si="53"/>
        <v>494.52982168667012</v>
      </c>
      <c r="Q56" s="3794">
        <f t="shared" si="53"/>
        <v>1158.8207676616873</v>
      </c>
      <c r="R56" s="3794">
        <f t="shared" si="53"/>
        <v>5417.1989281943916</v>
      </c>
      <c r="S56" s="3821">
        <f t="shared" si="53"/>
        <v>733.25045279478923</v>
      </c>
      <c r="T56" s="3821">
        <f t="shared" si="53"/>
        <v>839.07903366784217</v>
      </c>
      <c r="U56" s="3821">
        <f t="shared" si="53"/>
        <v>971.10445667739441</v>
      </c>
      <c r="V56" s="3794">
        <f t="shared" si="53"/>
        <v>2543.4339431400258</v>
      </c>
      <c r="W56" s="3839">
        <f t="shared" si="50"/>
        <v>7960.6328713344174</v>
      </c>
    </row>
    <row r="57" spans="1:52" ht="18.75">
      <c r="A57" s="3813" t="s">
        <v>1744</v>
      </c>
      <c r="B57" s="3790">
        <f t="shared" ref="B57:B70" si="54">SUM(C57:D57)</f>
        <v>3621.904</v>
      </c>
      <c r="C57" s="3790">
        <f>SUM('Произв. прогр. Вода'!C149)</f>
        <v>3603.174</v>
      </c>
      <c r="D57" s="3790">
        <f>SUM('Произв. прогр. Вода'!D149)</f>
        <v>18.73</v>
      </c>
      <c r="E57" s="3819">
        <f>SUM('Произв. прогр. Вода'!E149)</f>
        <v>0</v>
      </c>
      <c r="F57" s="3819">
        <f>SUM('Произв. прогр. Вода'!F149)</f>
        <v>0</v>
      </c>
      <c r="G57" s="3819">
        <f>SUM('Произв. прогр. Вода'!G149)</f>
        <v>905.47599999999989</v>
      </c>
      <c r="H57" s="3790">
        <f>SUM('Произв. прогр. Вода'!H149)</f>
        <v>905.47599999999989</v>
      </c>
      <c r="I57" s="3819">
        <f>SUM('Произв. прогр. Вода'!I149)</f>
        <v>0</v>
      </c>
      <c r="J57" s="3819">
        <f>SUM('Произв. прогр. Вода'!J149)</f>
        <v>0</v>
      </c>
      <c r="K57" s="3819">
        <f>SUM('Произв. прогр. Вода'!K149)</f>
        <v>905.47599999999989</v>
      </c>
      <c r="L57" s="3790">
        <f>SUM('Произв. прогр. Вода'!L149)</f>
        <v>905.47599999999989</v>
      </c>
      <c r="M57" s="3790">
        <f>SUM('Произв. прогр. Вода'!M149)</f>
        <v>1810.9519999999998</v>
      </c>
      <c r="N57" s="3819">
        <f>SUM('Произв. прогр. Вода'!N149)</f>
        <v>0</v>
      </c>
      <c r="O57" s="3819">
        <f>SUM('Произв. прогр. Вода'!O149)</f>
        <v>0</v>
      </c>
      <c r="P57" s="3819">
        <f>SUM('Произв. прогр. Вода'!P149)</f>
        <v>905.47599999999989</v>
      </c>
      <c r="Q57" s="3790">
        <f>SUM('Произв. прогр. Вода'!Q149)</f>
        <v>905.47599999999989</v>
      </c>
      <c r="R57" s="3790">
        <f>SUM('Произв. прогр. Вода'!R149)</f>
        <v>2716.4279999999999</v>
      </c>
      <c r="S57" s="3819">
        <f>SUM('Произв. прогр. Вода'!S149)</f>
        <v>0</v>
      </c>
      <c r="T57" s="3819">
        <f>SUM('Произв. прогр. Вода'!T149)</f>
        <v>0</v>
      </c>
      <c r="U57" s="3819">
        <f>SUM('Произв. прогр. Вода'!U149)</f>
        <v>905.47599999999989</v>
      </c>
      <c r="V57" s="3790">
        <f>SUM('Произв. прогр. Вода'!V149)</f>
        <v>905.47599999999989</v>
      </c>
      <c r="W57" s="3839">
        <f t="shared" si="50"/>
        <v>3621.9039999999995</v>
      </c>
    </row>
    <row r="58" spans="1:52" ht="18.75">
      <c r="A58" s="3815" t="s">
        <v>1745</v>
      </c>
      <c r="B58" s="3794">
        <f t="shared" si="54"/>
        <v>1357.51</v>
      </c>
      <c r="C58" s="3794">
        <f>SUM('Произв. прогр. Вода'!C150)</f>
        <v>1349.53</v>
      </c>
      <c r="D58" s="3794">
        <f>SUM('Произв. прогр. Вода'!D150)</f>
        <v>7.98</v>
      </c>
      <c r="E58" s="3821">
        <f>SUM('Произв. прогр. Вода'!E150)</f>
        <v>0</v>
      </c>
      <c r="F58" s="3821">
        <f>SUM('Произв. прогр. Вода'!F150)</f>
        <v>0</v>
      </c>
      <c r="G58" s="3821">
        <f>SUM('Произв. прогр. Вода'!G150)</f>
        <v>339.3775</v>
      </c>
      <c r="H58" s="3794">
        <f>SUM('Произв. прогр. Вода'!H150)</f>
        <v>339.3775</v>
      </c>
      <c r="I58" s="3821">
        <f>SUM('Произв. прогр. Вода'!I150)</f>
        <v>0</v>
      </c>
      <c r="J58" s="3821">
        <f>SUM('Произв. прогр. Вода'!J150)</f>
        <v>0</v>
      </c>
      <c r="K58" s="3821">
        <f>SUM('Произв. прогр. Вода'!K150)</f>
        <v>339.3775</v>
      </c>
      <c r="L58" s="3794">
        <f>SUM('Произв. прогр. Вода'!L150)</f>
        <v>339.3775</v>
      </c>
      <c r="M58" s="3794">
        <f>SUM('Произв. прогр. Вода'!M150)</f>
        <v>678.755</v>
      </c>
      <c r="N58" s="3821">
        <f>SUM('Произв. прогр. Вода'!N150)</f>
        <v>0</v>
      </c>
      <c r="O58" s="3821">
        <f>SUM('Произв. прогр. Вода'!O150)</f>
        <v>0</v>
      </c>
      <c r="P58" s="3821">
        <f>SUM('Произв. прогр. Вода'!P150)</f>
        <v>339.3775</v>
      </c>
      <c r="Q58" s="3794">
        <f>SUM('Произв. прогр. Вода'!Q150)</f>
        <v>339.3775</v>
      </c>
      <c r="R58" s="3794">
        <f>SUM('Произв. прогр. Вода'!R150)</f>
        <v>1018.1324999999999</v>
      </c>
      <c r="S58" s="3821">
        <f>SUM('Произв. прогр. Вода'!S150)</f>
        <v>0</v>
      </c>
      <c r="T58" s="3821">
        <f>SUM('Произв. прогр. Вода'!T150)</f>
        <v>0</v>
      </c>
      <c r="U58" s="3821">
        <f>SUM('Произв. прогр. Вода'!U150)</f>
        <v>339.3775</v>
      </c>
      <c r="V58" s="3794">
        <f>SUM('Произв. прогр. Вода'!V150)</f>
        <v>339.3775</v>
      </c>
      <c r="W58" s="3839">
        <f t="shared" si="50"/>
        <v>1357.51</v>
      </c>
    </row>
    <row r="59" spans="1:52" ht="18.75">
      <c r="A59" s="3815" t="s">
        <v>543</v>
      </c>
      <c r="B59" s="3794">
        <f t="shared" si="54"/>
        <v>89.17</v>
      </c>
      <c r="C59" s="3794">
        <f>SUM('Произв. прогр. Вода'!C151)</f>
        <v>88.75</v>
      </c>
      <c r="D59" s="3794">
        <f>SUM('Произв. прогр. Вода'!D151)</f>
        <v>0.42</v>
      </c>
      <c r="E59" s="3821">
        <f>SUM('Произв. прогр. Вода'!E151)</f>
        <v>0</v>
      </c>
      <c r="F59" s="3821">
        <f>SUM('Произв. прогр. Вода'!F151)</f>
        <v>0</v>
      </c>
      <c r="G59" s="3821">
        <f>SUM('Произв. прогр. Вода'!G151)</f>
        <v>22.2925</v>
      </c>
      <c r="H59" s="3794">
        <f>SUM('Произв. прогр. Вода'!H151)</f>
        <v>22.2925</v>
      </c>
      <c r="I59" s="3821">
        <f>SUM('Произв. прогр. Вода'!I151)</f>
        <v>0</v>
      </c>
      <c r="J59" s="3821">
        <f>SUM('Произв. прогр. Вода'!J151)</f>
        <v>0</v>
      </c>
      <c r="K59" s="3821">
        <f>SUM('Произв. прогр. Вода'!K151)</f>
        <v>22.2925</v>
      </c>
      <c r="L59" s="3794">
        <f>SUM('Произв. прогр. Вода'!L151)</f>
        <v>22.2925</v>
      </c>
      <c r="M59" s="3794">
        <f>SUM('Произв. прогр. Вода'!M151)</f>
        <v>44.585000000000001</v>
      </c>
      <c r="N59" s="3821">
        <f>SUM('Произв. прогр. Вода'!N151)</f>
        <v>0</v>
      </c>
      <c r="O59" s="3821">
        <f>SUM('Произв. прогр. Вода'!O151)</f>
        <v>0</v>
      </c>
      <c r="P59" s="3821">
        <f>SUM('Произв. прогр. Вода'!P151)</f>
        <v>22.2925</v>
      </c>
      <c r="Q59" s="3794">
        <f>SUM('Произв. прогр. Вода'!Q151)</f>
        <v>22.2925</v>
      </c>
      <c r="R59" s="3794">
        <f>SUM('Произв. прогр. Вода'!R151)</f>
        <v>66.877499999999998</v>
      </c>
      <c r="S59" s="3821">
        <f>SUM('Произв. прогр. Вода'!S151)</f>
        <v>0</v>
      </c>
      <c r="T59" s="3821">
        <f>SUM('Произв. прогр. Вода'!T151)</f>
        <v>0</v>
      </c>
      <c r="U59" s="3821">
        <f>SUM('Произв. прогр. Вода'!U151)</f>
        <v>22.2925</v>
      </c>
      <c r="V59" s="3794">
        <f>SUM('Произв. прогр. Вода'!V151)</f>
        <v>22.2925</v>
      </c>
      <c r="W59" s="3839">
        <f t="shared" si="50"/>
        <v>89.17</v>
      </c>
    </row>
    <row r="60" spans="1:52" ht="18.75">
      <c r="A60" s="3815" t="s">
        <v>544</v>
      </c>
      <c r="B60" s="3794">
        <f t="shared" si="54"/>
        <v>0</v>
      </c>
      <c r="C60" s="3794">
        <f>SUM('Произв. прогр. Вода'!C152)</f>
        <v>0</v>
      </c>
      <c r="D60" s="3794">
        <f>SUM('Произв. прогр. Вода'!D152)</f>
        <v>0</v>
      </c>
      <c r="E60" s="3821">
        <f>SUM('Произв. прогр. Вода'!E152)</f>
        <v>0</v>
      </c>
      <c r="F60" s="3821">
        <f>SUM('Произв. прогр. Вода'!F152)</f>
        <v>0</v>
      </c>
      <c r="G60" s="3821">
        <f>SUM('Произв. прогр. Вода'!G152)</f>
        <v>0</v>
      </c>
      <c r="H60" s="3794">
        <f>SUM('Произв. прогр. Вода'!H152)</f>
        <v>0</v>
      </c>
      <c r="I60" s="3821">
        <f>SUM('Произв. прогр. Вода'!I152)</f>
        <v>0</v>
      </c>
      <c r="J60" s="3821">
        <f>SUM('Произв. прогр. Вода'!J152)</f>
        <v>0</v>
      </c>
      <c r="K60" s="3821">
        <f>SUM('Произв. прогр. Вода'!K152)</f>
        <v>0</v>
      </c>
      <c r="L60" s="3794">
        <f>SUM('Произв. прогр. Вода'!L152)</f>
        <v>0</v>
      </c>
      <c r="M60" s="3794">
        <f>SUM('Произв. прогр. Вода'!M152)</f>
        <v>0</v>
      </c>
      <c r="N60" s="3821">
        <f>SUM('Произв. прогр. Вода'!N152)</f>
        <v>0</v>
      </c>
      <c r="O60" s="3821">
        <f>SUM('Произв. прогр. Вода'!O152)</f>
        <v>0</v>
      </c>
      <c r="P60" s="3821">
        <f>SUM('Произв. прогр. Вода'!P152)</f>
        <v>0</v>
      </c>
      <c r="Q60" s="3794">
        <f>SUM('Произв. прогр. Вода'!Q152)</f>
        <v>0</v>
      </c>
      <c r="R60" s="3794">
        <f>SUM('Произв. прогр. Вода'!R152)</f>
        <v>0</v>
      </c>
      <c r="S60" s="3821">
        <f>SUM('Произв. прогр. Вода'!S152)</f>
        <v>0</v>
      </c>
      <c r="T60" s="3821">
        <f>SUM('Произв. прогр. Вода'!T152)</f>
        <v>0</v>
      </c>
      <c r="U60" s="3821">
        <f>SUM('Произв. прогр. Вода'!U152)</f>
        <v>0</v>
      </c>
      <c r="V60" s="3794">
        <f>SUM('Произв. прогр. Вода'!V152)</f>
        <v>0</v>
      </c>
      <c r="W60" s="3839">
        <f t="shared" si="50"/>
        <v>0</v>
      </c>
    </row>
    <row r="61" spans="1:52" ht="18.75">
      <c r="A61" s="3815" t="s">
        <v>545</v>
      </c>
      <c r="B61" s="3794">
        <f t="shared" si="54"/>
        <v>2175.2239999999997</v>
      </c>
      <c r="C61" s="3794">
        <f>SUM('Произв. прогр. Вода'!C153)</f>
        <v>2164.8939999999998</v>
      </c>
      <c r="D61" s="3794">
        <f>SUM('Произв. прогр. Вода'!D153)</f>
        <v>10.33</v>
      </c>
      <c r="E61" s="3821">
        <f>SUM('Произв. прогр. Вода'!E153)</f>
        <v>0</v>
      </c>
      <c r="F61" s="3821">
        <f>SUM('Произв. прогр. Вода'!F153)</f>
        <v>0</v>
      </c>
      <c r="G61" s="3821">
        <f>SUM('Произв. прогр. Вода'!G153)</f>
        <v>543.80599999999993</v>
      </c>
      <c r="H61" s="3794">
        <f>SUM('Произв. прогр. Вода'!H153)</f>
        <v>543.80599999999993</v>
      </c>
      <c r="I61" s="3821">
        <f>SUM('Произв. прогр. Вода'!I153)</f>
        <v>0</v>
      </c>
      <c r="J61" s="3821">
        <f>SUM('Произв. прогр. Вода'!J153)</f>
        <v>0</v>
      </c>
      <c r="K61" s="3821">
        <f>SUM('Произв. прогр. Вода'!K153)</f>
        <v>543.80599999999993</v>
      </c>
      <c r="L61" s="3794">
        <f>SUM('Произв. прогр. Вода'!L153)</f>
        <v>543.80599999999993</v>
      </c>
      <c r="M61" s="3794">
        <f>SUM('Произв. прогр. Вода'!M153)</f>
        <v>1087.6119999999999</v>
      </c>
      <c r="N61" s="3821">
        <f>SUM('Произв. прогр. Вода'!N153)</f>
        <v>0</v>
      </c>
      <c r="O61" s="3821">
        <f>SUM('Произв. прогр. Вода'!O153)</f>
        <v>0</v>
      </c>
      <c r="P61" s="3821">
        <f>SUM('Произв. прогр. Вода'!P153)</f>
        <v>543.80599999999993</v>
      </c>
      <c r="Q61" s="3794">
        <f>SUM('Произв. прогр. Вода'!Q153)</f>
        <v>543.80599999999993</v>
      </c>
      <c r="R61" s="3794">
        <f>SUM('Произв. прогр. Вода'!R153)</f>
        <v>1631.4179999999997</v>
      </c>
      <c r="S61" s="3821">
        <f>SUM('Произв. прогр. Вода'!S153)</f>
        <v>0</v>
      </c>
      <c r="T61" s="3821">
        <f>SUM('Произв. прогр. Вода'!T153)</f>
        <v>0</v>
      </c>
      <c r="U61" s="3821">
        <f>SUM('Произв. прогр. Вода'!U153)</f>
        <v>543.80599999999993</v>
      </c>
      <c r="V61" s="3794">
        <f>SUM('Произв. прогр. Вода'!V153)</f>
        <v>543.80599999999993</v>
      </c>
      <c r="W61" s="3839">
        <f t="shared" si="50"/>
        <v>2175.2239999999997</v>
      </c>
    </row>
    <row r="62" spans="1:52" ht="18.75">
      <c r="A62" s="3813" t="s">
        <v>1768</v>
      </c>
      <c r="B62" s="3790">
        <f t="shared" si="54"/>
        <v>10405.5749</v>
      </c>
      <c r="C62" s="3790">
        <f>SUM('Произв. прогр. Вода'!C154)</f>
        <v>10353.7749</v>
      </c>
      <c r="D62" s="3790">
        <f>SUM('Произв. прогр. Вода'!D154)</f>
        <v>51.8</v>
      </c>
      <c r="E62" s="3819">
        <f>SUM('Произв. прогр. Вода'!E154)</f>
        <v>844.07164738068468</v>
      </c>
      <c r="F62" s="3819">
        <f>SUM('Произв. прогр. Вода'!F154)</f>
        <v>844.07164738068468</v>
      </c>
      <c r="G62" s="3819">
        <f>SUM('Произв. прогр. Вода'!G154)</f>
        <v>844.07164738068468</v>
      </c>
      <c r="H62" s="3790">
        <f>SUM('Произв. прогр. Вода'!H154)</f>
        <v>2532.214942142054</v>
      </c>
      <c r="I62" s="3819">
        <f>SUM('Произв. прогр. Вода'!I154)</f>
        <v>844.07164738068468</v>
      </c>
      <c r="J62" s="3819">
        <f>SUM('Произв. прогр. Вода'!J154)</f>
        <v>844.07164738068468</v>
      </c>
      <c r="K62" s="3819">
        <f>SUM('Произв. прогр. Вода'!K154)</f>
        <v>844.07164738068468</v>
      </c>
      <c r="L62" s="3790">
        <f>SUM('Произв. прогр. Вода'!L154)</f>
        <v>2532.214942142054</v>
      </c>
      <c r="M62" s="3790">
        <f>SUM('Произв. прогр. Вода'!M154)</f>
        <v>5064.4298842841081</v>
      </c>
      <c r="N62" s="3819">
        <f>SUM('Произв. прогр. Вода'!N154)</f>
        <v>890.18997727121007</v>
      </c>
      <c r="O62" s="3819">
        <f>SUM('Произв. прогр. Вода'!O154)</f>
        <v>890.18997727121007</v>
      </c>
      <c r="P62" s="3819">
        <f>SUM('Произв. прогр. Вода'!P154)</f>
        <v>890.18997727121007</v>
      </c>
      <c r="Q62" s="3790">
        <f>SUM('Произв. прогр. Вода'!Q154)</f>
        <v>2670.5699318136303</v>
      </c>
      <c r="R62" s="3790">
        <f>SUM('Произв. прогр. Вода'!R154)</f>
        <v>7734.9998160977384</v>
      </c>
      <c r="S62" s="3819">
        <f>SUM('Произв. прогр. Вода'!S154)</f>
        <v>890.18997727121007</v>
      </c>
      <c r="T62" s="3819">
        <f>SUM('Произв. прогр. Вода'!T154)</f>
        <v>890.18997727121007</v>
      </c>
      <c r="U62" s="3819">
        <f>SUM('Произв. прогр. Вода'!U154)</f>
        <v>890.18997727121007</v>
      </c>
      <c r="V62" s="3790">
        <f>SUM('Произв. прогр. Вода'!V154)</f>
        <v>2670.5699318136303</v>
      </c>
      <c r="W62" s="3839">
        <f t="shared" si="50"/>
        <v>10405.569747911368</v>
      </c>
    </row>
    <row r="63" spans="1:52" ht="18.75" customHeight="1">
      <c r="A63" s="3820" t="s">
        <v>1747</v>
      </c>
      <c r="B63" s="3794">
        <f t="shared" si="54"/>
        <v>7387.3046417955993</v>
      </c>
      <c r="C63" s="3794">
        <f>SUM('Произв. прогр. Вода'!C155)</f>
        <v>7347.6553607202095</v>
      </c>
      <c r="D63" s="3794">
        <f>SUM('Произв. прогр. Вода'!D155)</f>
        <v>39.649281075389965</v>
      </c>
      <c r="E63" s="3821">
        <f>SUM('Произв. прогр. Вода'!E155)</f>
        <v>597.59134121208888</v>
      </c>
      <c r="F63" s="3821">
        <f>SUM('Произв. прогр. Вода'!F155)</f>
        <v>597.59134121208888</v>
      </c>
      <c r="G63" s="3821">
        <f>SUM('Произв. прогр. Вода'!G155)</f>
        <v>597.59134121208888</v>
      </c>
      <c r="H63" s="3794">
        <f>SUM('Произв. прогр. Вода'!H155)</f>
        <v>1792.7740236362665</v>
      </c>
      <c r="I63" s="3821">
        <f>SUM('Произв. прогр. Вода'!I155)</f>
        <v>597.59134121208888</v>
      </c>
      <c r="J63" s="3821">
        <f>SUM('Произв. прогр. Вода'!J155)</f>
        <v>597.59134121208888</v>
      </c>
      <c r="K63" s="3821">
        <f>SUM('Произв. прогр. Вода'!K155)</f>
        <v>597.59134121208888</v>
      </c>
      <c r="L63" s="3794">
        <f>SUM('Произв. прогр. Вода'!L155)</f>
        <v>1792.7740236362665</v>
      </c>
      <c r="M63" s="3794">
        <f>SUM('Произв. прогр. Вода'!M155)</f>
        <v>3585.548047272533</v>
      </c>
      <c r="N63" s="3821">
        <f>SUM('Произв. прогр. Вода'!N155)</f>
        <v>633.62609908717786</v>
      </c>
      <c r="O63" s="3821">
        <f>SUM('Произв. прогр. Вода'!O155)</f>
        <v>633.62609908717786</v>
      </c>
      <c r="P63" s="3821">
        <f>SUM('Произв. прогр. Вода'!P155)</f>
        <v>633.62609908717786</v>
      </c>
      <c r="Q63" s="3794">
        <f>SUM('Произв. прогр. Вода'!Q155)</f>
        <v>1900.8782972615336</v>
      </c>
      <c r="R63" s="3794">
        <f>SUM('Произв. прогр. Вода'!R155)</f>
        <v>5486.4263445340666</v>
      </c>
      <c r="S63" s="3821">
        <f>SUM('Произв. прогр. Вода'!S155)</f>
        <v>633.62609908717786</v>
      </c>
      <c r="T63" s="3821">
        <f>SUM('Произв. прогр. Вода'!T155)</f>
        <v>633.62609908717786</v>
      </c>
      <c r="U63" s="3821">
        <f>SUM('Произв. прогр. Вода'!U155)</f>
        <v>633.62609908717786</v>
      </c>
      <c r="V63" s="3794">
        <f>SUM('Произв. прогр. Вода'!V155)</f>
        <v>1900.8782972615336</v>
      </c>
      <c r="W63" s="3839">
        <f t="shared" si="50"/>
        <v>7387.3046417956011</v>
      </c>
    </row>
    <row r="64" spans="1:52" ht="18.75">
      <c r="A64" s="3820" t="s">
        <v>1748</v>
      </c>
      <c r="B64" s="3794">
        <f t="shared" si="54"/>
        <v>2067.1824301894248</v>
      </c>
      <c r="C64" s="3794">
        <f>SUM('Произв. прогр. Вода'!C156)</f>
        <v>2056.0874095854329</v>
      </c>
      <c r="D64" s="3794">
        <f>SUM('Произв. прогр. Вода'!D156)</f>
        <v>11.095020603992037</v>
      </c>
      <c r="E64" s="3821">
        <f>SUM('Произв. прогр. Вода'!E156)</f>
        <v>167.2234165080672</v>
      </c>
      <c r="F64" s="3821">
        <f>SUM('Произв. прогр. Вода'!F156)</f>
        <v>167.2234165080672</v>
      </c>
      <c r="G64" s="3821">
        <f>SUM('Произв. прогр. Вода'!G156)</f>
        <v>167.2234165080672</v>
      </c>
      <c r="H64" s="3794">
        <f>SUM('Произв. прогр. Вода'!H156)</f>
        <v>501.67024952420161</v>
      </c>
      <c r="I64" s="3821">
        <f>SUM('Произв. прогр. Вода'!I156)</f>
        <v>167.2234165080672</v>
      </c>
      <c r="J64" s="3821">
        <f>SUM('Произв. прогр. Вода'!J156)</f>
        <v>167.2234165080672</v>
      </c>
      <c r="K64" s="3821">
        <f>SUM('Произв. прогр. Вода'!K156)</f>
        <v>167.2234165080672</v>
      </c>
      <c r="L64" s="3794">
        <f>SUM('Произв. прогр. Вода'!L156)</f>
        <v>501.67024952420161</v>
      </c>
      <c r="M64" s="3794">
        <f>SUM('Произв. прогр. Вода'!M156)</f>
        <v>1003.3404990484032</v>
      </c>
      <c r="N64" s="3821">
        <f>SUM('Произв. прогр. Вода'!N156)</f>
        <v>177.30698852350361</v>
      </c>
      <c r="O64" s="3821">
        <f>SUM('Произв. прогр. Вода'!O156)</f>
        <v>177.30698852350361</v>
      </c>
      <c r="P64" s="3821">
        <f>SUM('Произв. прогр. Вода'!P156)</f>
        <v>177.30698852350361</v>
      </c>
      <c r="Q64" s="3794">
        <f>SUM('Произв. прогр. Вода'!Q156)</f>
        <v>531.92096557051082</v>
      </c>
      <c r="R64" s="3794">
        <f>SUM('Произв. прогр. Вода'!R156)</f>
        <v>1535.261464618914</v>
      </c>
      <c r="S64" s="3821">
        <f>SUM('Произв. прогр. Вода'!S156)</f>
        <v>177.30698852350361</v>
      </c>
      <c r="T64" s="3821">
        <f>SUM('Произв. прогр. Вода'!T156)</f>
        <v>177.30698852350361</v>
      </c>
      <c r="U64" s="3821">
        <f>SUM('Произв. прогр. Вода'!U156)</f>
        <v>177.30698852350361</v>
      </c>
      <c r="V64" s="3794">
        <f>SUM('Произв. прогр. Вода'!V156)</f>
        <v>531.92096557051082</v>
      </c>
      <c r="W64" s="3839">
        <f t="shared" si="50"/>
        <v>2067.1824301894248</v>
      </c>
    </row>
    <row r="65" spans="1:23" ht="18.75">
      <c r="A65" s="3815" t="s">
        <v>1749</v>
      </c>
      <c r="B65" s="3794">
        <f t="shared" si="54"/>
        <v>951.08782801497603</v>
      </c>
      <c r="C65" s="3794">
        <f>SUM(C62-C63-C64)</f>
        <v>950.03212969435799</v>
      </c>
      <c r="D65" s="3794">
        <f t="shared" ref="D65:V65" si="55">SUM(D62-D63-D64)</f>
        <v>1.0556983206179957</v>
      </c>
      <c r="E65" s="3821">
        <f t="shared" si="55"/>
        <v>79.2568896605286</v>
      </c>
      <c r="F65" s="3821">
        <f t="shared" si="55"/>
        <v>79.2568896605286</v>
      </c>
      <c r="G65" s="3821">
        <f t="shared" si="55"/>
        <v>79.2568896605286</v>
      </c>
      <c r="H65" s="3794">
        <f t="shared" si="55"/>
        <v>237.77066898158591</v>
      </c>
      <c r="I65" s="3821">
        <f t="shared" si="55"/>
        <v>79.2568896605286</v>
      </c>
      <c r="J65" s="3821">
        <f t="shared" si="55"/>
        <v>79.2568896605286</v>
      </c>
      <c r="K65" s="3821">
        <f t="shared" si="55"/>
        <v>79.2568896605286</v>
      </c>
      <c r="L65" s="3794">
        <f t="shared" si="55"/>
        <v>237.77066898158591</v>
      </c>
      <c r="M65" s="3794">
        <f t="shared" si="55"/>
        <v>475.54133796317183</v>
      </c>
      <c r="N65" s="3821">
        <f t="shared" si="55"/>
        <v>79.2568896605286</v>
      </c>
      <c r="O65" s="3821">
        <f t="shared" si="55"/>
        <v>79.2568896605286</v>
      </c>
      <c r="P65" s="3821">
        <f t="shared" si="55"/>
        <v>79.2568896605286</v>
      </c>
      <c r="Q65" s="3794">
        <f t="shared" si="55"/>
        <v>237.77066898158591</v>
      </c>
      <c r="R65" s="3794">
        <f t="shared" si="55"/>
        <v>713.31200694475774</v>
      </c>
      <c r="S65" s="3821">
        <f t="shared" si="55"/>
        <v>79.2568896605286</v>
      </c>
      <c r="T65" s="3821">
        <f t="shared" si="55"/>
        <v>79.2568896605286</v>
      </c>
      <c r="U65" s="3821">
        <f t="shared" si="55"/>
        <v>79.2568896605286</v>
      </c>
      <c r="V65" s="3794">
        <f t="shared" si="55"/>
        <v>237.77066898158591</v>
      </c>
      <c r="W65" s="3839">
        <f t="shared" si="50"/>
        <v>951.0826759263432</v>
      </c>
    </row>
    <row r="66" spans="1:23" ht="18.75">
      <c r="A66" s="3789" t="s">
        <v>1750</v>
      </c>
      <c r="B66" s="3790">
        <f t="shared" si="54"/>
        <v>2254.38</v>
      </c>
      <c r="C66" s="3841">
        <f>SUM('Произв. прогр. Вода'!C158)</f>
        <v>2254.38</v>
      </c>
      <c r="D66" s="3841">
        <f>SUM('Произв. прогр. Вода'!D158)</f>
        <v>0</v>
      </c>
      <c r="E66" s="3842">
        <f>SUM('Произв. прогр. Вода'!E158)</f>
        <v>187.86500000000001</v>
      </c>
      <c r="F66" s="3842">
        <f>SUM('Произв. прогр. Вода'!F158)</f>
        <v>187.86500000000001</v>
      </c>
      <c r="G66" s="3842">
        <f>SUM('Произв. прогр. Вода'!G158)</f>
        <v>187.86500000000001</v>
      </c>
      <c r="H66" s="3841">
        <f>SUM('Произв. прогр. Вода'!H158)</f>
        <v>563.59500000000003</v>
      </c>
      <c r="I66" s="3842">
        <f>SUM('Произв. прогр. Вода'!I158)</f>
        <v>187.86500000000001</v>
      </c>
      <c r="J66" s="3842">
        <f>SUM('Произв. прогр. Вода'!J158)</f>
        <v>187.86500000000001</v>
      </c>
      <c r="K66" s="3842">
        <f>SUM('Произв. прогр. Вода'!K158)</f>
        <v>187.86500000000001</v>
      </c>
      <c r="L66" s="3841">
        <f>SUM('Произв. прогр. Вода'!L158)</f>
        <v>563.59500000000003</v>
      </c>
      <c r="M66" s="3841">
        <f>SUM('Произв. прогр. Вода'!M158)</f>
        <v>1127.19</v>
      </c>
      <c r="N66" s="3842">
        <f>SUM('Произв. прогр. Вода'!N158)</f>
        <v>187.86500000000001</v>
      </c>
      <c r="O66" s="3842">
        <f>SUM('Произв. прогр. Вода'!O158)</f>
        <v>187.86500000000001</v>
      </c>
      <c r="P66" s="3842">
        <f>SUM('Произв. прогр. Вода'!P158)</f>
        <v>187.86500000000001</v>
      </c>
      <c r="Q66" s="3841">
        <f>SUM('Произв. прогр. Вода'!Q158)</f>
        <v>563.59500000000003</v>
      </c>
      <c r="R66" s="3841">
        <f>SUM('Произв. прогр. Вода'!R158)</f>
        <v>1690.7850000000001</v>
      </c>
      <c r="S66" s="3842">
        <f>SUM('Произв. прогр. Вода'!S158)</f>
        <v>187.86500000000001</v>
      </c>
      <c r="T66" s="3842">
        <f>SUM('Произв. прогр. Вода'!T158)</f>
        <v>187.86500000000001</v>
      </c>
      <c r="U66" s="3842">
        <f>SUM('Произв. прогр. Вода'!U158)</f>
        <v>187.86500000000001</v>
      </c>
      <c r="V66" s="3841">
        <f>SUM('Произв. прогр. Вода'!V158)</f>
        <v>563.59500000000003</v>
      </c>
      <c r="W66" s="3839">
        <f t="shared" si="50"/>
        <v>2254.38</v>
      </c>
    </row>
    <row r="67" spans="1:23" ht="18.75">
      <c r="A67" s="3793" t="s">
        <v>286</v>
      </c>
      <c r="B67" s="3794">
        <f t="shared" si="54"/>
        <v>746.35</v>
      </c>
      <c r="C67" s="3794">
        <f>SUM('Произв. прогр. Вода'!C159)</f>
        <v>746.35</v>
      </c>
      <c r="D67" s="3794">
        <f>SUM('Произв. прогр. Вода'!D159)</f>
        <v>0</v>
      </c>
      <c r="E67" s="3821">
        <f>SUM('Произв. прогр. Вода'!E159)</f>
        <v>62.195833333333333</v>
      </c>
      <c r="F67" s="3821">
        <f>SUM('Произв. прогр. Вода'!F159)</f>
        <v>62.195833333333333</v>
      </c>
      <c r="G67" s="3821">
        <f>SUM('Произв. прогр. Вода'!G159)</f>
        <v>62.195833333333333</v>
      </c>
      <c r="H67" s="3794">
        <f>SUM('Произв. прогр. Вода'!H159)</f>
        <v>186.58750000000001</v>
      </c>
      <c r="I67" s="3821">
        <f>SUM('Произв. прогр. Вода'!I159)</f>
        <v>62.195833333333333</v>
      </c>
      <c r="J67" s="3821">
        <f>SUM('Произв. прогр. Вода'!J159)</f>
        <v>62.195833333333333</v>
      </c>
      <c r="K67" s="3821">
        <f>SUM('Произв. прогр. Вода'!K159)</f>
        <v>62.195833333333333</v>
      </c>
      <c r="L67" s="3794">
        <f>SUM('Произв. прогр. Вода'!L159)</f>
        <v>186.58750000000001</v>
      </c>
      <c r="M67" s="3794">
        <f>SUM('Произв. прогр. Вода'!M159)</f>
        <v>373.17500000000001</v>
      </c>
      <c r="N67" s="3821">
        <f>SUM('Произв. прогр. Вода'!N159)</f>
        <v>62.195833333333333</v>
      </c>
      <c r="O67" s="3821">
        <f>SUM('Произв. прогр. Вода'!O159)</f>
        <v>62.195833333333333</v>
      </c>
      <c r="P67" s="3821">
        <f>SUM('Произв. прогр. Вода'!P159)</f>
        <v>62.195833333333333</v>
      </c>
      <c r="Q67" s="3794">
        <f>SUM('Произв. прогр. Вода'!Q159)</f>
        <v>186.58750000000001</v>
      </c>
      <c r="R67" s="3794">
        <f>SUM('Произв. прогр. Вода'!R159)</f>
        <v>559.76250000000005</v>
      </c>
      <c r="S67" s="3821">
        <f>SUM('Произв. прогр. Вода'!S159)</f>
        <v>62.195833333333333</v>
      </c>
      <c r="T67" s="3821">
        <f>SUM('Произв. прогр. Вода'!T159)</f>
        <v>62.195833333333333</v>
      </c>
      <c r="U67" s="3821">
        <f>SUM('Произв. прогр. Вода'!U159)</f>
        <v>62.195833333333333</v>
      </c>
      <c r="V67" s="3794">
        <f>SUM('Произв. прогр. Вода'!V159)</f>
        <v>186.58750000000001</v>
      </c>
      <c r="W67" s="3839">
        <f t="shared" si="50"/>
        <v>746.35</v>
      </c>
    </row>
    <row r="68" spans="1:23" ht="18.75">
      <c r="A68" s="3793" t="s">
        <v>289</v>
      </c>
      <c r="B68" s="3794">
        <f t="shared" si="54"/>
        <v>1206.25</v>
      </c>
      <c r="C68" s="3903">
        <f>SUM('Произв. прогр. Вода'!C160)</f>
        <v>1206.25</v>
      </c>
      <c r="D68" s="3903">
        <f>SUM('Произв. прогр. Вода'!D160)</f>
        <v>0</v>
      </c>
      <c r="E68" s="3904">
        <f>SUM('Произв. прогр. Вода'!E160)</f>
        <v>100.52083333333333</v>
      </c>
      <c r="F68" s="3904">
        <f>SUM('Произв. прогр. Вода'!F160)</f>
        <v>100.52083333333333</v>
      </c>
      <c r="G68" s="3904">
        <f>SUM('Произв. прогр. Вода'!G160)</f>
        <v>100.52083333333333</v>
      </c>
      <c r="H68" s="3903">
        <f>SUM('Произв. прогр. Вода'!H160)</f>
        <v>301.5625</v>
      </c>
      <c r="I68" s="3904">
        <f>SUM('Произв. прогр. Вода'!I160)</f>
        <v>100.52083333333333</v>
      </c>
      <c r="J68" s="3904">
        <f>SUM('Произв. прогр. Вода'!J160)</f>
        <v>100.52083333333333</v>
      </c>
      <c r="K68" s="3904">
        <f>SUM('Произв. прогр. Вода'!K160)</f>
        <v>100.52083333333333</v>
      </c>
      <c r="L68" s="3903">
        <f>SUM('Произв. прогр. Вода'!L160)</f>
        <v>301.5625</v>
      </c>
      <c r="M68" s="3903">
        <f>SUM('Произв. прогр. Вода'!M160)</f>
        <v>603.125</v>
      </c>
      <c r="N68" s="3904">
        <f>SUM('Произв. прогр. Вода'!N160)</f>
        <v>100.52083333333333</v>
      </c>
      <c r="O68" s="3904">
        <f>SUM('Произв. прогр. Вода'!O160)</f>
        <v>100.52083333333333</v>
      </c>
      <c r="P68" s="3904">
        <f>SUM('Произв. прогр. Вода'!P160)</f>
        <v>100.52083333333333</v>
      </c>
      <c r="Q68" s="3903">
        <f>SUM('Произв. прогр. Вода'!Q160)</f>
        <v>301.5625</v>
      </c>
      <c r="R68" s="3903">
        <f>SUM('Произв. прогр. Вода'!R160)</f>
        <v>904.6875</v>
      </c>
      <c r="S68" s="3904">
        <f>SUM('Произв. прогр. Вода'!S160)</f>
        <v>100.52083333333333</v>
      </c>
      <c r="T68" s="3904">
        <f>SUM('Произв. прогр. Вода'!T160)</f>
        <v>100.52083333333333</v>
      </c>
      <c r="U68" s="3904">
        <f>SUM('Произв. прогр. Вода'!U160)</f>
        <v>100.52083333333333</v>
      </c>
      <c r="V68" s="3903">
        <f>SUM('Произв. прогр. Вода'!V160)</f>
        <v>301.5625</v>
      </c>
      <c r="W68" s="3839">
        <f t="shared" si="50"/>
        <v>1206.25</v>
      </c>
    </row>
    <row r="69" spans="1:23" ht="18.75">
      <c r="A69" s="3815" t="s">
        <v>1745</v>
      </c>
      <c r="B69" s="3794">
        <f t="shared" si="54"/>
        <v>301.77999999999997</v>
      </c>
      <c r="C69" s="3903">
        <f>SUM('Произв. прогр. Вода'!C161)</f>
        <v>301.77999999999997</v>
      </c>
      <c r="D69" s="3903">
        <f>SUM('Произв. прогр. Вода'!D161)</f>
        <v>0</v>
      </c>
      <c r="E69" s="3904">
        <f>SUM('Произв. прогр. Вода'!E161)</f>
        <v>25.14833333333333</v>
      </c>
      <c r="F69" s="3904">
        <f>SUM('Произв. прогр. Вода'!F161)</f>
        <v>25.14833333333333</v>
      </c>
      <c r="G69" s="3904">
        <f>SUM('Произв. прогр. Вода'!G161)</f>
        <v>25.14833333333333</v>
      </c>
      <c r="H69" s="3903">
        <f>SUM('Произв. прогр. Вода'!H161)</f>
        <v>75.444999999999993</v>
      </c>
      <c r="I69" s="3904">
        <f>SUM('Произв. прогр. Вода'!I161)</f>
        <v>25.14833333333333</v>
      </c>
      <c r="J69" s="3904">
        <f>SUM('Произв. прогр. Вода'!J161)</f>
        <v>25.14833333333333</v>
      </c>
      <c r="K69" s="3904">
        <f>SUM('Произв. прогр. Вода'!K161)</f>
        <v>25.14833333333333</v>
      </c>
      <c r="L69" s="3903">
        <f>SUM('Произв. прогр. Вода'!L161)</f>
        <v>75.444999999999993</v>
      </c>
      <c r="M69" s="3903">
        <f>SUM('Произв. прогр. Вода'!M161)</f>
        <v>150.88999999999999</v>
      </c>
      <c r="N69" s="3904">
        <f>SUM('Произв. прогр. Вода'!N161)</f>
        <v>25.14833333333333</v>
      </c>
      <c r="O69" s="3904">
        <f>SUM('Произв. прогр. Вода'!O161)</f>
        <v>25.14833333333333</v>
      </c>
      <c r="P69" s="3904">
        <f>SUM('Произв. прогр. Вода'!P161)</f>
        <v>25.14833333333333</v>
      </c>
      <c r="Q69" s="3903">
        <f>SUM('Произв. прогр. Вода'!Q161)</f>
        <v>75.444999999999993</v>
      </c>
      <c r="R69" s="3903">
        <f>SUM('Произв. прогр. Вода'!R161)</f>
        <v>226.33499999999998</v>
      </c>
      <c r="S69" s="3904">
        <f>SUM('Произв. прогр. Вода'!S161)</f>
        <v>25.14833333333333</v>
      </c>
      <c r="T69" s="3904">
        <f>SUM('Произв. прогр. Вода'!T161)</f>
        <v>25.14833333333333</v>
      </c>
      <c r="U69" s="3904">
        <f>SUM('Произв. прогр. Вода'!U161)</f>
        <v>25.14833333333333</v>
      </c>
      <c r="V69" s="3903">
        <f>SUM('Произв. прогр. Вода'!V161)</f>
        <v>75.444999999999993</v>
      </c>
      <c r="W69" s="3839">
        <f t="shared" si="50"/>
        <v>301.77999999999997</v>
      </c>
    </row>
    <row r="70" spans="1:23" ht="18.75">
      <c r="A70" s="3789" t="s">
        <v>1751</v>
      </c>
      <c r="B70" s="3790">
        <f t="shared" si="54"/>
        <v>397.28</v>
      </c>
      <c r="C70" s="3790">
        <f>SUM('Произв. прогр. Вода'!C162)</f>
        <v>397.28</v>
      </c>
      <c r="D70" s="3790">
        <f>SUM('Произв. прогр. Вода'!D162)</f>
        <v>0</v>
      </c>
      <c r="E70" s="3819">
        <f>SUM('Произв. прогр. Вода'!E162)</f>
        <v>33.106666666666662</v>
      </c>
      <c r="F70" s="3819">
        <f>SUM('Произв. прогр. Вода'!F162)</f>
        <v>33.106666666666662</v>
      </c>
      <c r="G70" s="3819">
        <f>SUM('Произв. прогр. Вода'!G162)</f>
        <v>33.106666666666662</v>
      </c>
      <c r="H70" s="3790">
        <f>SUM('Произв. прогр. Вода'!H162)</f>
        <v>99.32</v>
      </c>
      <c r="I70" s="3819">
        <f>SUM('Произв. прогр. Вода'!I162)</f>
        <v>33.106666666666662</v>
      </c>
      <c r="J70" s="3819">
        <f>SUM('Произв. прогр. Вода'!J162)</f>
        <v>33.106666666666662</v>
      </c>
      <c r="K70" s="3819">
        <f>SUM('Произв. прогр. Вода'!K162)</f>
        <v>33.106666666666662</v>
      </c>
      <c r="L70" s="3790">
        <f>SUM('Произв. прогр. Вода'!L162)</f>
        <v>99.32</v>
      </c>
      <c r="M70" s="3790">
        <f>SUM('Произв. прогр. Вода'!M162)</f>
        <v>198.64</v>
      </c>
      <c r="N70" s="3819">
        <f>SUM('Произв. прогр. Вода'!N162)</f>
        <v>33.106666666666662</v>
      </c>
      <c r="O70" s="3819">
        <f>SUM('Произв. прогр. Вода'!O162)</f>
        <v>33.106666666666662</v>
      </c>
      <c r="P70" s="3819">
        <f>SUM('Произв. прогр. Вода'!P162)</f>
        <v>33.106666666666662</v>
      </c>
      <c r="Q70" s="3790">
        <f>SUM('Произв. прогр. Вода'!Q162)</f>
        <v>99.32</v>
      </c>
      <c r="R70" s="3790">
        <f>SUM('Произв. прогр. Вода'!R162)</f>
        <v>297.95999999999998</v>
      </c>
      <c r="S70" s="3819">
        <f>SUM('Произв. прогр. Вода'!S162)</f>
        <v>33.106666666666662</v>
      </c>
      <c r="T70" s="3819">
        <f>SUM('Произв. прогр. Вода'!T162)</f>
        <v>33.106666666666662</v>
      </c>
      <c r="U70" s="3819">
        <f>SUM('Произв. прогр. Вода'!U162)</f>
        <v>33.106666666666662</v>
      </c>
      <c r="V70" s="3790">
        <f>SUM('Произв. прогр. Вода'!V162)</f>
        <v>99.32</v>
      </c>
      <c r="W70" s="3839">
        <f t="shared" si="50"/>
        <v>397.28000000000003</v>
      </c>
    </row>
    <row r="71" spans="1:23" ht="18.75">
      <c r="A71" s="3817" t="s">
        <v>12</v>
      </c>
      <c r="B71" s="3797">
        <f>SUM(B45+B46+B47+B48+B49+B50+B51+B53+B57+B62+B66+B70)</f>
        <v>126864.26976912777</v>
      </c>
      <c r="C71" s="3797">
        <f>SUM(C45+C46+C47+C48+C49+C50+C51+C53+C57+C62+C66+C70)</f>
        <v>126518.39756640363</v>
      </c>
      <c r="D71" s="3797">
        <f t="shared" ref="D71:V71" si="56">SUM(D45+D46+D47+D48+D49+D50+D51+D53+D57+D62+D66+D70)</f>
        <v>345.87220272417039</v>
      </c>
      <c r="E71" s="3823">
        <f t="shared" si="56"/>
        <v>10388.943328519104</v>
      </c>
      <c r="F71" s="3823">
        <f t="shared" si="56"/>
        <v>10293.16779910797</v>
      </c>
      <c r="G71" s="3823">
        <f t="shared" si="56"/>
        <v>11159.65375582767</v>
      </c>
      <c r="H71" s="3797">
        <f t="shared" si="56"/>
        <v>31841.764883454747</v>
      </c>
      <c r="I71" s="3823">
        <f t="shared" si="56"/>
        <v>10096.90299007019</v>
      </c>
      <c r="J71" s="3823">
        <f t="shared" si="56"/>
        <v>9789.7189061356603</v>
      </c>
      <c r="K71" s="3823">
        <f t="shared" si="56"/>
        <v>10580.561090419236</v>
      </c>
      <c r="L71" s="3797">
        <f t="shared" si="56"/>
        <v>30467.182986625088</v>
      </c>
      <c r="M71" s="3797">
        <f t="shared" si="56"/>
        <v>62308.947870079835</v>
      </c>
      <c r="N71" s="3823">
        <f t="shared" si="56"/>
        <v>10118.426311213148</v>
      </c>
      <c r="O71" s="3823">
        <f t="shared" si="56"/>
        <v>10144.716467556069</v>
      </c>
      <c r="P71" s="3823">
        <f t="shared" si="56"/>
        <v>11247.481611751649</v>
      </c>
      <c r="Q71" s="3797">
        <f t="shared" si="56"/>
        <v>31510.624390520868</v>
      </c>
      <c r="R71" s="3797">
        <f t="shared" si="56"/>
        <v>93823.758225656318</v>
      </c>
      <c r="S71" s="3823">
        <f t="shared" si="56"/>
        <v>10598.50854568425</v>
      </c>
      <c r="T71" s="3823">
        <f t="shared" si="56"/>
        <v>10704.337126557302</v>
      </c>
      <c r="U71" s="3823">
        <f t="shared" si="56"/>
        <v>11741.838549566855</v>
      </c>
      <c r="V71" s="3797">
        <f t="shared" si="56"/>
        <v>33044.684221808406</v>
      </c>
      <c r="W71" s="3843">
        <f t="shared" si="50"/>
        <v>126864.25648240911</v>
      </c>
    </row>
    <row r="72" spans="1:23" ht="18.75">
      <c r="A72" s="3817" t="s">
        <v>13</v>
      </c>
      <c r="B72" s="3787">
        <f>SUM(C72:D72)</f>
        <v>3791.3490000000002</v>
      </c>
      <c r="C72" s="3787">
        <f>SUM(C18)</f>
        <v>3771</v>
      </c>
      <c r="D72" s="3787">
        <f>SUM(D18)</f>
        <v>20.349</v>
      </c>
      <c r="E72" s="3800">
        <f t="shared" ref="E72:V72" si="57">SUM(E18)</f>
        <v>322.29552269999999</v>
      </c>
      <c r="F72" s="3800">
        <f t="shared" si="57"/>
        <v>322.77283950000003</v>
      </c>
      <c r="G72" s="3800">
        <f t="shared" si="57"/>
        <v>323.98447440000001</v>
      </c>
      <c r="H72" s="3787">
        <f t="shared" si="57"/>
        <v>969.05283660000009</v>
      </c>
      <c r="I72" s="3800">
        <f t="shared" si="57"/>
        <v>319.50908579999998</v>
      </c>
      <c r="J72" s="3800">
        <f t="shared" si="57"/>
        <v>313.22822069999995</v>
      </c>
      <c r="K72" s="3800">
        <f t="shared" si="57"/>
        <v>302.08484820000001</v>
      </c>
      <c r="L72" s="3787">
        <f t="shared" si="57"/>
        <v>934.82215469999994</v>
      </c>
      <c r="M72" s="3787">
        <f t="shared" si="57"/>
        <v>1903.8749913000001</v>
      </c>
      <c r="N72" s="3800">
        <f t="shared" si="57"/>
        <v>293.92319850000001</v>
      </c>
      <c r="O72" s="3800">
        <f t="shared" si="57"/>
        <v>304.32772199999994</v>
      </c>
      <c r="P72" s="3800">
        <f t="shared" si="57"/>
        <v>317.26966499999997</v>
      </c>
      <c r="Q72" s="3787">
        <f t="shared" si="57"/>
        <v>915.52058549999992</v>
      </c>
      <c r="R72" s="3787">
        <f t="shared" si="57"/>
        <v>2819.3955768000001</v>
      </c>
      <c r="S72" s="3800">
        <f t="shared" si="57"/>
        <v>323.98447440000001</v>
      </c>
      <c r="T72" s="3800">
        <f t="shared" si="57"/>
        <v>323.98447440000001</v>
      </c>
      <c r="U72" s="3800">
        <f t="shared" si="57"/>
        <v>323.98447440000001</v>
      </c>
      <c r="V72" s="3787">
        <f t="shared" si="57"/>
        <v>971.95342320000009</v>
      </c>
      <c r="W72" s="3843">
        <f t="shared" si="50"/>
        <v>3791.3490000000006</v>
      </c>
    </row>
    <row r="73" spans="1:23" ht="18.75">
      <c r="A73" s="3817" t="s">
        <v>14</v>
      </c>
      <c r="B73" s="3787">
        <f t="shared" ref="B73:W73" si="58">SUM(B71/B72)</f>
        <v>33.461511923362309</v>
      </c>
      <c r="C73" s="3787">
        <f t="shared" si="58"/>
        <v>33.550357349881629</v>
      </c>
      <c r="D73" s="3787">
        <f t="shared" si="58"/>
        <v>16.997012272061053</v>
      </c>
      <c r="E73" s="3800">
        <f t="shared" si="58"/>
        <v>32.234215484865331</v>
      </c>
      <c r="F73" s="3800">
        <f t="shared" si="58"/>
        <v>31.889820144262693</v>
      </c>
      <c r="G73" s="3800">
        <f t="shared" si="58"/>
        <v>34.445026344224324</v>
      </c>
      <c r="H73" s="3787">
        <f t="shared" si="58"/>
        <v>32.85864679492002</v>
      </c>
      <c r="I73" s="3800">
        <f t="shared" si="58"/>
        <v>31.60130161804053</v>
      </c>
      <c r="J73" s="3800">
        <f t="shared" si="58"/>
        <v>31.2542684827621</v>
      </c>
      <c r="K73" s="3800">
        <f t="shared" si="58"/>
        <v>35.025130037022613</v>
      </c>
      <c r="L73" s="3787">
        <f t="shared" si="58"/>
        <v>32.591421623295304</v>
      </c>
      <c r="M73" s="3787">
        <f t="shared" si="58"/>
        <v>32.727436493891943</v>
      </c>
      <c r="N73" s="3800">
        <f t="shared" si="58"/>
        <v>34.425408960065965</v>
      </c>
      <c r="O73" s="3800">
        <f t="shared" si="58"/>
        <v>33.334841797803982</v>
      </c>
      <c r="P73" s="3800">
        <f t="shared" si="58"/>
        <v>35.450857275471485</v>
      </c>
      <c r="Q73" s="3787">
        <f t="shared" si="58"/>
        <v>34.418258736707422</v>
      </c>
      <c r="R73" s="3787">
        <f t="shared" si="58"/>
        <v>33.277968865988584</v>
      </c>
      <c r="S73" s="3800">
        <f t="shared" si="58"/>
        <v>32.713013687807283</v>
      </c>
      <c r="T73" s="3800">
        <f t="shared" si="58"/>
        <v>33.039660762698887</v>
      </c>
      <c r="U73" s="3800">
        <f t="shared" si="58"/>
        <v>36.241979098881338</v>
      </c>
      <c r="V73" s="3787">
        <f t="shared" si="58"/>
        <v>33.998217849795836</v>
      </c>
      <c r="W73" s="3844">
        <f t="shared" si="58"/>
        <v>33.461508418879163</v>
      </c>
    </row>
    <row r="74" spans="1:23" ht="18.75">
      <c r="A74" s="3834" t="s">
        <v>437</v>
      </c>
      <c r="B74" s="3787">
        <f>SUM(C74:D74)</f>
        <v>6213.1949999999997</v>
      </c>
      <c r="C74" s="3787">
        <f>SUM('Произв. прогр. Вода'!C166)</f>
        <v>6213.1949999999997</v>
      </c>
      <c r="D74" s="3787">
        <f>SUM('Произв. прогр. Вода'!D166)</f>
        <v>0</v>
      </c>
      <c r="E74" s="3800">
        <f>SUM('Произв. прогр. Вода'!E166)</f>
        <v>508.79994408897352</v>
      </c>
      <c r="F74" s="3800">
        <f>SUM('Произв. прогр. Вода'!F166)</f>
        <v>504.10932421854795</v>
      </c>
      <c r="G74" s="3800">
        <f>SUM('Произв. прогр. Вода'!G166)</f>
        <v>546.54559443311541</v>
      </c>
      <c r="H74" s="3787">
        <f>SUM('Произв. прогр. Вода'!H166)</f>
        <v>1559.4548627406368</v>
      </c>
      <c r="I74" s="3800">
        <f>SUM('Произв. прогр. Вода'!I166)</f>
        <v>494.49722790544865</v>
      </c>
      <c r="J74" s="3800">
        <f>SUM('Произв. прогр. Вода'!J166)</f>
        <v>479.45284468103944</v>
      </c>
      <c r="K74" s="3800">
        <f>SUM('Произв. прогр. Вода'!K166)</f>
        <v>518.18445062233809</v>
      </c>
      <c r="L74" s="3787">
        <f>SUM('Произв. прогр. Вода'!L166)</f>
        <v>1492.1345232088261</v>
      </c>
      <c r="M74" s="3787">
        <f>SUM('Произв. прогр. Вода'!M166)</f>
        <v>3051.5893859494627</v>
      </c>
      <c r="N74" s="3800">
        <f>SUM('Произв. прогр. Вода'!N166)</f>
        <v>495.55133555122666</v>
      </c>
      <c r="O74" s="3800">
        <f>SUM('Произв. прогр. Вода'!O166)</f>
        <v>496.83889961374769</v>
      </c>
      <c r="P74" s="3800">
        <f>SUM('Произв. прогр. Вода'!P166)</f>
        <v>550.84697588938946</v>
      </c>
      <c r="Q74" s="3787">
        <f>SUM('Произв. прогр. Вода'!Q166)</f>
        <v>1543.2372110543638</v>
      </c>
      <c r="R74" s="3787">
        <f>SUM('Произв. прогр. Вода'!R166)</f>
        <v>4594.8265970038265</v>
      </c>
      <c r="S74" s="3800">
        <f>SUM('Произв. прогр. Вода'!S166)</f>
        <v>519.06342973952223</v>
      </c>
      <c r="T74" s="3800">
        <f>SUM('Произв. прогр. Вода'!T166)</f>
        <v>524.24639920316451</v>
      </c>
      <c r="U74" s="3800">
        <f>SUM('Произв. прогр. Вода'!U166)</f>
        <v>575.05817565884934</v>
      </c>
      <c r="V74" s="3787">
        <f>SUM('Произв. прогр. Вода'!V166)</f>
        <v>1618.3680046015361</v>
      </c>
      <c r="W74" s="3843">
        <f t="shared" si="50"/>
        <v>6213.1946016053625</v>
      </c>
    </row>
    <row r="75" spans="1:23" ht="18.75" customHeight="1">
      <c r="A75" s="3834" t="s">
        <v>548</v>
      </c>
      <c r="B75" s="3787">
        <f>SUM(C75:D75)</f>
        <v>133077.46476912778</v>
      </c>
      <c r="C75" s="3787">
        <f>SUM(C71+C74)</f>
        <v>132731.59256640362</v>
      </c>
      <c r="D75" s="3787">
        <f>SUM(D71+D74)</f>
        <v>345.87220272417039</v>
      </c>
      <c r="E75" s="3823">
        <f>SUM(E71+E74)</f>
        <v>10897.743272608079</v>
      </c>
      <c r="F75" s="3823">
        <f>SUM(F71+F74)</f>
        <v>10797.277123326519</v>
      </c>
      <c r="G75" s="3823">
        <f>SUM(G71+G74)</f>
        <v>11706.199350260786</v>
      </c>
      <c r="H75" s="3797">
        <f>SUM(E75+F75+G75)</f>
        <v>33401.219746195384</v>
      </c>
      <c r="I75" s="3823">
        <f>SUM(I71+I74)</f>
        <v>10591.400217975639</v>
      </c>
      <c r="J75" s="3823">
        <f>SUM(J71+J74)</f>
        <v>10269.1717508167</v>
      </c>
      <c r="K75" s="3823">
        <f>SUM(K71+K74)</f>
        <v>11098.745541041575</v>
      </c>
      <c r="L75" s="3797">
        <f>SUM(I75+J75+K75)</f>
        <v>31959.317509833916</v>
      </c>
      <c r="M75" s="3797">
        <f>SUM(H75+L75)</f>
        <v>65360.537256029304</v>
      </c>
      <c r="N75" s="3823">
        <f>SUM(N71+N74)</f>
        <v>10613.977646764375</v>
      </c>
      <c r="O75" s="3823">
        <f>SUM(O71+O74)</f>
        <v>10641.555367169816</v>
      </c>
      <c r="P75" s="3823">
        <f>SUM(P71+P74)</f>
        <v>11798.328587641039</v>
      </c>
      <c r="Q75" s="3797">
        <f>SUM(N75+O75+P75)</f>
        <v>33053.861601575227</v>
      </c>
      <c r="R75" s="3797">
        <f>SUM(M75+Q75)</f>
        <v>98414.398857604538</v>
      </c>
      <c r="S75" s="3823">
        <f>SUM(S71+S74)</f>
        <v>11117.571975423773</v>
      </c>
      <c r="T75" s="3823">
        <f>SUM(T71+T74)</f>
        <v>11228.583525760467</v>
      </c>
      <c r="U75" s="3823">
        <f>SUM(U71+U74)</f>
        <v>12316.896725225704</v>
      </c>
      <c r="V75" s="3797">
        <f>SUM(S75+T75+U75)</f>
        <v>34663.052226409942</v>
      </c>
      <c r="W75" s="3843">
        <f t="shared" si="50"/>
        <v>133077.45108401449</v>
      </c>
    </row>
    <row r="76" spans="1:23" ht="18.75" customHeight="1">
      <c r="A76" s="3831" t="s">
        <v>70</v>
      </c>
      <c r="B76" s="3787">
        <f t="shared" ref="B76:W76" si="59">SUM(B75/B72)</f>
        <v>35.100294056054395</v>
      </c>
      <c r="C76" s="3787">
        <f t="shared" si="59"/>
        <v>35.197982648210981</v>
      </c>
      <c r="D76" s="3787">
        <f t="shared" si="59"/>
        <v>16.997012272061053</v>
      </c>
      <c r="E76" s="3823">
        <f t="shared" si="59"/>
        <v>33.812890670380014</v>
      </c>
      <c r="F76" s="3823">
        <f t="shared" si="59"/>
        <v>33.451628520083453</v>
      </c>
      <c r="G76" s="3823">
        <f t="shared" si="59"/>
        <v>36.131976298987695</v>
      </c>
      <c r="H76" s="3797">
        <f t="shared" si="59"/>
        <v>34.467903590671334</v>
      </c>
      <c r="I76" s="3823">
        <f t="shared" si="59"/>
        <v>33.148979758921271</v>
      </c>
      <c r="J76" s="3823">
        <f t="shared" si="59"/>
        <v>32.784950627587889</v>
      </c>
      <c r="K76" s="3823">
        <f t="shared" si="59"/>
        <v>36.740490650803764</v>
      </c>
      <c r="L76" s="3797">
        <f t="shared" si="59"/>
        <v>34.187591029108845</v>
      </c>
      <c r="M76" s="3797">
        <f t="shared" si="59"/>
        <v>34.33026724690572</v>
      </c>
      <c r="N76" s="3823">
        <f t="shared" si="59"/>
        <v>36.111398150712404</v>
      </c>
      <c r="O76" s="3823">
        <f t="shared" si="59"/>
        <v>34.967420310036097</v>
      </c>
      <c r="P76" s="3823">
        <f t="shared" si="59"/>
        <v>37.187067939952719</v>
      </c>
      <c r="Q76" s="3797">
        <f t="shared" si="59"/>
        <v>36.103897744170638</v>
      </c>
      <c r="R76" s="3797">
        <f t="shared" si="59"/>
        <v>34.906204601946776</v>
      </c>
      <c r="S76" s="3823">
        <f t="shared" si="59"/>
        <v>34.315138081887582</v>
      </c>
      <c r="T76" s="3823">
        <f t="shared" si="59"/>
        <v>34.657782742692028</v>
      </c>
      <c r="U76" s="3823">
        <f t="shared" si="59"/>
        <v>38.016935064668964</v>
      </c>
      <c r="V76" s="3797">
        <f t="shared" si="59"/>
        <v>35.663285296416184</v>
      </c>
      <c r="W76" s="3845">
        <f t="shared" si="59"/>
        <v>35.100290446491336</v>
      </c>
    </row>
    <row r="77" spans="1:23" ht="18.75" customHeight="1">
      <c r="A77" s="3831" t="s">
        <v>327</v>
      </c>
      <c r="B77" s="3787">
        <f>SUM(C77:D77)</f>
        <v>-1205.4349999999999</v>
      </c>
      <c r="C77" s="3787">
        <f>SUM('Произв. прогр. Вода'!C169)</f>
        <v>-1205.4349999999999</v>
      </c>
      <c r="D77" s="3787">
        <f>SUM('Произв. прогр. Вода'!D169)</f>
        <v>0</v>
      </c>
      <c r="E77" s="3800">
        <f>SUM('Произв. прогр. Вода'!E169)</f>
        <v>-100.45291666666667</v>
      </c>
      <c r="F77" s="3800">
        <f>SUM('Произв. прогр. Вода'!F169)</f>
        <v>-100.45291666666667</v>
      </c>
      <c r="G77" s="3800">
        <f>SUM('Произв. прогр. Вода'!G169)</f>
        <v>-100.45291666666667</v>
      </c>
      <c r="H77" s="3787">
        <f>SUM('Произв. прогр. Вода'!H169)</f>
        <v>-301.35874999999999</v>
      </c>
      <c r="I77" s="3800">
        <f>SUM('Произв. прогр. Вода'!I169)</f>
        <v>-100.45291666666667</v>
      </c>
      <c r="J77" s="3800">
        <f>SUM('Произв. прогр. Вода'!J169)</f>
        <v>-100.45291666666667</v>
      </c>
      <c r="K77" s="3800">
        <f>SUM('Произв. прогр. Вода'!K169)</f>
        <v>-100.45291666666667</v>
      </c>
      <c r="L77" s="3787">
        <f>SUM('Произв. прогр. Вода'!L169)</f>
        <v>-301.35874999999999</v>
      </c>
      <c r="M77" s="3787">
        <f>SUM('Произв. прогр. Вода'!M169)</f>
        <v>-602.71749999999997</v>
      </c>
      <c r="N77" s="3800">
        <f>SUM('Произв. прогр. Вода'!N169)</f>
        <v>-100.45291666666667</v>
      </c>
      <c r="O77" s="3800">
        <f>SUM('Произв. прогр. Вода'!O169)</f>
        <v>-100.45291666666667</v>
      </c>
      <c r="P77" s="3800">
        <f>SUM('Произв. прогр. Вода'!P169)</f>
        <v>-100.45291666666667</v>
      </c>
      <c r="Q77" s="3787">
        <f>SUM('Произв. прогр. Вода'!Q169)</f>
        <v>-301.35874999999999</v>
      </c>
      <c r="R77" s="3787">
        <f>SUM('Произв. прогр. Вода'!R169)</f>
        <v>-904.07624999999996</v>
      </c>
      <c r="S77" s="3800">
        <f>SUM('Произв. прогр. Вода'!S169)</f>
        <v>-100.45291666666667</v>
      </c>
      <c r="T77" s="3800">
        <f>SUM('Произв. прогр. Вода'!T169)</f>
        <v>-100.45291666666667</v>
      </c>
      <c r="U77" s="3800">
        <f>SUM('Произв. прогр. Вода'!U169)</f>
        <v>-100.45291666666667</v>
      </c>
      <c r="V77" s="3787">
        <f>SUM('Произв. прогр. Вода'!V169)</f>
        <v>-301.35874999999999</v>
      </c>
      <c r="W77" s="3843">
        <f t="shared" si="50"/>
        <v>-1205.4349999999997</v>
      </c>
    </row>
    <row r="78" spans="1:23" ht="18.75" customHeight="1">
      <c r="A78" s="3834" t="s">
        <v>549</v>
      </c>
      <c r="B78" s="3787">
        <f>SUM(B75+B77)</f>
        <v>131872.02976912778</v>
      </c>
      <c r="C78" s="3787">
        <f>SUM(C75+C77)</f>
        <v>131526.15756640362</v>
      </c>
      <c r="D78" s="3787">
        <f>SUM(D75+D77)</f>
        <v>345.87220272417039</v>
      </c>
      <c r="E78" s="3823">
        <f>SUM(E77+E75)</f>
        <v>10797.290355941412</v>
      </c>
      <c r="F78" s="3823">
        <f t="shared" ref="F78:G78" si="60">SUM(F77+F75)</f>
        <v>10696.824206659852</v>
      </c>
      <c r="G78" s="3823">
        <f t="shared" si="60"/>
        <v>11605.746433594119</v>
      </c>
      <c r="H78" s="3797">
        <f>SUM(E78+F78+G78)</f>
        <v>33099.860996195384</v>
      </c>
      <c r="I78" s="3823">
        <f t="shared" ref="I78:K78" si="61">SUM(I77+I75)</f>
        <v>10490.947301308972</v>
      </c>
      <c r="J78" s="3823">
        <f t="shared" si="61"/>
        <v>10168.718834150033</v>
      </c>
      <c r="K78" s="3823">
        <f t="shared" si="61"/>
        <v>10998.292624374908</v>
      </c>
      <c r="L78" s="3797">
        <f>SUM(I78+J78+K78)</f>
        <v>31657.958759833913</v>
      </c>
      <c r="M78" s="3797">
        <f>SUM(H78+L78)</f>
        <v>64757.819756029297</v>
      </c>
      <c r="N78" s="3823">
        <f t="shared" ref="N78:P78" si="62">SUM(N77+N75)</f>
        <v>10513.524730097708</v>
      </c>
      <c r="O78" s="3823">
        <f t="shared" si="62"/>
        <v>10541.102450503149</v>
      </c>
      <c r="P78" s="3823">
        <f t="shared" si="62"/>
        <v>11697.875670974372</v>
      </c>
      <c r="Q78" s="3797">
        <f>SUM(N78+O78+P78)</f>
        <v>32752.502851575231</v>
      </c>
      <c r="R78" s="3797">
        <f>SUM(M78+Q78)</f>
        <v>97510.322607604525</v>
      </c>
      <c r="S78" s="3823">
        <f t="shared" ref="S78:U78" si="63">SUM(S77+S75)</f>
        <v>11017.119058757105</v>
      </c>
      <c r="T78" s="3823">
        <f t="shared" si="63"/>
        <v>11128.1306090938</v>
      </c>
      <c r="U78" s="3823">
        <f t="shared" si="63"/>
        <v>12216.443808559037</v>
      </c>
      <c r="V78" s="3797">
        <f>SUM(S78+T78+U78)</f>
        <v>34361.693476409942</v>
      </c>
      <c r="W78" s="3843">
        <f t="shared" si="50"/>
        <v>131872.0160840145</v>
      </c>
    </row>
    <row r="79" spans="1:23" ht="18" customHeight="1">
      <c r="A79" s="3834" t="s">
        <v>328</v>
      </c>
      <c r="B79" s="3787">
        <f t="shared" ref="B79:W79" si="64">SUM(B78/B72)</f>
        <v>34.782350495596098</v>
      </c>
      <c r="C79" s="3787">
        <f t="shared" si="64"/>
        <v>34.8783234066305</v>
      </c>
      <c r="D79" s="3787">
        <f t="shared" si="64"/>
        <v>16.997012272061053</v>
      </c>
      <c r="E79" s="3823">
        <f t="shared" si="64"/>
        <v>33.501211141526703</v>
      </c>
      <c r="F79" s="3823">
        <f t="shared" si="64"/>
        <v>33.140409903231188</v>
      </c>
      <c r="G79" s="3823">
        <f t="shared" si="64"/>
        <v>35.821921575369537</v>
      </c>
      <c r="H79" s="3797">
        <f t="shared" si="64"/>
        <v>34.156920805607371</v>
      </c>
      <c r="I79" s="3823">
        <f t="shared" si="64"/>
        <v>32.834582074689074</v>
      </c>
      <c r="J79" s="3823">
        <f t="shared" si="64"/>
        <v>32.464248628125077</v>
      </c>
      <c r="K79" s="3823">
        <f t="shared" si="64"/>
        <v>36.407958525259488</v>
      </c>
      <c r="L79" s="3797">
        <f t="shared" si="64"/>
        <v>33.865220887916891</v>
      </c>
      <c r="M79" s="3797">
        <f t="shared" si="64"/>
        <v>34.013693153147358</v>
      </c>
      <c r="N79" s="3823">
        <f t="shared" si="64"/>
        <v>35.76963228405296</v>
      </c>
      <c r="O79" s="3823">
        <f t="shared" si="64"/>
        <v>34.637338922752335</v>
      </c>
      <c r="P79" s="3823">
        <f t="shared" si="64"/>
        <v>36.87045110655118</v>
      </c>
      <c r="Q79" s="3797">
        <f t="shared" si="64"/>
        <v>35.774731196992001</v>
      </c>
      <c r="R79" s="3797">
        <f t="shared" si="64"/>
        <v>34.585541457888738</v>
      </c>
      <c r="S79" s="3823">
        <f t="shared" si="64"/>
        <v>34.005083358269424</v>
      </c>
      <c r="T79" s="3823">
        <f t="shared" si="64"/>
        <v>34.347728019073863</v>
      </c>
      <c r="U79" s="3823">
        <f t="shared" si="64"/>
        <v>37.706880341050805</v>
      </c>
      <c r="V79" s="3797">
        <f t="shared" si="64"/>
        <v>35.353230572798026</v>
      </c>
      <c r="W79" s="3845">
        <f t="shared" si="64"/>
        <v>34.782346886033039</v>
      </c>
    </row>
    <row r="80" spans="1:23" ht="18.75">
      <c r="A80" s="4410" t="s">
        <v>1752</v>
      </c>
      <c r="B80" s="4405"/>
      <c r="C80" s="4405"/>
      <c r="D80" s="4405"/>
      <c r="E80" s="4405"/>
      <c r="F80" s="4405"/>
      <c r="G80" s="4405"/>
      <c r="H80" s="4405"/>
      <c r="I80" s="4405"/>
      <c r="J80" s="4405"/>
      <c r="K80" s="4405"/>
      <c r="L80" s="4405"/>
      <c r="M80" s="4405"/>
      <c r="N80" s="4405"/>
      <c r="O80" s="4405"/>
      <c r="P80" s="4405"/>
      <c r="Q80" s="4405"/>
      <c r="R80" s="4405"/>
      <c r="S80" s="4405"/>
      <c r="T80" s="4405"/>
      <c r="U80" s="4405"/>
      <c r="V80" s="4405"/>
      <c r="W80" s="3812"/>
    </row>
    <row r="81" spans="1:23" ht="18.75">
      <c r="A81" s="4396" t="s">
        <v>546</v>
      </c>
      <c r="B81" s="4389" t="s">
        <v>1782</v>
      </c>
      <c r="C81" s="4389" t="s">
        <v>576</v>
      </c>
      <c r="D81" s="4389"/>
      <c r="E81" s="4383" t="s">
        <v>587</v>
      </c>
      <c r="F81" s="4383" t="s">
        <v>588</v>
      </c>
      <c r="G81" s="4383" t="s">
        <v>589</v>
      </c>
      <c r="H81" s="4384" t="s">
        <v>601</v>
      </c>
      <c r="I81" s="4383" t="s">
        <v>590</v>
      </c>
      <c r="J81" s="4383" t="s">
        <v>591</v>
      </c>
      <c r="K81" s="4383" t="s">
        <v>592</v>
      </c>
      <c r="L81" s="4384" t="s">
        <v>600</v>
      </c>
      <c r="M81" s="4384" t="s">
        <v>599</v>
      </c>
      <c r="N81" s="4383" t="s">
        <v>593</v>
      </c>
      <c r="O81" s="4383" t="s">
        <v>594</v>
      </c>
      <c r="P81" s="4383" t="s">
        <v>595</v>
      </c>
      <c r="Q81" s="4384" t="s">
        <v>225</v>
      </c>
      <c r="R81" s="4384" t="s">
        <v>229</v>
      </c>
      <c r="S81" s="4383" t="s">
        <v>596</v>
      </c>
      <c r="T81" s="4383" t="s">
        <v>597</v>
      </c>
      <c r="U81" s="4383" t="s">
        <v>598</v>
      </c>
      <c r="V81" s="4384" t="s">
        <v>135</v>
      </c>
      <c r="W81" s="4385" t="s">
        <v>602</v>
      </c>
    </row>
    <row r="82" spans="1:23" ht="37.5">
      <c r="A82" s="4397"/>
      <c r="B82" s="4389"/>
      <c r="C82" s="3784" t="s">
        <v>1554</v>
      </c>
      <c r="D82" s="3784" t="s">
        <v>1555</v>
      </c>
      <c r="E82" s="4383"/>
      <c r="F82" s="4383"/>
      <c r="G82" s="4383"/>
      <c r="H82" s="4384"/>
      <c r="I82" s="4383"/>
      <c r="J82" s="4383"/>
      <c r="K82" s="4383"/>
      <c r="L82" s="4384"/>
      <c r="M82" s="4384"/>
      <c r="N82" s="4383"/>
      <c r="O82" s="4383"/>
      <c r="P82" s="4383"/>
      <c r="Q82" s="4384"/>
      <c r="R82" s="4384"/>
      <c r="S82" s="4383"/>
      <c r="T82" s="4383"/>
      <c r="U82" s="4383"/>
      <c r="V82" s="4384"/>
      <c r="W82" s="4385"/>
    </row>
    <row r="83" spans="1:23" ht="18.75">
      <c r="A83" s="3822" t="s">
        <v>1753</v>
      </c>
      <c r="B83" s="3787">
        <f>SUM('Произв. прогр. Вода'!B175)</f>
        <v>133077.45961703913</v>
      </c>
      <c r="C83" s="3787">
        <f>SUM('Произв. прогр. Вода'!C175)</f>
        <v>132731.59256640362</v>
      </c>
      <c r="D83" s="3787">
        <f>SUM('Произв. прогр. Вода'!D175)</f>
        <v>345.87220272417039</v>
      </c>
      <c r="E83" s="3800">
        <f>SUM('Произв. прогр. Вода'!E175)</f>
        <v>10897.743272608079</v>
      </c>
      <c r="F83" s="3800">
        <f>SUM('Произв. прогр. Вода'!F175)</f>
        <v>10797.277123326519</v>
      </c>
      <c r="G83" s="3800">
        <f>SUM('Произв. прогр. Вода'!G175)</f>
        <v>11706.199350260786</v>
      </c>
      <c r="H83" s="3787">
        <f>SUM('Произв. прогр. Вода'!H175)</f>
        <v>33401.219746195384</v>
      </c>
      <c r="I83" s="3800">
        <f>SUM('Произв. прогр. Вода'!I175)</f>
        <v>10591.400217975639</v>
      </c>
      <c r="J83" s="3800">
        <f>SUM('Произв. прогр. Вода'!J175)</f>
        <v>10269.1717508167</v>
      </c>
      <c r="K83" s="3800">
        <f>SUM('Произв. прогр. Вода'!K175)</f>
        <v>11098.745541041575</v>
      </c>
      <c r="L83" s="3787">
        <f>SUM('Произв. прогр. Вода'!L175)</f>
        <v>31959.317509833916</v>
      </c>
      <c r="M83" s="3787">
        <f>SUM('Произв. прогр. Вода'!M175)</f>
        <v>65360.537256029304</v>
      </c>
      <c r="N83" s="3800">
        <f>SUM('Произв. прогр. Вода'!N175)</f>
        <v>10613.977646764375</v>
      </c>
      <c r="O83" s="3800">
        <f>SUM('Произв. прогр. Вода'!O175)</f>
        <v>10641.555367169816</v>
      </c>
      <c r="P83" s="3800">
        <f>SUM('Произв. прогр. Вода'!P175)</f>
        <v>11798.328587641039</v>
      </c>
      <c r="Q83" s="3787">
        <f>SUM('Произв. прогр. Вода'!Q175)</f>
        <v>33053.861601575227</v>
      </c>
      <c r="R83" s="3787">
        <f>SUM('Произв. прогр. Вода'!R175)</f>
        <v>98414.398857604538</v>
      </c>
      <c r="S83" s="3800">
        <f>SUM('Произв. прогр. Вода'!S175)</f>
        <v>11117.571975423773</v>
      </c>
      <c r="T83" s="3800">
        <f>SUM('Произв. прогр. Вода'!T175)</f>
        <v>11228.583525760467</v>
      </c>
      <c r="U83" s="3800">
        <f>SUM('Произв. прогр. Вода'!U175)</f>
        <v>12316.896725225704</v>
      </c>
      <c r="V83" s="3787">
        <f>SUM('Произв. прогр. Вода'!V175)</f>
        <v>34663.052226409942</v>
      </c>
      <c r="W83" s="3812">
        <f t="shared" ref="W83:W91" si="65">SUM(E83+F83+G83+I83+J83+K83+N83+O83+P83+S83+T83+U83)</f>
        <v>133077.45108401449</v>
      </c>
    </row>
    <row r="84" spans="1:23" ht="18.75">
      <c r="A84" s="3786" t="s">
        <v>391</v>
      </c>
      <c r="B84" s="3790">
        <f>SUM('Произв. прогр. Вода'!B176)</f>
        <v>63746.511492933671</v>
      </c>
      <c r="C84" s="3790">
        <f>SUM('Произв. прогр. Вода'!C176)</f>
        <v>63583.129613057143</v>
      </c>
      <c r="D84" s="3790">
        <f>SUM('Произв. прогр. Вода'!D176)</f>
        <v>163.38187987652836</v>
      </c>
      <c r="E84" s="3819">
        <f>SUM('Произв. прогр. Вода'!E176)</f>
        <v>5418.9723082513938</v>
      </c>
      <c r="F84" s="3819">
        <f>SUM('Произв. прогр. Вода'!F176)</f>
        <v>5426.9977579994838</v>
      </c>
      <c r="G84" s="3819">
        <f>SUM('Произв. прогр. Вода'!G176)</f>
        <v>5447.3697939365838</v>
      </c>
      <c r="H84" s="3790">
        <f>SUM('Произв. прогр. Вода'!H176)</f>
        <v>16293.339860187461</v>
      </c>
      <c r="I84" s="3819">
        <f>SUM('Произв. прогр. Вода'!I176)</f>
        <v>5372.1220626342838</v>
      </c>
      <c r="J84" s="3819">
        <f>SUM('Произв. прогр. Вода'!J176)</f>
        <v>5266.5176354811201</v>
      </c>
      <c r="K84" s="3819">
        <f>SUM('Произв. прогр. Вода'!K176)</f>
        <v>5079.1565871731736</v>
      </c>
      <c r="L84" s="3790">
        <f>SUM('Произв. прогр. Вода'!L176)</f>
        <v>15717.796285288576</v>
      </c>
      <c r="M84" s="3790">
        <f>SUM('Произв. прогр. Вода'!M176)</f>
        <v>32011.136145476037</v>
      </c>
      <c r="N84" s="3819">
        <f>SUM('Произв. прогр. Вода'!N176)</f>
        <v>4941.929258219192</v>
      </c>
      <c r="O84" s="3819">
        <f>SUM('Произв. прогр. Вода'!O176)</f>
        <v>5116.8675392561645</v>
      </c>
      <c r="P84" s="3819">
        <f>SUM('Произв. прогр. Вода'!P176)</f>
        <v>5334.4691681725189</v>
      </c>
      <c r="Q84" s="3790">
        <f>SUM('Произв. прогр. Вода'!Q176)</f>
        <v>15393.265965647875</v>
      </c>
      <c r="R84" s="3790">
        <f>SUM('Произв. прогр. Вода'!R176)</f>
        <v>47404.402111123913</v>
      </c>
      <c r="S84" s="3819">
        <f>SUM('Произв. прогр. Вода'!S176)</f>
        <v>5447.3697939365838</v>
      </c>
      <c r="T84" s="3819">
        <f>SUM('Произв. прогр. Вода'!T176)</f>
        <v>5447.3697939365838</v>
      </c>
      <c r="U84" s="3819">
        <f>SUM('Произв. прогр. Вода'!U176)</f>
        <v>5447.3697939365838</v>
      </c>
      <c r="V84" s="3790">
        <f>SUM('Произв. прогр. Вода'!V176)</f>
        <v>16342.109381809751</v>
      </c>
      <c r="W84" s="3814">
        <f t="shared" si="65"/>
        <v>63746.511492933656</v>
      </c>
    </row>
    <row r="85" spans="1:23" ht="18.75">
      <c r="A85" s="3786" t="s">
        <v>1754</v>
      </c>
      <c r="B85" s="3790">
        <f>SUM('Произв. прогр. Вода'!B177)</f>
        <v>69330.94812410546</v>
      </c>
      <c r="C85" s="3790">
        <f>SUM('Произв. прогр. Вода'!C177)</f>
        <v>69148.462953346476</v>
      </c>
      <c r="D85" s="3790">
        <f>SUM('Произв. прогр. Вода'!D177)</f>
        <v>182.49032284764203</v>
      </c>
      <c r="E85" s="3819">
        <f>SUM('Произв. прогр. Вода'!E177)</f>
        <v>5478.770964356685</v>
      </c>
      <c r="F85" s="3819">
        <f>SUM('Произв. прогр. Вода'!F177)</f>
        <v>5370.2793653270355</v>
      </c>
      <c r="G85" s="3819">
        <f>SUM('Произв. прогр. Вода'!G177)</f>
        <v>6258.8295563242018</v>
      </c>
      <c r="H85" s="3790">
        <f>SUM('Произв. прогр. Вода'!H177)</f>
        <v>17107.879886007922</v>
      </c>
      <c r="I85" s="3819">
        <f>SUM('Произв. прогр. Вода'!I177)</f>
        <v>5219.2781553413552</v>
      </c>
      <c r="J85" s="3819">
        <f>SUM('Произв. прогр. Вода'!J177)</f>
        <v>5002.6541153355802</v>
      </c>
      <c r="K85" s="3819">
        <f>SUM('Произв. прогр. Вода'!K177)</f>
        <v>6019.5889538684014</v>
      </c>
      <c r="L85" s="3790">
        <f>SUM('Произв. прогр. Вода'!L177)</f>
        <v>16241.521224545337</v>
      </c>
      <c r="M85" s="3790">
        <f>SUM('Произв. прогр. Вода'!M177)</f>
        <v>33349.401110553255</v>
      </c>
      <c r="N85" s="3819">
        <f>SUM('Произв. прогр. Вода'!N177)</f>
        <v>5672.0483885451831</v>
      </c>
      <c r="O85" s="3819">
        <f>SUM('Произв. прогр. Вода'!O177)</f>
        <v>5524.6878279136517</v>
      </c>
      <c r="P85" s="3819">
        <f>SUM('Произв. прогр. Вода'!P177)</f>
        <v>6463.8594194685202</v>
      </c>
      <c r="Q85" s="3790">
        <f>SUM('Произв. прогр. Вода'!Q177)</f>
        <v>17660.595635927355</v>
      </c>
      <c r="R85" s="3790">
        <f>SUM('Произв. прогр. Вода'!R177)</f>
        <v>51009.99674648061</v>
      </c>
      <c r="S85" s="3819">
        <f>SUM('Произв. прогр. Вода'!S177)</f>
        <v>5670.2021814871887</v>
      </c>
      <c r="T85" s="3819">
        <f>SUM('Произв. прогр. Вода'!T177)</f>
        <v>5781.2137318238829</v>
      </c>
      <c r="U85" s="3819">
        <f>SUM('Произв. прогр. Вода'!U177)</f>
        <v>6869.5269312891205</v>
      </c>
      <c r="V85" s="3790">
        <f>SUM('Произв. прогр. Вода'!V177)</f>
        <v>18320.942844600191</v>
      </c>
      <c r="W85" s="3814">
        <f t="shared" si="65"/>
        <v>69330.939591080809</v>
      </c>
    </row>
    <row r="86" spans="1:23" ht="18.75">
      <c r="A86" s="3822" t="s">
        <v>1755</v>
      </c>
      <c r="B86" s="3787">
        <f>SUM('Произв. прогр. Вода'!B178)</f>
        <v>3791.3490000000002</v>
      </c>
      <c r="C86" s="3787">
        <f>SUM('Произв. прогр. Вода'!C178)</f>
        <v>3771</v>
      </c>
      <c r="D86" s="3787">
        <f>SUM('Произв. прогр. Вода'!D178)</f>
        <v>20.349</v>
      </c>
      <c r="E86" s="3800">
        <f>SUM('Произв. прогр. Вода'!E178)</f>
        <v>322.29552269999999</v>
      </c>
      <c r="F86" s="3800">
        <f>SUM('Произв. прогр. Вода'!F178)</f>
        <v>322.77283950000003</v>
      </c>
      <c r="G86" s="3800">
        <f>SUM('Произв. прогр. Вода'!G178)</f>
        <v>323.98447440000001</v>
      </c>
      <c r="H86" s="3787">
        <f>SUM('Произв. прогр. Вода'!H178)</f>
        <v>969.05283660000009</v>
      </c>
      <c r="I86" s="3800">
        <f>SUM('Произв. прогр. Вода'!I178)</f>
        <v>319.50908579999998</v>
      </c>
      <c r="J86" s="3800">
        <f>SUM('Произв. прогр. Вода'!J178)</f>
        <v>313.22822069999995</v>
      </c>
      <c r="K86" s="3800">
        <f>SUM('Произв. прогр. Вода'!K178)</f>
        <v>302.08484820000001</v>
      </c>
      <c r="L86" s="3787">
        <f>SUM('Произв. прогр. Вода'!L178)</f>
        <v>934.82215469999994</v>
      </c>
      <c r="M86" s="3787">
        <f>SUM('Произв. прогр. Вода'!M178)</f>
        <v>1903.8749913000001</v>
      </c>
      <c r="N86" s="3800">
        <f>SUM('Произв. прогр. Вода'!N178)</f>
        <v>293.92319850000001</v>
      </c>
      <c r="O86" s="3800">
        <f>SUM('Произв. прогр. Вода'!O178)</f>
        <v>304.32772199999994</v>
      </c>
      <c r="P86" s="3800">
        <f>SUM('Произв. прогр. Вода'!P178)</f>
        <v>317.26966499999997</v>
      </c>
      <c r="Q86" s="3787">
        <f>SUM('Произв. прогр. Вода'!Q178)</f>
        <v>915.52058549999992</v>
      </c>
      <c r="R86" s="3787">
        <f>SUM('Произв. прогр. Вода'!R178)</f>
        <v>2819.3955768000001</v>
      </c>
      <c r="S86" s="3800">
        <f>SUM('Произв. прогр. Вода'!S178)</f>
        <v>323.98447440000001</v>
      </c>
      <c r="T86" s="3800">
        <f>SUM('Произв. прогр. Вода'!T178)</f>
        <v>323.98447440000001</v>
      </c>
      <c r="U86" s="3800">
        <f>SUM('Произв. прогр. Вода'!U178)</f>
        <v>323.98447440000001</v>
      </c>
      <c r="V86" s="3787">
        <f>SUM('Произв. прогр. Вода'!V178)</f>
        <v>971.95342320000009</v>
      </c>
      <c r="W86" s="3812">
        <f t="shared" si="65"/>
        <v>3791.3490000000006</v>
      </c>
    </row>
    <row r="87" spans="1:23" ht="18.75">
      <c r="A87" s="3786" t="s">
        <v>391</v>
      </c>
      <c r="B87" s="3790">
        <f>SUM('Произв. прогр. Вода'!B179)</f>
        <v>1895.6745000000001</v>
      </c>
      <c r="C87" s="3790">
        <f>SUM('Произв. прогр. Вода'!C179)</f>
        <v>1885.5</v>
      </c>
      <c r="D87" s="3790">
        <f>SUM('Произв. прогр. Вода'!D179)</f>
        <v>10.1745</v>
      </c>
      <c r="E87" s="3819">
        <f>SUM('Произв. прогр. Вода'!E179)</f>
        <v>161.14776135</v>
      </c>
      <c r="F87" s="3819">
        <f>SUM('Произв. прогр. Вода'!F179)</f>
        <v>161.38641975000002</v>
      </c>
      <c r="G87" s="3819">
        <f>SUM('Произв. прогр. Вода'!G179)</f>
        <v>161.99223720000001</v>
      </c>
      <c r="H87" s="3790">
        <f>SUM('Произв. прогр. Вода'!H179)</f>
        <v>484.52641830000005</v>
      </c>
      <c r="I87" s="3819">
        <f>SUM('Произв. прогр. Вода'!I179)</f>
        <v>159.75454289999999</v>
      </c>
      <c r="J87" s="3819">
        <f>SUM('Произв. прогр. Вода'!J179)</f>
        <v>156.61411034999998</v>
      </c>
      <c r="K87" s="3819">
        <f>SUM('Произв. прогр. Вода'!K179)</f>
        <v>151.04242410000001</v>
      </c>
      <c r="L87" s="3790">
        <f>SUM('Произв. прогр. Вода'!L179)</f>
        <v>467.41107734999997</v>
      </c>
      <c r="M87" s="3790">
        <f>SUM('Произв. прогр. Вода'!M179)</f>
        <v>951.93749565000007</v>
      </c>
      <c r="N87" s="3819">
        <f>SUM('Произв. прогр. Вода'!N179)</f>
        <v>146.96159925000001</v>
      </c>
      <c r="O87" s="3819">
        <f>SUM('Произв. прогр. Вода'!O179)</f>
        <v>152.16386099999997</v>
      </c>
      <c r="P87" s="3819">
        <f>SUM('Произв. прогр. Вода'!P179)</f>
        <v>158.63483249999999</v>
      </c>
      <c r="Q87" s="3790">
        <f>SUM('Произв. прогр. Вода'!Q179)</f>
        <v>457.76029274999996</v>
      </c>
      <c r="R87" s="3790">
        <f>SUM('Произв. прогр. Вода'!R179)</f>
        <v>1409.6977884</v>
      </c>
      <c r="S87" s="3819">
        <f>SUM('Произв. прогр. Вода'!S179)</f>
        <v>161.99223720000001</v>
      </c>
      <c r="T87" s="3819">
        <f>SUM('Произв. прогр. Вода'!T179)</f>
        <v>161.99223720000001</v>
      </c>
      <c r="U87" s="3819">
        <f>SUM('Произв. прогр. Вода'!U179)</f>
        <v>161.99223720000001</v>
      </c>
      <c r="V87" s="3790">
        <f>SUM('Произв. прогр. Вода'!V179)</f>
        <v>485.97671160000004</v>
      </c>
      <c r="W87" s="3814">
        <f t="shared" si="65"/>
        <v>1895.6745000000003</v>
      </c>
    </row>
    <row r="88" spans="1:23" ht="18.75">
      <c r="A88" s="3786" t="s">
        <v>1754</v>
      </c>
      <c r="B88" s="3790">
        <f>SUM('Произв. прогр. Вода'!B180)</f>
        <v>1895.6745000000001</v>
      </c>
      <c r="C88" s="3790">
        <f>SUM('Произв. прогр. Вода'!C180)</f>
        <v>1885.5</v>
      </c>
      <c r="D88" s="3790">
        <f>SUM('Произв. прогр. Вода'!D180)</f>
        <v>10.1745</v>
      </c>
      <c r="E88" s="3819">
        <f>SUM('Произв. прогр. Вода'!E180)</f>
        <v>161.14776135</v>
      </c>
      <c r="F88" s="3819">
        <f>SUM('Произв. прогр. Вода'!F180)</f>
        <v>161.38641975000002</v>
      </c>
      <c r="G88" s="3819">
        <f>SUM('Произв. прогр. Вода'!G180)</f>
        <v>161.99223720000001</v>
      </c>
      <c r="H88" s="3790">
        <f>SUM('Произв. прогр. Вода'!H180)</f>
        <v>484.52641830000005</v>
      </c>
      <c r="I88" s="3819">
        <f>SUM('Произв. прогр. Вода'!I180)</f>
        <v>159.75454289999999</v>
      </c>
      <c r="J88" s="3819">
        <f>SUM('Произв. прогр. Вода'!J180)</f>
        <v>156.61411034999998</v>
      </c>
      <c r="K88" s="3819">
        <f>SUM('Произв. прогр. Вода'!K180)</f>
        <v>151.04242410000001</v>
      </c>
      <c r="L88" s="3790">
        <f>SUM('Произв. прогр. Вода'!L180)</f>
        <v>467.41107734999997</v>
      </c>
      <c r="M88" s="3790">
        <f>SUM('Произв. прогр. Вода'!M180)</f>
        <v>951.93749565000007</v>
      </c>
      <c r="N88" s="3819">
        <f>SUM('Произв. прогр. Вода'!N180)</f>
        <v>146.96159925000001</v>
      </c>
      <c r="O88" s="3819">
        <f>SUM('Произв. прогр. Вода'!O180)</f>
        <v>152.16386099999997</v>
      </c>
      <c r="P88" s="3819">
        <f>SUM('Произв. прогр. Вода'!P180)</f>
        <v>158.63483249999999</v>
      </c>
      <c r="Q88" s="3790">
        <f>SUM('Произв. прогр. Вода'!Q180)</f>
        <v>457.76029274999996</v>
      </c>
      <c r="R88" s="3790">
        <f>SUM('Произв. прогр. Вода'!R180)</f>
        <v>1409.6977884</v>
      </c>
      <c r="S88" s="3819">
        <f>SUM('Произв. прогр. Вода'!S180)</f>
        <v>161.99223720000001</v>
      </c>
      <c r="T88" s="3819">
        <f>SUM('Произв. прогр. Вода'!T180)</f>
        <v>161.99223720000001</v>
      </c>
      <c r="U88" s="3819">
        <f>SUM('Произв. прогр. Вода'!U180)</f>
        <v>161.99223720000001</v>
      </c>
      <c r="V88" s="3790">
        <f>SUM('Произв. прогр. Вода'!V180)</f>
        <v>485.97671160000004</v>
      </c>
      <c r="W88" s="3814">
        <f t="shared" si="65"/>
        <v>1895.6745000000003</v>
      </c>
    </row>
    <row r="89" spans="1:23" ht="18.75">
      <c r="A89" s="3822" t="s">
        <v>1756</v>
      </c>
      <c r="B89" s="3787">
        <f>SUM('Произв. прогр. Вода'!B181)</f>
        <v>2380</v>
      </c>
      <c r="C89" s="3787">
        <f>SUM('Произв. прогр. Вода'!C181)</f>
        <v>2380</v>
      </c>
      <c r="D89" s="3787">
        <f>SUM('Произв. прогр. Вода'!D181)</f>
        <v>0</v>
      </c>
      <c r="E89" s="3800">
        <f>SUM('Произв. прогр. Вода'!E181)</f>
        <v>204.67999999999998</v>
      </c>
      <c r="F89" s="3800">
        <f>SUM('Произв. прогр. Вода'!F181)</f>
        <v>202.3</v>
      </c>
      <c r="G89" s="3800">
        <f>SUM('Произв. прогр. Вода'!G181)</f>
        <v>203.25199999999998</v>
      </c>
      <c r="H89" s="3787">
        <f>SUM('Произв. прогр. Вода'!H181)</f>
        <v>610.23199999999997</v>
      </c>
      <c r="I89" s="3800">
        <f>SUM('Произв. прогр. Вода'!I181)</f>
        <v>200.63399999999999</v>
      </c>
      <c r="J89" s="3800">
        <f>SUM('Произв. прогр. Вода'!J181)</f>
        <v>195.15999999999997</v>
      </c>
      <c r="K89" s="3800">
        <f>SUM('Произв. прогр. Вода'!K181)</f>
        <v>187.78199999999998</v>
      </c>
      <c r="L89" s="3787">
        <f>SUM('Произв. прогр. Вода'!L181)</f>
        <v>583.57600000000002</v>
      </c>
      <c r="M89" s="3787">
        <f>SUM('Произв. прогр. Вода'!M181)</f>
        <v>1193.808</v>
      </c>
      <c r="N89" s="3800">
        <f>SUM('Произв. прогр. Вода'!N181)</f>
        <v>185.40199999999999</v>
      </c>
      <c r="O89" s="3800">
        <f>SUM('Произв. прогр. Вода'!O181)</f>
        <v>193.01799999999997</v>
      </c>
      <c r="P89" s="3800">
        <f>SUM('Произв. прогр. Вода'!P181)</f>
        <v>198.01599999999999</v>
      </c>
      <c r="Q89" s="3787">
        <f>SUM('Произв. прогр. Вода'!Q181)</f>
        <v>576.43599999999992</v>
      </c>
      <c r="R89" s="3787">
        <f>SUM('Произв. прогр. Вода'!R181)</f>
        <v>1770.2439999999999</v>
      </c>
      <c r="S89" s="3800">
        <f>SUM('Произв. прогр. Вода'!S181)</f>
        <v>203.25199999999998</v>
      </c>
      <c r="T89" s="3800">
        <f>SUM('Произв. прогр. Вода'!T181)</f>
        <v>203.25199999999998</v>
      </c>
      <c r="U89" s="3800">
        <f>SUM('Произв. прогр. Вода'!U181)</f>
        <v>203.25199999999998</v>
      </c>
      <c r="V89" s="3787">
        <f>SUM('Произв. прогр. Вода'!V181)</f>
        <v>609.75599999999997</v>
      </c>
      <c r="W89" s="3812">
        <f t="shared" si="65"/>
        <v>2380</v>
      </c>
    </row>
    <row r="90" spans="1:23" ht="18.75">
      <c r="A90" s="3786" t="s">
        <v>391</v>
      </c>
      <c r="B90" s="3790">
        <f>SUM('Произв. прогр. Вода'!B182)</f>
        <v>1190</v>
      </c>
      <c r="C90" s="3790">
        <f>SUM('Произв. прогр. Вода'!C182)</f>
        <v>1190</v>
      </c>
      <c r="D90" s="3790">
        <f>SUM('Произв. прогр. Вода'!D182)</f>
        <v>0</v>
      </c>
      <c r="E90" s="3819">
        <f>SUM('Произв. прогр. Вода'!E182)</f>
        <v>102.33999999999999</v>
      </c>
      <c r="F90" s="3819">
        <f>SUM('Произв. прогр. Вода'!F182)</f>
        <v>101.15</v>
      </c>
      <c r="G90" s="3819">
        <f>SUM('Произв. прогр. Вода'!G182)</f>
        <v>101.62599999999999</v>
      </c>
      <c r="H90" s="3790">
        <f>SUM('Произв. прогр. Вода'!H182)</f>
        <v>305.11599999999999</v>
      </c>
      <c r="I90" s="3819">
        <f>SUM('Произв. прогр. Вода'!I182)</f>
        <v>100.31699999999999</v>
      </c>
      <c r="J90" s="3819">
        <f>SUM('Произв. прогр. Вода'!J182)</f>
        <v>97.579999999999984</v>
      </c>
      <c r="K90" s="3819">
        <f>SUM('Произв. прогр. Вода'!K182)</f>
        <v>93.890999999999991</v>
      </c>
      <c r="L90" s="3790">
        <f>SUM('Произв. прогр. Вода'!L182)</f>
        <v>291.78800000000001</v>
      </c>
      <c r="M90" s="3790">
        <f>SUM('Произв. прогр. Вода'!M182)</f>
        <v>596.904</v>
      </c>
      <c r="N90" s="3819">
        <f>SUM('Произв. прогр. Вода'!N182)</f>
        <v>92.700999999999993</v>
      </c>
      <c r="O90" s="3819">
        <f>SUM('Произв. прогр. Вода'!O182)</f>
        <v>96.508999999999986</v>
      </c>
      <c r="P90" s="3819">
        <f>SUM('Произв. прогр. Вода'!P182)</f>
        <v>99.007999999999996</v>
      </c>
      <c r="Q90" s="3790">
        <f>SUM('Произв. прогр. Вода'!Q182)</f>
        <v>288.21799999999996</v>
      </c>
      <c r="R90" s="3790">
        <f>SUM('Произв. прогр. Вода'!R182)</f>
        <v>885.12199999999996</v>
      </c>
      <c r="S90" s="3819">
        <f>SUM('Произв. прогр. Вода'!S182)</f>
        <v>101.62599999999999</v>
      </c>
      <c r="T90" s="3819">
        <f>SUM('Произв. прогр. Вода'!T182)</f>
        <v>101.62599999999999</v>
      </c>
      <c r="U90" s="3819">
        <f>SUM('Произв. прогр. Вода'!U182)</f>
        <v>101.62599999999999</v>
      </c>
      <c r="V90" s="3790">
        <f>SUM('Произв. прогр. Вода'!V182)</f>
        <v>304.87799999999999</v>
      </c>
      <c r="W90" s="3814">
        <f t="shared" si="65"/>
        <v>1190</v>
      </c>
    </row>
    <row r="91" spans="1:23" ht="18.75">
      <c r="A91" s="3786" t="s">
        <v>1754</v>
      </c>
      <c r="B91" s="3790">
        <f>SUM('Произв. прогр. Вода'!B183)</f>
        <v>1190</v>
      </c>
      <c r="C91" s="3790">
        <f>SUM('Произв. прогр. Вода'!C183)</f>
        <v>1190</v>
      </c>
      <c r="D91" s="3790">
        <f>SUM('Произв. прогр. Вода'!D183)</f>
        <v>0</v>
      </c>
      <c r="E91" s="3819">
        <f>SUM('Произв. прогр. Вода'!E183)</f>
        <v>102.33999999999999</v>
      </c>
      <c r="F91" s="3819">
        <f>SUM('Произв. прогр. Вода'!F183)</f>
        <v>101.15</v>
      </c>
      <c r="G91" s="3819">
        <f>SUM('Произв. прогр. Вода'!G183)</f>
        <v>101.62599999999999</v>
      </c>
      <c r="H91" s="3790">
        <f>SUM('Произв. прогр. Вода'!H183)</f>
        <v>305.11599999999999</v>
      </c>
      <c r="I91" s="3819">
        <f>SUM('Произв. прогр. Вода'!I183)</f>
        <v>100.31699999999999</v>
      </c>
      <c r="J91" s="3819">
        <f>SUM('Произв. прогр. Вода'!J183)</f>
        <v>97.579999999999984</v>
      </c>
      <c r="K91" s="3819">
        <f>SUM('Произв. прогр. Вода'!K183)</f>
        <v>93.890999999999991</v>
      </c>
      <c r="L91" s="3790">
        <f>SUM('Произв. прогр. Вода'!L183)</f>
        <v>291.78800000000001</v>
      </c>
      <c r="M91" s="3790">
        <f>SUM('Произв. прогр. Вода'!M183)</f>
        <v>596.904</v>
      </c>
      <c r="N91" s="3819">
        <f>SUM('Произв. прогр. Вода'!N183)</f>
        <v>92.700999999999993</v>
      </c>
      <c r="O91" s="3819">
        <f>SUM('Произв. прогр. Вода'!O183)</f>
        <v>96.508999999999986</v>
      </c>
      <c r="P91" s="3819">
        <f>SUM('Произв. прогр. Вода'!P183)</f>
        <v>99.007999999999996</v>
      </c>
      <c r="Q91" s="3790">
        <f>SUM('Произв. прогр. Вода'!Q183)</f>
        <v>288.21799999999996</v>
      </c>
      <c r="R91" s="3790">
        <f>SUM('Произв. прогр. Вода'!R183)</f>
        <v>885.12199999999996</v>
      </c>
      <c r="S91" s="3819">
        <f>SUM('Произв. прогр. Вода'!S183)</f>
        <v>101.62599999999999</v>
      </c>
      <c r="T91" s="3819">
        <f>SUM('Произв. прогр. Вода'!T183)</f>
        <v>101.62599999999999</v>
      </c>
      <c r="U91" s="3819">
        <f>SUM('Произв. прогр. Вода'!U183)</f>
        <v>101.62599999999999</v>
      </c>
      <c r="V91" s="3790">
        <f>SUM('Произв. прогр. Вода'!V183)</f>
        <v>304.87799999999999</v>
      </c>
      <c r="W91" s="3814">
        <f t="shared" si="65"/>
        <v>1190</v>
      </c>
    </row>
    <row r="92" spans="1:23" ht="18.75">
      <c r="A92" s="3822" t="s">
        <v>1757</v>
      </c>
      <c r="B92" s="3787">
        <f>SUM('Произв. прогр. Вода'!B184)</f>
        <v>35.100292697147935</v>
      </c>
      <c r="C92" s="3787">
        <f>SUM('Произв. прогр. Вода'!C184)</f>
        <v>35.197982648210981</v>
      </c>
      <c r="D92" s="3787">
        <f>SUM('Произв. прогр. Вода'!D184)</f>
        <v>16.997012272061053</v>
      </c>
      <c r="E92" s="3800">
        <f>SUM('Произв. прогр. Вода'!E184)</f>
        <v>33.812890670380014</v>
      </c>
      <c r="F92" s="3800">
        <f>SUM('Произв. прогр. Вода'!F184)</f>
        <v>33.451628520083453</v>
      </c>
      <c r="G92" s="3800">
        <f>SUM('Произв. прогр. Вода'!G184)</f>
        <v>36.131976298987695</v>
      </c>
      <c r="H92" s="3787">
        <f>SUM('Произв. прогр. Вода'!H184)</f>
        <v>34.467903590671334</v>
      </c>
      <c r="I92" s="3800">
        <f>SUM('Произв. прогр. Вода'!I184)</f>
        <v>33.148979758921271</v>
      </c>
      <c r="J92" s="3800">
        <f>SUM('Произв. прогр. Вода'!J184)</f>
        <v>32.784950627587889</v>
      </c>
      <c r="K92" s="3800">
        <f>SUM('Произв. прогр. Вода'!K184)</f>
        <v>36.740490650803764</v>
      </c>
      <c r="L92" s="3787">
        <f>SUM('Произв. прогр. Вода'!L184)</f>
        <v>34.187591029108845</v>
      </c>
      <c r="M92" s="3787">
        <f>SUM('Произв. прогр. Вода'!M184)</f>
        <v>34.33026724690572</v>
      </c>
      <c r="N92" s="3800">
        <f>SUM('Произв. прогр. Вода'!N184)</f>
        <v>36.111398150712404</v>
      </c>
      <c r="O92" s="3800">
        <f>SUM('Произв. прогр. Вода'!O184)</f>
        <v>34.967420310036097</v>
      </c>
      <c r="P92" s="3800">
        <f>SUM('Произв. прогр. Вода'!P184)</f>
        <v>37.187067939952719</v>
      </c>
      <c r="Q92" s="3787">
        <f>SUM('Произв. прогр. Вода'!Q184)</f>
        <v>36.103897744170638</v>
      </c>
      <c r="R92" s="3787">
        <f>SUM('Произв. прогр. Вода'!R184)</f>
        <v>34.906204601946776</v>
      </c>
      <c r="S92" s="3800">
        <f>SUM('Произв. прогр. Вода'!S184)</f>
        <v>34.315138081887582</v>
      </c>
      <c r="T92" s="3800">
        <f>SUM('Произв. прогр. Вода'!T184)</f>
        <v>34.657782742692028</v>
      </c>
      <c r="U92" s="3800">
        <f>SUM('Произв. прогр. Вода'!U184)</f>
        <v>38.016935064668964</v>
      </c>
      <c r="V92" s="3787">
        <f>SUM('Произв. прогр. Вода'!V184)</f>
        <v>35.663285296416184</v>
      </c>
      <c r="W92" s="3833">
        <f t="shared" ref="W92" si="66">SUM(W76)</f>
        <v>35.100290446491336</v>
      </c>
    </row>
    <row r="93" spans="1:23" ht="18.75">
      <c r="A93" s="3786" t="s">
        <v>391</v>
      </c>
      <c r="B93" s="3790">
        <f>SUM('Произв. прогр. Вода'!B185)</f>
        <v>33.627350841578377</v>
      </c>
      <c r="C93" s="3790">
        <f>SUM('Произв. прогр. Вода'!C185)</f>
        <v>33.722158373406067</v>
      </c>
      <c r="D93" s="3790">
        <f>SUM('Произв. прогр. Вода'!D185)</f>
        <v>16.057976301196948</v>
      </c>
      <c r="E93" s="3819">
        <f>SUM('Произв. прогр. Вода'!E185)</f>
        <v>33.627350841578377</v>
      </c>
      <c r="F93" s="3819">
        <f>SUM('Произв. прогр. Вода'!F185)</f>
        <v>33.627350841578377</v>
      </c>
      <c r="G93" s="3819">
        <f>SUM('Произв. прогр. Вода'!G185)</f>
        <v>33.627350841578377</v>
      </c>
      <c r="H93" s="3790">
        <f>SUM('Произв. прогр. Вода'!H185)</f>
        <v>33.627350841578377</v>
      </c>
      <c r="I93" s="3819">
        <f>SUM('Произв. прогр. Вода'!I185)</f>
        <v>33.627350841578377</v>
      </c>
      <c r="J93" s="3819">
        <f>SUM('Произв. прогр. Вода'!J185)</f>
        <v>33.627350841578377</v>
      </c>
      <c r="K93" s="3819">
        <f>SUM('Произв. прогр. Вода'!K185)</f>
        <v>33.627350841578377</v>
      </c>
      <c r="L93" s="3790">
        <f>SUM('Произв. прогр. Вода'!L185)</f>
        <v>33.627350841578377</v>
      </c>
      <c r="M93" s="3790">
        <f>SUM('Произв. прогр. Вода'!M185)</f>
        <v>33.627350841578377</v>
      </c>
      <c r="N93" s="3819">
        <f>SUM('Произв. прогр. Вода'!N185)</f>
        <v>33.627350841578377</v>
      </c>
      <c r="O93" s="3819">
        <f>SUM('Произв. прогр. Вода'!O185)</f>
        <v>33.627350841578377</v>
      </c>
      <c r="P93" s="3819">
        <f>SUM('Произв. прогр. Вода'!P185)</f>
        <v>33.627350841578377</v>
      </c>
      <c r="Q93" s="3790">
        <f>SUM('Произв. прогр. Вода'!Q185)</f>
        <v>33.627350841578377</v>
      </c>
      <c r="R93" s="3790">
        <f>SUM('Произв. прогр. Вода'!R185)</f>
        <v>33.627350841578377</v>
      </c>
      <c r="S93" s="3819">
        <f>SUM('Произв. прогр. Вода'!S185)</f>
        <v>33.627350841578377</v>
      </c>
      <c r="T93" s="3819">
        <f>SUM('Произв. прогр. Вода'!T185)</f>
        <v>33.627350841578377</v>
      </c>
      <c r="U93" s="3819">
        <f>SUM('Произв. прогр. Вода'!U185)</f>
        <v>33.627350841578377</v>
      </c>
      <c r="V93" s="3790">
        <f>SUM('Произв. прогр. Вода'!V185)</f>
        <v>33.627350841578377</v>
      </c>
      <c r="W93" s="3836">
        <f>SUM(E93)</f>
        <v>33.627350841578377</v>
      </c>
    </row>
    <row r="94" spans="1:23" ht="18.75">
      <c r="A94" s="3786" t="s">
        <v>1754</v>
      </c>
      <c r="B94" s="3790">
        <f>SUM('Произв. прогр. Вода'!B186)</f>
        <v>36.573234552717494</v>
      </c>
      <c r="C94" s="3790">
        <f>SUM('Произв. прогр. Вода'!C186)</f>
        <v>36.673806923015896</v>
      </c>
      <c r="D94" s="3790">
        <f>SUM('Произв. прогр. Вода'!D186)</f>
        <v>17.93604824292516</v>
      </c>
      <c r="E94" s="3819">
        <f>SUM('Произв. прогр. Вода'!E186)</f>
        <v>33.998430499181644</v>
      </c>
      <c r="F94" s="3819">
        <f>SUM('Произв. прогр. Вода'!F186)</f>
        <v>33.27590619858853</v>
      </c>
      <c r="G94" s="3819">
        <f>SUM('Произв. прогр. Вода'!G186)</f>
        <v>38.636601756397013</v>
      </c>
      <c r="H94" s="3790">
        <f>SUM('Произв. прогр. Вода'!H186)</f>
        <v>35.308456339764291</v>
      </c>
      <c r="I94" s="3819">
        <f>SUM('Произв. прогр. Вода'!I186)</f>
        <v>32.670608676264166</v>
      </c>
      <c r="J94" s="3819">
        <f>SUM('Произв. прогр. Вода'!J186)</f>
        <v>31.942550413597399</v>
      </c>
      <c r="K94" s="3819">
        <f>SUM('Произв. прогр. Вода'!K186)</f>
        <v>39.853630460029152</v>
      </c>
      <c r="L94" s="3790">
        <f>SUM('Произв. прогр. Вода'!L186)</f>
        <v>34.747831216639305</v>
      </c>
      <c r="M94" s="3790">
        <f>SUM('Произв. прогр. Вода'!M186)</f>
        <v>35.033183652233056</v>
      </c>
      <c r="N94" s="3819">
        <f>SUM('Произв. прогр. Вода'!N186)</f>
        <v>38.595445459846431</v>
      </c>
      <c r="O94" s="3819">
        <f>SUM('Произв. прогр. Вода'!O186)</f>
        <v>36.30748977849381</v>
      </c>
      <c r="P94" s="3819">
        <f>SUM('Произв. прогр. Вода'!P186)</f>
        <v>40.746785038327069</v>
      </c>
      <c r="Q94" s="3790">
        <f>SUM('Произв. прогр. Вода'!Q186)</f>
        <v>38.580444646762899</v>
      </c>
      <c r="R94" s="3790">
        <f>SUM('Произв. прогр. Вода'!R186)</f>
        <v>36.185058362315161</v>
      </c>
      <c r="S94" s="3819">
        <f>SUM('Произв. прогр. Вода'!S186)</f>
        <v>35.002925322196788</v>
      </c>
      <c r="T94" s="3819">
        <f>SUM('Произв. прогр. Вода'!T186)</f>
        <v>35.688214643805679</v>
      </c>
      <c r="U94" s="3819">
        <f>SUM('Произв. прогр. Вода'!U186)</f>
        <v>42.406519287759551</v>
      </c>
      <c r="V94" s="3790">
        <f>SUM('Произв. прогр. Вода'!V186)</f>
        <v>37.699219751253999</v>
      </c>
      <c r="W94" s="669">
        <f t="shared" ref="W94" si="67">SUM(W85/W88)</f>
        <v>36.573230051404288</v>
      </c>
    </row>
    <row r="95" spans="1:23" ht="18.75">
      <c r="A95" s="3826" t="s">
        <v>1758</v>
      </c>
      <c r="B95" s="3795">
        <f>SUM('Произв. прогр. Вода'!B187)</f>
        <v>1.0876037998062189</v>
      </c>
      <c r="C95" s="3795">
        <f>SUM('Произв. прогр. Вода'!C187)</f>
        <v>1.0875284587933598</v>
      </c>
      <c r="D95" s="3795">
        <f>SUM('Произв. прогр. Вода'!D187)</f>
        <v>1.1169557051587018</v>
      </c>
      <c r="E95" s="3824">
        <f>SUM('Произв. прогр. Вода'!E187)</f>
        <v>1.0110350547490778</v>
      </c>
      <c r="F95" s="3824">
        <f>SUM('Произв. прогр. Вода'!F187)</f>
        <v>0.98954884538346377</v>
      </c>
      <c r="G95" s="3824">
        <f>SUM('Произв. прогр. Вода'!G187)</f>
        <v>1.1489635903350726</v>
      </c>
      <c r="H95" s="3795">
        <f>SUM('Произв. прогр. Вода'!H187)</f>
        <v>1.0499922074178771</v>
      </c>
      <c r="I95" s="3824">
        <f>SUM('Произв. прогр. Вода'!I187)</f>
        <v>0.97154869053403836</v>
      </c>
      <c r="J95" s="3824">
        <f>SUM('Произв. прогр. Вода'!J187)</f>
        <v>0.94989791387617084</v>
      </c>
      <c r="K95" s="3824">
        <f>SUM('Произв. прогр. Вода'!K187)</f>
        <v>1.1851552222410671</v>
      </c>
      <c r="L95" s="3795">
        <f>SUM('Произв. прогр. Вода'!L187)</f>
        <v>1.0333205068796414</v>
      </c>
      <c r="M95" s="3795">
        <f>SUM('Произв. прогр. Вода'!M187)</f>
        <v>1.0418062314000793</v>
      </c>
      <c r="N95" s="3824">
        <f>SUM('Произв. прогр. Вода'!N187)</f>
        <v>1.1477396968221856</v>
      </c>
      <c r="O95" s="3824">
        <f>SUM('Произв. прогр. Вода'!O187)</f>
        <v>1.0797011619958354</v>
      </c>
      <c r="P95" s="3824">
        <f>SUM('Произв. прогр. Вода'!P187)</f>
        <v>1.2117155832551014</v>
      </c>
      <c r="Q95" s="3795">
        <f>SUM('Произв. прогр. Вода'!Q187)</f>
        <v>1.147293607174678</v>
      </c>
      <c r="R95" s="3795">
        <f>SUM('Произв. прогр. Вода'!R187)</f>
        <v>1.0760603335298813</v>
      </c>
      <c r="S95" s="3824">
        <f>SUM('Произв. прогр. Вода'!S187)</f>
        <v>1.0409064183229559</v>
      </c>
      <c r="T95" s="3824">
        <f>SUM('Произв. прогр. Вода'!T187)</f>
        <v>1.0612853451327828</v>
      </c>
      <c r="U95" s="3824">
        <f>SUM('Произв. прогр. Вода'!U187)</f>
        <v>1.2610722589341237</v>
      </c>
      <c r="V95" s="3795">
        <f>SUM('Произв. прогр. Вода'!V187)</f>
        <v>1.1210880074632872</v>
      </c>
      <c r="W95" s="3816">
        <f t="shared" ref="W95" si="68">SUM(W94/W93)</f>
        <v>1.0876036659475266</v>
      </c>
    </row>
    <row r="96" spans="1:23" ht="18.75">
      <c r="A96" s="3822" t="s">
        <v>1759</v>
      </c>
      <c r="B96" s="3787">
        <f>SUM('Произв. прогр. Вода'!B188)</f>
        <v>28.380355084745766</v>
      </c>
      <c r="C96" s="3787">
        <f>SUM('Произв. прогр. Вода'!C188)</f>
        <v>28.380355084745766</v>
      </c>
      <c r="D96" s="3787">
        <f>SUM('Произв. прогр. Вода'!D188)</f>
        <v>0</v>
      </c>
      <c r="E96" s="3800">
        <f>SUM('Произв. прогр. Вода'!E188)</f>
        <v>28.380355084745766</v>
      </c>
      <c r="F96" s="3800">
        <f>SUM('Произв. прогр. Вода'!F188)</f>
        <v>28.380355084745762</v>
      </c>
      <c r="G96" s="3800">
        <f>SUM('Произв. прогр. Вода'!G188)</f>
        <v>28.380355084745766</v>
      </c>
      <c r="H96" s="3787">
        <f>SUM('Произв. прогр. Вода'!H188)</f>
        <v>28.380355084745762</v>
      </c>
      <c r="I96" s="3800">
        <f>SUM('Произв. прогр. Вода'!I188)</f>
        <v>28.380355084745762</v>
      </c>
      <c r="J96" s="3800">
        <f>SUM('Произв. прогр. Вода'!J188)</f>
        <v>28.380355084745762</v>
      </c>
      <c r="K96" s="3800">
        <f>SUM('Произв. прогр. Вода'!K188)</f>
        <v>28.380355084745762</v>
      </c>
      <c r="L96" s="3787">
        <f>SUM('Произв. прогр. Вода'!L188)</f>
        <v>28.380355084745766</v>
      </c>
      <c r="M96" s="3787">
        <f>SUM('Произв. прогр. Вода'!M188)</f>
        <v>28.380355084745762</v>
      </c>
      <c r="N96" s="3800">
        <f>SUM('Произв. прогр. Вода'!N188)</f>
        <v>28.380355084745759</v>
      </c>
      <c r="O96" s="3800">
        <f>SUM('Произв. прогр. Вода'!O188)</f>
        <v>28.380355084745762</v>
      </c>
      <c r="P96" s="3800">
        <f>SUM('Произв. прогр. Вода'!P188)</f>
        <v>28.380355084745762</v>
      </c>
      <c r="Q96" s="3787">
        <f>SUM('Произв. прогр. Вода'!Q188)</f>
        <v>28.380355084745762</v>
      </c>
      <c r="R96" s="3787">
        <f>SUM('Произв. прогр. Вода'!R188)</f>
        <v>28.380355084745759</v>
      </c>
      <c r="S96" s="3800">
        <f>SUM('Произв. прогр. Вода'!S188)</f>
        <v>28.380355084745766</v>
      </c>
      <c r="T96" s="3800">
        <f>SUM('Произв. прогр. Вода'!T188)</f>
        <v>28.380355084745766</v>
      </c>
      <c r="U96" s="3800">
        <f>SUM('Произв. прогр. Вода'!U188)</f>
        <v>28.380355084745766</v>
      </c>
      <c r="V96" s="3787">
        <f>SUM('Произв. прогр. Вода'!V188)</f>
        <v>28.380355084745762</v>
      </c>
      <c r="W96" s="3833">
        <f t="shared" ref="W96" si="69">SUM((W97*W90)+(W98*W91))/W89</f>
        <v>28.380355084745766</v>
      </c>
    </row>
    <row r="97" spans="1:23" ht="18.75">
      <c r="A97" s="3786" t="s">
        <v>391</v>
      </c>
      <c r="B97" s="3790">
        <f>SUM('Произв. прогр. Вода'!B189)</f>
        <v>27.796610169491526</v>
      </c>
      <c r="C97" s="3790">
        <f>SUM('Произв. прогр. Вода'!C189)</f>
        <v>27.796610169491526</v>
      </c>
      <c r="D97" s="3790">
        <f>SUM('Произв. прогр. Вода'!D189)</f>
        <v>0</v>
      </c>
      <c r="E97" s="3819">
        <f>SUM('Произв. прогр. Вода'!E189)</f>
        <v>27.796610169491526</v>
      </c>
      <c r="F97" s="3819">
        <f>SUM('Произв. прогр. Вода'!F189)</f>
        <v>27.796610169491526</v>
      </c>
      <c r="G97" s="3819">
        <f>SUM('Произв. прогр. Вода'!G189)</f>
        <v>27.796610169491526</v>
      </c>
      <c r="H97" s="3790">
        <f>SUM('Произв. прогр. Вода'!H189)</f>
        <v>27.796610169491526</v>
      </c>
      <c r="I97" s="3819">
        <f>SUM('Произв. прогр. Вода'!I189)</f>
        <v>27.796610169491526</v>
      </c>
      <c r="J97" s="3819">
        <f>SUM('Произв. прогр. Вода'!J189)</f>
        <v>27.796610169491526</v>
      </c>
      <c r="K97" s="3819">
        <f>SUM('Произв. прогр. Вода'!K189)</f>
        <v>27.796610169491526</v>
      </c>
      <c r="L97" s="3790">
        <f>SUM('Произв. прогр. Вода'!L189)</f>
        <v>27.796610169491526</v>
      </c>
      <c r="M97" s="3790">
        <f>SUM('Произв. прогр. Вода'!M189)</f>
        <v>27.796610169491526</v>
      </c>
      <c r="N97" s="3819">
        <f>SUM('Произв. прогр. Вода'!N189)</f>
        <v>27.796610169491526</v>
      </c>
      <c r="O97" s="3819">
        <f>SUM('Произв. прогр. Вода'!O189)</f>
        <v>27.796610169491526</v>
      </c>
      <c r="P97" s="3819">
        <f>SUM('Произв. прогр. Вода'!P189)</f>
        <v>27.796610169491526</v>
      </c>
      <c r="Q97" s="3790">
        <f>SUM('Произв. прогр. Вода'!Q189)</f>
        <v>27.796610169491526</v>
      </c>
      <c r="R97" s="3790">
        <f>SUM('Произв. прогр. Вода'!R189)</f>
        <v>27.796610169491526</v>
      </c>
      <c r="S97" s="3819">
        <f>SUM('Произв. прогр. Вода'!S189)</f>
        <v>27.796610169491526</v>
      </c>
      <c r="T97" s="3819">
        <f>SUM('Произв. прогр. Вода'!T189)</f>
        <v>27.796610169491526</v>
      </c>
      <c r="U97" s="3819">
        <f>SUM('Произв. прогр. Вода'!U189)</f>
        <v>27.796610169491526</v>
      </c>
      <c r="V97" s="3790">
        <f>SUM('Произв. прогр. Вода'!V189)</f>
        <v>27.796610169491526</v>
      </c>
      <c r="W97" s="3836">
        <f>SUM(E97)</f>
        <v>27.796610169491526</v>
      </c>
    </row>
    <row r="98" spans="1:23" ht="18.75">
      <c r="A98" s="3786" t="s">
        <v>1754</v>
      </c>
      <c r="B98" s="3790">
        <f>SUM('Произв. прогр. Вода'!B190)</f>
        <v>28.964099999999998</v>
      </c>
      <c r="C98" s="3790">
        <f>SUM('Произв. прогр. Вода'!C190)</f>
        <v>28.964099999999998</v>
      </c>
      <c r="D98" s="3790">
        <f>SUM('Произв. прогр. Вода'!D190)</f>
        <v>0</v>
      </c>
      <c r="E98" s="3819">
        <f>SUM('Произв. прогр. Вода'!E190)</f>
        <v>28.964099999999998</v>
      </c>
      <c r="F98" s="3819">
        <f>SUM('Произв. прогр. Вода'!F190)</f>
        <v>28.964099999999998</v>
      </c>
      <c r="G98" s="3819">
        <f>SUM('Произв. прогр. Вода'!G190)</f>
        <v>28.964099999999998</v>
      </c>
      <c r="H98" s="3790">
        <f>SUM('Произв. прогр. Вода'!H190)</f>
        <v>28.964099999999998</v>
      </c>
      <c r="I98" s="3819">
        <f>SUM('Произв. прогр. Вода'!I190)</f>
        <v>28.964099999999998</v>
      </c>
      <c r="J98" s="3819">
        <f>SUM('Произв. прогр. Вода'!J190)</f>
        <v>28.964099999999998</v>
      </c>
      <c r="K98" s="3819">
        <f>SUM('Произв. прогр. Вода'!K190)</f>
        <v>28.964099999999998</v>
      </c>
      <c r="L98" s="3790">
        <f>SUM('Произв. прогр. Вода'!L190)</f>
        <v>28.964099999999998</v>
      </c>
      <c r="M98" s="3790">
        <f>SUM('Произв. прогр. Вода'!M190)</f>
        <v>28.964099999999998</v>
      </c>
      <c r="N98" s="3819">
        <f>SUM('Произв. прогр. Вода'!N190)</f>
        <v>28.964099999999998</v>
      </c>
      <c r="O98" s="3819">
        <f>SUM('Произв. прогр. Вода'!O190)</f>
        <v>28.964099999999998</v>
      </c>
      <c r="P98" s="3819">
        <f>SUM('Произв. прогр. Вода'!P190)</f>
        <v>28.964099999999998</v>
      </c>
      <c r="Q98" s="3790">
        <f>SUM('Произв. прогр. Вода'!Q190)</f>
        <v>28.964099999999998</v>
      </c>
      <c r="R98" s="3790">
        <f>SUM('Произв. прогр. Вода'!R190)</f>
        <v>28.964099999999998</v>
      </c>
      <c r="S98" s="3819">
        <f>SUM('Произв. прогр. Вода'!S190)</f>
        <v>28.964099999999998</v>
      </c>
      <c r="T98" s="3819">
        <f>SUM('Произв. прогр. Вода'!T190)</f>
        <v>28.964099999999998</v>
      </c>
      <c r="U98" s="3819">
        <f>SUM('Произв. прогр. Вода'!U190)</f>
        <v>28.964099999999998</v>
      </c>
      <c r="V98" s="3790">
        <f>SUM('Произв. прогр. Вода'!V190)</f>
        <v>28.964099999999998</v>
      </c>
      <c r="W98" s="3836">
        <f>SUM(E98)</f>
        <v>28.964099999999998</v>
      </c>
    </row>
    <row r="99" spans="1:23" ht="18.75">
      <c r="A99" s="3826" t="s">
        <v>1760</v>
      </c>
      <c r="B99" s="3795">
        <f>SUM('Произв. прогр. Вода'!B191)</f>
        <v>1.0420011585365854</v>
      </c>
      <c r="C99" s="3795">
        <f>SUM('Произв. прогр. Вода'!C191)</f>
        <v>1.0420011585365854</v>
      </c>
      <c r="D99" s="3795">
        <f>SUM('Произв. прогр. Вода'!D191)</f>
        <v>0</v>
      </c>
      <c r="E99" s="3824">
        <f>SUM('Произв. прогр. Вода'!E191)</f>
        <v>1.0420011585365854</v>
      </c>
      <c r="F99" s="3824">
        <f>SUM('Произв. прогр. Вода'!F191)</f>
        <v>1.0420011585365854</v>
      </c>
      <c r="G99" s="3824">
        <f>SUM('Произв. прогр. Вода'!G191)</f>
        <v>1.0420011585365854</v>
      </c>
      <c r="H99" s="3795">
        <f>SUM('Произв. прогр. Вода'!H191)</f>
        <v>1.0420011585365854</v>
      </c>
      <c r="I99" s="3824">
        <f>SUM('Произв. прогр. Вода'!I191)</f>
        <v>1.0420011585365854</v>
      </c>
      <c r="J99" s="3824">
        <f>SUM('Произв. прогр. Вода'!J191)</f>
        <v>1.0420011585365854</v>
      </c>
      <c r="K99" s="3824">
        <f>SUM('Произв. прогр. Вода'!K191)</f>
        <v>1.0420011585365854</v>
      </c>
      <c r="L99" s="3795">
        <f>SUM('Произв. прогр. Вода'!L191)</f>
        <v>1.0420011585365854</v>
      </c>
      <c r="M99" s="3795">
        <f>SUM('Произв. прогр. Вода'!M191)</f>
        <v>1.0420011585365854</v>
      </c>
      <c r="N99" s="3824">
        <f>SUM('Произв. прогр. Вода'!N191)</f>
        <v>1.0420011585365854</v>
      </c>
      <c r="O99" s="3824">
        <f>SUM('Произв. прогр. Вода'!O191)</f>
        <v>1.0420011585365854</v>
      </c>
      <c r="P99" s="3824">
        <f>SUM('Произв. прогр. Вода'!P191)</f>
        <v>1.0420011585365854</v>
      </c>
      <c r="Q99" s="3795">
        <f>SUM('Произв. прогр. Вода'!Q191)</f>
        <v>1.0420011585365854</v>
      </c>
      <c r="R99" s="3795">
        <f>SUM('Произв. прогр. Вода'!R191)</f>
        <v>1.0420011585365854</v>
      </c>
      <c r="S99" s="3824">
        <f>SUM('Произв. прогр. Вода'!S191)</f>
        <v>1.0420011585365854</v>
      </c>
      <c r="T99" s="3824">
        <f>SUM('Произв. прогр. Вода'!T191)</f>
        <v>1.0420011585365854</v>
      </c>
      <c r="U99" s="3824">
        <f>SUM('Произв. прогр. Вода'!U191)</f>
        <v>1.0420011585365854</v>
      </c>
      <c r="V99" s="3795">
        <f>SUM('Произв. прогр. Вода'!V191)</f>
        <v>1.0420011585365854</v>
      </c>
      <c r="W99" s="3816">
        <f t="shared" ref="W99" si="70">SUM(W98/W97)</f>
        <v>1.0420011585365854</v>
      </c>
    </row>
    <row r="100" spans="1:23" ht="18.75" customHeight="1">
      <c r="A100" s="3822" t="s">
        <v>1761</v>
      </c>
      <c r="B100" s="3787">
        <f>SUM('Произв. прогр. Вода'!B192)</f>
        <v>16225.953601047222</v>
      </c>
      <c r="C100" s="3787">
        <f>SUM('Произв. прогр. Вода'!C192)</f>
        <v>16225.953601047222</v>
      </c>
      <c r="D100" s="3787">
        <f>SUM('Произв. прогр. Вода'!D192)</f>
        <v>0</v>
      </c>
      <c r="E100" s="3800">
        <f>SUM('Произв. прогр. Вода'!E192)</f>
        <v>1395.432009690061</v>
      </c>
      <c r="F100" s="3800">
        <f>SUM('Произв. прогр. Вода'!F192)</f>
        <v>1379.2060560890141</v>
      </c>
      <c r="G100" s="3800">
        <f>SUM('Произв. прогр. Вода'!G192)</f>
        <v>1385.6964375294326</v>
      </c>
      <c r="H100" s="3787">
        <f>SUM('Произв. прогр. Вода'!H192)</f>
        <v>4160.3345033085079</v>
      </c>
      <c r="I100" s="3800">
        <f>SUM('Произв. прогр. Вода'!I192)</f>
        <v>1367.8478885682807</v>
      </c>
      <c r="J100" s="3800">
        <f>SUM('Произв. прогр. Вода'!J192)</f>
        <v>1330.528195285872</v>
      </c>
      <c r="K100" s="3800">
        <f>SUM('Произв. прогр. Вода'!K192)</f>
        <v>1280.2277391226257</v>
      </c>
      <c r="L100" s="3787">
        <f>SUM('Произв. прогр. Вода'!L192)</f>
        <v>3978.6038229767787</v>
      </c>
      <c r="M100" s="3787">
        <f>SUM('Произв. прогр. Вода'!M192)</f>
        <v>8138.9383262852862</v>
      </c>
      <c r="N100" s="3800">
        <f>SUM('Произв. прогр. Вода'!N192)</f>
        <v>1264.0017855215783</v>
      </c>
      <c r="O100" s="3800">
        <f>SUM('Произв. прогр. Вода'!O192)</f>
        <v>1315.9248370449295</v>
      </c>
      <c r="P100" s="3800">
        <f>SUM('Произв. прогр. Вода'!P192)</f>
        <v>1349.9993396071288</v>
      </c>
      <c r="Q100" s="3787">
        <f>SUM('Произв. прогр. Вода'!Q192)</f>
        <v>3929.9259621736364</v>
      </c>
      <c r="R100" s="3787">
        <f>SUM('Произв. прогр. Вода'!R192)</f>
        <v>12068.864288458923</v>
      </c>
      <c r="S100" s="3800">
        <f>SUM('Произв. прогр. Вода'!S192)</f>
        <v>1385.6964375294326</v>
      </c>
      <c r="T100" s="3800">
        <f>SUM('Произв. прогр. Вода'!T192)</f>
        <v>1385.6964375294326</v>
      </c>
      <c r="U100" s="3800">
        <f>SUM('Произв. прогр. Вода'!U192)</f>
        <v>1385.6964375294326</v>
      </c>
      <c r="V100" s="3787">
        <f>SUM('Произв. прогр. Вода'!V192)</f>
        <v>4157.0893125882976</v>
      </c>
      <c r="W100" s="3812">
        <f t="shared" ref="W100:W102" si="71">SUM(E100+F100+G100+I100+J100+K100+N100+O100+P100+S100+T100+U100)</f>
        <v>16225.953601047218</v>
      </c>
    </row>
    <row r="101" spans="1:23" ht="18.75" customHeight="1">
      <c r="A101" s="3786" t="s">
        <v>391</v>
      </c>
      <c r="B101" s="3790">
        <f>SUM('Произв. прогр. Вода'!B193)</f>
        <v>7051.4023626583039</v>
      </c>
      <c r="C101" s="3790">
        <f>SUM('Произв. прогр. Вода'!C193)</f>
        <v>7051.4023626583039</v>
      </c>
      <c r="D101" s="3790">
        <f>SUM('Произв. прогр. Вода'!D193)</f>
        <v>0</v>
      </c>
      <c r="E101" s="3819">
        <f>SUM('Произв. прогр. Вода'!E193)</f>
        <v>606.42060318861411</v>
      </c>
      <c r="F101" s="3819">
        <f>SUM('Произв. прогр. Вода'!F193)</f>
        <v>599.36920082595589</v>
      </c>
      <c r="G101" s="3819">
        <f>SUM('Произв. прогр. Вода'!G193)</f>
        <v>602.18976177101911</v>
      </c>
      <c r="H101" s="3790">
        <f>SUM('Произв. прогр. Вода'!H193)</f>
        <v>1807.9795657855893</v>
      </c>
      <c r="I101" s="3819">
        <f>SUM('Произв. прогр. Вода'!I193)</f>
        <v>594.43321917209505</v>
      </c>
      <c r="J101" s="3819">
        <f>SUM('Произв. прогр. Вода'!J193)</f>
        <v>578.21499373798088</v>
      </c>
      <c r="K101" s="3819">
        <f>SUM('Произв. прогр. Вода'!K193)</f>
        <v>556.35564641374015</v>
      </c>
      <c r="L101" s="3790">
        <f>SUM('Произв. прогр. Вода'!L193)</f>
        <v>1729.003859323816</v>
      </c>
      <c r="M101" s="3790">
        <f>SUM('Произв. прогр. Вода'!M193)</f>
        <v>3536.9834251094053</v>
      </c>
      <c r="N101" s="3819">
        <f>SUM('Произв. прогр. Вода'!N193)</f>
        <v>549.30424405108181</v>
      </c>
      <c r="O101" s="3819">
        <f>SUM('Произв. прогр. Вода'!O193)</f>
        <v>571.86873161158837</v>
      </c>
      <c r="P101" s="3819">
        <f>SUM('Произв. прогр. Вода'!P193)</f>
        <v>586.67667657317088</v>
      </c>
      <c r="Q101" s="3790">
        <f>SUM('Произв. прогр. Вода'!Q193)</f>
        <v>1707.8496522358409</v>
      </c>
      <c r="R101" s="3790">
        <f>SUM('Произв. прогр. Вода'!R193)</f>
        <v>5244.8330773452462</v>
      </c>
      <c r="S101" s="3819">
        <f>SUM('Произв. прогр. Вода'!S193)</f>
        <v>602.18976177101911</v>
      </c>
      <c r="T101" s="3819">
        <f>SUM('Произв. прогр. Вода'!T193)</f>
        <v>602.18976177101911</v>
      </c>
      <c r="U101" s="3819">
        <f>SUM('Произв. прогр. Вода'!U193)</f>
        <v>602.18976177101911</v>
      </c>
      <c r="V101" s="3790">
        <f>SUM('Произв. прогр. Вода'!V193)</f>
        <v>1806.5692853130572</v>
      </c>
      <c r="W101" s="3814">
        <f t="shared" si="71"/>
        <v>7051.4023626583039</v>
      </c>
    </row>
    <row r="102" spans="1:23" ht="18.75" customHeight="1">
      <c r="A102" s="3786" t="s">
        <v>1754</v>
      </c>
      <c r="B102" s="3790">
        <f>SUM('Произв. прогр. Вода'!B194)</f>
        <v>9174.5512383889181</v>
      </c>
      <c r="C102" s="3790">
        <f>SUM('Произв. прогр. Вода'!C194)</f>
        <v>9174.5512383889181</v>
      </c>
      <c r="D102" s="3790">
        <f>SUM('Произв. прогр. Вода'!D194)</f>
        <v>0</v>
      </c>
      <c r="E102" s="3819">
        <f>SUM('Произв. прогр. Вода'!E194)</f>
        <v>789.0114065014468</v>
      </c>
      <c r="F102" s="3819">
        <f>SUM('Произв. прогр. Вода'!F194)</f>
        <v>779.83685526305806</v>
      </c>
      <c r="G102" s="3819">
        <f>SUM('Произв. прогр. Вода'!G194)</f>
        <v>783.50667575841351</v>
      </c>
      <c r="H102" s="3790">
        <f>SUM('Произв. прогр. Вода'!H194)</f>
        <v>2352.3549375229186</v>
      </c>
      <c r="I102" s="3819">
        <f>SUM('Произв. прогр. Вода'!I194)</f>
        <v>773.41466939618567</v>
      </c>
      <c r="J102" s="3819">
        <f>SUM('Произв. прогр. Вода'!J194)</f>
        <v>752.31320154789114</v>
      </c>
      <c r="K102" s="3819">
        <f>SUM('Произв. прогр. Вода'!K194)</f>
        <v>723.87209270888559</v>
      </c>
      <c r="L102" s="3790">
        <f>SUM('Произв. прогр. Вода'!L194)</f>
        <v>2249.5999636529623</v>
      </c>
      <c r="M102" s="3790">
        <f>SUM('Произв. прогр. Вода'!M194)</f>
        <v>4601.9549011758809</v>
      </c>
      <c r="N102" s="3819">
        <f>SUM('Произв. прогр. Вода'!N194)</f>
        <v>714.69754147049662</v>
      </c>
      <c r="O102" s="3819">
        <f>SUM('Произв. прогр. Вода'!O194)</f>
        <v>744.05610543334114</v>
      </c>
      <c r="P102" s="3819">
        <f>SUM('Произв. прогр. Вода'!P194)</f>
        <v>763.32266303395795</v>
      </c>
      <c r="Q102" s="3790">
        <f>SUM('Произв. прогр. Вода'!Q194)</f>
        <v>2222.0763099377955</v>
      </c>
      <c r="R102" s="3790">
        <f>SUM('Произв. прогр. Вода'!R194)</f>
        <v>6824.0312111136764</v>
      </c>
      <c r="S102" s="3819">
        <f>SUM('Произв. прогр. Вода'!S194)</f>
        <v>783.50667575841351</v>
      </c>
      <c r="T102" s="3819">
        <f>SUM('Произв. прогр. Вода'!T194)</f>
        <v>783.50667575841351</v>
      </c>
      <c r="U102" s="3819">
        <f>SUM('Произв. прогр. Вода'!U194)</f>
        <v>783.50667575841351</v>
      </c>
      <c r="V102" s="3790">
        <f>SUM('Произв. прогр. Вода'!V194)</f>
        <v>2350.5200272752404</v>
      </c>
      <c r="W102" s="3814">
        <f t="shared" si="71"/>
        <v>9174.5512383889163</v>
      </c>
    </row>
    <row r="103" spans="1:23" ht="18.75">
      <c r="A103" s="4410" t="s">
        <v>1762</v>
      </c>
      <c r="B103" s="4405"/>
      <c r="C103" s="4405"/>
      <c r="D103" s="4405"/>
      <c r="E103" s="4405"/>
      <c r="F103" s="4405"/>
      <c r="G103" s="4405"/>
      <c r="H103" s="4405"/>
      <c r="I103" s="4405"/>
      <c r="J103" s="4405"/>
      <c r="K103" s="4405"/>
      <c r="L103" s="4405"/>
      <c r="M103" s="4405"/>
      <c r="N103" s="4405"/>
      <c r="O103" s="4405"/>
      <c r="P103" s="4405"/>
      <c r="Q103" s="4405"/>
      <c r="R103" s="4405"/>
      <c r="S103" s="4405"/>
      <c r="T103" s="4405"/>
      <c r="U103" s="4405"/>
      <c r="V103" s="4405"/>
      <c r="W103" s="3812"/>
    </row>
    <row r="104" spans="1:23" ht="18.75">
      <c r="A104" s="4396" t="s">
        <v>546</v>
      </c>
      <c r="B104" s="4389" t="s">
        <v>1782</v>
      </c>
      <c r="C104" s="4389" t="s">
        <v>576</v>
      </c>
      <c r="D104" s="4389"/>
      <c r="E104" s="4383" t="s">
        <v>587</v>
      </c>
      <c r="F104" s="4383" t="s">
        <v>588</v>
      </c>
      <c r="G104" s="4383" t="s">
        <v>589</v>
      </c>
      <c r="H104" s="4384" t="s">
        <v>601</v>
      </c>
      <c r="I104" s="4383" t="s">
        <v>590</v>
      </c>
      <c r="J104" s="4383" t="s">
        <v>591</v>
      </c>
      <c r="K104" s="4383" t="s">
        <v>592</v>
      </c>
      <c r="L104" s="4384" t="s">
        <v>600</v>
      </c>
      <c r="M104" s="4384" t="s">
        <v>599</v>
      </c>
      <c r="N104" s="4383" t="s">
        <v>593</v>
      </c>
      <c r="O104" s="4383" t="s">
        <v>594</v>
      </c>
      <c r="P104" s="4383" t="s">
        <v>595</v>
      </c>
      <c r="Q104" s="4384" t="s">
        <v>225</v>
      </c>
      <c r="R104" s="4384" t="s">
        <v>229</v>
      </c>
      <c r="S104" s="4383" t="s">
        <v>596</v>
      </c>
      <c r="T104" s="4383" t="s">
        <v>597</v>
      </c>
      <c r="U104" s="4383" t="s">
        <v>598</v>
      </c>
      <c r="V104" s="4384" t="s">
        <v>135</v>
      </c>
      <c r="W104" s="4409" t="s">
        <v>602</v>
      </c>
    </row>
    <row r="105" spans="1:23" ht="37.5">
      <c r="A105" s="4397"/>
      <c r="B105" s="4389"/>
      <c r="C105" s="3784" t="s">
        <v>1554</v>
      </c>
      <c r="D105" s="3784" t="s">
        <v>1555</v>
      </c>
      <c r="E105" s="4383"/>
      <c r="F105" s="4383"/>
      <c r="G105" s="4383"/>
      <c r="H105" s="4384"/>
      <c r="I105" s="4383"/>
      <c r="J105" s="4383"/>
      <c r="K105" s="4383"/>
      <c r="L105" s="4384"/>
      <c r="M105" s="4384"/>
      <c r="N105" s="4383"/>
      <c r="O105" s="4383"/>
      <c r="P105" s="4383"/>
      <c r="Q105" s="4384"/>
      <c r="R105" s="4384"/>
      <c r="S105" s="4383"/>
      <c r="T105" s="4383"/>
      <c r="U105" s="4383"/>
      <c r="V105" s="4384"/>
      <c r="W105" s="4409"/>
    </row>
    <row r="106" spans="1:23" ht="18.75">
      <c r="A106" s="3822" t="s">
        <v>1753</v>
      </c>
      <c r="B106" s="3787">
        <f>SUM('Произв. прогр. Вода'!B198)</f>
        <v>131872.02461703913</v>
      </c>
      <c r="C106" s="3787">
        <f>SUM('Произв. прогр. Вода'!C198)</f>
        <v>131526.15756640362</v>
      </c>
      <c r="D106" s="3787">
        <f>SUM('Произв. прогр. Вода'!D198)</f>
        <v>345.87220272417039</v>
      </c>
      <c r="E106" s="3800">
        <f>SUM('Произв. прогр. Вода'!E198)</f>
        <v>10797.290355941412</v>
      </c>
      <c r="F106" s="3800">
        <f>SUM('Произв. прогр. Вода'!F198)</f>
        <v>10696.824206659852</v>
      </c>
      <c r="G106" s="3800">
        <f>SUM('Произв. прогр. Вода'!G198)</f>
        <v>11605.746433594119</v>
      </c>
      <c r="H106" s="3787">
        <f>SUM('Произв. прогр. Вода'!H198)</f>
        <v>33099.860996195384</v>
      </c>
      <c r="I106" s="3800">
        <f>SUM('Произв. прогр. Вода'!I198)</f>
        <v>10490.947301308972</v>
      </c>
      <c r="J106" s="3800">
        <f>SUM('Произв. прогр. Вода'!J198)</f>
        <v>10168.718834150033</v>
      </c>
      <c r="K106" s="3800">
        <f>SUM('Произв. прогр. Вода'!K198)</f>
        <v>10998.292624374908</v>
      </c>
      <c r="L106" s="3787">
        <f>SUM('Произв. прогр. Вода'!L198)</f>
        <v>31657.958759833913</v>
      </c>
      <c r="M106" s="3787">
        <f>SUM('Произв. прогр. Вода'!M198)</f>
        <v>64757.819756029297</v>
      </c>
      <c r="N106" s="3800">
        <f>SUM('Произв. прогр. Вода'!N198)</f>
        <v>10513.524730097708</v>
      </c>
      <c r="O106" s="3800">
        <f>SUM('Произв. прогр. Вода'!O198)</f>
        <v>10541.102450503149</v>
      </c>
      <c r="P106" s="3800">
        <f>SUM('Произв. прогр. Вода'!P198)</f>
        <v>11697.875670974372</v>
      </c>
      <c r="Q106" s="3787">
        <f>SUM('Произв. прогр. Вода'!Q198)</f>
        <v>32752.502851575231</v>
      </c>
      <c r="R106" s="3787">
        <f>SUM('Произв. прогр. Вода'!R198)</f>
        <v>97510.322607604525</v>
      </c>
      <c r="S106" s="3800">
        <f>SUM('Произв. прогр. Вода'!S198)</f>
        <v>11017.119058757105</v>
      </c>
      <c r="T106" s="3800">
        <f>SUM('Произв. прогр. Вода'!T198)</f>
        <v>11128.1306090938</v>
      </c>
      <c r="U106" s="3800">
        <f>SUM('Произв. прогр. Вода'!U198)</f>
        <v>12216.443808559037</v>
      </c>
      <c r="V106" s="3787">
        <f>SUM('Произв. прогр. Вода'!V198)</f>
        <v>34361.693476409942</v>
      </c>
      <c r="W106" s="3812">
        <f t="shared" ref="W106:W114" si="72">SUM(E106+F106+G106+I106+J106+K106+N106+O106+P106+S106+T106+U106)</f>
        <v>131872.0160840145</v>
      </c>
    </row>
    <row r="107" spans="1:23" ht="18.75">
      <c r="A107" s="3786" t="s">
        <v>391</v>
      </c>
      <c r="B107" s="3790">
        <f>SUM('Произв. прогр. Вода'!B199)</f>
        <v>63746.511492933671</v>
      </c>
      <c r="C107" s="3790">
        <f>SUM('Произв. прогр. Вода'!C199)</f>
        <v>63583.129613057143</v>
      </c>
      <c r="D107" s="3790">
        <f>SUM('Произв. прогр. Вода'!D199)</f>
        <v>163.38187987652836</v>
      </c>
      <c r="E107" s="3819">
        <f>SUM('Произв. прогр. Вода'!E199)</f>
        <v>5418.9723082513938</v>
      </c>
      <c r="F107" s="3819">
        <f>SUM('Произв. прогр. Вода'!F199)</f>
        <v>5426.9977579994838</v>
      </c>
      <c r="G107" s="3819">
        <f>SUM('Произв. прогр. Вода'!G199)</f>
        <v>5447.3697939365838</v>
      </c>
      <c r="H107" s="3790">
        <f>SUM('Произв. прогр. Вода'!H199)</f>
        <v>16293.339860187461</v>
      </c>
      <c r="I107" s="3819">
        <f>SUM('Произв. прогр. Вода'!I199)</f>
        <v>5372.1220626342838</v>
      </c>
      <c r="J107" s="3819">
        <f>SUM('Произв. прогр. Вода'!J199)</f>
        <v>5266.5176354811201</v>
      </c>
      <c r="K107" s="3819">
        <f>SUM('Произв. прогр. Вода'!K199)</f>
        <v>5079.1565871731736</v>
      </c>
      <c r="L107" s="3790">
        <f>SUM('Произв. прогр. Вода'!L199)</f>
        <v>15717.796285288576</v>
      </c>
      <c r="M107" s="3790">
        <f>SUM('Произв. прогр. Вода'!M199)</f>
        <v>32011.136145476037</v>
      </c>
      <c r="N107" s="3819">
        <f>SUM('Произв. прогр. Вода'!N199)</f>
        <v>4941.929258219192</v>
      </c>
      <c r="O107" s="3819">
        <f>SUM('Произв. прогр. Вода'!O199)</f>
        <v>5116.8675392561645</v>
      </c>
      <c r="P107" s="3819">
        <f>SUM('Произв. прогр. Вода'!P199)</f>
        <v>5334.4691681725189</v>
      </c>
      <c r="Q107" s="3790">
        <f>SUM('Произв. прогр. Вода'!Q199)</f>
        <v>15393.265965647875</v>
      </c>
      <c r="R107" s="3790">
        <f>SUM('Произв. прогр. Вода'!R199)</f>
        <v>47404.402111123913</v>
      </c>
      <c r="S107" s="3819">
        <f>SUM('Произв. прогр. Вода'!S199)</f>
        <v>5447.3697939365838</v>
      </c>
      <c r="T107" s="3819">
        <f>SUM('Произв. прогр. Вода'!T199)</f>
        <v>5447.3697939365838</v>
      </c>
      <c r="U107" s="3819">
        <f>SUM('Произв. прогр. Вода'!U199)</f>
        <v>5447.3697939365838</v>
      </c>
      <c r="V107" s="3790">
        <f>SUM('Произв. прогр. Вода'!V199)</f>
        <v>16342.109381809751</v>
      </c>
      <c r="W107" s="3814">
        <f t="shared" si="72"/>
        <v>63746.511492933656</v>
      </c>
    </row>
    <row r="108" spans="1:23" ht="18.75">
      <c r="A108" s="3786" t="s">
        <v>1754</v>
      </c>
      <c r="B108" s="3790">
        <f>SUM('Произв. прогр. Вода'!B200)</f>
        <v>68125.513124105462</v>
      </c>
      <c r="C108" s="3790">
        <f>SUM('Произв. прогр. Вода'!C200)</f>
        <v>67943.027953346478</v>
      </c>
      <c r="D108" s="3790">
        <f>SUM('Произв. прогр. Вода'!D200)</f>
        <v>182.49032284764203</v>
      </c>
      <c r="E108" s="3819">
        <f>SUM('Произв. прогр. Вода'!E200)</f>
        <v>5378.3180476900179</v>
      </c>
      <c r="F108" s="3819">
        <f>SUM('Произв. прогр. Вода'!F200)</f>
        <v>5269.8264486603684</v>
      </c>
      <c r="G108" s="3819">
        <f>SUM('Произв. прогр. Вода'!G200)</f>
        <v>6158.3766396575347</v>
      </c>
      <c r="H108" s="3790">
        <f>SUM('Произв. прогр. Вода'!H200)</f>
        <v>16806.521136007919</v>
      </c>
      <c r="I108" s="3819">
        <f>SUM('Произв. прогр. Вода'!I200)</f>
        <v>5118.8252386746881</v>
      </c>
      <c r="J108" s="3819">
        <f>SUM('Произв. прогр. Вода'!J200)</f>
        <v>4902.2011986689131</v>
      </c>
      <c r="K108" s="3819">
        <f>SUM('Произв. прогр. Вода'!K200)</f>
        <v>5919.1360372017343</v>
      </c>
      <c r="L108" s="3790">
        <f>SUM('Произв. прогр. Вода'!L200)</f>
        <v>15940.162474545334</v>
      </c>
      <c r="M108" s="3790">
        <f>SUM('Произв. прогр. Вода'!M200)</f>
        <v>32746.683610553253</v>
      </c>
      <c r="N108" s="3819">
        <f>SUM('Произв. прогр. Вода'!N200)</f>
        <v>5571.595471878516</v>
      </c>
      <c r="O108" s="3819">
        <f>SUM('Произв. прогр. Вода'!O200)</f>
        <v>5424.2349112469847</v>
      </c>
      <c r="P108" s="3819">
        <f>SUM('Произв. прогр. Вода'!P200)</f>
        <v>6363.4065028018531</v>
      </c>
      <c r="Q108" s="3790">
        <f>SUM('Произв. прогр. Вода'!Q200)</f>
        <v>17359.236885927352</v>
      </c>
      <c r="R108" s="3790">
        <f>SUM('Произв. прогр. Вода'!R200)</f>
        <v>50105.920496480605</v>
      </c>
      <c r="S108" s="3819">
        <f>SUM('Произв. прогр. Вода'!S200)</f>
        <v>5569.7492648205216</v>
      </c>
      <c r="T108" s="3819">
        <f>SUM('Произв. прогр. Вода'!T200)</f>
        <v>5680.7608151572158</v>
      </c>
      <c r="U108" s="3819">
        <f>SUM('Произв. прогр. Вода'!U200)</f>
        <v>6769.0740146224534</v>
      </c>
      <c r="V108" s="3790">
        <f>SUM('Произв. прогр. Вода'!V200)</f>
        <v>18019.584094600192</v>
      </c>
      <c r="W108" s="3814">
        <f t="shared" si="72"/>
        <v>68125.504591080797</v>
      </c>
    </row>
    <row r="109" spans="1:23" ht="18.75">
      <c r="A109" s="3822" t="s">
        <v>1755</v>
      </c>
      <c r="B109" s="3787">
        <f>SUM('Произв. прогр. Вода'!B201)</f>
        <v>3791.3490000000002</v>
      </c>
      <c r="C109" s="3787">
        <f>SUM('Произв. прогр. Вода'!C201)</f>
        <v>3771</v>
      </c>
      <c r="D109" s="3787">
        <f>SUM('Произв. прогр. Вода'!D201)</f>
        <v>20.349</v>
      </c>
      <c r="E109" s="3800">
        <f>SUM('Произв. прогр. Вода'!E201)</f>
        <v>322.29552269999999</v>
      </c>
      <c r="F109" s="3800">
        <f>SUM('Произв. прогр. Вода'!F201)</f>
        <v>322.77283950000003</v>
      </c>
      <c r="G109" s="3800">
        <f>SUM('Произв. прогр. Вода'!G201)</f>
        <v>323.98447440000001</v>
      </c>
      <c r="H109" s="3787">
        <f>SUM('Произв. прогр. Вода'!H201)</f>
        <v>969.05283660000009</v>
      </c>
      <c r="I109" s="3800">
        <f>SUM('Произв. прогр. Вода'!I201)</f>
        <v>319.50908579999998</v>
      </c>
      <c r="J109" s="3800">
        <f>SUM('Произв. прогр. Вода'!J201)</f>
        <v>313.22822069999995</v>
      </c>
      <c r="K109" s="3800">
        <f>SUM('Произв. прогр. Вода'!K201)</f>
        <v>302.08484820000001</v>
      </c>
      <c r="L109" s="3787">
        <f>SUM('Произв. прогр. Вода'!L201)</f>
        <v>934.82215469999994</v>
      </c>
      <c r="M109" s="3787">
        <f>SUM('Произв. прогр. Вода'!M201)</f>
        <v>1903.8749913000001</v>
      </c>
      <c r="N109" s="3800">
        <f>SUM('Произв. прогр. Вода'!N201)</f>
        <v>293.92319850000001</v>
      </c>
      <c r="O109" s="3800">
        <f>SUM('Произв. прогр. Вода'!O201)</f>
        <v>304.32772199999994</v>
      </c>
      <c r="P109" s="3800">
        <f>SUM('Произв. прогр. Вода'!P201)</f>
        <v>317.26966499999997</v>
      </c>
      <c r="Q109" s="3787">
        <f>SUM('Произв. прогр. Вода'!Q201)</f>
        <v>915.52058549999992</v>
      </c>
      <c r="R109" s="3787">
        <f>SUM('Произв. прогр. Вода'!R201)</f>
        <v>2819.3955768000001</v>
      </c>
      <c r="S109" s="3800">
        <f>SUM('Произв. прогр. Вода'!S201)</f>
        <v>323.98447440000001</v>
      </c>
      <c r="T109" s="3800">
        <f>SUM('Произв. прогр. Вода'!T201)</f>
        <v>323.98447440000001</v>
      </c>
      <c r="U109" s="3800">
        <f>SUM('Произв. прогр. Вода'!U201)</f>
        <v>323.98447440000001</v>
      </c>
      <c r="V109" s="3787">
        <f>SUM('Произв. прогр. Вода'!V201)</f>
        <v>971.95342320000009</v>
      </c>
      <c r="W109" s="3812">
        <f t="shared" si="72"/>
        <v>3791.3490000000006</v>
      </c>
    </row>
    <row r="110" spans="1:23" ht="18.75">
      <c r="A110" s="3786" t="s">
        <v>391</v>
      </c>
      <c r="B110" s="3790">
        <f>SUM('Произв. прогр. Вода'!B202)</f>
        <v>1895.6745000000001</v>
      </c>
      <c r="C110" s="3790">
        <f>SUM('Произв. прогр. Вода'!C202)</f>
        <v>1885.5</v>
      </c>
      <c r="D110" s="3790">
        <f>SUM('Произв. прогр. Вода'!D202)</f>
        <v>10.1745</v>
      </c>
      <c r="E110" s="3819">
        <f>SUM('Произв. прогр. Вода'!E202)</f>
        <v>161.14776135</v>
      </c>
      <c r="F110" s="3819">
        <f>SUM('Произв. прогр. Вода'!F202)</f>
        <v>161.38641975000002</v>
      </c>
      <c r="G110" s="3819">
        <f>SUM('Произв. прогр. Вода'!G202)</f>
        <v>161.99223720000001</v>
      </c>
      <c r="H110" s="3790">
        <f>SUM('Произв. прогр. Вода'!H202)</f>
        <v>484.52641830000005</v>
      </c>
      <c r="I110" s="3819">
        <f>SUM('Произв. прогр. Вода'!I202)</f>
        <v>159.75454289999999</v>
      </c>
      <c r="J110" s="3819">
        <f>SUM('Произв. прогр. Вода'!J202)</f>
        <v>156.61411034999998</v>
      </c>
      <c r="K110" s="3819">
        <f>SUM('Произв. прогр. Вода'!K202)</f>
        <v>151.04242410000001</v>
      </c>
      <c r="L110" s="3790">
        <f>SUM('Произв. прогр. Вода'!L202)</f>
        <v>467.41107734999997</v>
      </c>
      <c r="M110" s="3790">
        <f>SUM('Произв. прогр. Вода'!M202)</f>
        <v>951.93749565000007</v>
      </c>
      <c r="N110" s="3819">
        <f>SUM('Произв. прогр. Вода'!N202)</f>
        <v>146.96159925000001</v>
      </c>
      <c r="O110" s="3819">
        <f>SUM('Произв. прогр. Вода'!O202)</f>
        <v>152.16386099999997</v>
      </c>
      <c r="P110" s="3819">
        <f>SUM('Произв. прогр. Вода'!P202)</f>
        <v>158.63483249999999</v>
      </c>
      <c r="Q110" s="3790">
        <f>SUM('Произв. прогр. Вода'!Q202)</f>
        <v>457.76029274999996</v>
      </c>
      <c r="R110" s="3790">
        <f>SUM('Произв. прогр. Вода'!R202)</f>
        <v>1409.6977884</v>
      </c>
      <c r="S110" s="3819">
        <f>SUM('Произв. прогр. Вода'!S202)</f>
        <v>161.99223720000001</v>
      </c>
      <c r="T110" s="3819">
        <f>SUM('Произв. прогр. Вода'!T202)</f>
        <v>161.99223720000001</v>
      </c>
      <c r="U110" s="3819">
        <f>SUM('Произв. прогр. Вода'!U202)</f>
        <v>161.99223720000001</v>
      </c>
      <c r="V110" s="3790">
        <f>SUM('Произв. прогр. Вода'!V202)</f>
        <v>485.97671160000004</v>
      </c>
      <c r="W110" s="3814">
        <f t="shared" si="72"/>
        <v>1895.6745000000003</v>
      </c>
    </row>
    <row r="111" spans="1:23" ht="18.75">
      <c r="A111" s="3786" t="s">
        <v>1754</v>
      </c>
      <c r="B111" s="3790">
        <f>SUM('Произв. прогр. Вода'!B203)</f>
        <v>1895.6745000000001</v>
      </c>
      <c r="C111" s="3790">
        <f>SUM('Произв. прогр. Вода'!C203)</f>
        <v>1885.5</v>
      </c>
      <c r="D111" s="3790">
        <f>SUM('Произв. прогр. Вода'!D203)</f>
        <v>10.1745</v>
      </c>
      <c r="E111" s="3819">
        <f>SUM('Произв. прогр. Вода'!E203)</f>
        <v>161.14776135</v>
      </c>
      <c r="F111" s="3819">
        <f>SUM('Произв. прогр. Вода'!F203)</f>
        <v>161.38641975000002</v>
      </c>
      <c r="G111" s="3819">
        <f>SUM('Произв. прогр. Вода'!G203)</f>
        <v>161.99223720000001</v>
      </c>
      <c r="H111" s="3790">
        <f>SUM('Произв. прогр. Вода'!H203)</f>
        <v>484.52641830000005</v>
      </c>
      <c r="I111" s="3819">
        <f>SUM('Произв. прогр. Вода'!I203)</f>
        <v>159.75454289999999</v>
      </c>
      <c r="J111" s="3819">
        <f>SUM('Произв. прогр. Вода'!J203)</f>
        <v>156.61411034999998</v>
      </c>
      <c r="K111" s="3819">
        <f>SUM('Произв. прогр. Вода'!K203)</f>
        <v>151.04242410000001</v>
      </c>
      <c r="L111" s="3790">
        <f>SUM('Произв. прогр. Вода'!L203)</f>
        <v>467.41107734999997</v>
      </c>
      <c r="M111" s="3790">
        <f>SUM('Произв. прогр. Вода'!M203)</f>
        <v>951.93749565000007</v>
      </c>
      <c r="N111" s="3819">
        <f>SUM('Произв. прогр. Вода'!N203)</f>
        <v>146.96159925000001</v>
      </c>
      <c r="O111" s="3819">
        <f>SUM('Произв. прогр. Вода'!O203)</f>
        <v>152.16386099999997</v>
      </c>
      <c r="P111" s="3819">
        <f>SUM('Произв. прогр. Вода'!P203)</f>
        <v>158.63483249999999</v>
      </c>
      <c r="Q111" s="3790">
        <f>SUM('Произв. прогр. Вода'!Q203)</f>
        <v>457.76029274999996</v>
      </c>
      <c r="R111" s="3790">
        <f>SUM('Произв. прогр. Вода'!R203)</f>
        <v>1409.6977884</v>
      </c>
      <c r="S111" s="3819">
        <f>SUM('Произв. прогр. Вода'!S203)</f>
        <v>161.99223720000001</v>
      </c>
      <c r="T111" s="3819">
        <f>SUM('Произв. прогр. Вода'!T203)</f>
        <v>161.99223720000001</v>
      </c>
      <c r="U111" s="3819">
        <f>SUM('Произв. прогр. Вода'!U203)</f>
        <v>161.99223720000001</v>
      </c>
      <c r="V111" s="3790">
        <f>SUM('Произв. прогр. Вода'!V203)</f>
        <v>485.97671160000004</v>
      </c>
      <c r="W111" s="3814">
        <f t="shared" si="72"/>
        <v>1895.6745000000003</v>
      </c>
    </row>
    <row r="112" spans="1:23" ht="18.75">
      <c r="A112" s="3822" t="s">
        <v>1756</v>
      </c>
      <c r="B112" s="3787">
        <f>SUM('Произв. прогр. Вода'!B204)</f>
        <v>2380</v>
      </c>
      <c r="C112" s="3787">
        <f>SUM('Произв. прогр. Вода'!C204)</f>
        <v>2380</v>
      </c>
      <c r="D112" s="3787">
        <f>SUM('Произв. прогр. Вода'!D204)</f>
        <v>0</v>
      </c>
      <c r="E112" s="3800">
        <f>SUM('Произв. прогр. Вода'!E204)</f>
        <v>204.67999999999998</v>
      </c>
      <c r="F112" s="3800">
        <f>SUM('Произв. прогр. Вода'!F204)</f>
        <v>202.3</v>
      </c>
      <c r="G112" s="3800">
        <f>SUM('Произв. прогр. Вода'!G204)</f>
        <v>203.25199999999998</v>
      </c>
      <c r="H112" s="3787">
        <f>SUM('Произв. прогр. Вода'!H204)</f>
        <v>610.23199999999997</v>
      </c>
      <c r="I112" s="3800">
        <f>SUM('Произв. прогр. Вода'!I204)</f>
        <v>200.63399999999999</v>
      </c>
      <c r="J112" s="3800">
        <f>SUM('Произв. прогр. Вода'!J204)</f>
        <v>195.15999999999997</v>
      </c>
      <c r="K112" s="3800">
        <f>SUM('Произв. прогр. Вода'!K204)</f>
        <v>187.78199999999998</v>
      </c>
      <c r="L112" s="3787">
        <f>SUM('Произв. прогр. Вода'!L204)</f>
        <v>583.57600000000002</v>
      </c>
      <c r="M112" s="3787">
        <f>SUM('Произв. прогр. Вода'!M204)</f>
        <v>1193.808</v>
      </c>
      <c r="N112" s="3800">
        <f>SUM('Произв. прогр. Вода'!N204)</f>
        <v>185.40199999999999</v>
      </c>
      <c r="O112" s="3800">
        <f>SUM('Произв. прогр. Вода'!O204)</f>
        <v>193.01799999999997</v>
      </c>
      <c r="P112" s="3800">
        <f>SUM('Произв. прогр. Вода'!P204)</f>
        <v>198.01599999999999</v>
      </c>
      <c r="Q112" s="3787">
        <f>SUM('Произв. прогр. Вода'!Q204)</f>
        <v>576.43599999999992</v>
      </c>
      <c r="R112" s="3787">
        <f>SUM('Произв. прогр. Вода'!R204)</f>
        <v>1770.2439999999999</v>
      </c>
      <c r="S112" s="3800">
        <f>SUM('Произв. прогр. Вода'!S204)</f>
        <v>203.25199999999998</v>
      </c>
      <c r="T112" s="3800">
        <f>SUM('Произв. прогр. Вода'!T204)</f>
        <v>203.25199999999998</v>
      </c>
      <c r="U112" s="3800">
        <f>SUM('Произв. прогр. Вода'!U204)</f>
        <v>203.25199999999998</v>
      </c>
      <c r="V112" s="3787">
        <f>SUM('Произв. прогр. Вода'!V204)</f>
        <v>609.75599999999997</v>
      </c>
      <c r="W112" s="3812">
        <f t="shared" si="72"/>
        <v>2380</v>
      </c>
    </row>
    <row r="113" spans="1:23" ht="18.75">
      <c r="A113" s="3786" t="s">
        <v>391</v>
      </c>
      <c r="B113" s="3790">
        <f>SUM('Произв. прогр. Вода'!B205)</f>
        <v>1190</v>
      </c>
      <c r="C113" s="3790">
        <f>SUM('Произв. прогр. Вода'!C205)</f>
        <v>1190</v>
      </c>
      <c r="D113" s="3790">
        <f>SUM('Произв. прогр. Вода'!D205)</f>
        <v>0</v>
      </c>
      <c r="E113" s="3819">
        <f>SUM('Произв. прогр. Вода'!E205)</f>
        <v>102.33999999999999</v>
      </c>
      <c r="F113" s="3819">
        <f>SUM('Произв. прогр. Вода'!F205)</f>
        <v>101.15</v>
      </c>
      <c r="G113" s="3819">
        <f>SUM('Произв. прогр. Вода'!G205)</f>
        <v>101.62599999999999</v>
      </c>
      <c r="H113" s="3790">
        <f>SUM('Произв. прогр. Вода'!H205)</f>
        <v>305.11599999999999</v>
      </c>
      <c r="I113" s="3819">
        <f>SUM('Произв. прогр. Вода'!I205)</f>
        <v>100.31699999999999</v>
      </c>
      <c r="J113" s="3819">
        <f>SUM('Произв. прогр. Вода'!J205)</f>
        <v>97.579999999999984</v>
      </c>
      <c r="K113" s="3819">
        <f>SUM('Произв. прогр. Вода'!K205)</f>
        <v>93.890999999999991</v>
      </c>
      <c r="L113" s="3790">
        <f>SUM('Произв. прогр. Вода'!L205)</f>
        <v>291.78800000000001</v>
      </c>
      <c r="M113" s="3790">
        <f>SUM('Произв. прогр. Вода'!M205)</f>
        <v>596.904</v>
      </c>
      <c r="N113" s="3819">
        <f>SUM('Произв. прогр. Вода'!N205)</f>
        <v>92.700999999999993</v>
      </c>
      <c r="O113" s="3819">
        <f>SUM('Произв. прогр. Вода'!O205)</f>
        <v>96.508999999999986</v>
      </c>
      <c r="P113" s="3819">
        <f>SUM('Произв. прогр. Вода'!P205)</f>
        <v>99.007999999999996</v>
      </c>
      <c r="Q113" s="3790">
        <f>SUM('Произв. прогр. Вода'!Q205)</f>
        <v>288.21799999999996</v>
      </c>
      <c r="R113" s="3790">
        <f>SUM('Произв. прогр. Вода'!R205)</f>
        <v>885.12199999999996</v>
      </c>
      <c r="S113" s="3819">
        <f>SUM('Произв. прогр. Вода'!S205)</f>
        <v>101.62599999999999</v>
      </c>
      <c r="T113" s="3819">
        <f>SUM('Произв. прогр. Вода'!T205)</f>
        <v>101.62599999999999</v>
      </c>
      <c r="U113" s="3819">
        <f>SUM('Произв. прогр. Вода'!U205)</f>
        <v>101.62599999999999</v>
      </c>
      <c r="V113" s="3790">
        <f>SUM('Произв. прогр. Вода'!V205)</f>
        <v>304.87799999999999</v>
      </c>
      <c r="W113" s="3814">
        <f t="shared" si="72"/>
        <v>1190</v>
      </c>
    </row>
    <row r="114" spans="1:23" ht="18.75">
      <c r="A114" s="3786" t="s">
        <v>1754</v>
      </c>
      <c r="B114" s="3790">
        <f>SUM('Произв. прогр. Вода'!B206)</f>
        <v>1190</v>
      </c>
      <c r="C114" s="3790">
        <f>SUM('Произв. прогр. Вода'!C206)</f>
        <v>1190</v>
      </c>
      <c r="D114" s="3790">
        <f>SUM('Произв. прогр. Вода'!D206)</f>
        <v>0</v>
      </c>
      <c r="E114" s="3819">
        <f>SUM('Произв. прогр. Вода'!E206)</f>
        <v>102.33999999999999</v>
      </c>
      <c r="F114" s="3819">
        <f>SUM('Произв. прогр. Вода'!F206)</f>
        <v>101.15</v>
      </c>
      <c r="G114" s="3819">
        <f>SUM('Произв. прогр. Вода'!G206)</f>
        <v>101.62599999999999</v>
      </c>
      <c r="H114" s="3790">
        <f>SUM('Произв. прогр. Вода'!H206)</f>
        <v>305.11599999999999</v>
      </c>
      <c r="I114" s="3819">
        <f>SUM('Произв. прогр. Вода'!I206)</f>
        <v>100.31699999999999</v>
      </c>
      <c r="J114" s="3819">
        <f>SUM('Произв. прогр. Вода'!J206)</f>
        <v>97.579999999999984</v>
      </c>
      <c r="K114" s="3819">
        <f>SUM('Произв. прогр. Вода'!K206)</f>
        <v>93.890999999999991</v>
      </c>
      <c r="L114" s="3790">
        <f>SUM('Произв. прогр. Вода'!L206)</f>
        <v>291.78800000000001</v>
      </c>
      <c r="M114" s="3790">
        <f>SUM('Произв. прогр. Вода'!M206)</f>
        <v>596.904</v>
      </c>
      <c r="N114" s="3819">
        <f>SUM('Произв. прогр. Вода'!N206)</f>
        <v>92.700999999999993</v>
      </c>
      <c r="O114" s="3819">
        <f>SUM('Произв. прогр. Вода'!O206)</f>
        <v>96.508999999999986</v>
      </c>
      <c r="P114" s="3819">
        <f>SUM('Произв. прогр. Вода'!P206)</f>
        <v>99.007999999999996</v>
      </c>
      <c r="Q114" s="3790">
        <f>SUM('Произв. прогр. Вода'!Q206)</f>
        <v>288.21799999999996</v>
      </c>
      <c r="R114" s="3790">
        <f>SUM('Произв. прогр. Вода'!R206)</f>
        <v>885.12199999999996</v>
      </c>
      <c r="S114" s="3819">
        <f>SUM('Произв. прогр. Вода'!S206)</f>
        <v>101.62599999999999</v>
      </c>
      <c r="T114" s="3819">
        <f>SUM('Произв. прогр. Вода'!T206)</f>
        <v>101.62599999999999</v>
      </c>
      <c r="U114" s="3819">
        <f>SUM('Произв. прогр. Вода'!U206)</f>
        <v>101.62599999999999</v>
      </c>
      <c r="V114" s="3790">
        <f>SUM('Произв. прогр. Вода'!V206)</f>
        <v>304.87799999999999</v>
      </c>
      <c r="W114" s="3814">
        <f t="shared" si="72"/>
        <v>1190</v>
      </c>
    </row>
    <row r="115" spans="1:23" ht="18.75">
      <c r="A115" s="3822" t="s">
        <v>1757</v>
      </c>
      <c r="B115" s="3787">
        <f>SUM('Произв. прогр. Вода'!B207)</f>
        <v>34.782349136689639</v>
      </c>
      <c r="C115" s="3787">
        <f>SUM('Произв. прогр. Вода'!C207)</f>
        <v>34.8783234066305</v>
      </c>
      <c r="D115" s="3787">
        <f>SUM('Произв. прогр. Вода'!D207)</f>
        <v>16.997012272061053</v>
      </c>
      <c r="E115" s="3800">
        <f>SUM('Произв. прогр. Вода'!E207)</f>
        <v>33.501211141526703</v>
      </c>
      <c r="F115" s="3800">
        <f>SUM('Произв. прогр. Вода'!F207)</f>
        <v>33.140409903231188</v>
      </c>
      <c r="G115" s="3800">
        <f>SUM('Произв. прогр. Вода'!G207)</f>
        <v>35.821921575369537</v>
      </c>
      <c r="H115" s="3787">
        <f>SUM('Произв. прогр. Вода'!H207)</f>
        <v>34.156920805607371</v>
      </c>
      <c r="I115" s="3800">
        <f>SUM('Произв. прогр. Вода'!I207)</f>
        <v>32.834582074689074</v>
      </c>
      <c r="J115" s="3800">
        <f>SUM('Произв. прогр. Вода'!J207)</f>
        <v>32.464248628125077</v>
      </c>
      <c r="K115" s="3800">
        <f>SUM('Произв. прогр. Вода'!K207)</f>
        <v>36.407958525259488</v>
      </c>
      <c r="L115" s="3787">
        <f>SUM('Произв. прогр. Вода'!L207)</f>
        <v>33.865220887916891</v>
      </c>
      <c r="M115" s="3787">
        <f>SUM('Произв. прогр. Вода'!M207)</f>
        <v>34.013693153147358</v>
      </c>
      <c r="N115" s="3800">
        <f>SUM('Произв. прогр. Вода'!N207)</f>
        <v>35.76963228405296</v>
      </c>
      <c r="O115" s="3800">
        <f>SUM('Произв. прогр. Вода'!O207)</f>
        <v>34.637338922752335</v>
      </c>
      <c r="P115" s="3800">
        <f>SUM('Произв. прогр. Вода'!P207)</f>
        <v>36.87045110655118</v>
      </c>
      <c r="Q115" s="3787">
        <f>SUM('Произв. прогр. Вода'!Q207)</f>
        <v>35.774731196992001</v>
      </c>
      <c r="R115" s="3787">
        <f>SUM('Произв. прогр. Вода'!R207)</f>
        <v>34.585541457888738</v>
      </c>
      <c r="S115" s="3800">
        <f>SUM('Произв. прогр. Вода'!S207)</f>
        <v>34.005083358269424</v>
      </c>
      <c r="T115" s="3800">
        <f>SUM('Произв. прогр. Вода'!T207)</f>
        <v>34.347728019073863</v>
      </c>
      <c r="U115" s="3800">
        <f>SUM('Произв. прогр. Вода'!U207)</f>
        <v>37.706880341050805</v>
      </c>
      <c r="V115" s="3787">
        <f>SUM('Произв. прогр. Вода'!V207)</f>
        <v>35.353230572798026</v>
      </c>
      <c r="W115" s="3838">
        <f t="shared" ref="W115" si="73">SUM(W79)</f>
        <v>34.782346886033039</v>
      </c>
    </row>
    <row r="116" spans="1:23" ht="18.75">
      <c r="A116" s="3786" t="s">
        <v>391</v>
      </c>
      <c r="B116" s="3790">
        <f>SUM('Произв. прогр. Вода'!B208)</f>
        <v>33.627350841578377</v>
      </c>
      <c r="C116" s="3790">
        <f>SUM('Произв. прогр. Вода'!C208)</f>
        <v>33.722158373406067</v>
      </c>
      <c r="D116" s="3790">
        <f>SUM('Произв. прогр. Вода'!D208)</f>
        <v>16.057976301196948</v>
      </c>
      <c r="E116" s="3819">
        <f>SUM('Произв. прогр. Вода'!E208)</f>
        <v>33.627350841578377</v>
      </c>
      <c r="F116" s="3819">
        <f>SUM('Произв. прогр. Вода'!F208)</f>
        <v>33.627350841578377</v>
      </c>
      <c r="G116" s="3819">
        <f>SUM('Произв. прогр. Вода'!G208)</f>
        <v>33.627350841578377</v>
      </c>
      <c r="H116" s="3790">
        <f>SUM('Произв. прогр. Вода'!H208)</f>
        <v>33.627350841578377</v>
      </c>
      <c r="I116" s="3819">
        <f>SUM('Произв. прогр. Вода'!I208)</f>
        <v>33.627350841578377</v>
      </c>
      <c r="J116" s="3819">
        <f>SUM('Произв. прогр. Вода'!J208)</f>
        <v>33.627350841578377</v>
      </c>
      <c r="K116" s="3819">
        <f>SUM('Произв. прогр. Вода'!K208)</f>
        <v>33.627350841578377</v>
      </c>
      <c r="L116" s="3790">
        <f>SUM('Произв. прогр. Вода'!L208)</f>
        <v>33.627350841578377</v>
      </c>
      <c r="M116" s="3790">
        <f>SUM('Произв. прогр. Вода'!M208)</f>
        <v>33.627350841578377</v>
      </c>
      <c r="N116" s="3819">
        <f>SUM('Произв. прогр. Вода'!N208)</f>
        <v>33.627350841578377</v>
      </c>
      <c r="O116" s="3819">
        <f>SUM('Произв. прогр. Вода'!O208)</f>
        <v>33.627350841578377</v>
      </c>
      <c r="P116" s="3819">
        <f>SUM('Произв. прогр. Вода'!P208)</f>
        <v>33.627350841578377</v>
      </c>
      <c r="Q116" s="3790">
        <f>SUM('Произв. прогр. Вода'!Q208)</f>
        <v>33.627350841578377</v>
      </c>
      <c r="R116" s="3790">
        <f>SUM('Произв. прогр. Вода'!R208)</f>
        <v>33.627350841578377</v>
      </c>
      <c r="S116" s="3819">
        <f>SUM('Произв. прогр. Вода'!S208)</f>
        <v>33.627350841578377</v>
      </c>
      <c r="T116" s="3819">
        <f>SUM('Произв. прогр. Вода'!T208)</f>
        <v>33.627350841578377</v>
      </c>
      <c r="U116" s="3819">
        <f>SUM('Произв. прогр. Вода'!U208)</f>
        <v>33.627350841578377</v>
      </c>
      <c r="V116" s="3790">
        <f>SUM('Произв. прогр. Вода'!V208)</f>
        <v>33.627350841578377</v>
      </c>
      <c r="W116" s="3836">
        <f>SUM(E116)</f>
        <v>33.627350841578377</v>
      </c>
    </row>
    <row r="117" spans="1:23" ht="18.75">
      <c r="A117" s="3786" t="s">
        <v>1754</v>
      </c>
      <c r="B117" s="3790">
        <f>SUM('Произв. прогр. Вода'!B209)</f>
        <v>35.937347431800902</v>
      </c>
      <c r="C117" s="3790">
        <f>SUM('Произв. прогр. Вода'!C209)</f>
        <v>36.034488439854933</v>
      </c>
      <c r="D117" s="3790">
        <f>SUM('Произв. прогр. Вода'!D209)</f>
        <v>17.93604824292516</v>
      </c>
      <c r="E117" s="3819">
        <f>SUM('Произв. прогр. Вода'!E209)</f>
        <v>33.375071441475029</v>
      </c>
      <c r="F117" s="3819">
        <f>SUM('Произв. прогр. Вода'!F209)</f>
        <v>32.653468964884006</v>
      </c>
      <c r="G117" s="3819">
        <f>SUM('Произв. прогр. Вода'!G209)</f>
        <v>38.016492309160689</v>
      </c>
      <c r="H117" s="3790">
        <f>SUM('Произв. прогр. Вода'!H209)</f>
        <v>34.686490769636364</v>
      </c>
      <c r="I117" s="3819">
        <f>SUM('Произв. прогр. Вода'!I209)</f>
        <v>32.041813307799764</v>
      </c>
      <c r="J117" s="3819">
        <f>SUM('Произв. прогр. Вода'!J209)</f>
        <v>31.301146414671784</v>
      </c>
      <c r="K117" s="3819">
        <f>SUM('Произв. прогр. Вода'!K209)</f>
        <v>39.188566208940593</v>
      </c>
      <c r="L117" s="3790">
        <f>SUM('Произв. прогр. Вода'!L209)</f>
        <v>34.103090934255398</v>
      </c>
      <c r="M117" s="3790">
        <f>SUM('Произв. прогр. Вода'!M209)</f>
        <v>34.400035464716332</v>
      </c>
      <c r="N117" s="3819">
        <f>SUM('Произв. прогр. Вода'!N209)</f>
        <v>37.911913726527551</v>
      </c>
      <c r="O117" s="3819">
        <f>SUM('Произв. прогр. Вода'!O209)</f>
        <v>35.647327003926286</v>
      </c>
      <c r="P117" s="3819">
        <f>SUM('Произв. прогр. Вода'!P209)</f>
        <v>40.11355137152399</v>
      </c>
      <c r="Q117" s="3790">
        <f>SUM('Произв. прогр. Вода'!Q209)</f>
        <v>37.922111552405617</v>
      </c>
      <c r="R117" s="3790">
        <f>SUM('Произв. прогр. Вода'!R209)</f>
        <v>35.543732074199092</v>
      </c>
      <c r="S117" s="3819">
        <f>SUM('Произв. прогр. Вода'!S209)</f>
        <v>34.382815874960464</v>
      </c>
      <c r="T117" s="3819">
        <f>SUM('Произв. прогр. Вода'!T209)</f>
        <v>35.068105196569356</v>
      </c>
      <c r="U117" s="3819">
        <f>SUM('Произв. прогр. Вода'!U209)</f>
        <v>41.786409840523227</v>
      </c>
      <c r="V117" s="3790">
        <f>SUM('Произв. прогр. Вода'!V209)</f>
        <v>37.079110304017682</v>
      </c>
      <c r="W117" s="669">
        <f t="shared" ref="W117" si="74">SUM(W108/W111)</f>
        <v>35.937342930487688</v>
      </c>
    </row>
    <row r="118" spans="1:23" ht="18.75">
      <c r="A118" s="3826" t="s">
        <v>1758</v>
      </c>
      <c r="B118" s="3795">
        <f>SUM('Произв. прогр. Вода'!B210)</f>
        <v>1.0686939807154343</v>
      </c>
      <c r="C118" s="3795">
        <f>SUM('Произв. прогр. Вода'!C210)</f>
        <v>1.068570049426979</v>
      </c>
      <c r="D118" s="3795">
        <f>SUM('Произв. прогр. Вода'!D210)</f>
        <v>1.1169557051587018</v>
      </c>
      <c r="E118" s="3824">
        <f>SUM('Произв. прогр. Вода'!E210)</f>
        <v>0.9924977914171158</v>
      </c>
      <c r="F118" s="3824">
        <f>SUM('Произв. прогр. Вода'!F210)</f>
        <v>0.97103899497517898</v>
      </c>
      <c r="G118" s="3824">
        <f>SUM('Произв. прогр. Вода'!G210)</f>
        <v>1.13052296293752</v>
      </c>
      <c r="H118" s="3795">
        <f>SUM('Произв. прогр. Вода'!H210)</f>
        <v>1.0314963831985366</v>
      </c>
      <c r="I118" s="3824">
        <f>SUM('Произв. прогр. Вода'!I210)</f>
        <v>0.95284976383515219</v>
      </c>
      <c r="J118" s="3824">
        <f>SUM('Произв. прогр. Вода'!J210)</f>
        <v>0.93082403553388549</v>
      </c>
      <c r="K118" s="3824">
        <f>SUM('Произв. прогр. Вода'!K210)</f>
        <v>1.1653777424680769</v>
      </c>
      <c r="L118" s="3795">
        <f>SUM('Произв. прогр. Вода'!L210)</f>
        <v>1.0141474151478147</v>
      </c>
      <c r="M118" s="3795">
        <f>SUM('Произв. прогр. Вода'!M210)</f>
        <v>1.0229778618832672</v>
      </c>
      <c r="N118" s="3824">
        <f>SUM('Произв. прогр. Вода'!N210)</f>
        <v>1.1274130366419333</v>
      </c>
      <c r="O118" s="3824">
        <f>SUM('Произв. прогр. Вода'!O210)</f>
        <v>1.0600694408508184</v>
      </c>
      <c r="P118" s="3824">
        <f>SUM('Произв. прогр. Вода'!P210)</f>
        <v>1.1928846717810961</v>
      </c>
      <c r="Q118" s="3795">
        <f>SUM('Произв. прогр. Вода'!Q210)</f>
        <v>1.1277162965069791</v>
      </c>
      <c r="R118" s="3795">
        <f>SUM('Произв. прогр. Вода'!R210)</f>
        <v>1.0569887661281725</v>
      </c>
      <c r="S118" s="3824">
        <f>SUM('Произв. прогр. Вода'!S210)</f>
        <v>1.0224657909254034</v>
      </c>
      <c r="T118" s="3824">
        <f>SUM('Произв. прогр. Вода'!T210)</f>
        <v>1.04284471773523</v>
      </c>
      <c r="U118" s="3824">
        <f>SUM('Произв. прогр. Вода'!U210)</f>
        <v>1.2426316315365711</v>
      </c>
      <c r="V118" s="3795">
        <f>SUM('Произв. прогр. Вода'!V210)</f>
        <v>1.1026473800657348</v>
      </c>
      <c r="W118" s="3816">
        <f t="shared" ref="W118" si="75">SUM(W117/W116)</f>
        <v>1.0686938468567417</v>
      </c>
    </row>
    <row r="119" spans="1:23" ht="18.75">
      <c r="A119" s="3822" t="s">
        <v>1759</v>
      </c>
      <c r="B119" s="3787">
        <f>SUM('Произв. прогр. Вода'!B211)</f>
        <v>28.380355084745766</v>
      </c>
      <c r="C119" s="3787">
        <f>SUM('Произв. прогр. Вода'!C211)</f>
        <v>28.380355084745766</v>
      </c>
      <c r="D119" s="3787">
        <f>SUM('Произв. прогр. Вода'!D211)</f>
        <v>0</v>
      </c>
      <c r="E119" s="3800">
        <f>SUM('Произв. прогр. Вода'!E211)</f>
        <v>28.380355084745766</v>
      </c>
      <c r="F119" s="3800">
        <f>SUM('Произв. прогр. Вода'!F211)</f>
        <v>28.380355084745762</v>
      </c>
      <c r="G119" s="3800">
        <f>SUM('Произв. прогр. Вода'!G211)</f>
        <v>28.380355084745766</v>
      </c>
      <c r="H119" s="3787">
        <f>SUM('Произв. прогр. Вода'!H211)</f>
        <v>28.380355084745762</v>
      </c>
      <c r="I119" s="3800">
        <f>SUM('Произв. прогр. Вода'!I211)</f>
        <v>28.380355084745762</v>
      </c>
      <c r="J119" s="3800">
        <f>SUM('Произв. прогр. Вода'!J211)</f>
        <v>28.380355084745762</v>
      </c>
      <c r="K119" s="3800">
        <f>SUM('Произв. прогр. Вода'!K211)</f>
        <v>28.380355084745762</v>
      </c>
      <c r="L119" s="3787">
        <f>SUM('Произв. прогр. Вода'!L211)</f>
        <v>28.380355084745766</v>
      </c>
      <c r="M119" s="3787">
        <f>SUM('Произв. прогр. Вода'!M211)</f>
        <v>28.380355084745762</v>
      </c>
      <c r="N119" s="3800">
        <f>SUM('Произв. прогр. Вода'!N211)</f>
        <v>28.380355084745759</v>
      </c>
      <c r="O119" s="3800">
        <f>SUM('Произв. прогр. Вода'!O211)</f>
        <v>28.380355084745762</v>
      </c>
      <c r="P119" s="3800">
        <f>SUM('Произв. прогр. Вода'!P211)</f>
        <v>28.380355084745762</v>
      </c>
      <c r="Q119" s="3787">
        <f>SUM('Произв. прогр. Вода'!Q211)</f>
        <v>28.380355084745762</v>
      </c>
      <c r="R119" s="3787">
        <f>SUM('Произв. прогр. Вода'!R211)</f>
        <v>28.380355084745759</v>
      </c>
      <c r="S119" s="3800">
        <f>SUM('Произв. прогр. Вода'!S211)</f>
        <v>28.380355084745766</v>
      </c>
      <c r="T119" s="3800">
        <f>SUM('Произв. прогр. Вода'!T211)</f>
        <v>28.380355084745766</v>
      </c>
      <c r="U119" s="3800">
        <f>SUM('Произв. прогр. Вода'!U211)</f>
        <v>28.380355084745766</v>
      </c>
      <c r="V119" s="3787">
        <f>SUM('Произв. прогр. Вода'!V211)</f>
        <v>28.380355084745762</v>
      </c>
      <c r="W119" s="3833">
        <f t="shared" ref="W119" si="76">SUM((W120*W113)+(W121*W114))/W112</f>
        <v>28.380355084745766</v>
      </c>
    </row>
    <row r="120" spans="1:23" ht="18.75">
      <c r="A120" s="3786" t="s">
        <v>391</v>
      </c>
      <c r="B120" s="3790">
        <f>SUM('Произв. прогр. Вода'!B212)</f>
        <v>27.796610169491526</v>
      </c>
      <c r="C120" s="3790">
        <f>SUM('Произв. прогр. Вода'!C212)</f>
        <v>27.796610169491526</v>
      </c>
      <c r="D120" s="3790">
        <f>SUM('Произв. прогр. Вода'!D212)</f>
        <v>0</v>
      </c>
      <c r="E120" s="3819">
        <f>SUM('Произв. прогр. Вода'!E212)</f>
        <v>27.796610169491526</v>
      </c>
      <c r="F120" s="3819">
        <f>SUM('Произв. прогр. Вода'!F212)</f>
        <v>27.796610169491526</v>
      </c>
      <c r="G120" s="3819">
        <f>SUM('Произв. прогр. Вода'!G212)</f>
        <v>27.796610169491526</v>
      </c>
      <c r="H120" s="3790">
        <f>SUM('Произв. прогр. Вода'!H212)</f>
        <v>27.796610169491526</v>
      </c>
      <c r="I120" s="3819">
        <f>SUM('Произв. прогр. Вода'!I212)</f>
        <v>27.796610169491526</v>
      </c>
      <c r="J120" s="3819">
        <f>SUM('Произв. прогр. Вода'!J212)</f>
        <v>27.796610169491526</v>
      </c>
      <c r="K120" s="3819">
        <f>SUM('Произв. прогр. Вода'!K212)</f>
        <v>27.796610169491526</v>
      </c>
      <c r="L120" s="3790">
        <f>SUM('Произв. прогр. Вода'!L212)</f>
        <v>27.796610169491526</v>
      </c>
      <c r="M120" s="3790">
        <f>SUM('Произв. прогр. Вода'!M212)</f>
        <v>27.796610169491526</v>
      </c>
      <c r="N120" s="3819">
        <f>SUM('Произв. прогр. Вода'!N212)</f>
        <v>27.796610169491526</v>
      </c>
      <c r="O120" s="3819">
        <f>SUM('Произв. прогр. Вода'!O212)</f>
        <v>27.796610169491526</v>
      </c>
      <c r="P120" s="3819">
        <f>SUM('Произв. прогр. Вода'!P212)</f>
        <v>27.796610169491526</v>
      </c>
      <c r="Q120" s="3790">
        <f>SUM('Произв. прогр. Вода'!Q212)</f>
        <v>27.796610169491526</v>
      </c>
      <c r="R120" s="3790">
        <f>SUM('Произв. прогр. Вода'!R212)</f>
        <v>27.796610169491526</v>
      </c>
      <c r="S120" s="3819">
        <f>SUM('Произв. прогр. Вода'!S212)</f>
        <v>27.796610169491526</v>
      </c>
      <c r="T120" s="3819">
        <f>SUM('Произв. прогр. Вода'!T212)</f>
        <v>27.796610169491526</v>
      </c>
      <c r="U120" s="3819">
        <f>SUM('Произв. прогр. Вода'!U212)</f>
        <v>27.796610169491526</v>
      </c>
      <c r="V120" s="3790">
        <f>SUM('Произв. прогр. Вода'!V212)</f>
        <v>27.796610169491526</v>
      </c>
      <c r="W120" s="3836">
        <f>SUM(E120)</f>
        <v>27.796610169491526</v>
      </c>
    </row>
    <row r="121" spans="1:23" ht="18.75">
      <c r="A121" s="3786" t="s">
        <v>1754</v>
      </c>
      <c r="B121" s="3790">
        <f>SUM('Произв. прогр. Вода'!B213)</f>
        <v>28.964099999999998</v>
      </c>
      <c r="C121" s="3790">
        <f>SUM('Произв. прогр. Вода'!C213)</f>
        <v>28.964099999999998</v>
      </c>
      <c r="D121" s="3790">
        <f>SUM('Произв. прогр. Вода'!D213)</f>
        <v>0</v>
      </c>
      <c r="E121" s="3819">
        <f>SUM('Произв. прогр. Вода'!E213)</f>
        <v>28.964099999999998</v>
      </c>
      <c r="F121" s="3819">
        <f>SUM('Произв. прогр. Вода'!F213)</f>
        <v>28.964099999999998</v>
      </c>
      <c r="G121" s="3819">
        <f>SUM('Произв. прогр. Вода'!G213)</f>
        <v>28.964099999999998</v>
      </c>
      <c r="H121" s="3790">
        <f>SUM('Произв. прогр. Вода'!H213)</f>
        <v>28.964099999999998</v>
      </c>
      <c r="I121" s="3819">
        <f>SUM('Произв. прогр. Вода'!I213)</f>
        <v>28.964099999999998</v>
      </c>
      <c r="J121" s="3819">
        <f>SUM('Произв. прогр. Вода'!J213)</f>
        <v>28.964099999999998</v>
      </c>
      <c r="K121" s="3819">
        <f>SUM('Произв. прогр. Вода'!K213)</f>
        <v>28.964099999999998</v>
      </c>
      <c r="L121" s="3790">
        <f>SUM('Произв. прогр. Вода'!L213)</f>
        <v>28.964099999999998</v>
      </c>
      <c r="M121" s="3790">
        <f>SUM('Произв. прогр. Вода'!M213)</f>
        <v>28.964099999999998</v>
      </c>
      <c r="N121" s="3819">
        <f>SUM('Произв. прогр. Вода'!N213)</f>
        <v>28.964099999999998</v>
      </c>
      <c r="O121" s="3819">
        <f>SUM('Произв. прогр. Вода'!O213)</f>
        <v>28.964099999999998</v>
      </c>
      <c r="P121" s="3819">
        <f>SUM('Произв. прогр. Вода'!P213)</f>
        <v>28.964099999999998</v>
      </c>
      <c r="Q121" s="3790">
        <f>SUM('Произв. прогр. Вода'!Q213)</f>
        <v>28.964099999999998</v>
      </c>
      <c r="R121" s="3790">
        <f>SUM('Произв. прогр. Вода'!R213)</f>
        <v>28.964099999999998</v>
      </c>
      <c r="S121" s="3819">
        <f>SUM('Произв. прогр. Вода'!S213)</f>
        <v>28.964099999999998</v>
      </c>
      <c r="T121" s="3819">
        <f>SUM('Произв. прогр. Вода'!T213)</f>
        <v>28.964099999999998</v>
      </c>
      <c r="U121" s="3819">
        <f>SUM('Произв. прогр. Вода'!U213)</f>
        <v>28.964099999999998</v>
      </c>
      <c r="V121" s="3790">
        <f>SUM('Произв. прогр. Вода'!V213)</f>
        <v>28.964099999999998</v>
      </c>
      <c r="W121" s="3836">
        <f>SUM(E121)</f>
        <v>28.964099999999998</v>
      </c>
    </row>
    <row r="122" spans="1:23" ht="18.75">
      <c r="A122" s="3826" t="s">
        <v>1760</v>
      </c>
      <c r="B122" s="3795">
        <f>SUM('Произв. прогр. Вода'!B214)</f>
        <v>1.0420011585365854</v>
      </c>
      <c r="C122" s="3795">
        <f>SUM('Произв. прогр. Вода'!C214)</f>
        <v>1.0420011585365854</v>
      </c>
      <c r="D122" s="3795">
        <f>SUM('Произв. прогр. Вода'!D214)</f>
        <v>0</v>
      </c>
      <c r="E122" s="3824">
        <f>SUM('Произв. прогр. Вода'!E214)</f>
        <v>1.0420011585365854</v>
      </c>
      <c r="F122" s="3824">
        <f>SUM('Произв. прогр. Вода'!F214)</f>
        <v>1.0420011585365854</v>
      </c>
      <c r="G122" s="3824">
        <f>SUM('Произв. прогр. Вода'!G214)</f>
        <v>1.0420011585365854</v>
      </c>
      <c r="H122" s="3795">
        <f>SUM('Произв. прогр. Вода'!H214)</f>
        <v>1.0420011585365854</v>
      </c>
      <c r="I122" s="3824">
        <f>SUM('Произв. прогр. Вода'!I214)</f>
        <v>1.0420011585365854</v>
      </c>
      <c r="J122" s="3824">
        <f>SUM('Произв. прогр. Вода'!J214)</f>
        <v>1.0420011585365854</v>
      </c>
      <c r="K122" s="3824">
        <f>SUM('Произв. прогр. Вода'!K214)</f>
        <v>1.0420011585365854</v>
      </c>
      <c r="L122" s="3795">
        <f>SUM('Произв. прогр. Вода'!L214)</f>
        <v>1.0420011585365854</v>
      </c>
      <c r="M122" s="3795">
        <f>SUM('Произв. прогр. Вода'!M214)</f>
        <v>1.0420011585365854</v>
      </c>
      <c r="N122" s="3824">
        <f>SUM('Произв. прогр. Вода'!N214)</f>
        <v>1.0420011585365854</v>
      </c>
      <c r="O122" s="3824">
        <f>SUM('Произв. прогр. Вода'!O214)</f>
        <v>1.0420011585365854</v>
      </c>
      <c r="P122" s="3824">
        <f>SUM('Произв. прогр. Вода'!P214)</f>
        <v>1.0420011585365854</v>
      </c>
      <c r="Q122" s="3795">
        <f>SUM('Произв. прогр. Вода'!Q214)</f>
        <v>1.0420011585365854</v>
      </c>
      <c r="R122" s="3795">
        <f>SUM('Произв. прогр. Вода'!R214)</f>
        <v>1.0420011585365854</v>
      </c>
      <c r="S122" s="3824">
        <f>SUM('Произв. прогр. Вода'!S214)</f>
        <v>1.0420011585365854</v>
      </c>
      <c r="T122" s="3824">
        <f>SUM('Произв. прогр. Вода'!T214)</f>
        <v>1.0420011585365854</v>
      </c>
      <c r="U122" s="3824">
        <f>SUM('Произв. прогр. Вода'!U214)</f>
        <v>1.0420011585365854</v>
      </c>
      <c r="V122" s="3795">
        <f>SUM('Произв. прогр. Вода'!V214)</f>
        <v>1.0420011585365854</v>
      </c>
      <c r="W122" s="3816">
        <f t="shared" ref="W122" si="77">SUM(W121/W120)</f>
        <v>1.0420011585365854</v>
      </c>
    </row>
    <row r="123" spans="1:23" ht="18.75">
      <c r="A123" s="3822" t="s">
        <v>1761</v>
      </c>
      <c r="B123" s="3787">
        <f>SUM('Произв. прогр. Вода'!B215)</f>
        <v>15465.164606085675</v>
      </c>
      <c r="C123" s="3787">
        <f>SUM('Произв. прогр. Вода'!C215)</f>
        <v>15465.164606085675</v>
      </c>
      <c r="D123" s="3787">
        <f>SUM('Произв. прогр. Вода'!D215)</f>
        <v>0</v>
      </c>
      <c r="E123" s="3800">
        <f>SUM('Произв. прогр. Вода'!E215)</f>
        <v>1330.0041561233679</v>
      </c>
      <c r="F123" s="3800">
        <f>SUM('Произв. прогр. Вода'!F215)</f>
        <v>1314.5389915172825</v>
      </c>
      <c r="G123" s="3800">
        <f>SUM('Произв. прогр. Вода'!G215)</f>
        <v>1320.7250573597166</v>
      </c>
      <c r="H123" s="3787">
        <f>SUM('Произв. прогр. Вода'!H215)</f>
        <v>3965.2682050003668</v>
      </c>
      <c r="I123" s="3800">
        <f>SUM('Произв. прогр. Вода'!I215)</f>
        <v>1303.7133762930225</v>
      </c>
      <c r="J123" s="3800">
        <f>SUM('Произв. прогр. Вода'!J215)</f>
        <v>1268.1434976990254</v>
      </c>
      <c r="K123" s="3800">
        <f>SUM('Произв. прогр. Вода'!K215)</f>
        <v>1220.2014874201595</v>
      </c>
      <c r="L123" s="3787">
        <f>SUM('Произв. прогр. Вода'!L215)</f>
        <v>3792.0583614122074</v>
      </c>
      <c r="M123" s="3787">
        <f>SUM('Произв. прогр. Вода'!M215)</f>
        <v>7757.3265664125738</v>
      </c>
      <c r="N123" s="3800">
        <f>SUM('Произв. прогр. Вода'!N215)</f>
        <v>1204.7363228140739</v>
      </c>
      <c r="O123" s="3800">
        <f>SUM('Произв. прогр. Вода'!O215)</f>
        <v>1254.2248495535482</v>
      </c>
      <c r="P123" s="3800">
        <f>SUM('Произв. прогр. Вода'!P215)</f>
        <v>1286.7016952263282</v>
      </c>
      <c r="Q123" s="3787">
        <f>SUM('Произв. прогр. Вода'!Q215)</f>
        <v>3745.6628675939501</v>
      </c>
      <c r="R123" s="3787">
        <f>SUM('Произв. прогр. Вода'!R215)</f>
        <v>11502.989434006524</v>
      </c>
      <c r="S123" s="3800">
        <f>SUM('Произв. прогр. Вода'!S215)</f>
        <v>1320.7250573597166</v>
      </c>
      <c r="T123" s="3800">
        <f>SUM('Произв. прогр. Вода'!T215)</f>
        <v>1320.7250573597166</v>
      </c>
      <c r="U123" s="3800">
        <f>SUM('Произв. прогр. Вода'!U215)</f>
        <v>1320.7250573597166</v>
      </c>
      <c r="V123" s="3787">
        <f>SUM('Произв. прогр. Вода'!V215)</f>
        <v>3962.1751720791499</v>
      </c>
      <c r="W123" s="3812">
        <f t="shared" ref="W123:W125" si="78">SUM(E123+F123+G123+I123+J123+K123+N123+O123+P123+S123+T123+U123)</f>
        <v>15465.164606085669</v>
      </c>
    </row>
    <row r="124" spans="1:23" ht="18.75">
      <c r="A124" s="3786" t="s">
        <v>391</v>
      </c>
      <c r="B124" s="3790">
        <f>SUM('Произв. прогр. Вода'!B216)</f>
        <v>7051.4023626583039</v>
      </c>
      <c r="C124" s="3790">
        <f>SUM('Произв. прогр. Вода'!C216)</f>
        <v>7051.4023626583039</v>
      </c>
      <c r="D124" s="3790">
        <f>SUM('Произв. прогр. Вода'!D216)</f>
        <v>0</v>
      </c>
      <c r="E124" s="3819">
        <f>SUM('Произв. прогр. Вода'!E216)</f>
        <v>606.42060318861411</v>
      </c>
      <c r="F124" s="3819">
        <f>SUM('Произв. прогр. Вода'!F216)</f>
        <v>599.36920082595589</v>
      </c>
      <c r="G124" s="3819">
        <f>SUM('Произв. прогр. Вода'!G216)</f>
        <v>602.18976177101911</v>
      </c>
      <c r="H124" s="3790">
        <f>SUM('Произв. прогр. Вода'!H216)</f>
        <v>1807.9795657855893</v>
      </c>
      <c r="I124" s="3819">
        <f>SUM('Произв. прогр. Вода'!I216)</f>
        <v>594.43321917209505</v>
      </c>
      <c r="J124" s="3819">
        <f>SUM('Произв. прогр. Вода'!J216)</f>
        <v>578.21499373798088</v>
      </c>
      <c r="K124" s="3819">
        <f>SUM('Произв. прогр. Вода'!K216)</f>
        <v>556.35564641374015</v>
      </c>
      <c r="L124" s="3790">
        <f>SUM('Произв. прогр. Вода'!L216)</f>
        <v>1729.003859323816</v>
      </c>
      <c r="M124" s="3790">
        <f>SUM('Произв. прогр. Вода'!M216)</f>
        <v>3536.9834251094053</v>
      </c>
      <c r="N124" s="3819">
        <f>SUM('Произв. прогр. Вода'!N216)</f>
        <v>549.30424405108181</v>
      </c>
      <c r="O124" s="3819">
        <f>SUM('Произв. прогр. Вода'!O216)</f>
        <v>571.86873161158837</v>
      </c>
      <c r="P124" s="3819">
        <f>SUM('Произв. прогр. Вода'!P216)</f>
        <v>586.67667657317088</v>
      </c>
      <c r="Q124" s="3790">
        <f>SUM('Произв. прогр. Вода'!Q216)</f>
        <v>1707.8496522358409</v>
      </c>
      <c r="R124" s="3790">
        <f>SUM('Произв. прогр. Вода'!R216)</f>
        <v>5244.8330773452462</v>
      </c>
      <c r="S124" s="3819">
        <f>SUM('Произв. прогр. Вода'!S216)</f>
        <v>602.18976177101911</v>
      </c>
      <c r="T124" s="3819">
        <f>SUM('Произв. прогр. Вода'!T216)</f>
        <v>602.18976177101911</v>
      </c>
      <c r="U124" s="3819">
        <f>SUM('Произв. прогр. Вода'!U216)</f>
        <v>602.18976177101911</v>
      </c>
      <c r="V124" s="3790">
        <f>SUM('Произв. прогр. Вода'!V216)</f>
        <v>1806.5692853130572</v>
      </c>
      <c r="W124" s="3814">
        <f t="shared" si="78"/>
        <v>7051.4023626583039</v>
      </c>
    </row>
    <row r="125" spans="1:23" ht="18.75">
      <c r="A125" s="3786" t="s">
        <v>1754</v>
      </c>
      <c r="B125" s="3790">
        <f>SUM('Произв. прогр. Вода'!B217)</f>
        <v>8413.7622434273708</v>
      </c>
      <c r="C125" s="3790">
        <f>SUM('Произв. прогр. Вода'!C217)</f>
        <v>8413.7622434273708</v>
      </c>
      <c r="D125" s="3790">
        <f>SUM('Произв. прогр. Вода'!D217)</f>
        <v>0</v>
      </c>
      <c r="E125" s="3819">
        <f>SUM('Произв. прогр. Вода'!E217)</f>
        <v>723.58355293475393</v>
      </c>
      <c r="F125" s="3819">
        <f>SUM('Произв. прогр. Вода'!F217)</f>
        <v>715.16979069132663</v>
      </c>
      <c r="G125" s="3819">
        <f>SUM('Произв. прогр. Вода'!G217)</f>
        <v>718.53529558869752</v>
      </c>
      <c r="H125" s="3790">
        <f>SUM('Произв. прогр. Вода'!H217)</f>
        <v>2157.288639214778</v>
      </c>
      <c r="I125" s="3819">
        <f>SUM('Произв. прогр. Вода'!I217)</f>
        <v>709.28015712092736</v>
      </c>
      <c r="J125" s="3819">
        <f>SUM('Произв. прогр. Вода'!J217)</f>
        <v>689.92850396104438</v>
      </c>
      <c r="K125" s="3819">
        <f>SUM('Произв. прогр. Вода'!K217)</f>
        <v>663.8458410064195</v>
      </c>
      <c r="L125" s="3790">
        <f>SUM('Произв. прогр. Вода'!L217)</f>
        <v>2063.054502088391</v>
      </c>
      <c r="M125" s="3790">
        <f>SUM('Произв. прогр. Вода'!M217)</f>
        <v>4220.3431413031685</v>
      </c>
      <c r="N125" s="3819">
        <f>SUM('Произв. прогр. Вода'!N217)</f>
        <v>655.43207876299221</v>
      </c>
      <c r="O125" s="3819">
        <f>SUM('Произв. прогр. Вода'!O217)</f>
        <v>682.35611794195972</v>
      </c>
      <c r="P125" s="3819">
        <f>SUM('Произв. прогр. Вода'!P217)</f>
        <v>700.0250186531573</v>
      </c>
      <c r="Q125" s="3790">
        <f>SUM('Произв. прогр. Вода'!Q217)</f>
        <v>2037.8132153581093</v>
      </c>
      <c r="R125" s="3790">
        <f>SUM('Произв. прогр. Вода'!R217)</f>
        <v>6258.1563566612776</v>
      </c>
      <c r="S125" s="3819">
        <f>SUM('Произв. прогр. Вода'!S217)</f>
        <v>718.53529558869752</v>
      </c>
      <c r="T125" s="3819">
        <f>SUM('Произв. прогр. Вода'!T217)</f>
        <v>718.53529558869752</v>
      </c>
      <c r="U125" s="3819">
        <f>SUM('Произв. прогр. Вода'!U217)</f>
        <v>718.53529558869752</v>
      </c>
      <c r="V125" s="3790">
        <f>SUM('Произв. прогр. Вода'!V217)</f>
        <v>2155.6058867660927</v>
      </c>
      <c r="W125" s="3814">
        <f t="shared" si="78"/>
        <v>8413.7622434273708</v>
      </c>
    </row>
    <row r="126" spans="1:23">
      <c r="A126" s="684"/>
      <c r="B126" s="684"/>
      <c r="C126" s="684"/>
      <c r="D126" s="684"/>
      <c r="E126" s="684"/>
      <c r="F126" s="684"/>
      <c r="G126" s="684"/>
      <c r="H126" s="684"/>
      <c r="I126" s="684"/>
      <c r="J126" s="684"/>
      <c r="K126" s="684"/>
      <c r="L126" s="684"/>
      <c r="M126" s="684"/>
      <c r="N126" s="684"/>
      <c r="O126" s="684"/>
      <c r="P126" s="684"/>
      <c r="Q126" s="684"/>
      <c r="R126" s="684"/>
      <c r="S126" s="684"/>
      <c r="T126" s="684"/>
      <c r="U126" s="684"/>
      <c r="V126" s="684"/>
    </row>
    <row r="127" spans="1:23">
      <c r="A127" s="684"/>
      <c r="B127" s="684"/>
      <c r="C127" s="684"/>
      <c r="D127" s="684"/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</row>
    <row r="128" spans="1:23" ht="18.75">
      <c r="A128" s="435" t="s">
        <v>1763</v>
      </c>
      <c r="B128" s="435"/>
      <c r="C128" s="435" t="s">
        <v>1764</v>
      </c>
      <c r="D128" s="684"/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</row>
    <row r="129" spans="1:22">
      <c r="A129" s="684"/>
      <c r="B129" s="684"/>
      <c r="C129" s="684"/>
      <c r="D129" s="684"/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</row>
  </sheetData>
  <mergeCells count="116"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I10:I11"/>
    <mergeCell ref="V10:V11"/>
    <mergeCell ref="W10:W11"/>
    <mergeCell ref="A25:V25"/>
    <mergeCell ref="A26:A27"/>
    <mergeCell ref="B26:B27"/>
    <mergeCell ref="C26:D26"/>
    <mergeCell ref="E26:E27"/>
    <mergeCell ref="F26:F27"/>
    <mergeCell ref="G26:G27"/>
    <mergeCell ref="H26:H27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U26:U27"/>
    <mergeCell ref="V26:V27"/>
    <mergeCell ref="W26:W27"/>
    <mergeCell ref="A42:V42"/>
    <mergeCell ref="A43:A44"/>
    <mergeCell ref="B43:B44"/>
    <mergeCell ref="C43:D43"/>
    <mergeCell ref="E43:E44"/>
    <mergeCell ref="F43:F44"/>
    <mergeCell ref="G43:G44"/>
    <mergeCell ref="O26:O27"/>
    <mergeCell ref="P26:P27"/>
    <mergeCell ref="Q26:Q27"/>
    <mergeCell ref="R26:R27"/>
    <mergeCell ref="S26:S27"/>
    <mergeCell ref="T26:T27"/>
    <mergeCell ref="I26:I27"/>
    <mergeCell ref="J26:J27"/>
    <mergeCell ref="K26:K27"/>
    <mergeCell ref="L26:L27"/>
    <mergeCell ref="M26:M27"/>
    <mergeCell ref="N26:N27"/>
    <mergeCell ref="T43:T44"/>
    <mergeCell ref="U43:U44"/>
    <mergeCell ref="V43:V44"/>
    <mergeCell ref="W43:W44"/>
    <mergeCell ref="A80:V80"/>
    <mergeCell ref="A81:A82"/>
    <mergeCell ref="B81:B82"/>
    <mergeCell ref="C81:D81"/>
    <mergeCell ref="E81:E82"/>
    <mergeCell ref="F81:F82"/>
    <mergeCell ref="N43:N44"/>
    <mergeCell ref="O43:O44"/>
    <mergeCell ref="P43:P44"/>
    <mergeCell ref="Q43:Q44"/>
    <mergeCell ref="R43:R44"/>
    <mergeCell ref="S43:S44"/>
    <mergeCell ref="H43:H44"/>
    <mergeCell ref="I43:I44"/>
    <mergeCell ref="J43:J44"/>
    <mergeCell ref="K43:K44"/>
    <mergeCell ref="L43:L44"/>
    <mergeCell ref="M43:M44"/>
    <mergeCell ref="S81:S82"/>
    <mergeCell ref="T81:T82"/>
    <mergeCell ref="U81:U82"/>
    <mergeCell ref="V81:V82"/>
    <mergeCell ref="W81:W82"/>
    <mergeCell ref="A103:V103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H104:H105"/>
    <mergeCell ref="I104:I105"/>
    <mergeCell ref="J104:J105"/>
    <mergeCell ref="K104:K105"/>
    <mergeCell ref="L104:L105"/>
    <mergeCell ref="M104:M105"/>
    <mergeCell ref="A104:A105"/>
    <mergeCell ref="B104:B105"/>
    <mergeCell ref="C104:D104"/>
    <mergeCell ref="E104:E105"/>
    <mergeCell ref="F104:F105"/>
    <mergeCell ref="G104:G105"/>
    <mergeCell ref="T104:T105"/>
    <mergeCell ref="U104:U105"/>
    <mergeCell ref="V104:V105"/>
    <mergeCell ref="W104:W105"/>
    <mergeCell ref="N104:N105"/>
    <mergeCell ref="O104:O105"/>
    <mergeCell ref="P104:P105"/>
    <mergeCell ref="Q104:Q105"/>
    <mergeCell ref="R104:R105"/>
    <mergeCell ref="S104:S105"/>
  </mergeCells>
  <printOptions horizontalCentered="1"/>
  <pageMargins left="0.35433070866141736" right="0.35433070866141736" top="0.19685039370078741" bottom="0.19685039370078741" header="0" footer="0"/>
  <pageSetup paperSize="9" scale="46" fitToHeight="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X230"/>
  <sheetViews>
    <sheetView zoomScale="55" zoomScaleNormal="55" zoomScalePageLayoutView="90" workbookViewId="0">
      <pane xSplit="1" ySplit="10" topLeftCell="B11" activePane="bottomRight" state="frozen"/>
      <selection pane="topRight" activeCell="K1" sqref="K1"/>
      <selection pane="bottomLeft" activeCell="A12" sqref="A12"/>
      <selection pane="bottomRight" activeCell="M12" sqref="M12"/>
    </sheetView>
  </sheetViews>
  <sheetFormatPr defaultRowHeight="12.75"/>
  <cols>
    <col min="1" max="1" width="52.140625" customWidth="1"/>
    <col min="2" max="2" width="20" customWidth="1"/>
    <col min="3" max="3" width="13.7109375" customWidth="1"/>
    <col min="4" max="22" width="11.7109375" customWidth="1"/>
    <col min="23" max="23" width="11.5703125" customWidth="1"/>
  </cols>
  <sheetData>
    <row r="1" spans="1:50" ht="23.25">
      <c r="J1" s="3777"/>
      <c r="Q1" s="3778"/>
      <c r="R1" s="3778" t="s">
        <v>1724</v>
      </c>
      <c r="S1" s="3778"/>
      <c r="T1" s="2298"/>
    </row>
    <row r="2" spans="1:50" ht="23.25">
      <c r="J2" s="3777"/>
      <c r="Q2" s="3778"/>
      <c r="R2" s="3778" t="s">
        <v>1779</v>
      </c>
      <c r="S2" s="3778"/>
      <c r="T2" s="2298"/>
    </row>
    <row r="3" spans="1:50" ht="31.5" customHeight="1">
      <c r="J3" s="3777"/>
      <c r="K3" s="3779"/>
      <c r="Q3" s="3778"/>
      <c r="R3" s="3778" t="s">
        <v>1780</v>
      </c>
      <c r="S3" s="3778"/>
      <c r="T3" s="2298"/>
    </row>
    <row r="4" spans="1:50" ht="31.5" customHeight="1">
      <c r="A4" s="684"/>
      <c r="B4" s="684"/>
      <c r="C4" s="684"/>
      <c r="D4" s="684"/>
      <c r="E4" s="684"/>
      <c r="F4" s="684"/>
      <c r="G4" s="684"/>
      <c r="H4" s="684"/>
      <c r="I4" s="684"/>
      <c r="J4" s="3777"/>
      <c r="K4" s="684"/>
      <c r="L4" s="684"/>
      <c r="M4" s="684"/>
      <c r="N4" s="684"/>
      <c r="O4" s="684"/>
      <c r="P4" s="684"/>
      <c r="Q4" s="3778"/>
      <c r="R4" s="3778" t="s">
        <v>1781</v>
      </c>
      <c r="S4" s="3778"/>
      <c r="T4" s="684"/>
      <c r="U4" s="684"/>
      <c r="V4" s="684"/>
    </row>
    <row r="5" spans="1:50">
      <c r="A5" s="684"/>
      <c r="B5" s="3780">
        <f>SUM(E5+F5+G5+I5+J5+K5+N5+O5+P5+S5+T5+U5)</f>
        <v>0.99999999999999978</v>
      </c>
      <c r="C5" s="3781"/>
      <c r="D5" s="3781"/>
      <c r="E5" s="3780">
        <f>SUM(E17/B17)</f>
        <v>8.5008138976390715E-2</v>
      </c>
      <c r="F5" s="3780">
        <f>SUM(F17/B17)</f>
        <v>8.5134035273460723E-2</v>
      </c>
      <c r="G5" s="3780">
        <f>SUM(G17/B17)</f>
        <v>8.545361410938429E-2</v>
      </c>
      <c r="H5" s="3780">
        <f>SUM(H17/B17)</f>
        <v>0.25559578835923574</v>
      </c>
      <c r="I5" s="3780">
        <f>SUM(I17/B17)</f>
        <v>8.4273192945307843E-2</v>
      </c>
      <c r="J5" s="3780">
        <f>SUM(J17/B17)</f>
        <v>8.261656225791926E-2</v>
      </c>
      <c r="K5" s="3780">
        <f>SUM(K17/B17)</f>
        <v>7.9677404586072129E-2</v>
      </c>
      <c r="L5" s="3780">
        <f>SUM(L17/B17)</f>
        <v>0.24656715978929925</v>
      </c>
      <c r="M5" s="3780">
        <f>SUM(M17/B17)</f>
        <v>0.50216294814853502</v>
      </c>
      <c r="N5" s="3780">
        <f>SUM(N17/B17)</f>
        <v>7.7524701234310003E-2</v>
      </c>
      <c r="O5" s="3780">
        <f>SUM(O17/B17)</f>
        <v>8.026898130454356E-2</v>
      </c>
      <c r="P5" s="3780">
        <f>SUM(P17/B17)</f>
        <v>8.368252698445855E-2</v>
      </c>
      <c r="Q5" s="3780">
        <f>SUM(Q17/B17)</f>
        <v>0.24147620952331211</v>
      </c>
      <c r="R5" s="3780">
        <f>SUM(R17/B17)</f>
        <v>0.74363915767184718</v>
      </c>
      <c r="S5" s="3780">
        <f>SUM(S17/B17)</f>
        <v>8.545361410938429E-2</v>
      </c>
      <c r="T5" s="3780">
        <f>SUM(T17/B17)</f>
        <v>8.545361410938429E-2</v>
      </c>
      <c r="U5" s="3780">
        <f>SUM(U17/B17)</f>
        <v>8.545361410938429E-2</v>
      </c>
      <c r="V5" s="3780">
        <f>SUM(V17/B17)</f>
        <v>0.25636084232815287</v>
      </c>
      <c r="W5" s="3782">
        <f>SUM(W17/B17)</f>
        <v>1.0000000000000002</v>
      </c>
      <c r="X5" s="2477"/>
      <c r="Y5" s="2477"/>
    </row>
    <row r="6" spans="1:50" ht="23.25">
      <c r="A6" s="4412" t="s">
        <v>1783</v>
      </c>
      <c r="B6" s="4412"/>
      <c r="C6" s="4412"/>
      <c r="D6" s="4412"/>
      <c r="E6" s="4412"/>
      <c r="F6" s="4412"/>
      <c r="G6" s="4413"/>
      <c r="H6" s="4413"/>
      <c r="I6" s="4413"/>
      <c r="J6" s="4413"/>
      <c r="K6" s="4413"/>
      <c r="L6" s="4413"/>
      <c r="M6" s="4413"/>
      <c r="N6" s="4413"/>
      <c r="O6" s="4413"/>
      <c r="P6" s="4413"/>
      <c r="Q6" s="4413"/>
      <c r="R6" s="4413"/>
      <c r="S6" s="4413"/>
      <c r="T6" s="4413"/>
      <c r="U6" s="4413"/>
      <c r="V6" s="4413"/>
    </row>
    <row r="7" spans="1:50" collapsed="1">
      <c r="A7" s="684"/>
      <c r="B7" s="684"/>
      <c r="C7" s="684"/>
      <c r="D7" s="684"/>
      <c r="E7" s="684"/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</row>
    <row r="8" spans="1:50" ht="18.75">
      <c r="A8" s="4414" t="s">
        <v>1725</v>
      </c>
      <c r="B8" s="4415"/>
      <c r="C8" s="4415"/>
      <c r="D8" s="4415"/>
      <c r="E8" s="4415"/>
      <c r="F8" s="4415"/>
      <c r="G8" s="4415"/>
      <c r="H8" s="4415"/>
      <c r="I8" s="4415"/>
      <c r="J8" s="4415"/>
      <c r="K8" s="4415"/>
      <c r="L8" s="4415"/>
      <c r="M8" s="4415"/>
      <c r="N8" s="4415"/>
      <c r="O8" s="4415"/>
      <c r="P8" s="4415"/>
      <c r="Q8" s="4415"/>
      <c r="R8" s="4415"/>
      <c r="S8" s="4415"/>
      <c r="T8" s="4415"/>
      <c r="U8" s="4415"/>
      <c r="V8" s="4415"/>
      <c r="W8" s="3783"/>
    </row>
    <row r="9" spans="1:50" ht="18.75">
      <c r="A9" s="4396" t="s">
        <v>546</v>
      </c>
      <c r="B9" s="4389" t="s">
        <v>1782</v>
      </c>
      <c r="C9" s="4389" t="s">
        <v>576</v>
      </c>
      <c r="D9" s="4389"/>
      <c r="E9" s="4383" t="s">
        <v>587</v>
      </c>
      <c r="F9" s="4383" t="s">
        <v>588</v>
      </c>
      <c r="G9" s="4383" t="s">
        <v>589</v>
      </c>
      <c r="H9" s="4384" t="s">
        <v>601</v>
      </c>
      <c r="I9" s="4383" t="s">
        <v>590</v>
      </c>
      <c r="J9" s="4383" t="s">
        <v>591</v>
      </c>
      <c r="K9" s="4383" t="s">
        <v>592</v>
      </c>
      <c r="L9" s="4384" t="s">
        <v>600</v>
      </c>
      <c r="M9" s="4384" t="s">
        <v>599</v>
      </c>
      <c r="N9" s="4383" t="s">
        <v>593</v>
      </c>
      <c r="O9" s="4383" t="s">
        <v>594</v>
      </c>
      <c r="P9" s="4383" t="s">
        <v>595</v>
      </c>
      <c r="Q9" s="4384" t="s">
        <v>225</v>
      </c>
      <c r="R9" s="4384" t="s">
        <v>229</v>
      </c>
      <c r="S9" s="4383" t="s">
        <v>596</v>
      </c>
      <c r="T9" s="4383" t="s">
        <v>597</v>
      </c>
      <c r="U9" s="4383" t="s">
        <v>598</v>
      </c>
      <c r="V9" s="4384" t="s">
        <v>135</v>
      </c>
      <c r="W9" s="4385" t="s">
        <v>602</v>
      </c>
      <c r="X9" s="435"/>
      <c r="Y9" s="435"/>
      <c r="Z9" s="435"/>
      <c r="AA9" s="435"/>
      <c r="AB9" s="435"/>
      <c r="AC9" s="435"/>
      <c r="AD9" s="435"/>
      <c r="AE9" s="435"/>
      <c r="AF9" s="435"/>
      <c r="AG9" s="435"/>
      <c r="AH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</row>
    <row r="10" spans="1:50" ht="37.5">
      <c r="A10" s="4397"/>
      <c r="B10" s="4389"/>
      <c r="C10" s="3784" t="s">
        <v>1554</v>
      </c>
      <c r="D10" s="3784" t="s">
        <v>1555</v>
      </c>
      <c r="E10" s="4383"/>
      <c r="F10" s="4383"/>
      <c r="G10" s="4383"/>
      <c r="H10" s="4384"/>
      <c r="I10" s="4383"/>
      <c r="J10" s="4383"/>
      <c r="K10" s="4383"/>
      <c r="L10" s="4384"/>
      <c r="M10" s="4384"/>
      <c r="N10" s="4383"/>
      <c r="O10" s="4383"/>
      <c r="P10" s="4383"/>
      <c r="Q10" s="4384"/>
      <c r="R10" s="4384"/>
      <c r="S10" s="4383"/>
      <c r="T10" s="4383"/>
      <c r="U10" s="4383"/>
      <c r="V10" s="4384"/>
      <c r="W10" s="438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</row>
    <row r="11" spans="1:50" ht="18.75">
      <c r="A11" s="3785" t="s">
        <v>1726</v>
      </c>
      <c r="B11" s="3787">
        <f>SUM(C11:D11)</f>
        <v>5570.6850000000004</v>
      </c>
      <c r="C11" s="3787">
        <f>SUM(объемы!AF39)</f>
        <v>5550.3360000000002</v>
      </c>
      <c r="D11" s="3787">
        <f>SUM(объемы!AF40)</f>
        <v>20.349</v>
      </c>
      <c r="E11" s="3896">
        <f>SUM(B11*E5)</f>
        <v>473.55356467369512</v>
      </c>
      <c r="F11" s="3896">
        <f>SUM(B11*F5)</f>
        <v>474.25489328733858</v>
      </c>
      <c r="G11" s="3896">
        <f>SUM(B11*G5)</f>
        <v>476.03516631493545</v>
      </c>
      <c r="H11" s="3787">
        <f t="shared" ref="H11:H23" si="0">SUM(E11+F11+G11)</f>
        <v>1423.8436242759692</v>
      </c>
      <c r="I11" s="3896">
        <f>SUM(B11*I5)</f>
        <v>469.45941184253223</v>
      </c>
      <c r="J11" s="3896">
        <f>SUM(B11*J5)</f>
        <v>460.230844121757</v>
      </c>
      <c r="K11" s="3896">
        <f>SUM(B11*K5)</f>
        <v>443.85772256656327</v>
      </c>
      <c r="L11" s="3787">
        <f t="shared" ref="L11:L12" si="1">SUM(I11+J11+K11)</f>
        <v>1373.5479785308526</v>
      </c>
      <c r="M11" s="3787">
        <f t="shared" ref="M11:M12" si="2">SUM(H11+L11)</f>
        <v>2797.3916028068215</v>
      </c>
      <c r="N11" s="3896">
        <f>SUM(B11*N5)</f>
        <v>431.86569029545223</v>
      </c>
      <c r="O11" s="3896">
        <f>SUM(B11*O5)</f>
        <v>447.15321011850125</v>
      </c>
      <c r="P11" s="3896">
        <f>SUM(B11*P5)</f>
        <v>466.16899783441852</v>
      </c>
      <c r="Q11" s="3787">
        <f t="shared" ref="Q11:Q12" si="3">SUM(N11+O11+P11)</f>
        <v>1345.187898248372</v>
      </c>
      <c r="R11" s="3787">
        <f t="shared" ref="R11:R12" si="4">SUM(M11+Q11)</f>
        <v>4142.5795010551938</v>
      </c>
      <c r="S11" s="3896">
        <f>SUM(B11*S5)</f>
        <v>476.03516631493545</v>
      </c>
      <c r="T11" s="3896">
        <f>SUM(B11*T5)</f>
        <v>476.03516631493545</v>
      </c>
      <c r="U11" s="3896">
        <f>SUM(B11*U5)</f>
        <v>476.03516631493545</v>
      </c>
      <c r="V11" s="3787">
        <f t="shared" ref="V11:V23" si="5">SUM(S11+T11+U11)</f>
        <v>1428.1054989448064</v>
      </c>
      <c r="W11" s="3788">
        <f t="shared" ref="W11:W15" si="6">SUM(E11+F11+G11+I11+J11+K11+N11+O11+P11+S11+T11+U11)</f>
        <v>5570.6850000000013</v>
      </c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</row>
    <row r="12" spans="1:50" ht="18.75">
      <c r="A12" s="3789" t="s">
        <v>20</v>
      </c>
      <c r="B12" s="3790">
        <f t="shared" ref="B12:B19" si="7">SUM(C12:D12)</f>
        <v>854.197</v>
      </c>
      <c r="C12" s="3790">
        <f>SUM(объемы!AF41)</f>
        <v>854.197</v>
      </c>
      <c r="D12" s="3790">
        <v>0</v>
      </c>
      <c r="E12" s="3791">
        <f>SUM(B12/12)</f>
        <v>71.183083333333329</v>
      </c>
      <c r="F12" s="3791">
        <f>SUM(E12)</f>
        <v>71.183083333333329</v>
      </c>
      <c r="G12" s="3791">
        <f>SUM(F12)</f>
        <v>71.183083333333329</v>
      </c>
      <c r="H12" s="3790">
        <f t="shared" si="0"/>
        <v>213.54924999999997</v>
      </c>
      <c r="I12" s="3791">
        <f>SUM(E12)</f>
        <v>71.183083333333329</v>
      </c>
      <c r="J12" s="3791">
        <f>SUM(E12)</f>
        <v>71.183083333333329</v>
      </c>
      <c r="K12" s="3791">
        <f>SUM(E12)</f>
        <v>71.183083333333329</v>
      </c>
      <c r="L12" s="3790">
        <f t="shared" si="1"/>
        <v>213.54924999999997</v>
      </c>
      <c r="M12" s="3790">
        <f t="shared" si="2"/>
        <v>427.09849999999994</v>
      </c>
      <c r="N12" s="3791">
        <f>SUM(E12)</f>
        <v>71.183083333333329</v>
      </c>
      <c r="O12" s="3791">
        <f>SUM(E12)</f>
        <v>71.183083333333329</v>
      </c>
      <c r="P12" s="3791">
        <f>SUM(E12)</f>
        <v>71.183083333333329</v>
      </c>
      <c r="Q12" s="3790">
        <f t="shared" si="3"/>
        <v>213.54924999999997</v>
      </c>
      <c r="R12" s="3790">
        <f t="shared" si="4"/>
        <v>640.64774999999986</v>
      </c>
      <c r="S12" s="3791">
        <f>SUM(E12)</f>
        <v>71.183083333333329</v>
      </c>
      <c r="T12" s="3791">
        <f>SUM(E12)</f>
        <v>71.183083333333329</v>
      </c>
      <c r="U12" s="3791">
        <f>SUM(E12)</f>
        <v>71.183083333333329</v>
      </c>
      <c r="V12" s="3790">
        <f t="shared" si="5"/>
        <v>213.54924999999997</v>
      </c>
      <c r="W12" s="3792">
        <f t="shared" si="6"/>
        <v>854.197</v>
      </c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</row>
    <row r="13" spans="1:50" ht="18.75">
      <c r="A13" s="3793" t="s">
        <v>389</v>
      </c>
      <c r="B13" s="3794">
        <f>SUM(B12/B11)</f>
        <v>0.15333787496510751</v>
      </c>
      <c r="C13" s="3795">
        <f>SUM(C12/C11)</f>
        <v>0.15390005217702135</v>
      </c>
      <c r="D13" s="3795">
        <f>SUM(D12/D11)</f>
        <v>0</v>
      </c>
      <c r="E13" s="3796">
        <f t="shared" ref="E13:W13" si="8">SUM(E12/E11)</f>
        <v>0.15031685672640319</v>
      </c>
      <c r="F13" s="3796">
        <f t="shared" si="8"/>
        <v>0.15009456800734658</v>
      </c>
      <c r="G13" s="3796">
        <f t="shared" si="8"/>
        <v>0.14953324537843074</v>
      </c>
      <c r="H13" s="3795">
        <f t="shared" si="8"/>
        <v>0.14998083101196644</v>
      </c>
      <c r="I13" s="3796">
        <f t="shared" si="8"/>
        <v>0.15162776916955242</v>
      </c>
      <c r="J13" s="3796">
        <f t="shared" si="8"/>
        <v>0.15466821540214151</v>
      </c>
      <c r="K13" s="3796">
        <f t="shared" si="8"/>
        <v>0.16037365064130057</v>
      </c>
      <c r="L13" s="3795">
        <f t="shared" si="8"/>
        <v>0.15547272708188348</v>
      </c>
      <c r="M13" s="3795">
        <f t="shared" si="8"/>
        <v>0.15267740832976753</v>
      </c>
      <c r="N13" s="3796">
        <f t="shared" si="8"/>
        <v>0.16482690089280966</v>
      </c>
      <c r="O13" s="3796">
        <f t="shared" si="8"/>
        <v>0.15919170817194606</v>
      </c>
      <c r="P13" s="3796">
        <f t="shared" si="8"/>
        <v>0.15269802081222333</v>
      </c>
      <c r="Q13" s="3795">
        <f t="shared" si="8"/>
        <v>0.15875049892886473</v>
      </c>
      <c r="R13" s="3795">
        <f t="shared" si="8"/>
        <v>0.15464947621085237</v>
      </c>
      <c r="S13" s="3796">
        <f t="shared" si="8"/>
        <v>0.14953324537843074</v>
      </c>
      <c r="T13" s="3796">
        <f t="shared" si="8"/>
        <v>0.14953324537843074</v>
      </c>
      <c r="U13" s="3796">
        <f t="shared" si="8"/>
        <v>0.14953324537843074</v>
      </c>
      <c r="V13" s="3795">
        <f t="shared" si="8"/>
        <v>0.14953324537843071</v>
      </c>
      <c r="W13" s="3860">
        <f t="shared" si="8"/>
        <v>0.15333787496510748</v>
      </c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  <c r="AV13" s="435"/>
      <c r="AW13" s="435"/>
      <c r="AX13" s="435"/>
    </row>
    <row r="14" spans="1:50" ht="18.75">
      <c r="A14" s="3785" t="s">
        <v>1727</v>
      </c>
      <c r="B14" s="3787">
        <f t="shared" si="7"/>
        <v>4716.4880000000003</v>
      </c>
      <c r="C14" s="3787">
        <f>SUM(C11-C12)</f>
        <v>4696.1390000000001</v>
      </c>
      <c r="D14" s="3787">
        <f>SUM(D11-D12)</f>
        <v>20.349</v>
      </c>
      <c r="E14" s="3896">
        <f t="shared" ref="E14:U14" si="9">SUM(E11-E12)</f>
        <v>402.37048134036178</v>
      </c>
      <c r="F14" s="3896">
        <f t="shared" si="9"/>
        <v>403.07180995400523</v>
      </c>
      <c r="G14" s="3896">
        <f t="shared" si="9"/>
        <v>404.85208298160211</v>
      </c>
      <c r="H14" s="3797">
        <f t="shared" si="0"/>
        <v>1210.2943742759692</v>
      </c>
      <c r="I14" s="3896">
        <f t="shared" si="9"/>
        <v>398.27632850919889</v>
      </c>
      <c r="J14" s="3896">
        <f t="shared" si="9"/>
        <v>389.04776078842366</v>
      </c>
      <c r="K14" s="3896">
        <f t="shared" si="9"/>
        <v>372.67463923322993</v>
      </c>
      <c r="L14" s="3797">
        <f t="shared" ref="L14:L15" si="10">SUM(I14+J14+K14)</f>
        <v>1159.9987285308525</v>
      </c>
      <c r="M14" s="3797">
        <f t="shared" ref="M14:M15" si="11">SUM(H14+L14)</f>
        <v>2370.2931028068215</v>
      </c>
      <c r="N14" s="3896">
        <f t="shared" si="9"/>
        <v>360.68260696211888</v>
      </c>
      <c r="O14" s="3896">
        <f t="shared" si="9"/>
        <v>375.97012678516791</v>
      </c>
      <c r="P14" s="3896">
        <f t="shared" si="9"/>
        <v>394.98591450108518</v>
      </c>
      <c r="Q14" s="3797">
        <f t="shared" ref="Q14:Q15" si="12">SUM(N14+O14+P14)</f>
        <v>1131.638648248372</v>
      </c>
      <c r="R14" s="3797">
        <f t="shared" ref="R14:R15" si="13">SUM(M14+Q14)</f>
        <v>3501.9317510551937</v>
      </c>
      <c r="S14" s="3896">
        <f t="shared" si="9"/>
        <v>404.85208298160211</v>
      </c>
      <c r="T14" s="3896">
        <f t="shared" si="9"/>
        <v>404.85208298160211</v>
      </c>
      <c r="U14" s="3896">
        <f t="shared" si="9"/>
        <v>404.85208298160211</v>
      </c>
      <c r="V14" s="3797">
        <f t="shared" si="5"/>
        <v>1214.5562489448064</v>
      </c>
      <c r="W14" s="3788">
        <f t="shared" si="6"/>
        <v>4716.4880000000003</v>
      </c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  <c r="AV14" s="435"/>
      <c r="AW14" s="435"/>
      <c r="AX14" s="435"/>
    </row>
    <row r="15" spans="1:50" ht="18.75">
      <c r="A15" s="3789" t="s">
        <v>51</v>
      </c>
      <c r="B15" s="3790">
        <f t="shared" si="7"/>
        <v>925.13900000000012</v>
      </c>
      <c r="C15" s="3790">
        <f>SUM(объемы!AF46)</f>
        <v>925.13900000000012</v>
      </c>
      <c r="D15" s="3897">
        <v>0</v>
      </c>
      <c r="E15" s="3798">
        <f>SUM(E14-E17)</f>
        <v>80.074958640361785</v>
      </c>
      <c r="F15" s="3798">
        <f t="shared" ref="F15:G15" si="14">SUM(F14-F17)</f>
        <v>80.2989704540052</v>
      </c>
      <c r="G15" s="3798">
        <f t="shared" si="14"/>
        <v>80.867608581602099</v>
      </c>
      <c r="H15" s="3799">
        <f t="shared" si="0"/>
        <v>241.24153767596908</v>
      </c>
      <c r="I15" s="3798">
        <f t="shared" ref="I15:K15" si="15">SUM(I14-I17)</f>
        <v>78.767242709198911</v>
      </c>
      <c r="J15" s="3798">
        <f t="shared" si="15"/>
        <v>75.819540088423707</v>
      </c>
      <c r="K15" s="3798">
        <f t="shared" si="15"/>
        <v>70.589791033229915</v>
      </c>
      <c r="L15" s="3799">
        <f t="shared" si="10"/>
        <v>225.17657383085253</v>
      </c>
      <c r="M15" s="3799">
        <f t="shared" si="11"/>
        <v>466.41811150682162</v>
      </c>
      <c r="N15" s="3798">
        <f t="shared" ref="N15:P15" si="16">SUM(N14-N17)</f>
        <v>66.75940846211887</v>
      </c>
      <c r="O15" s="3798">
        <f t="shared" si="16"/>
        <v>71.642404785167969</v>
      </c>
      <c r="P15" s="3798">
        <f t="shared" si="16"/>
        <v>77.716249501085201</v>
      </c>
      <c r="Q15" s="3799">
        <f t="shared" si="12"/>
        <v>216.11806274837204</v>
      </c>
      <c r="R15" s="3799">
        <f t="shared" si="13"/>
        <v>682.5361742551936</v>
      </c>
      <c r="S15" s="3798">
        <f t="shared" ref="S15:U15" si="17">SUM(S14-S17)</f>
        <v>80.867608581602099</v>
      </c>
      <c r="T15" s="3798">
        <f t="shared" si="17"/>
        <v>80.867608581602099</v>
      </c>
      <c r="U15" s="3798">
        <f t="shared" si="17"/>
        <v>80.867608581602099</v>
      </c>
      <c r="V15" s="3799">
        <f t="shared" si="5"/>
        <v>242.6028257448063</v>
      </c>
      <c r="W15" s="3792">
        <f t="shared" si="6"/>
        <v>925.1389999999999</v>
      </c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  <c r="AV15" s="435"/>
      <c r="AW15" s="435"/>
      <c r="AX15" s="435"/>
    </row>
    <row r="16" spans="1:50" ht="18.75" customHeight="1">
      <c r="A16" s="3793" t="s">
        <v>117</v>
      </c>
      <c r="B16" s="3794">
        <f>SUM(B15/B14)</f>
        <v>0.19614997430291353</v>
      </c>
      <c r="C16" s="3795">
        <f>SUM(C15/C14)</f>
        <v>0.19699991844364065</v>
      </c>
      <c r="D16" s="3795">
        <f>SUM(D15/D14)</f>
        <v>0</v>
      </c>
      <c r="E16" s="3796">
        <f t="shared" ref="E16:W16" si="18">SUM(E15/E14)</f>
        <v>0.19900803451987586</v>
      </c>
      <c r="F16" s="3796">
        <f t="shared" si="18"/>
        <v>0.19921753015465946</v>
      </c>
      <c r="G16" s="3796">
        <f t="shared" si="18"/>
        <v>0.19974606030439271</v>
      </c>
      <c r="H16" s="3795">
        <f t="shared" si="18"/>
        <v>0.19932467902305692</v>
      </c>
      <c r="I16" s="3796">
        <f t="shared" si="18"/>
        <v>0.19777033449121906</v>
      </c>
      <c r="J16" s="3796">
        <f t="shared" si="18"/>
        <v>0.19488491576142689</v>
      </c>
      <c r="K16" s="3796">
        <f t="shared" si="18"/>
        <v>0.18941399172872855</v>
      </c>
      <c r="L16" s="3795">
        <f t="shared" si="18"/>
        <v>0.19411794883261677</v>
      </c>
      <c r="M16" s="3795">
        <f t="shared" si="18"/>
        <v>0.19677655516716686</v>
      </c>
      <c r="N16" s="3796">
        <f t="shared" si="18"/>
        <v>0.18509184300403583</v>
      </c>
      <c r="O16" s="3796">
        <f t="shared" si="18"/>
        <v>0.19055345007797644</v>
      </c>
      <c r="P16" s="3796">
        <f t="shared" si="18"/>
        <v>0.19675701499191481</v>
      </c>
      <c r="Q16" s="3795">
        <f t="shared" si="18"/>
        <v>0.19097797966064028</v>
      </c>
      <c r="R16" s="3795">
        <f t="shared" si="18"/>
        <v>0.19490276303915216</v>
      </c>
      <c r="S16" s="3796">
        <f t="shared" si="18"/>
        <v>0.19974606030439271</v>
      </c>
      <c r="T16" s="3796">
        <f t="shared" si="18"/>
        <v>0.19974606030439271</v>
      </c>
      <c r="U16" s="3796">
        <f t="shared" si="18"/>
        <v>0.19974606030439271</v>
      </c>
      <c r="V16" s="3795">
        <f t="shared" si="18"/>
        <v>0.19974606030439271</v>
      </c>
      <c r="W16" s="3860">
        <f t="shared" si="18"/>
        <v>0.19614997430291348</v>
      </c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  <c r="AV16" s="435"/>
      <c r="AW16" s="435"/>
      <c r="AX16" s="435"/>
    </row>
    <row r="17" spans="1:50" ht="18.75">
      <c r="A17" s="3785" t="s">
        <v>1728</v>
      </c>
      <c r="B17" s="3787">
        <f>SUM(B18+B19+B21)</f>
        <v>3791.3490000000002</v>
      </c>
      <c r="C17" s="3787">
        <f>SUM(C18+C19+C21)</f>
        <v>3771</v>
      </c>
      <c r="D17" s="3787">
        <f>SUM(D18+D19+D21)</f>
        <v>20.349</v>
      </c>
      <c r="E17" s="3800">
        <f t="shared" ref="E17:G17" si="19">SUM(E18+E19+E21)</f>
        <v>322.29552269999999</v>
      </c>
      <c r="F17" s="3800">
        <f t="shared" si="19"/>
        <v>322.77283950000003</v>
      </c>
      <c r="G17" s="3800">
        <f t="shared" si="19"/>
        <v>323.98447440000001</v>
      </c>
      <c r="H17" s="3797">
        <f t="shared" si="0"/>
        <v>969.05283660000009</v>
      </c>
      <c r="I17" s="3800">
        <f t="shared" ref="I17:K17" si="20">SUM(I18+I19+I21)</f>
        <v>319.50908579999998</v>
      </c>
      <c r="J17" s="3800">
        <f t="shared" si="20"/>
        <v>313.22822069999995</v>
      </c>
      <c r="K17" s="3800">
        <f t="shared" si="20"/>
        <v>302.08484820000001</v>
      </c>
      <c r="L17" s="3797">
        <f t="shared" ref="L17:L23" si="21">SUM(I17+J17+K17)</f>
        <v>934.82215469999994</v>
      </c>
      <c r="M17" s="3797">
        <f t="shared" ref="M17:M23" si="22">SUM(H17+L17)</f>
        <v>1903.8749913000001</v>
      </c>
      <c r="N17" s="3800">
        <f t="shared" ref="N17:P17" si="23">SUM(N18+N19+N21)</f>
        <v>293.92319850000001</v>
      </c>
      <c r="O17" s="3800">
        <f t="shared" si="23"/>
        <v>304.32772199999994</v>
      </c>
      <c r="P17" s="3800">
        <f t="shared" si="23"/>
        <v>317.26966499999997</v>
      </c>
      <c r="Q17" s="3797">
        <f t="shared" ref="Q17:Q23" si="24">SUM(N17+O17+P17)</f>
        <v>915.52058549999992</v>
      </c>
      <c r="R17" s="3797">
        <f t="shared" ref="R17:R23" si="25">SUM(M17+Q17)</f>
        <v>2819.3955768000001</v>
      </c>
      <c r="S17" s="3800">
        <f t="shared" ref="S17:U17" si="26">SUM(S18+S19+S21)</f>
        <v>323.98447440000001</v>
      </c>
      <c r="T17" s="3800">
        <f t="shared" si="26"/>
        <v>323.98447440000001</v>
      </c>
      <c r="U17" s="3800">
        <f t="shared" si="26"/>
        <v>323.98447440000001</v>
      </c>
      <c r="V17" s="3797">
        <f t="shared" si="5"/>
        <v>971.95342320000009</v>
      </c>
      <c r="W17" s="3788">
        <f t="shared" ref="W17:W23" si="27">SUM(E17+F17+G17+I17+J17+K17+N17+O17+P17+S17+T17+U17)</f>
        <v>3791.3490000000006</v>
      </c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  <c r="AV17" s="435"/>
      <c r="AW17" s="435"/>
      <c r="AX17" s="435"/>
    </row>
    <row r="18" spans="1:50" ht="18.75">
      <c r="A18" s="3789" t="s">
        <v>24</v>
      </c>
      <c r="B18" s="3790">
        <f t="shared" si="7"/>
        <v>2380</v>
      </c>
      <c r="C18" s="3790">
        <f>SUM(объемы!AF49)</f>
        <v>2380</v>
      </c>
      <c r="D18" s="3897">
        <v>0</v>
      </c>
      <c r="E18" s="3801">
        <f>SUM(B18*8.6%)</f>
        <v>204.67999999999998</v>
      </c>
      <c r="F18" s="3801">
        <f>SUM(B18*8.5%)</f>
        <v>202.3</v>
      </c>
      <c r="G18" s="3801">
        <f>SUM(B18*8.54%)</f>
        <v>203.25199999999998</v>
      </c>
      <c r="H18" s="3799">
        <f t="shared" si="0"/>
        <v>610.23199999999997</v>
      </c>
      <c r="I18" s="3801">
        <f>SUM(B18*8.43%)</f>
        <v>200.63399999999999</v>
      </c>
      <c r="J18" s="3801">
        <f>SUM(B18*8.2%)</f>
        <v>195.15999999999997</v>
      </c>
      <c r="K18" s="3801">
        <f>SUM(B18*7.89%)</f>
        <v>187.78199999999998</v>
      </c>
      <c r="L18" s="3799">
        <f t="shared" si="21"/>
        <v>583.57600000000002</v>
      </c>
      <c r="M18" s="3799">
        <f t="shared" si="22"/>
        <v>1193.808</v>
      </c>
      <c r="N18" s="3801">
        <f>SUM(B18*7.79%)</f>
        <v>185.40199999999999</v>
      </c>
      <c r="O18" s="3801">
        <f>SUM(B18*8.11%)</f>
        <v>193.01799999999997</v>
      </c>
      <c r="P18" s="3801">
        <f>SUM(B18*8.32%)</f>
        <v>198.01599999999999</v>
      </c>
      <c r="Q18" s="3799">
        <f t="shared" si="24"/>
        <v>576.43599999999992</v>
      </c>
      <c r="R18" s="3799">
        <f t="shared" si="25"/>
        <v>1770.2439999999999</v>
      </c>
      <c r="S18" s="3801">
        <f>SUM(B18*8.54%)</f>
        <v>203.25199999999998</v>
      </c>
      <c r="T18" s="3801">
        <f>SUM(B18*8.54%)</f>
        <v>203.25199999999998</v>
      </c>
      <c r="U18" s="3801">
        <f>SUM(B18*8.54%)</f>
        <v>203.25199999999998</v>
      </c>
      <c r="V18" s="3799">
        <f t="shared" si="5"/>
        <v>609.75599999999997</v>
      </c>
      <c r="W18" s="3792">
        <f t="shared" si="27"/>
        <v>2380</v>
      </c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435"/>
    </row>
    <row r="19" spans="1:50" ht="18.75">
      <c r="A19" s="3789" t="s">
        <v>1729</v>
      </c>
      <c r="B19" s="3790">
        <f t="shared" si="7"/>
        <v>1016.349</v>
      </c>
      <c r="C19" s="3790">
        <f>SUM(объемы!AF51)</f>
        <v>996</v>
      </c>
      <c r="D19" s="3790">
        <f>SUM(объемы!AF50)</f>
        <v>20.349</v>
      </c>
      <c r="E19" s="3801">
        <f>SUM(B19*8.23%)</f>
        <v>83.645522700000001</v>
      </c>
      <c r="F19" s="3801">
        <f>SUM(B19*8.55%)</f>
        <v>86.897839500000018</v>
      </c>
      <c r="G19" s="3801">
        <f>SUM(B19*8.56%)</f>
        <v>86.999474400000011</v>
      </c>
      <c r="H19" s="3799">
        <f t="shared" si="0"/>
        <v>257.54283660000004</v>
      </c>
      <c r="I19" s="3801">
        <f>SUM(B19*8.42%)</f>
        <v>85.576585800000004</v>
      </c>
      <c r="J19" s="3801">
        <f>SUM(B19*8.43%)</f>
        <v>85.678220699999997</v>
      </c>
      <c r="K19" s="3801">
        <f>SUM(B19*8.18%)</f>
        <v>83.137348200000005</v>
      </c>
      <c r="L19" s="3799">
        <f t="shared" si="21"/>
        <v>254.39215469999999</v>
      </c>
      <c r="M19" s="3799">
        <f t="shared" si="22"/>
        <v>511.93499130000004</v>
      </c>
      <c r="N19" s="3801">
        <f>SUM(B19*7.65%)</f>
        <v>77.750698499999999</v>
      </c>
      <c r="O19" s="3801">
        <f>SUM(B19*7.8%)</f>
        <v>79.275221999999999</v>
      </c>
      <c r="P19" s="3801">
        <f>SUM(B19*8.5%)</f>
        <v>86.389665000000008</v>
      </c>
      <c r="Q19" s="3799">
        <f t="shared" si="24"/>
        <v>243.41558549999999</v>
      </c>
      <c r="R19" s="3799">
        <f t="shared" si="25"/>
        <v>755.3505768</v>
      </c>
      <c r="S19" s="3801">
        <f>SUM(B19*8.56%)</f>
        <v>86.999474400000011</v>
      </c>
      <c r="T19" s="3801">
        <f>SUM(B19*8.56%)</f>
        <v>86.999474400000011</v>
      </c>
      <c r="U19" s="3801">
        <f>SUM(B19*8.56%)</f>
        <v>86.999474400000011</v>
      </c>
      <c r="V19" s="3799">
        <f t="shared" si="5"/>
        <v>260.99842320000005</v>
      </c>
      <c r="W19" s="3792">
        <f t="shared" si="27"/>
        <v>1016.3490000000003</v>
      </c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  <c r="AV19" s="435"/>
      <c r="AW19" s="435"/>
      <c r="AX19" s="435"/>
    </row>
    <row r="20" spans="1:50" ht="18.75">
      <c r="A20" s="3793" t="s">
        <v>25</v>
      </c>
      <c r="B20" s="3794">
        <f>SUM(D20)</f>
        <v>20.349</v>
      </c>
      <c r="C20" s="3794">
        <v>0</v>
      </c>
      <c r="D20" s="3794">
        <f>SUM(D19)</f>
        <v>20.349</v>
      </c>
      <c r="E20" s="3802">
        <f>SUM(B20/12)</f>
        <v>1.6957500000000001</v>
      </c>
      <c r="F20" s="3802">
        <f>SUM(E20)</f>
        <v>1.6957500000000001</v>
      </c>
      <c r="G20" s="3802">
        <f>SUM(F20)</f>
        <v>1.6957500000000001</v>
      </c>
      <c r="H20" s="3803">
        <f t="shared" si="0"/>
        <v>5.08725</v>
      </c>
      <c r="I20" s="3802">
        <f>SUM(E20)</f>
        <v>1.6957500000000001</v>
      </c>
      <c r="J20" s="3802">
        <f>SUM(E20)</f>
        <v>1.6957500000000001</v>
      </c>
      <c r="K20" s="3802">
        <f>SUM(E20)</f>
        <v>1.6957500000000001</v>
      </c>
      <c r="L20" s="3803">
        <f t="shared" si="21"/>
        <v>5.08725</v>
      </c>
      <c r="M20" s="3803">
        <f t="shared" si="22"/>
        <v>10.1745</v>
      </c>
      <c r="N20" s="3802">
        <f>SUM(E20)</f>
        <v>1.6957500000000001</v>
      </c>
      <c r="O20" s="3802">
        <f>SUM(E20)</f>
        <v>1.6957500000000001</v>
      </c>
      <c r="P20" s="3802">
        <f>SUM(E20)</f>
        <v>1.6957500000000001</v>
      </c>
      <c r="Q20" s="3803">
        <f t="shared" si="24"/>
        <v>5.08725</v>
      </c>
      <c r="R20" s="3803">
        <f t="shared" si="25"/>
        <v>15.261749999999999</v>
      </c>
      <c r="S20" s="3802">
        <f>SUM(E20)</f>
        <v>1.6957500000000001</v>
      </c>
      <c r="T20" s="3802">
        <f>SUM(E20)</f>
        <v>1.6957500000000001</v>
      </c>
      <c r="U20" s="3802">
        <f>SUM(E20)</f>
        <v>1.6957500000000001</v>
      </c>
      <c r="V20" s="3803">
        <f t="shared" si="5"/>
        <v>5.08725</v>
      </c>
      <c r="W20" s="3860">
        <f t="shared" si="27"/>
        <v>20.349</v>
      </c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  <c r="AV20" s="435"/>
      <c r="AW20" s="435"/>
      <c r="AX20" s="435"/>
    </row>
    <row r="21" spans="1:50" ht="18.75">
      <c r="A21" s="3785" t="s">
        <v>1730</v>
      </c>
      <c r="B21" s="3787">
        <f>SUM(B22:B23)</f>
        <v>395</v>
      </c>
      <c r="C21" s="3787">
        <f>SUM(C22:C23)</f>
        <v>395</v>
      </c>
      <c r="D21" s="3787">
        <f>SUM(D22:D23)</f>
        <v>0</v>
      </c>
      <c r="E21" s="3804">
        <f>SUM(E22:E23)</f>
        <v>33.97</v>
      </c>
      <c r="F21" s="3804">
        <f t="shared" ref="F21:U21" si="28">SUM(F22:F23)</f>
        <v>33.575000000000003</v>
      </c>
      <c r="G21" s="3804">
        <f t="shared" si="28"/>
        <v>33.732999999999997</v>
      </c>
      <c r="H21" s="3797">
        <f t="shared" si="0"/>
        <v>101.27799999999999</v>
      </c>
      <c r="I21" s="3804">
        <f t="shared" si="28"/>
        <v>33.298499999999997</v>
      </c>
      <c r="J21" s="3804">
        <f t="shared" si="28"/>
        <v>32.389999999999993</v>
      </c>
      <c r="K21" s="3804">
        <f t="shared" si="28"/>
        <v>31.165499999999998</v>
      </c>
      <c r="L21" s="3797">
        <f t="shared" si="21"/>
        <v>96.853999999999985</v>
      </c>
      <c r="M21" s="3797">
        <f t="shared" si="22"/>
        <v>198.13199999999998</v>
      </c>
      <c r="N21" s="3804">
        <f t="shared" si="28"/>
        <v>30.770500000000002</v>
      </c>
      <c r="O21" s="3804">
        <f t="shared" si="28"/>
        <v>32.034499999999994</v>
      </c>
      <c r="P21" s="3804">
        <f t="shared" si="28"/>
        <v>32.863999999999997</v>
      </c>
      <c r="Q21" s="3797">
        <f t="shared" si="24"/>
        <v>95.668999999999983</v>
      </c>
      <c r="R21" s="3797">
        <f t="shared" si="25"/>
        <v>293.80099999999993</v>
      </c>
      <c r="S21" s="3804">
        <f t="shared" si="28"/>
        <v>33.732999999999997</v>
      </c>
      <c r="T21" s="3804">
        <f t="shared" si="28"/>
        <v>33.732999999999997</v>
      </c>
      <c r="U21" s="3804">
        <f t="shared" si="28"/>
        <v>33.732999999999997</v>
      </c>
      <c r="V21" s="3797">
        <f t="shared" si="5"/>
        <v>101.19899999999998</v>
      </c>
      <c r="W21" s="3788">
        <f t="shared" si="27"/>
        <v>394.99999999999994</v>
      </c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435"/>
    </row>
    <row r="22" spans="1:50" ht="18.75">
      <c r="A22" s="3793" t="s">
        <v>655</v>
      </c>
      <c r="B22" s="3794">
        <f>SUM(C22:D22)</f>
        <v>350</v>
      </c>
      <c r="C22" s="3794">
        <f>SUM(объемы!AF53)</f>
        <v>350</v>
      </c>
      <c r="D22" s="3794">
        <v>0</v>
      </c>
      <c r="E22" s="3802">
        <f>SUM(B22*8.6%)</f>
        <v>30.099999999999998</v>
      </c>
      <c r="F22" s="3802">
        <f>SUM(B22*8.5%)</f>
        <v>29.750000000000004</v>
      </c>
      <c r="G22" s="3802">
        <f>SUM(B22*8.54%)</f>
        <v>29.889999999999997</v>
      </c>
      <c r="H22" s="3803">
        <f t="shared" si="0"/>
        <v>89.74</v>
      </c>
      <c r="I22" s="3802">
        <f>SUM(B22*8.43%)</f>
        <v>29.504999999999999</v>
      </c>
      <c r="J22" s="3802">
        <f>SUM(B22*8.2%)</f>
        <v>28.699999999999996</v>
      </c>
      <c r="K22" s="3802">
        <f>SUM(B22*7.89%)</f>
        <v>27.614999999999998</v>
      </c>
      <c r="L22" s="3803">
        <f t="shared" si="21"/>
        <v>85.82</v>
      </c>
      <c r="M22" s="3803">
        <f t="shared" si="22"/>
        <v>175.56</v>
      </c>
      <c r="N22" s="3802">
        <f>SUM(B22*7.79%)</f>
        <v>27.265000000000001</v>
      </c>
      <c r="O22" s="3802">
        <f>SUM(B22*8.11%)</f>
        <v>28.384999999999998</v>
      </c>
      <c r="P22" s="3802">
        <f>SUM(B22*8.32%)</f>
        <v>29.119999999999997</v>
      </c>
      <c r="Q22" s="3803">
        <f t="shared" si="24"/>
        <v>84.77</v>
      </c>
      <c r="R22" s="3803">
        <f t="shared" si="25"/>
        <v>260.33</v>
      </c>
      <c r="S22" s="3802">
        <f>SUM(B22*8.54%)</f>
        <v>29.889999999999997</v>
      </c>
      <c r="T22" s="3802">
        <f>SUM(B22*8.54%)</f>
        <v>29.889999999999997</v>
      </c>
      <c r="U22" s="3802">
        <f>SUM(B22*8.54%)</f>
        <v>29.889999999999997</v>
      </c>
      <c r="V22" s="3803">
        <f t="shared" si="5"/>
        <v>89.669999999999987</v>
      </c>
      <c r="W22" s="3792">
        <f t="shared" si="27"/>
        <v>349.99999999999994</v>
      </c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</row>
    <row r="23" spans="1:50" ht="18.75">
      <c r="A23" s="3793" t="s">
        <v>656</v>
      </c>
      <c r="B23" s="3794">
        <f>SUM(C23:D23)</f>
        <v>45</v>
      </c>
      <c r="C23" s="3794">
        <f>SUM(объемы!AF54)</f>
        <v>45</v>
      </c>
      <c r="D23" s="3794">
        <v>0</v>
      </c>
      <c r="E23" s="3802">
        <f>SUM(B23*8.6%)</f>
        <v>3.8699999999999997</v>
      </c>
      <c r="F23" s="3802">
        <f>SUM(B23*8.5%)</f>
        <v>3.8250000000000002</v>
      </c>
      <c r="G23" s="3802">
        <f>SUM(B23*8.54%)</f>
        <v>3.8429999999999995</v>
      </c>
      <c r="H23" s="3803">
        <f t="shared" si="0"/>
        <v>11.538</v>
      </c>
      <c r="I23" s="3802">
        <f>SUM(B23*8.43%)</f>
        <v>3.7934999999999999</v>
      </c>
      <c r="J23" s="3802">
        <f>SUM(B23*8.2%)</f>
        <v>3.6899999999999995</v>
      </c>
      <c r="K23" s="3802">
        <f>SUM(B23*7.89%)</f>
        <v>3.5505</v>
      </c>
      <c r="L23" s="3803">
        <f t="shared" si="21"/>
        <v>11.033999999999999</v>
      </c>
      <c r="M23" s="3803">
        <f t="shared" si="22"/>
        <v>22.571999999999999</v>
      </c>
      <c r="N23" s="3802">
        <f>SUM(B23*7.79%)</f>
        <v>3.5055000000000001</v>
      </c>
      <c r="O23" s="3802">
        <f>SUM(B23*8.11%)</f>
        <v>3.6494999999999997</v>
      </c>
      <c r="P23" s="3802">
        <f>SUM(B23*8.32%)</f>
        <v>3.7439999999999998</v>
      </c>
      <c r="Q23" s="3803">
        <f t="shared" si="24"/>
        <v>10.898999999999999</v>
      </c>
      <c r="R23" s="3803">
        <f t="shared" si="25"/>
        <v>33.470999999999997</v>
      </c>
      <c r="S23" s="3802">
        <f>SUM(B23*8.54%)</f>
        <v>3.8429999999999995</v>
      </c>
      <c r="T23" s="3802">
        <f>SUM(B23*8.54%)</f>
        <v>3.8429999999999995</v>
      </c>
      <c r="U23" s="3802">
        <f>SUM(B23*8.54%)</f>
        <v>3.8429999999999995</v>
      </c>
      <c r="V23" s="3803">
        <f t="shared" si="5"/>
        <v>11.528999999999998</v>
      </c>
      <c r="W23" s="3792">
        <f t="shared" si="27"/>
        <v>44.999999999999993</v>
      </c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  <c r="AV23" s="435"/>
      <c r="AW23" s="435"/>
      <c r="AX23" s="435"/>
    </row>
    <row r="24" spans="1:50" ht="18.75">
      <c r="A24" s="4386" t="s">
        <v>1731</v>
      </c>
      <c r="B24" s="4394"/>
      <c r="C24" s="4394"/>
      <c r="D24" s="4394"/>
      <c r="E24" s="4394"/>
      <c r="F24" s="4394"/>
      <c r="G24" s="4394"/>
      <c r="H24" s="4394"/>
      <c r="I24" s="4394"/>
      <c r="J24" s="4394"/>
      <c r="K24" s="4394"/>
      <c r="L24" s="4394"/>
      <c r="M24" s="4394"/>
      <c r="N24" s="4394"/>
      <c r="O24" s="4394"/>
      <c r="P24" s="4394"/>
      <c r="Q24" s="4394"/>
      <c r="R24" s="4394"/>
      <c r="S24" s="4394"/>
      <c r="T24" s="4394"/>
      <c r="U24" s="4394"/>
      <c r="V24" s="4395"/>
      <c r="W24" s="3792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</row>
    <row r="25" spans="1:50" ht="18.75" customHeight="1">
      <c r="A25" s="4396" t="s">
        <v>546</v>
      </c>
      <c r="B25" s="4389" t="s">
        <v>1782</v>
      </c>
      <c r="C25" s="4389" t="s">
        <v>576</v>
      </c>
      <c r="D25" s="4389"/>
      <c r="E25" s="4383" t="s">
        <v>587</v>
      </c>
      <c r="F25" s="4383" t="s">
        <v>588</v>
      </c>
      <c r="G25" s="4383" t="s">
        <v>589</v>
      </c>
      <c r="H25" s="4384" t="s">
        <v>601</v>
      </c>
      <c r="I25" s="4383" t="s">
        <v>590</v>
      </c>
      <c r="J25" s="4383" t="s">
        <v>591</v>
      </c>
      <c r="K25" s="4383" t="s">
        <v>592</v>
      </c>
      <c r="L25" s="4384" t="s">
        <v>600</v>
      </c>
      <c r="M25" s="4384" t="s">
        <v>599</v>
      </c>
      <c r="N25" s="4383" t="s">
        <v>593</v>
      </c>
      <c r="O25" s="4383" t="s">
        <v>594</v>
      </c>
      <c r="P25" s="4383" t="s">
        <v>595</v>
      </c>
      <c r="Q25" s="4384" t="s">
        <v>225</v>
      </c>
      <c r="R25" s="4384" t="s">
        <v>229</v>
      </c>
      <c r="S25" s="4383" t="s">
        <v>596</v>
      </c>
      <c r="T25" s="4383" t="s">
        <v>597</v>
      </c>
      <c r="U25" s="4383" t="s">
        <v>598</v>
      </c>
      <c r="V25" s="4384" t="s">
        <v>135</v>
      </c>
      <c r="W25" s="4385" t="s">
        <v>602</v>
      </c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  <c r="AV25" s="435"/>
      <c r="AW25" s="435"/>
      <c r="AX25" s="435"/>
    </row>
    <row r="26" spans="1:50" ht="37.5">
      <c r="A26" s="4397"/>
      <c r="B26" s="4389"/>
      <c r="C26" s="3784" t="s">
        <v>1554</v>
      </c>
      <c r="D26" s="3784" t="s">
        <v>1555</v>
      </c>
      <c r="E26" s="4383"/>
      <c r="F26" s="4383"/>
      <c r="G26" s="4383"/>
      <c r="H26" s="4384"/>
      <c r="I26" s="4383"/>
      <c r="J26" s="4383"/>
      <c r="K26" s="4383"/>
      <c r="L26" s="4384"/>
      <c r="M26" s="4384"/>
      <c r="N26" s="4383"/>
      <c r="O26" s="4383"/>
      <c r="P26" s="4383"/>
      <c r="Q26" s="4384"/>
      <c r="R26" s="4384"/>
      <c r="S26" s="4383"/>
      <c r="T26" s="4383"/>
      <c r="U26" s="4383"/>
      <c r="V26" s="4384"/>
      <c r="W26" s="438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</row>
    <row r="27" spans="1:50" ht="18.75">
      <c r="A27" s="3805" t="s">
        <v>1732</v>
      </c>
      <c r="B27" s="3799">
        <f>SUM(C27:D27)</f>
        <v>67539.98272</v>
      </c>
      <c r="C27" s="3799">
        <f>SUM(H27+L27+Q27+V27)</f>
        <v>67539.98272</v>
      </c>
      <c r="D27" s="3898">
        <v>0</v>
      </c>
      <c r="E27" s="3801">
        <f>SUM(E18*E37)</f>
        <v>5690.1039999999994</v>
      </c>
      <c r="F27" s="3801">
        <f t="shared" ref="F27:K27" si="29">SUM(F18*F37)</f>
        <v>5623.9400000000005</v>
      </c>
      <c r="G27" s="3801">
        <f t="shared" si="29"/>
        <v>5650.4056</v>
      </c>
      <c r="H27" s="3799">
        <f>SUM(E27:G27)</f>
        <v>16964.4496</v>
      </c>
      <c r="I27" s="3801">
        <f t="shared" si="29"/>
        <v>5577.6251999999995</v>
      </c>
      <c r="J27" s="3801">
        <f t="shared" si="29"/>
        <v>5425.4479999999994</v>
      </c>
      <c r="K27" s="3801">
        <f t="shared" si="29"/>
        <v>5220.3395999999993</v>
      </c>
      <c r="L27" s="3799">
        <f>SUM(I27:K27)</f>
        <v>16223.412799999998</v>
      </c>
      <c r="M27" s="3799">
        <f>SUM(H27+L27)</f>
        <v>33187.862399999998</v>
      </c>
      <c r="N27" s="3801">
        <f t="shared" ref="N27:P27" si="30">SUM(N18*N37)</f>
        <v>5369.2419199999995</v>
      </c>
      <c r="O27" s="3801">
        <f t="shared" si="30"/>
        <v>5589.8012799999997</v>
      </c>
      <c r="P27" s="3801">
        <f t="shared" si="30"/>
        <v>5734.5433599999997</v>
      </c>
      <c r="Q27" s="3799">
        <f>SUM(N27:P27)</f>
        <v>16693.58656</v>
      </c>
      <c r="R27" s="3799">
        <f>SUM(M27+Q27)</f>
        <v>49881.448959999994</v>
      </c>
      <c r="S27" s="3801">
        <f t="shared" ref="S27:U27" si="31">SUM(S18*S37)</f>
        <v>5886.1779199999992</v>
      </c>
      <c r="T27" s="3801">
        <f t="shared" si="31"/>
        <v>5886.1779199999992</v>
      </c>
      <c r="U27" s="3801">
        <f t="shared" si="31"/>
        <v>5886.1779199999992</v>
      </c>
      <c r="V27" s="3799">
        <f>SUM(S27:U27)</f>
        <v>17658.533759999998</v>
      </c>
      <c r="W27" s="3792">
        <f t="shared" ref="W27:W35" si="32">SUM(E27+F27+G27+I27+J27+K27+N27+O27+P27+S27+T27+U27)</f>
        <v>67539.98272</v>
      </c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</row>
    <row r="28" spans="1:50" ht="18.75">
      <c r="A28" s="3805" t="s">
        <v>1733</v>
      </c>
      <c r="B28" s="3799">
        <f t="shared" ref="B28:B35" si="33">SUM(C28:D28)</f>
        <v>15453.720799999996</v>
      </c>
      <c r="C28" s="3799">
        <f t="shared" ref="C28:C33" si="34">SUM(H28+L28+Q28+V28)</f>
        <v>15453.720799999996</v>
      </c>
      <c r="D28" s="3898">
        <v>0</v>
      </c>
      <c r="E28" s="3801">
        <f>SUM(E18*E38)</f>
        <v>1211.7055999999995</v>
      </c>
      <c r="F28" s="3801">
        <f t="shared" ref="F28:K28" si="35">SUM(F18*F38)</f>
        <v>1197.6159999999998</v>
      </c>
      <c r="G28" s="3801">
        <f t="shared" si="35"/>
        <v>1203.2518399999994</v>
      </c>
      <c r="H28" s="3799">
        <f>SUM(E28:G28)</f>
        <v>3612.5734399999988</v>
      </c>
      <c r="I28" s="3801">
        <f t="shared" si="35"/>
        <v>1187.7532799999994</v>
      </c>
      <c r="J28" s="3801">
        <f t="shared" si="35"/>
        <v>1155.3471999999995</v>
      </c>
      <c r="K28" s="3801">
        <f t="shared" si="35"/>
        <v>1111.6694399999994</v>
      </c>
      <c r="L28" s="3799">
        <f>SUM(I28:K28)</f>
        <v>3454.7699199999988</v>
      </c>
      <c r="M28" s="3799">
        <f t="shared" ref="M28:M35" si="36">SUM(H28+L28)</f>
        <v>7067.3433599999971</v>
      </c>
      <c r="N28" s="3801">
        <f t="shared" ref="N28:P30" si="37">SUM(N18*N38)</f>
        <v>1310.79214</v>
      </c>
      <c r="O28" s="3801">
        <f t="shared" si="37"/>
        <v>1364.63726</v>
      </c>
      <c r="P28" s="3801">
        <f t="shared" si="37"/>
        <v>1399.9731199999999</v>
      </c>
      <c r="Q28" s="3799">
        <f>SUM(N28:P28)</f>
        <v>4075.4025199999996</v>
      </c>
      <c r="R28" s="3799">
        <f t="shared" ref="R28:R35" si="38">SUM(M28+Q28)</f>
        <v>11142.745879999997</v>
      </c>
      <c r="S28" s="3801">
        <f t="shared" ref="S28:U30" si="39">SUM(S18*S38)</f>
        <v>1436.99164</v>
      </c>
      <c r="T28" s="3801">
        <f t="shared" si="39"/>
        <v>1436.99164</v>
      </c>
      <c r="U28" s="3801">
        <f t="shared" si="39"/>
        <v>1436.99164</v>
      </c>
      <c r="V28" s="3799">
        <f>SUM(S28:U28)</f>
        <v>4310.9749199999997</v>
      </c>
      <c r="W28" s="3792">
        <f t="shared" si="32"/>
        <v>15453.720799999997</v>
      </c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</row>
    <row r="29" spans="1:50" ht="18.75">
      <c r="A29" s="3805" t="s">
        <v>1734</v>
      </c>
      <c r="B29" s="3799">
        <f t="shared" si="33"/>
        <v>34726.813265096993</v>
      </c>
      <c r="C29" s="3799">
        <f t="shared" si="34"/>
        <v>34726.813265096993</v>
      </c>
      <c r="D29" s="3898">
        <v>0</v>
      </c>
      <c r="E29" s="3801">
        <f>SUM(E19-E20)*E39</f>
        <v>2763.3463354439996</v>
      </c>
      <c r="F29" s="3801">
        <f t="shared" ref="F29:K29" si="40">SUM(F19-F20)*F39</f>
        <v>2873.0144579400003</v>
      </c>
      <c r="G29" s="3801">
        <f t="shared" si="40"/>
        <v>2876.441586768</v>
      </c>
      <c r="H29" s="3799">
        <f t="shared" ref="H29:H35" si="41">SUM(E29:G29)</f>
        <v>8512.8023801519994</v>
      </c>
      <c r="I29" s="3801">
        <f t="shared" si="40"/>
        <v>2828.4617831759997</v>
      </c>
      <c r="J29" s="3801">
        <f t="shared" si="40"/>
        <v>2831.8889120039998</v>
      </c>
      <c r="K29" s="3801">
        <f t="shared" si="40"/>
        <v>2746.2106913039997</v>
      </c>
      <c r="L29" s="3799">
        <f t="shared" ref="L29:L35" si="42">SUM(I29:K29)</f>
        <v>8406.5613864839979</v>
      </c>
      <c r="M29" s="3799">
        <f t="shared" si="36"/>
        <v>16919.363766635997</v>
      </c>
      <c r="N29" s="3801">
        <f t="shared" ref="N29:P29" si="43">SUM(N19-N20)*N39</f>
        <v>2740.2597944549998</v>
      </c>
      <c r="O29" s="3801">
        <f t="shared" si="43"/>
        <v>2795.1883761599997</v>
      </c>
      <c r="P29" s="3801">
        <f t="shared" si="43"/>
        <v>3051.5217574500002</v>
      </c>
      <c r="Q29" s="3799">
        <f t="shared" ref="Q29:Q35" si="44">SUM(N29:P29)</f>
        <v>8586.9699280650002</v>
      </c>
      <c r="R29" s="3799">
        <f t="shared" si="38"/>
        <v>25506.333694700996</v>
      </c>
      <c r="S29" s="3801">
        <f t="shared" ref="S29:U29" si="45">SUM(S19-S20)*S39</f>
        <v>3073.4931901320006</v>
      </c>
      <c r="T29" s="3801">
        <f t="shared" si="45"/>
        <v>3073.4931901320006</v>
      </c>
      <c r="U29" s="3801">
        <f t="shared" si="45"/>
        <v>3073.4931901320006</v>
      </c>
      <c r="V29" s="3799">
        <f t="shared" ref="V29:V35" si="46">SUM(S29:U29)</f>
        <v>9220.4795703960008</v>
      </c>
      <c r="W29" s="3792">
        <f t="shared" si="32"/>
        <v>34726.813265097007</v>
      </c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</row>
    <row r="30" spans="1:50" ht="18.75">
      <c r="A30" s="3805" t="s">
        <v>1735</v>
      </c>
      <c r="B30" s="3799">
        <f t="shared" si="33"/>
        <v>345.831255</v>
      </c>
      <c r="C30" s="3898">
        <v>0</v>
      </c>
      <c r="D30" s="3799">
        <f>SUM(H30+L30+Q30+V30)</f>
        <v>345.831255</v>
      </c>
      <c r="E30" s="3801">
        <f>SUM(E20*E40)</f>
        <v>27.233744999999999</v>
      </c>
      <c r="F30" s="3801">
        <f t="shared" ref="F30:K30" si="47">SUM(F20*F40)</f>
        <v>27.233744999999999</v>
      </c>
      <c r="G30" s="3801">
        <f t="shared" si="47"/>
        <v>27.233744999999999</v>
      </c>
      <c r="H30" s="3799">
        <f t="shared" si="41"/>
        <v>81.701234999999997</v>
      </c>
      <c r="I30" s="3801">
        <f t="shared" si="47"/>
        <v>27.233744999999999</v>
      </c>
      <c r="J30" s="3801">
        <f t="shared" si="47"/>
        <v>27.233744999999999</v>
      </c>
      <c r="K30" s="3801">
        <f t="shared" si="47"/>
        <v>27.233744999999999</v>
      </c>
      <c r="L30" s="3799">
        <f t="shared" si="42"/>
        <v>81.701234999999997</v>
      </c>
      <c r="M30" s="3799">
        <f t="shared" si="36"/>
        <v>163.40246999999999</v>
      </c>
      <c r="N30" s="3801">
        <f t="shared" si="37"/>
        <v>30.404797500000001</v>
      </c>
      <c r="O30" s="3801">
        <f t="shared" si="37"/>
        <v>30.404797500000001</v>
      </c>
      <c r="P30" s="3801">
        <f t="shared" si="37"/>
        <v>30.404797500000001</v>
      </c>
      <c r="Q30" s="3799">
        <f t="shared" si="44"/>
        <v>91.214392500000002</v>
      </c>
      <c r="R30" s="3799">
        <f t="shared" si="38"/>
        <v>254.6168625</v>
      </c>
      <c r="S30" s="3801">
        <f t="shared" si="39"/>
        <v>30.404797500000001</v>
      </c>
      <c r="T30" s="3801">
        <f t="shared" si="39"/>
        <v>30.404797500000001</v>
      </c>
      <c r="U30" s="3801">
        <f t="shared" si="39"/>
        <v>30.404797500000001</v>
      </c>
      <c r="V30" s="3799">
        <f t="shared" si="46"/>
        <v>91.214392500000002</v>
      </c>
      <c r="W30" s="3792">
        <f t="shared" si="32"/>
        <v>345.83125499999994</v>
      </c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  <c r="AV30" s="435"/>
      <c r="AW30" s="435"/>
      <c r="AX30" s="435"/>
    </row>
    <row r="31" spans="1:50" ht="18.75">
      <c r="A31" s="3805" t="s">
        <v>1736</v>
      </c>
      <c r="B31" s="3799">
        <f t="shared" si="33"/>
        <v>13774.165079999999</v>
      </c>
      <c r="C31" s="3799">
        <f t="shared" si="34"/>
        <v>13774.165079999999</v>
      </c>
      <c r="D31" s="3898">
        <v>0</v>
      </c>
      <c r="E31" s="3801">
        <f>SUM(E32:E33)</f>
        <v>1145.4683999999997</v>
      </c>
      <c r="F31" s="3801">
        <f t="shared" ref="F31:G31" si="48">SUM(F32:F33)</f>
        <v>1132.1490000000001</v>
      </c>
      <c r="G31" s="3801">
        <f t="shared" si="48"/>
        <v>1137.4767599999998</v>
      </c>
      <c r="H31" s="3799">
        <f t="shared" si="41"/>
        <v>3415.0941599999996</v>
      </c>
      <c r="I31" s="3801">
        <f>SUM(I32:I33)</f>
        <v>1122.8254199999999</v>
      </c>
      <c r="J31" s="3801">
        <f t="shared" ref="J31:K31" si="49">SUM(J32:J33)</f>
        <v>1092.1907999999999</v>
      </c>
      <c r="K31" s="3801">
        <f t="shared" si="49"/>
        <v>1050.90066</v>
      </c>
      <c r="L31" s="3799">
        <f t="shared" si="42"/>
        <v>3265.9168799999998</v>
      </c>
      <c r="M31" s="3799">
        <f t="shared" si="36"/>
        <v>6681.0110399999994</v>
      </c>
      <c r="N31" s="3801">
        <f>SUM(N32:N33)</f>
        <v>1108.6611150000001</v>
      </c>
      <c r="O31" s="3801">
        <f t="shared" ref="O31:P31" si="50">SUM(O32:O33)</f>
        <v>1154.203035</v>
      </c>
      <c r="P31" s="3801">
        <f t="shared" si="50"/>
        <v>1184.0899199999999</v>
      </c>
      <c r="Q31" s="3799">
        <f t="shared" si="44"/>
        <v>3446.9540700000002</v>
      </c>
      <c r="R31" s="3799">
        <f t="shared" si="38"/>
        <v>10127.965109999999</v>
      </c>
      <c r="S31" s="3801">
        <f>SUM(S32:S33)</f>
        <v>1215.3999899999999</v>
      </c>
      <c r="T31" s="3801">
        <f t="shared" ref="T31:U31" si="51">SUM(T32:T33)</f>
        <v>1215.3999899999999</v>
      </c>
      <c r="U31" s="3801">
        <f t="shared" si="51"/>
        <v>1215.3999899999999</v>
      </c>
      <c r="V31" s="3799">
        <f t="shared" si="46"/>
        <v>3646.1999699999997</v>
      </c>
      <c r="W31" s="3792">
        <f t="shared" si="32"/>
        <v>13774.165080000001</v>
      </c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</row>
    <row r="32" spans="1:50" ht="18.75">
      <c r="A32" s="3806" t="s">
        <v>655</v>
      </c>
      <c r="B32" s="3803">
        <f t="shared" si="33"/>
        <v>12204.956399999999</v>
      </c>
      <c r="C32" s="3803">
        <f t="shared" si="34"/>
        <v>12204.956399999999</v>
      </c>
      <c r="D32" s="3899">
        <v>0</v>
      </c>
      <c r="E32" s="3802">
        <f>SUM(E22*E39)</f>
        <v>1014.9719999999999</v>
      </c>
      <c r="F32" s="3802">
        <f t="shared" ref="F32:G32" si="52">SUM(F22*F39)</f>
        <v>1003.1700000000001</v>
      </c>
      <c r="G32" s="3802">
        <f t="shared" si="52"/>
        <v>1007.8907999999999</v>
      </c>
      <c r="H32" s="3799">
        <f t="shared" si="41"/>
        <v>3026.0328</v>
      </c>
      <c r="I32" s="3802">
        <f>SUM(I22*I39)</f>
        <v>994.90859999999998</v>
      </c>
      <c r="J32" s="3802">
        <f t="shared" ref="J32:K32" si="53">SUM(J22*J39)</f>
        <v>967.76399999999978</v>
      </c>
      <c r="K32" s="3802">
        <f t="shared" si="53"/>
        <v>931.17779999999993</v>
      </c>
      <c r="L32" s="3799">
        <f t="shared" si="42"/>
        <v>2893.8503999999998</v>
      </c>
      <c r="M32" s="3799">
        <f t="shared" si="36"/>
        <v>5919.8832000000002</v>
      </c>
      <c r="N32" s="3802">
        <f>SUM(N22*N39)</f>
        <v>982.35795000000007</v>
      </c>
      <c r="O32" s="3802">
        <f t="shared" ref="O32:P32" si="54">SUM(O22*O39)</f>
        <v>1022.71155</v>
      </c>
      <c r="P32" s="3802">
        <f t="shared" si="54"/>
        <v>1049.1935999999998</v>
      </c>
      <c r="Q32" s="3799">
        <f t="shared" si="44"/>
        <v>3054.2631000000001</v>
      </c>
      <c r="R32" s="3799">
        <f t="shared" si="38"/>
        <v>8974.1463000000003</v>
      </c>
      <c r="S32" s="3802">
        <f>SUM(S22*S39)</f>
        <v>1076.9367</v>
      </c>
      <c r="T32" s="3802">
        <f t="shared" ref="T32:U32" si="55">SUM(T22*T39)</f>
        <v>1076.9367</v>
      </c>
      <c r="U32" s="3802">
        <f t="shared" si="55"/>
        <v>1076.9367</v>
      </c>
      <c r="V32" s="3799">
        <f t="shared" si="46"/>
        <v>3230.8100999999997</v>
      </c>
      <c r="W32" s="3792">
        <f t="shared" si="32"/>
        <v>12204.956400000001</v>
      </c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</row>
    <row r="33" spans="1:50" ht="18.75">
      <c r="A33" s="3806" t="s">
        <v>656</v>
      </c>
      <c r="B33" s="3803">
        <f t="shared" si="33"/>
        <v>1569.20868</v>
      </c>
      <c r="C33" s="3803">
        <f t="shared" si="34"/>
        <v>1569.20868</v>
      </c>
      <c r="D33" s="3899">
        <v>0</v>
      </c>
      <c r="E33" s="3802">
        <f>SUM(E23*E39)</f>
        <v>130.49639999999999</v>
      </c>
      <c r="F33" s="3802">
        <f t="shared" ref="F33:G33" si="56">SUM(F23*F39)</f>
        <v>128.97900000000001</v>
      </c>
      <c r="G33" s="3802">
        <f t="shared" si="56"/>
        <v>129.58595999999997</v>
      </c>
      <c r="H33" s="3799">
        <f t="shared" si="41"/>
        <v>389.06136000000004</v>
      </c>
      <c r="I33" s="3802">
        <f>SUM(I23*I39)</f>
        <v>127.91681999999999</v>
      </c>
      <c r="J33" s="3802">
        <f t="shared" ref="J33:K33" si="57">SUM(J23*J39)</f>
        <v>124.42679999999999</v>
      </c>
      <c r="K33" s="3802">
        <f t="shared" si="57"/>
        <v>119.72286</v>
      </c>
      <c r="L33" s="3799">
        <f t="shared" si="42"/>
        <v>372.06647999999996</v>
      </c>
      <c r="M33" s="3799">
        <f t="shared" si="36"/>
        <v>761.12783999999999</v>
      </c>
      <c r="N33" s="3802">
        <f>SUM(N23*N39)</f>
        <v>126.30316500000001</v>
      </c>
      <c r="O33" s="3802">
        <f t="shared" ref="O33:P33" si="58">SUM(O23*O39)</f>
        <v>131.49148499999998</v>
      </c>
      <c r="P33" s="3802">
        <f t="shared" si="58"/>
        <v>134.89632</v>
      </c>
      <c r="Q33" s="3799">
        <f t="shared" si="44"/>
        <v>392.69096999999999</v>
      </c>
      <c r="R33" s="3799">
        <f t="shared" si="38"/>
        <v>1153.81881</v>
      </c>
      <c r="S33" s="3802">
        <f>SUM(S23*S39)</f>
        <v>138.46329</v>
      </c>
      <c r="T33" s="3802">
        <f t="shared" ref="T33:U33" si="59">SUM(T23*T39)</f>
        <v>138.46329</v>
      </c>
      <c r="U33" s="3802">
        <f t="shared" si="59"/>
        <v>138.46329</v>
      </c>
      <c r="V33" s="3799">
        <f t="shared" si="46"/>
        <v>415.38986999999997</v>
      </c>
      <c r="W33" s="3792">
        <f t="shared" si="32"/>
        <v>1569.2086799999997</v>
      </c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</row>
    <row r="34" spans="1:50" ht="18.75">
      <c r="A34" s="3807" t="s">
        <v>1737</v>
      </c>
      <c r="B34" s="3797">
        <f t="shared" si="33"/>
        <v>131840.51312009699</v>
      </c>
      <c r="C34" s="3797">
        <f>SUM(C27:C31)</f>
        <v>131494.68186509699</v>
      </c>
      <c r="D34" s="3797">
        <f>SUM(D27:D33)</f>
        <v>345.831255</v>
      </c>
      <c r="E34" s="3808">
        <f>SUM(E27+E28+E29+E30+E31)</f>
        <v>10837.858080443997</v>
      </c>
      <c r="F34" s="3808">
        <f t="shared" ref="F34:G34" si="60">SUM(F27+F28+F29+F30+F31)</f>
        <v>10853.95320294</v>
      </c>
      <c r="G34" s="3808">
        <f t="shared" si="60"/>
        <v>10894.809531767998</v>
      </c>
      <c r="H34" s="3797">
        <f t="shared" si="41"/>
        <v>32586.620815151997</v>
      </c>
      <c r="I34" s="3808">
        <f>SUM(I27+I28+I29+I30+I31)</f>
        <v>10743.899428175999</v>
      </c>
      <c r="J34" s="3808">
        <f t="shared" ref="J34:K34" si="61">SUM(J27+J28+J29+J30+J31)</f>
        <v>10532.108657003999</v>
      </c>
      <c r="K34" s="3808">
        <f t="shared" si="61"/>
        <v>10156.354136303997</v>
      </c>
      <c r="L34" s="3797">
        <f t="shared" si="42"/>
        <v>31432.362221483992</v>
      </c>
      <c r="M34" s="3797">
        <f t="shared" si="36"/>
        <v>64018.983036635989</v>
      </c>
      <c r="N34" s="3808">
        <f>SUM(N27+N28+N29+N30+N31)</f>
        <v>10559.359766955</v>
      </c>
      <c r="O34" s="3808">
        <f t="shared" ref="O34:P34" si="62">SUM(O27+O28+O29+O30+O31)</f>
        <v>10934.234748659999</v>
      </c>
      <c r="P34" s="3808">
        <f t="shared" si="62"/>
        <v>11400.53295495</v>
      </c>
      <c r="Q34" s="3797">
        <f t="shared" si="44"/>
        <v>32894.127470564999</v>
      </c>
      <c r="R34" s="3797">
        <f t="shared" si="38"/>
        <v>96913.110507200996</v>
      </c>
      <c r="S34" s="3808">
        <f>SUM(S27+S28+S29+S30+S31)</f>
        <v>11642.467537631999</v>
      </c>
      <c r="T34" s="3808">
        <f t="shared" ref="T34:U34" si="63">SUM(T27+T28+T29+T30+T31)</f>
        <v>11642.467537631999</v>
      </c>
      <c r="U34" s="3808">
        <f t="shared" si="63"/>
        <v>11642.467537631999</v>
      </c>
      <c r="V34" s="3797">
        <f t="shared" si="46"/>
        <v>34927.402612895996</v>
      </c>
      <c r="W34" s="3788">
        <f t="shared" si="32"/>
        <v>131840.51312009699</v>
      </c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</row>
    <row r="35" spans="1:50" ht="18.75">
      <c r="A35" s="3806" t="s">
        <v>1738</v>
      </c>
      <c r="B35" s="3803">
        <f t="shared" si="33"/>
        <v>-1205.4349999999999</v>
      </c>
      <c r="C35" s="3803">
        <f>SUM(H35+L35+Q35+V35)</f>
        <v>-1205.4349999999999</v>
      </c>
      <c r="D35" s="3899">
        <v>0</v>
      </c>
      <c r="E35" s="3802">
        <f>SUM(E169)</f>
        <v>-100.45291666666667</v>
      </c>
      <c r="F35" s="3802">
        <f t="shared" ref="F35:G35" si="64">SUM(F169)</f>
        <v>-100.45291666666667</v>
      </c>
      <c r="G35" s="3802">
        <f t="shared" si="64"/>
        <v>-100.45291666666667</v>
      </c>
      <c r="H35" s="3803">
        <f t="shared" si="41"/>
        <v>-301.35874999999999</v>
      </c>
      <c r="I35" s="3802">
        <f>SUM(I169)</f>
        <v>-100.45291666666667</v>
      </c>
      <c r="J35" s="3802">
        <f t="shared" ref="J35:K35" si="65">SUM(J169)</f>
        <v>-100.45291666666667</v>
      </c>
      <c r="K35" s="3802">
        <f t="shared" si="65"/>
        <v>-100.45291666666667</v>
      </c>
      <c r="L35" s="3803">
        <f t="shared" si="42"/>
        <v>-301.35874999999999</v>
      </c>
      <c r="M35" s="3803">
        <f t="shared" si="36"/>
        <v>-602.71749999999997</v>
      </c>
      <c r="N35" s="3802">
        <f>SUM(N169)</f>
        <v>-100.45291666666667</v>
      </c>
      <c r="O35" s="3802">
        <f t="shared" ref="O35:P35" si="66">SUM(O169)</f>
        <v>-100.45291666666667</v>
      </c>
      <c r="P35" s="3802">
        <f t="shared" si="66"/>
        <v>-100.45291666666667</v>
      </c>
      <c r="Q35" s="3803">
        <f t="shared" si="44"/>
        <v>-301.35874999999999</v>
      </c>
      <c r="R35" s="3803">
        <f t="shared" si="38"/>
        <v>-904.07624999999996</v>
      </c>
      <c r="S35" s="3802">
        <f>SUM(S169)</f>
        <v>-100.45291666666667</v>
      </c>
      <c r="T35" s="3802">
        <f t="shared" ref="T35:U35" si="67">SUM(T169)</f>
        <v>-100.45291666666667</v>
      </c>
      <c r="U35" s="3802">
        <f t="shared" si="67"/>
        <v>-100.45291666666667</v>
      </c>
      <c r="V35" s="3803">
        <f t="shared" si="46"/>
        <v>-301.35874999999999</v>
      </c>
      <c r="W35" s="3792">
        <f t="shared" si="32"/>
        <v>-1205.4349999999997</v>
      </c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</row>
    <row r="36" spans="1:50" ht="18.75">
      <c r="A36" s="3807" t="s">
        <v>1739</v>
      </c>
      <c r="B36" s="3797">
        <f>SUM(B34/B17)</f>
        <v>34.774037715888724</v>
      </c>
      <c r="C36" s="3797">
        <f>SUM(C34/C17)</f>
        <v>34.869976628241048</v>
      </c>
      <c r="D36" s="3797">
        <f>SUM(D34/D17)</f>
        <v>16.995000000000001</v>
      </c>
      <c r="E36" s="3808">
        <f>SUM(E34/E17)</f>
        <v>33.627082342475241</v>
      </c>
      <c r="F36" s="3808">
        <f t="shared" ref="F36:H36" si="68">SUM(F34/F17)</f>
        <v>33.627219749200734</v>
      </c>
      <c r="G36" s="3808">
        <f t="shared" si="68"/>
        <v>33.62756672814195</v>
      </c>
      <c r="H36" s="3797">
        <f t="shared" si="68"/>
        <v>33.627290055189128</v>
      </c>
      <c r="I36" s="3808">
        <f>SUM(I34/I17)</f>
        <v>33.626272008118271</v>
      </c>
      <c r="J36" s="3808">
        <f t="shared" ref="J36:M36" si="69">SUM(J34/J17)</f>
        <v>33.62439257058935</v>
      </c>
      <c r="K36" s="3808">
        <f t="shared" si="69"/>
        <v>33.620865782648664</v>
      </c>
      <c r="L36" s="3797">
        <f t="shared" si="69"/>
        <v>33.623895265480911</v>
      </c>
      <c r="M36" s="3797">
        <f t="shared" si="69"/>
        <v>33.62562317861147</v>
      </c>
      <c r="N36" s="3808">
        <f>SUM(N34/N17)</f>
        <v>35.925574506685287</v>
      </c>
      <c r="O36" s="3808">
        <f t="shared" ref="O36:R36" si="70">SUM(O34/O17)</f>
        <v>35.929144662871039</v>
      </c>
      <c r="P36" s="3808">
        <f t="shared" si="70"/>
        <v>35.933258715263563</v>
      </c>
      <c r="Q36" s="3797">
        <f t="shared" si="70"/>
        <v>35.929424189408358</v>
      </c>
      <c r="R36" s="3797">
        <f t="shared" si="70"/>
        <v>34.373718716405484</v>
      </c>
      <c r="S36" s="3808">
        <f>SUM(S34/S17)</f>
        <v>35.935263747416158</v>
      </c>
      <c r="T36" s="3808">
        <f t="shared" ref="T36:W36" si="71">SUM(T34/T17)</f>
        <v>35.935263747416158</v>
      </c>
      <c r="U36" s="3808">
        <f t="shared" si="71"/>
        <v>35.935263747416158</v>
      </c>
      <c r="V36" s="3797">
        <f t="shared" si="71"/>
        <v>35.935263747416158</v>
      </c>
      <c r="W36" s="3809">
        <f t="shared" si="71"/>
        <v>34.774037715888717</v>
      </c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</row>
    <row r="37" spans="1:50" ht="18.75">
      <c r="A37" s="3806" t="s">
        <v>264</v>
      </c>
      <c r="B37" s="3803">
        <f>SUM(C27/C18)</f>
        <v>28.378143999999999</v>
      </c>
      <c r="C37" s="3803">
        <f>SUM(C27/C18)</f>
        <v>28.378143999999999</v>
      </c>
      <c r="D37" s="3899">
        <v>0</v>
      </c>
      <c r="E37" s="3900">
        <v>27.8</v>
      </c>
      <c r="F37" s="3900">
        <f>SUM(E37)</f>
        <v>27.8</v>
      </c>
      <c r="G37" s="3900">
        <f>SUM(E37)</f>
        <v>27.8</v>
      </c>
      <c r="H37" s="3803">
        <f>SUM(G37)</f>
        <v>27.8</v>
      </c>
      <c r="I37" s="3900">
        <f>SUM(E37)</f>
        <v>27.8</v>
      </c>
      <c r="J37" s="3900">
        <f>SUM(E37)</f>
        <v>27.8</v>
      </c>
      <c r="K37" s="3900">
        <f>SUM(E37)</f>
        <v>27.8</v>
      </c>
      <c r="L37" s="3803">
        <f>SUM(K37)</f>
        <v>27.8</v>
      </c>
      <c r="M37" s="3803">
        <f>SUM(L37)</f>
        <v>27.8</v>
      </c>
      <c r="N37" s="3900">
        <v>28.96</v>
      </c>
      <c r="O37" s="3900">
        <f>SUM(N37)</f>
        <v>28.96</v>
      </c>
      <c r="P37" s="3900">
        <f>SUM(N37)</f>
        <v>28.96</v>
      </c>
      <c r="Q37" s="3803">
        <f>SUM(P37)</f>
        <v>28.96</v>
      </c>
      <c r="R37" s="3803">
        <f>SUM(Q37)</f>
        <v>28.96</v>
      </c>
      <c r="S37" s="3900">
        <f>SUM(N37)</f>
        <v>28.96</v>
      </c>
      <c r="T37" s="3900">
        <f>SUM(S37)</f>
        <v>28.96</v>
      </c>
      <c r="U37" s="3900">
        <f>SUM(S37)</f>
        <v>28.96</v>
      </c>
      <c r="V37" s="3803">
        <f>SUM(U37)</f>
        <v>28.96</v>
      </c>
      <c r="W37" s="3810">
        <f>SUM(W27/W18)</f>
        <v>28.378143999999999</v>
      </c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</row>
    <row r="38" spans="1:50" ht="18.75">
      <c r="A38" s="3806" t="s">
        <v>1740</v>
      </c>
      <c r="B38" s="3803">
        <f>SUM(C28/C18)</f>
        <v>6.4931599999999978</v>
      </c>
      <c r="C38" s="3803">
        <f>SUM(C28/C18)</f>
        <v>6.4931599999999978</v>
      </c>
      <c r="D38" s="3899">
        <v>0</v>
      </c>
      <c r="E38" s="3802">
        <f>SUM(E39-E37)</f>
        <v>5.9199999999999982</v>
      </c>
      <c r="F38" s="3802">
        <f t="shared" ref="F38:U38" si="72">SUM(F39-F37)</f>
        <v>5.9199999999999982</v>
      </c>
      <c r="G38" s="3802">
        <f t="shared" si="72"/>
        <v>5.9199999999999982</v>
      </c>
      <c r="H38" s="3803">
        <f t="shared" ref="H38:H40" si="73">SUM(G38)</f>
        <v>5.9199999999999982</v>
      </c>
      <c r="I38" s="3802">
        <f t="shared" si="72"/>
        <v>5.9199999999999982</v>
      </c>
      <c r="J38" s="3802">
        <f t="shared" si="72"/>
        <v>5.9199999999999982</v>
      </c>
      <c r="K38" s="3802">
        <f t="shared" si="72"/>
        <v>5.9199999999999982</v>
      </c>
      <c r="L38" s="3803">
        <f t="shared" ref="L38:M40" si="74">SUM(K38)</f>
        <v>5.9199999999999982</v>
      </c>
      <c r="M38" s="3803">
        <f t="shared" si="74"/>
        <v>5.9199999999999982</v>
      </c>
      <c r="N38" s="3802">
        <f t="shared" si="72"/>
        <v>7.07</v>
      </c>
      <c r="O38" s="3802">
        <f t="shared" si="72"/>
        <v>7.07</v>
      </c>
      <c r="P38" s="3802">
        <f t="shared" si="72"/>
        <v>7.07</v>
      </c>
      <c r="Q38" s="3803">
        <f t="shared" ref="Q38:R40" si="75">SUM(P38)</f>
        <v>7.07</v>
      </c>
      <c r="R38" s="3803">
        <f t="shared" si="75"/>
        <v>7.07</v>
      </c>
      <c r="S38" s="3802">
        <f t="shared" si="72"/>
        <v>7.07</v>
      </c>
      <c r="T38" s="3802">
        <f t="shared" si="72"/>
        <v>7.07</v>
      </c>
      <c r="U38" s="3802">
        <f t="shared" si="72"/>
        <v>7.07</v>
      </c>
      <c r="V38" s="3803">
        <f t="shared" ref="V38:V40" si="76">SUM(U38)</f>
        <v>7.07</v>
      </c>
      <c r="W38" s="3810">
        <f>SUM(W28/W18)</f>
        <v>6.4931599999999987</v>
      </c>
      <c r="X38" s="435"/>
      <c r="Y38" s="435"/>
      <c r="Z38" s="435"/>
      <c r="AA38" s="435"/>
      <c r="AB38" s="435"/>
      <c r="AC38" s="435"/>
      <c r="AD38" s="435"/>
      <c r="AE38" s="435"/>
      <c r="AF38" s="435"/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</row>
    <row r="39" spans="1:50" ht="18.75">
      <c r="A39" s="3806" t="s">
        <v>265</v>
      </c>
      <c r="B39" s="3803">
        <f>SUM(B29+B31)/(B19-B20+B21)</f>
        <v>34.86770549611574</v>
      </c>
      <c r="C39" s="3803">
        <f>SUM(C29+C31)/(C19+C21)</f>
        <v>34.86770549611574</v>
      </c>
      <c r="D39" s="3803">
        <v>0</v>
      </c>
      <c r="E39" s="3802">
        <v>33.72</v>
      </c>
      <c r="F39" s="3802">
        <f>SUM(E39)</f>
        <v>33.72</v>
      </c>
      <c r="G39" s="3802">
        <f>SUM(E39)</f>
        <v>33.72</v>
      </c>
      <c r="H39" s="3803">
        <f t="shared" si="73"/>
        <v>33.72</v>
      </c>
      <c r="I39" s="3802">
        <f>SUM(E39)</f>
        <v>33.72</v>
      </c>
      <c r="J39" s="3802">
        <f>SUM(E39)</f>
        <v>33.72</v>
      </c>
      <c r="K39" s="3802">
        <f>SUM(E39)</f>
        <v>33.72</v>
      </c>
      <c r="L39" s="3803">
        <f t="shared" si="74"/>
        <v>33.72</v>
      </c>
      <c r="M39" s="3803">
        <f t="shared" si="74"/>
        <v>33.72</v>
      </c>
      <c r="N39" s="3802">
        <v>36.03</v>
      </c>
      <c r="O39" s="3802">
        <f>SUM(N39)</f>
        <v>36.03</v>
      </c>
      <c r="P39" s="3802">
        <f>SUM(N39)</f>
        <v>36.03</v>
      </c>
      <c r="Q39" s="3803">
        <f t="shared" si="75"/>
        <v>36.03</v>
      </c>
      <c r="R39" s="3803">
        <f t="shared" si="75"/>
        <v>36.03</v>
      </c>
      <c r="S39" s="3802">
        <f>SUM(N39)</f>
        <v>36.03</v>
      </c>
      <c r="T39" s="3802">
        <f>SUM(N39)</f>
        <v>36.03</v>
      </c>
      <c r="U39" s="3802">
        <f>SUM(N39)</f>
        <v>36.03</v>
      </c>
      <c r="V39" s="3803">
        <f t="shared" si="76"/>
        <v>36.03</v>
      </c>
      <c r="W39" s="3810">
        <f>SUM(W29/(W19-W20))</f>
        <v>34.866278378611447</v>
      </c>
      <c r="X39" s="435"/>
      <c r="Y39" s="435"/>
      <c r="Z39" s="435"/>
      <c r="AA39" s="435"/>
      <c r="AB39" s="435"/>
      <c r="AC39" s="435"/>
      <c r="AD39" s="435"/>
      <c r="AE39" s="435"/>
      <c r="AF39" s="435"/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</row>
    <row r="40" spans="1:50" ht="18.75">
      <c r="A40" s="3793" t="s">
        <v>25</v>
      </c>
      <c r="B40" s="3803">
        <f>SUM(B30/B20)</f>
        <v>16.995000000000001</v>
      </c>
      <c r="C40" s="3899">
        <v>0</v>
      </c>
      <c r="D40" s="3803">
        <f>SUM(D34/D17)</f>
        <v>16.995000000000001</v>
      </c>
      <c r="E40" s="3802">
        <v>16.059999999999999</v>
      </c>
      <c r="F40" s="3802">
        <f>SUM(E40)</f>
        <v>16.059999999999999</v>
      </c>
      <c r="G40" s="3802">
        <f>SUM(E40)</f>
        <v>16.059999999999999</v>
      </c>
      <c r="H40" s="3803">
        <f t="shared" si="73"/>
        <v>16.059999999999999</v>
      </c>
      <c r="I40" s="3802">
        <f>SUM(E40)</f>
        <v>16.059999999999999</v>
      </c>
      <c r="J40" s="3802">
        <f>SUM(E40)</f>
        <v>16.059999999999999</v>
      </c>
      <c r="K40" s="3802">
        <f>SUM(E40)</f>
        <v>16.059999999999999</v>
      </c>
      <c r="L40" s="3803">
        <f t="shared" si="74"/>
        <v>16.059999999999999</v>
      </c>
      <c r="M40" s="3803">
        <f t="shared" si="74"/>
        <v>16.059999999999999</v>
      </c>
      <c r="N40" s="3802">
        <v>17.93</v>
      </c>
      <c r="O40" s="3802">
        <f>SUM(N40)</f>
        <v>17.93</v>
      </c>
      <c r="P40" s="3802">
        <f>SUM(N40)</f>
        <v>17.93</v>
      </c>
      <c r="Q40" s="3803">
        <f t="shared" si="75"/>
        <v>17.93</v>
      </c>
      <c r="R40" s="3803">
        <f t="shared" si="75"/>
        <v>17.93</v>
      </c>
      <c r="S40" s="3802">
        <f>SUM(N40)</f>
        <v>17.93</v>
      </c>
      <c r="T40" s="3802">
        <f>SUM(N40)</f>
        <v>17.93</v>
      </c>
      <c r="U40" s="3802">
        <f>SUM(N40)</f>
        <v>17.93</v>
      </c>
      <c r="V40" s="3803">
        <f t="shared" si="76"/>
        <v>17.93</v>
      </c>
      <c r="W40" s="3810">
        <f>SUM(W30/W20)</f>
        <v>16.994999999999997</v>
      </c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</row>
    <row r="41" spans="1:50" ht="18.75">
      <c r="A41" s="4404" t="s">
        <v>1741</v>
      </c>
      <c r="B41" s="4405"/>
      <c r="C41" s="4405"/>
      <c r="D41" s="4405"/>
      <c r="E41" s="4406"/>
      <c r="F41" s="4406"/>
      <c r="G41" s="4406"/>
      <c r="H41" s="4406"/>
      <c r="I41" s="4406"/>
      <c r="J41" s="4406"/>
      <c r="K41" s="4406"/>
      <c r="L41" s="4406"/>
      <c r="M41" s="4406"/>
      <c r="N41" s="4406"/>
      <c r="O41" s="4406"/>
      <c r="P41" s="4406"/>
      <c r="Q41" s="4406"/>
      <c r="R41" s="4406"/>
      <c r="S41" s="4406"/>
      <c r="T41" s="4406"/>
      <c r="U41" s="4406"/>
      <c r="V41" s="4406"/>
      <c r="W41" s="3783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</row>
    <row r="42" spans="1:50" ht="18.75" customHeight="1">
      <c r="A42" s="4396" t="s">
        <v>546</v>
      </c>
      <c r="B42" s="4389" t="s">
        <v>1782</v>
      </c>
      <c r="C42" s="4389" t="s">
        <v>576</v>
      </c>
      <c r="D42" s="4389"/>
      <c r="E42" s="4383" t="s">
        <v>587</v>
      </c>
      <c r="F42" s="4383" t="s">
        <v>588</v>
      </c>
      <c r="G42" s="4383" t="s">
        <v>589</v>
      </c>
      <c r="H42" s="4384" t="s">
        <v>601</v>
      </c>
      <c r="I42" s="4383" t="s">
        <v>590</v>
      </c>
      <c r="J42" s="4383" t="s">
        <v>591</v>
      </c>
      <c r="K42" s="4383" t="s">
        <v>592</v>
      </c>
      <c r="L42" s="4384" t="s">
        <v>600</v>
      </c>
      <c r="M42" s="4384" t="s">
        <v>599</v>
      </c>
      <c r="N42" s="4383" t="s">
        <v>593</v>
      </c>
      <c r="O42" s="4383" t="s">
        <v>594</v>
      </c>
      <c r="P42" s="4383" t="s">
        <v>595</v>
      </c>
      <c r="Q42" s="4384" t="s">
        <v>225</v>
      </c>
      <c r="R42" s="4384" t="s">
        <v>229</v>
      </c>
      <c r="S42" s="4383" t="s">
        <v>596</v>
      </c>
      <c r="T42" s="4383" t="s">
        <v>597</v>
      </c>
      <c r="U42" s="4383" t="s">
        <v>598</v>
      </c>
      <c r="V42" s="4384" t="s">
        <v>135</v>
      </c>
      <c r="W42" s="4385" t="s">
        <v>602</v>
      </c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</row>
    <row r="43" spans="1:50" ht="37.5">
      <c r="A43" s="4397"/>
      <c r="B43" s="4389"/>
      <c r="C43" s="3784" t="s">
        <v>1554</v>
      </c>
      <c r="D43" s="3784" t="s">
        <v>1555</v>
      </c>
      <c r="E43" s="4383"/>
      <c r="F43" s="4383"/>
      <c r="G43" s="4383"/>
      <c r="H43" s="4384"/>
      <c r="I43" s="4383"/>
      <c r="J43" s="4383"/>
      <c r="K43" s="4383"/>
      <c r="L43" s="4384"/>
      <c r="M43" s="4384"/>
      <c r="N43" s="4383"/>
      <c r="O43" s="4383"/>
      <c r="P43" s="4383"/>
      <c r="Q43" s="4384"/>
      <c r="R43" s="4384"/>
      <c r="S43" s="4383"/>
      <c r="T43" s="4383"/>
      <c r="U43" s="4383"/>
      <c r="V43" s="4384"/>
      <c r="W43" s="4385"/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</row>
    <row r="44" spans="1:50" ht="18.75">
      <c r="A44" s="3811" t="s">
        <v>15</v>
      </c>
      <c r="B44" s="3787">
        <f>SUM(вода!BY8)</f>
        <v>19100.660356215267</v>
      </c>
      <c r="C44" s="3787">
        <f>SUM(вода!CA8)</f>
        <v>18998.142930995742</v>
      </c>
      <c r="D44" s="3787">
        <f>SUM(вода!CB8)</f>
        <v>102.51742521952714</v>
      </c>
      <c r="E44" s="3808">
        <f>SUM(E45+E46+E47+E48+E49+E50+E52)</f>
        <v>1560.5159992569809</v>
      </c>
      <c r="F44" s="3808">
        <f t="shared" ref="F44:G44" si="77">SUM(F45+F46+F47+F48+F49+F50+F52)</f>
        <v>1560.9904295356362</v>
      </c>
      <c r="G44" s="3808">
        <f t="shared" si="77"/>
        <v>1562.1947372055845</v>
      </c>
      <c r="H44" s="3797">
        <f t="shared" ref="H44:H50" si="78">SUM(E44+F44+G44)</f>
        <v>4683.7011659982018</v>
      </c>
      <c r="I44" s="3808">
        <f t="shared" ref="I44:K44" si="79">SUM(I45+I46+I47+I48+I49+I50+I52)</f>
        <v>1557.7701970506257</v>
      </c>
      <c r="J44" s="3808">
        <f t="shared" si="79"/>
        <v>1551.9210724636393</v>
      </c>
      <c r="K44" s="3808">
        <f t="shared" si="79"/>
        <v>1541.1886352513525</v>
      </c>
      <c r="L44" s="3797">
        <f t="shared" ref="L44:L50" si="80">SUM(I44+J44+K44)</f>
        <v>4650.8799047656175</v>
      </c>
      <c r="M44" s="3797">
        <f t="shared" ref="M44:M50" si="81">SUM(H44+L44)</f>
        <v>9334.5810707638193</v>
      </c>
      <c r="N44" s="3808">
        <f t="shared" ref="N44:P44" si="82">SUM(N45+N46+N47+N48+N49+N50+N52)</f>
        <v>1606.2407880574306</v>
      </c>
      <c r="O44" s="3808">
        <f t="shared" si="82"/>
        <v>1617.1999022175319</v>
      </c>
      <c r="P44" s="3808">
        <f t="shared" si="82"/>
        <v>1630.6163395917592</v>
      </c>
      <c r="Q44" s="3797">
        <f t="shared" ref="Q44:Q50" si="83">SUM(N44+O44+P44)</f>
        <v>4854.0570298667217</v>
      </c>
      <c r="R44" s="3797">
        <f t="shared" ref="R44:R50" si="84">SUM(M44+Q44)</f>
        <v>14188.638100630542</v>
      </c>
      <c r="S44" s="3808">
        <f t="shared" ref="S44:U44" si="85">SUM(S45+S46+S47+S48+S49+S50+S52)</f>
        <v>1637.338040609302</v>
      </c>
      <c r="T44" s="3808">
        <f t="shared" si="85"/>
        <v>1637.338040609302</v>
      </c>
      <c r="U44" s="3808">
        <f t="shared" si="85"/>
        <v>1637.338040609302</v>
      </c>
      <c r="V44" s="3797">
        <f t="shared" ref="V44:V50" si="86">SUM(S44+T44+U44)</f>
        <v>4912.0141218279059</v>
      </c>
      <c r="W44" s="3812">
        <f t="shared" ref="W44:W75" si="87">SUM(E44+F44+G44+I44+J44+K44+N44+O44+P44+S44+T44+U44)</f>
        <v>19100.652222458444</v>
      </c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</row>
    <row r="45" spans="1:50" ht="18.75">
      <c r="A45" s="3813" t="s">
        <v>1</v>
      </c>
      <c r="B45" s="3790">
        <f>SUM(вода!BY9)</f>
        <v>3899.14</v>
      </c>
      <c r="C45" s="3790">
        <f>SUM(вода!CA9)</f>
        <v>3878.2124621078142</v>
      </c>
      <c r="D45" s="3790">
        <f>SUM(вода!CB9)</f>
        <v>20.927537892185683</v>
      </c>
      <c r="E45" s="3801">
        <f>SUM(электр!BO96)</f>
        <v>320.34647564016973</v>
      </c>
      <c r="F45" s="3801">
        <f>SUM(электр!BP96)</f>
        <v>320.82090591882491</v>
      </c>
      <c r="G45" s="3801">
        <f>SUM(электр!BQ96)</f>
        <v>322.02521358877323</v>
      </c>
      <c r="H45" s="3799">
        <f>SUM(электр!BR96)</f>
        <v>963.19259514776786</v>
      </c>
      <c r="I45" s="3801">
        <f>SUM(электр!BS96)</f>
        <v>317.57688941374357</v>
      </c>
      <c r="J45" s="3801">
        <f>SUM(электр!BT96)</f>
        <v>311.3340071611434</v>
      </c>
      <c r="K45" s="3801">
        <f>SUM(электр!BU96)</f>
        <v>300.25802299228059</v>
      </c>
      <c r="L45" s="3799">
        <f>SUM(электр!BV96)</f>
        <v>929.16891956716756</v>
      </c>
      <c r="M45" s="3799">
        <f>SUM(электр!BW96)</f>
        <v>1892.3615147149355</v>
      </c>
      <c r="N45" s="3801">
        <f>SUM(электр!BX96)</f>
        <v>312.50165495394469</v>
      </c>
      <c r="O45" s="3801">
        <f>SUM(электр!BY96)</f>
        <v>323.56383320101895</v>
      </c>
      <c r="P45" s="3801">
        <f>SUM(электр!BZ96)</f>
        <v>337.32381753182239</v>
      </c>
      <c r="Q45" s="3799">
        <f>SUM(электр!CA96)</f>
        <v>973.38930568678597</v>
      </c>
      <c r="R45" s="3799">
        <f>SUM(электр!CB96)</f>
        <v>2867.4322117642555</v>
      </c>
      <c r="S45" s="3801">
        <f>SUM(электр!CC96)</f>
        <v>344.46306023504962</v>
      </c>
      <c r="T45" s="3801">
        <f>SUM(электр!CD96)</f>
        <v>344.46306023504962</v>
      </c>
      <c r="U45" s="3801">
        <f>SUM(электр!CE96)</f>
        <v>344.46306023504962</v>
      </c>
      <c r="V45" s="3799">
        <f>SUM(электр!CF96)</f>
        <v>1033.3891807051489</v>
      </c>
      <c r="W45" s="3814">
        <f t="shared" si="87"/>
        <v>3899.1400011068708</v>
      </c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</row>
    <row r="46" spans="1:50" ht="18.75">
      <c r="A46" s="3813" t="s">
        <v>2</v>
      </c>
      <c r="B46" s="3790">
        <f>SUM(вода!BY10)</f>
        <v>3621.84</v>
      </c>
      <c r="C46" s="3790">
        <f>SUM(вода!CA10)</f>
        <v>3602.4007919081046</v>
      </c>
      <c r="D46" s="3790">
        <f>SUM(вода!CB10)</f>
        <v>19.43920809189558</v>
      </c>
      <c r="E46" s="3801">
        <f>SUM(B46/12)</f>
        <v>301.82</v>
      </c>
      <c r="F46" s="3801">
        <f t="shared" ref="F46:G48" si="88">SUM(E46)</f>
        <v>301.82</v>
      </c>
      <c r="G46" s="3801">
        <f>SUM(E46)</f>
        <v>301.82</v>
      </c>
      <c r="H46" s="3799">
        <f t="shared" si="78"/>
        <v>905.46</v>
      </c>
      <c r="I46" s="3801">
        <f>SUM(E46)</f>
        <v>301.82</v>
      </c>
      <c r="J46" s="3801">
        <f>SUM(E46)</f>
        <v>301.82</v>
      </c>
      <c r="K46" s="3801">
        <f>SUM(E46)</f>
        <v>301.82</v>
      </c>
      <c r="L46" s="3799">
        <f t="shared" si="80"/>
        <v>905.46</v>
      </c>
      <c r="M46" s="3799">
        <f t="shared" si="81"/>
        <v>1810.92</v>
      </c>
      <c r="N46" s="3801">
        <f>SUM(E46)</f>
        <v>301.82</v>
      </c>
      <c r="O46" s="3801">
        <f>SUM(E46)</f>
        <v>301.82</v>
      </c>
      <c r="P46" s="3801">
        <f>E46</f>
        <v>301.82</v>
      </c>
      <c r="Q46" s="3799">
        <f t="shared" si="83"/>
        <v>905.46</v>
      </c>
      <c r="R46" s="3799">
        <f t="shared" si="84"/>
        <v>2716.38</v>
      </c>
      <c r="S46" s="3801">
        <f>E46</f>
        <v>301.82</v>
      </c>
      <c r="T46" s="3801">
        <f>E46</f>
        <v>301.82</v>
      </c>
      <c r="U46" s="3801">
        <f>E46</f>
        <v>301.82</v>
      </c>
      <c r="V46" s="3799">
        <f t="shared" si="86"/>
        <v>905.46</v>
      </c>
      <c r="W46" s="3814">
        <f t="shared" si="87"/>
        <v>3621.8400000000006</v>
      </c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</row>
    <row r="47" spans="1:50" ht="18.75">
      <c r="A47" s="3813" t="s">
        <v>219</v>
      </c>
      <c r="B47" s="3790">
        <v>0</v>
      </c>
      <c r="C47" s="3790">
        <v>0</v>
      </c>
      <c r="D47" s="3790">
        <v>0</v>
      </c>
      <c r="E47" s="3801">
        <f>SUM(B47/12)</f>
        <v>0</v>
      </c>
      <c r="F47" s="3801">
        <f t="shared" si="88"/>
        <v>0</v>
      </c>
      <c r="G47" s="3801">
        <f t="shared" si="88"/>
        <v>0</v>
      </c>
      <c r="H47" s="3799">
        <f t="shared" si="78"/>
        <v>0</v>
      </c>
      <c r="I47" s="3801">
        <f>SUM(E47)</f>
        <v>0</v>
      </c>
      <c r="J47" s="3801">
        <f>SUM(E47)</f>
        <v>0</v>
      </c>
      <c r="K47" s="3801">
        <f>SUM(E47)</f>
        <v>0</v>
      </c>
      <c r="L47" s="3799">
        <f t="shared" si="80"/>
        <v>0</v>
      </c>
      <c r="M47" s="3799">
        <f t="shared" si="81"/>
        <v>0</v>
      </c>
      <c r="N47" s="3801">
        <f>SUM(E47)</f>
        <v>0</v>
      </c>
      <c r="O47" s="3801">
        <f>SUM(E47)</f>
        <v>0</v>
      </c>
      <c r="P47" s="3801">
        <f>E47</f>
        <v>0</v>
      </c>
      <c r="Q47" s="3799">
        <f t="shared" si="83"/>
        <v>0</v>
      </c>
      <c r="R47" s="3799">
        <f t="shared" si="84"/>
        <v>0</v>
      </c>
      <c r="S47" s="3801">
        <f>E47</f>
        <v>0</v>
      </c>
      <c r="T47" s="3801">
        <f>E47</f>
        <v>0</v>
      </c>
      <c r="U47" s="3801">
        <f>E47</f>
        <v>0</v>
      </c>
      <c r="V47" s="3799">
        <f t="shared" si="86"/>
        <v>0</v>
      </c>
      <c r="W47" s="3814">
        <f t="shared" si="87"/>
        <v>0</v>
      </c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</row>
    <row r="48" spans="1:50" ht="18.75">
      <c r="A48" s="3813" t="s">
        <v>3</v>
      </c>
      <c r="B48" s="3790">
        <f>SUM(вода!BY12)</f>
        <v>0</v>
      </c>
      <c r="C48" s="3790">
        <f>SUM(вода!CA12)</f>
        <v>0</v>
      </c>
      <c r="D48" s="3790">
        <f>SUM(вода!CB12)</f>
        <v>0</v>
      </c>
      <c r="E48" s="3801">
        <f>SUM(B48/12)</f>
        <v>0</v>
      </c>
      <c r="F48" s="3801">
        <f t="shared" si="88"/>
        <v>0</v>
      </c>
      <c r="G48" s="3801">
        <f t="shared" si="88"/>
        <v>0</v>
      </c>
      <c r="H48" s="3799">
        <f t="shared" si="78"/>
        <v>0</v>
      </c>
      <c r="I48" s="3801">
        <f>SUM(E48)</f>
        <v>0</v>
      </c>
      <c r="J48" s="3801">
        <f>SUM(E48)</f>
        <v>0</v>
      </c>
      <c r="K48" s="3801">
        <f>SUM(E48)</f>
        <v>0</v>
      </c>
      <c r="L48" s="3799">
        <f t="shared" si="80"/>
        <v>0</v>
      </c>
      <c r="M48" s="3799">
        <f t="shared" si="81"/>
        <v>0</v>
      </c>
      <c r="N48" s="3801">
        <f>SUM(E48)</f>
        <v>0</v>
      </c>
      <c r="O48" s="3801">
        <f>SUM(E48)</f>
        <v>0</v>
      </c>
      <c r="P48" s="3801">
        <f>E48</f>
        <v>0</v>
      </c>
      <c r="Q48" s="3799">
        <f t="shared" si="83"/>
        <v>0</v>
      </c>
      <c r="R48" s="3799">
        <f t="shared" si="84"/>
        <v>0</v>
      </c>
      <c r="S48" s="3801">
        <f>E48</f>
        <v>0</v>
      </c>
      <c r="T48" s="3801">
        <f>E48</f>
        <v>0</v>
      </c>
      <c r="U48" s="3801">
        <f>E48</f>
        <v>0</v>
      </c>
      <c r="V48" s="3799">
        <f t="shared" si="86"/>
        <v>0</v>
      </c>
      <c r="W48" s="3814">
        <f t="shared" si="87"/>
        <v>0</v>
      </c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</row>
    <row r="49" spans="1:50" ht="18.75">
      <c r="A49" s="3813" t="s">
        <v>4</v>
      </c>
      <c r="B49" s="3790">
        <f>SUM(вода!BY13)</f>
        <v>7395.9629824079975</v>
      </c>
      <c r="C49" s="3790">
        <f>SUM(вода!CA13)</f>
        <v>7356.2672301232506</v>
      </c>
      <c r="D49" s="3790">
        <f>SUM(вода!CB13)</f>
        <v>39.695752284746959</v>
      </c>
      <c r="E49" s="3801">
        <f>SUM((ЗП!CR25/2)/(1+(106.03%*100-100)/2/100)/6)</f>
        <v>598.2917522050185</v>
      </c>
      <c r="F49" s="3801">
        <f>SUM(E49)</f>
        <v>598.2917522050185</v>
      </c>
      <c r="G49" s="3801">
        <f>SUM(E49)</f>
        <v>598.2917522050185</v>
      </c>
      <c r="H49" s="3799">
        <f t="shared" si="78"/>
        <v>1794.8752566150556</v>
      </c>
      <c r="I49" s="3801">
        <f>SUM(E49)</f>
        <v>598.2917522050185</v>
      </c>
      <c r="J49" s="3801">
        <f>SUM(E49)</f>
        <v>598.2917522050185</v>
      </c>
      <c r="K49" s="3801">
        <f>SUM(E49)</f>
        <v>598.2917522050185</v>
      </c>
      <c r="L49" s="3799">
        <f t="shared" si="80"/>
        <v>1794.8752566150556</v>
      </c>
      <c r="M49" s="3799">
        <f t="shared" si="81"/>
        <v>3589.7505132301112</v>
      </c>
      <c r="N49" s="3801">
        <f>SUM(ЗП!CR25-'Произв. прогр. Вода'!M49)/6</f>
        <v>634.36874486298109</v>
      </c>
      <c r="O49" s="3801">
        <f>SUM(N49)</f>
        <v>634.36874486298109</v>
      </c>
      <c r="P49" s="3801">
        <f>SUM(N49)</f>
        <v>634.36874486298109</v>
      </c>
      <c r="Q49" s="3799">
        <f t="shared" si="83"/>
        <v>1903.1062345889432</v>
      </c>
      <c r="R49" s="3799">
        <f t="shared" si="84"/>
        <v>5492.8567478190544</v>
      </c>
      <c r="S49" s="3801">
        <f>SUM(N49)</f>
        <v>634.36874486298109</v>
      </c>
      <c r="T49" s="3801">
        <f>SUM(N49)</f>
        <v>634.36874486298109</v>
      </c>
      <c r="U49" s="3801">
        <f>SUM(N49)</f>
        <v>634.36874486298109</v>
      </c>
      <c r="V49" s="3799">
        <f t="shared" si="86"/>
        <v>1903.1062345889432</v>
      </c>
      <c r="W49" s="669">
        <f t="shared" si="87"/>
        <v>7395.9629824079957</v>
      </c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</row>
    <row r="50" spans="1:50" ht="18.75">
      <c r="A50" s="3813" t="s">
        <v>5</v>
      </c>
      <c r="B50" s="3790">
        <f>SUM(вода!BY14)</f>
        <v>2226.1848577048072</v>
      </c>
      <c r="C50" s="3790">
        <f>SUM(вода!CA14)</f>
        <v>2214.2364362670983</v>
      </c>
      <c r="D50" s="3790">
        <f>SUM(вода!CB14)</f>
        <v>11.948421437708834</v>
      </c>
      <c r="E50" s="3801">
        <f>SUM(E49*E51)</f>
        <v>180.08515934905242</v>
      </c>
      <c r="F50" s="3801">
        <f>SUM(F49*F51)</f>
        <v>180.08515934905242</v>
      </c>
      <c r="G50" s="3801">
        <f>SUM(G49*G51)</f>
        <v>180.08515934905242</v>
      </c>
      <c r="H50" s="3799">
        <f t="shared" si="78"/>
        <v>540.25547804715723</v>
      </c>
      <c r="I50" s="3801">
        <f>SUM(I49*I51)</f>
        <v>180.08515934905242</v>
      </c>
      <c r="J50" s="3801">
        <f>SUM(J49*J51)</f>
        <v>180.08515934905242</v>
      </c>
      <c r="K50" s="3801">
        <f>SUM(K49*K51)</f>
        <v>180.08515934905242</v>
      </c>
      <c r="L50" s="3799">
        <f t="shared" si="80"/>
        <v>540.25547804715723</v>
      </c>
      <c r="M50" s="3799">
        <f t="shared" si="81"/>
        <v>1080.5109560943145</v>
      </c>
      <c r="N50" s="3801">
        <f>SUM(N49*N51)</f>
        <v>190.94429445780028</v>
      </c>
      <c r="O50" s="3801">
        <f>SUM(O49*O51)</f>
        <v>190.94429445780028</v>
      </c>
      <c r="P50" s="3801">
        <f>SUM(P49*P51)</f>
        <v>190.94429445780028</v>
      </c>
      <c r="Q50" s="3799">
        <f t="shared" si="83"/>
        <v>572.83288337340082</v>
      </c>
      <c r="R50" s="3799">
        <f t="shared" si="84"/>
        <v>1653.3438394677153</v>
      </c>
      <c r="S50" s="3801">
        <f>SUM(S49*S51)</f>
        <v>190.94429445780028</v>
      </c>
      <c r="T50" s="3801">
        <f>SUM(T49*T51)</f>
        <v>190.94429445780028</v>
      </c>
      <c r="U50" s="3801">
        <f>SUM(U49*U51)</f>
        <v>190.94429445780028</v>
      </c>
      <c r="V50" s="3799">
        <f t="shared" si="86"/>
        <v>572.83288337340082</v>
      </c>
      <c r="W50" s="3814">
        <f t="shared" si="87"/>
        <v>2226.1767228411159</v>
      </c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</row>
    <row r="51" spans="1:50" ht="18.75">
      <c r="A51" s="3815" t="s">
        <v>322</v>
      </c>
      <c r="B51" s="3795">
        <f>SUM([18]вода!BG15)</f>
        <v>0.30099890009404989</v>
      </c>
      <c r="C51" s="3795">
        <f>SUM([18]вода!BI15)</f>
        <v>0.30099890009404989</v>
      </c>
      <c r="D51" s="3795">
        <f>SUM([18]вода!BJ15)</f>
        <v>0.30099890009404989</v>
      </c>
      <c r="E51" s="3796">
        <f>SUM(B51)</f>
        <v>0.30099890009404989</v>
      </c>
      <c r="F51" s="3796">
        <f>SUM(E51)</f>
        <v>0.30099890009404989</v>
      </c>
      <c r="G51" s="3796">
        <f>SUM(E51)</f>
        <v>0.30099890009404989</v>
      </c>
      <c r="H51" s="3795">
        <f>SUM(H50/H49)</f>
        <v>0.30099890009404984</v>
      </c>
      <c r="I51" s="3796">
        <f>SUM(E51)</f>
        <v>0.30099890009404989</v>
      </c>
      <c r="J51" s="3796">
        <f>SUM(E51)</f>
        <v>0.30099890009404989</v>
      </c>
      <c r="K51" s="3796">
        <f>SUM(E51)</f>
        <v>0.30099890009404989</v>
      </c>
      <c r="L51" s="3795">
        <f>SUM(L50/L49)</f>
        <v>0.30099890009404984</v>
      </c>
      <c r="M51" s="3795">
        <f>SUM(M50/M49)</f>
        <v>0.30099890009404984</v>
      </c>
      <c r="N51" s="3796">
        <f>SUM(E51)</f>
        <v>0.30099890009404989</v>
      </c>
      <c r="O51" s="3796">
        <f>SUM(E51)</f>
        <v>0.30099890009404989</v>
      </c>
      <c r="P51" s="3796">
        <f>SUM(E51)</f>
        <v>0.30099890009404989</v>
      </c>
      <c r="Q51" s="3795">
        <f>SUM(Q50/Q49)</f>
        <v>0.30099890009404989</v>
      </c>
      <c r="R51" s="3795">
        <f>SUM(R50/R49)</f>
        <v>0.30099890009404989</v>
      </c>
      <c r="S51" s="3796">
        <f>SUM(E51)</f>
        <v>0.30099890009404989</v>
      </c>
      <c r="T51" s="3796">
        <f>SUM(E51)</f>
        <v>0.30099890009404989</v>
      </c>
      <c r="U51" s="3796">
        <f>SUM(E51)</f>
        <v>0.30099890009404989</v>
      </c>
      <c r="V51" s="3795">
        <f>SUM(V50/V49)</f>
        <v>0.30099890009404989</v>
      </c>
      <c r="W51" s="3816">
        <f>SUM(W50/W49)</f>
        <v>0.30099890009404995</v>
      </c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</row>
    <row r="52" spans="1:50" ht="18.75">
      <c r="A52" s="3817" t="s">
        <v>1742</v>
      </c>
      <c r="B52" s="3787">
        <f>SUM('цех вода'!U63)</f>
        <v>1957.532516102463</v>
      </c>
      <c r="C52" s="3787">
        <f>SUM('цех вода'!W63)</f>
        <v>1947.0260105894729</v>
      </c>
      <c r="D52" s="3787">
        <f>SUM('цех вода'!X63)</f>
        <v>10.506505512990088</v>
      </c>
      <c r="E52" s="3800">
        <f>SUM('цех вода'!Y63)</f>
        <v>159.97261206274035</v>
      </c>
      <c r="F52" s="3800">
        <f>SUM('цех вода'!Z63)</f>
        <v>159.97261206274035</v>
      </c>
      <c r="G52" s="3800">
        <f>SUM('цех вода'!AA63)</f>
        <v>159.97261206274035</v>
      </c>
      <c r="H52" s="3787">
        <f>SUM('цех вода'!AB63)</f>
        <v>479.91783618822103</v>
      </c>
      <c r="I52" s="3800">
        <f>SUM('цех вода'!AC63)</f>
        <v>159.996396082811</v>
      </c>
      <c r="J52" s="3800">
        <f>SUM('цех вода'!AD63)</f>
        <v>160.39015374842501</v>
      </c>
      <c r="K52" s="3800">
        <f>SUM('цех вода'!AE63)</f>
        <v>160.73370070500098</v>
      </c>
      <c r="L52" s="3787">
        <f>SUM('цех вода'!AF63)</f>
        <v>481.12025053623699</v>
      </c>
      <c r="M52" s="3787">
        <f>SUM('цех вода'!AG63)</f>
        <v>961.03808672445803</v>
      </c>
      <c r="N52" s="3800">
        <f>SUM('цех вода'!AH63)</f>
        <v>166.60609378270451</v>
      </c>
      <c r="O52" s="3800">
        <f>SUM('цех вода'!AI63)</f>
        <v>166.5030296957317</v>
      </c>
      <c r="P52" s="3800">
        <f>SUM('цех вода'!AJ63)</f>
        <v>166.15948273915572</v>
      </c>
      <c r="Q52" s="3787">
        <f>SUM('цех вода'!AK63)</f>
        <v>499.26860621759192</v>
      </c>
      <c r="R52" s="3787">
        <f>SUM('цех вода'!AL63)</f>
        <v>1460.3066929420499</v>
      </c>
      <c r="S52" s="3800">
        <f>SUM('цех вода'!AM63)</f>
        <v>165.74194105347107</v>
      </c>
      <c r="T52" s="3800">
        <f>SUM('цех вода'!AN63)</f>
        <v>165.74194105347107</v>
      </c>
      <c r="U52" s="3800">
        <f>SUM('цех вода'!AO63)</f>
        <v>165.74194105347107</v>
      </c>
      <c r="V52" s="3787">
        <f>SUM('цех вода'!AP63)</f>
        <v>497.2258231604132</v>
      </c>
      <c r="W52" s="3814">
        <f t="shared" si="87"/>
        <v>1957.532516102463</v>
      </c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</row>
    <row r="53" spans="1:50" ht="18.75">
      <c r="A53" s="3818" t="s">
        <v>72</v>
      </c>
      <c r="B53" s="3790">
        <f>SUM('цех вода'!U64)</f>
        <v>909.27385372959407</v>
      </c>
      <c r="C53" s="3790">
        <f>SUM('цех вода'!W64)</f>
        <v>904.39358191881024</v>
      </c>
      <c r="D53" s="3790">
        <f>SUM('цех вода'!X64)</f>
        <v>4.8802718107838245</v>
      </c>
      <c r="E53" s="3819">
        <f>SUM('цех вода'!Y64)</f>
        <v>73.555133858304956</v>
      </c>
      <c r="F53" s="3819">
        <f>SUM('цех вода'!Z64)</f>
        <v>73.555133858304956</v>
      </c>
      <c r="G53" s="3819">
        <f>SUM('цех вода'!AA64)</f>
        <v>73.555133858304956</v>
      </c>
      <c r="H53" s="3790">
        <f>SUM('цех вода'!AB64)</f>
        <v>220.66540157491488</v>
      </c>
      <c r="I53" s="3819">
        <f>SUM('цех вода'!AC64)</f>
        <v>73.555133858304956</v>
      </c>
      <c r="J53" s="3819">
        <f>SUM('цех вода'!AD64)</f>
        <v>73.555133858304956</v>
      </c>
      <c r="K53" s="3819">
        <f>SUM('цех вода'!AE64)</f>
        <v>73.555133858304956</v>
      </c>
      <c r="L53" s="3790">
        <f>SUM('цех вода'!AF64)</f>
        <v>220.66540157491488</v>
      </c>
      <c r="M53" s="3790">
        <f>SUM('цех вода'!AG64)</f>
        <v>441.33080314982976</v>
      </c>
      <c r="N53" s="3819">
        <f>SUM('цех вода'!AH64)</f>
        <v>77.990508429960713</v>
      </c>
      <c r="O53" s="3819">
        <f>SUM('цех вода'!AI64)</f>
        <v>77.990508429960713</v>
      </c>
      <c r="P53" s="3819">
        <f>SUM('цех вода'!AJ64)</f>
        <v>77.990508429960713</v>
      </c>
      <c r="Q53" s="3790">
        <f>SUM('цех вода'!AK64)</f>
        <v>233.97152528988215</v>
      </c>
      <c r="R53" s="3790">
        <f>SUM('цех вода'!AL64)</f>
        <v>675.30232843971191</v>
      </c>
      <c r="S53" s="3819">
        <f>SUM('цех вода'!AM64)</f>
        <v>77.990508429960713</v>
      </c>
      <c r="T53" s="3819">
        <f>SUM('цех вода'!AN64)</f>
        <v>77.990508429960713</v>
      </c>
      <c r="U53" s="3819">
        <f>SUM('цех вода'!AO64)</f>
        <v>77.990508429960713</v>
      </c>
      <c r="V53" s="3790">
        <f>SUM('цех вода'!AP64)</f>
        <v>233.97152528988215</v>
      </c>
      <c r="W53" s="3814">
        <f t="shared" si="87"/>
        <v>909.27385372959418</v>
      </c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</row>
    <row r="54" spans="1:50" ht="18.75">
      <c r="A54" s="3818" t="s">
        <v>121</v>
      </c>
      <c r="B54" s="3790">
        <f>SUM('цех вода'!U65)</f>
        <v>273.46729249951409</v>
      </c>
      <c r="C54" s="3790">
        <f>SUM('цех вода'!W65)</f>
        <v>271.99953367934938</v>
      </c>
      <c r="D54" s="3790">
        <f>SUM('цех вода'!X65)</f>
        <v>1.467758820164704</v>
      </c>
      <c r="E54" s="3819">
        <f>SUM('цех вода'!Y65)</f>
        <v>22.121963832088703</v>
      </c>
      <c r="F54" s="3819">
        <f>SUM('цех вода'!Z65)</f>
        <v>22.121963832088703</v>
      </c>
      <c r="G54" s="3819">
        <f>SUM('цех вода'!AA65)</f>
        <v>22.121963832088703</v>
      </c>
      <c r="H54" s="3790">
        <f>SUM('цех вода'!AB65)</f>
        <v>66.365891496266102</v>
      </c>
      <c r="I54" s="3819">
        <f>SUM('цех вода'!AC65)</f>
        <v>22.121963832088703</v>
      </c>
      <c r="J54" s="3819">
        <f>SUM('цех вода'!AD65)</f>
        <v>22.121963832088703</v>
      </c>
      <c r="K54" s="3819">
        <f>SUM('цех вода'!AE65)</f>
        <v>22.121963832088703</v>
      </c>
      <c r="L54" s="3790">
        <f>SUM('цех вода'!AF65)</f>
        <v>66.365891496266102</v>
      </c>
      <c r="M54" s="3790">
        <f>SUM('цех вода'!AG65)</f>
        <v>132.7317829925322</v>
      </c>
      <c r="N54" s="3819">
        <f>SUM('цех вода'!AH65)</f>
        <v>23.455918251163649</v>
      </c>
      <c r="O54" s="3819">
        <f>SUM('цех вода'!AI65)</f>
        <v>23.455918251163649</v>
      </c>
      <c r="P54" s="3819">
        <f>SUM('цех вода'!AJ65)</f>
        <v>23.455918251163649</v>
      </c>
      <c r="Q54" s="3790">
        <f>SUM('цех вода'!AK65)</f>
        <v>70.367754753490942</v>
      </c>
      <c r="R54" s="3790">
        <f>SUM('цех вода'!AL65)</f>
        <v>203.09953774602315</v>
      </c>
      <c r="S54" s="3819">
        <f>SUM('цех вода'!AM65)</f>
        <v>23.455918251163649</v>
      </c>
      <c r="T54" s="3819">
        <f>SUM('цех вода'!AN65)</f>
        <v>23.455918251163649</v>
      </c>
      <c r="U54" s="3819">
        <f>SUM('цех вода'!AO65)</f>
        <v>23.455918251163649</v>
      </c>
      <c r="V54" s="3790">
        <f>SUM('цех вода'!AP65)</f>
        <v>70.367754753490942</v>
      </c>
      <c r="W54" s="3814">
        <f t="shared" si="87"/>
        <v>273.46729249951409</v>
      </c>
      <c r="X54" s="435"/>
      <c r="Y54" s="435"/>
      <c r="Z54" s="435"/>
      <c r="AA54" s="435"/>
      <c r="AB54" s="435"/>
      <c r="AC54" s="435"/>
      <c r="AD54" s="435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435"/>
      <c r="AU54" s="435"/>
      <c r="AV54" s="435"/>
      <c r="AW54" s="435"/>
      <c r="AX54" s="435"/>
    </row>
    <row r="55" spans="1:50" ht="18.75">
      <c r="A55" s="3818" t="s">
        <v>1556</v>
      </c>
      <c r="B55" s="3790">
        <f>SUM('цех вода'!U66)</f>
        <v>498.38777859968707</v>
      </c>
      <c r="C55" s="3790">
        <f>SUM('цех вода'!W66)</f>
        <v>495.71282229607982</v>
      </c>
      <c r="D55" s="3790">
        <f>SUM('цех вода'!X66)</f>
        <v>2.6749563036072459</v>
      </c>
      <c r="E55" s="3819">
        <f>SUM('цех вода'!Y66)</f>
        <v>41.532314883307258</v>
      </c>
      <c r="F55" s="3819">
        <f>SUM('цех вода'!Z66)</f>
        <v>41.532314883307258</v>
      </c>
      <c r="G55" s="3819">
        <f>SUM('цех вода'!AA66)</f>
        <v>41.532314883307258</v>
      </c>
      <c r="H55" s="3790">
        <f>SUM('цех вода'!AB66)</f>
        <v>124.59694464992177</v>
      </c>
      <c r="I55" s="3819">
        <f>SUM('цех вода'!AC66)</f>
        <v>41.532314883307258</v>
      </c>
      <c r="J55" s="3819">
        <f>SUM('цех вода'!AD66)</f>
        <v>41.532314883307258</v>
      </c>
      <c r="K55" s="3819">
        <f>SUM('цех вода'!AE66)</f>
        <v>41.532314883307258</v>
      </c>
      <c r="L55" s="3790">
        <f>SUM('цех вода'!AF66)</f>
        <v>124.59694464992177</v>
      </c>
      <c r="M55" s="3790">
        <f>SUM('цех вода'!AG66)</f>
        <v>249.19388929984353</v>
      </c>
      <c r="N55" s="3819">
        <f>SUM('цех вода'!AH66)</f>
        <v>41.532314883307258</v>
      </c>
      <c r="O55" s="3819">
        <f>SUM('цех вода'!AI66)</f>
        <v>41.532314883307258</v>
      </c>
      <c r="P55" s="3819">
        <f>SUM('цех вода'!AJ66)</f>
        <v>41.532314883307258</v>
      </c>
      <c r="Q55" s="3790">
        <f>SUM('цех вода'!AK66)</f>
        <v>124.59694464992177</v>
      </c>
      <c r="R55" s="3790">
        <f>SUM('цех вода'!AL66)</f>
        <v>373.79083394976533</v>
      </c>
      <c r="S55" s="3819">
        <f>SUM('цех вода'!AM66)</f>
        <v>41.532314883307258</v>
      </c>
      <c r="T55" s="3819">
        <f>SUM('цех вода'!AN66)</f>
        <v>41.532314883307258</v>
      </c>
      <c r="U55" s="3819">
        <f>SUM('цех вода'!AO66)</f>
        <v>41.532314883307258</v>
      </c>
      <c r="V55" s="3790">
        <f>SUM('цех вода'!AP66)</f>
        <v>124.59694464992177</v>
      </c>
      <c r="W55" s="3814">
        <f t="shared" si="87"/>
        <v>498.38777859968712</v>
      </c>
      <c r="X55" s="435"/>
      <c r="Y55" s="435"/>
      <c r="Z55" s="435"/>
      <c r="AA55" s="435"/>
      <c r="AB55" s="435"/>
      <c r="AC55" s="435"/>
      <c r="AD55" s="435"/>
      <c r="AE55" s="435"/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R55" s="435"/>
      <c r="AS55" s="435"/>
      <c r="AT55" s="435"/>
      <c r="AU55" s="435"/>
      <c r="AV55" s="435"/>
      <c r="AW55" s="435"/>
      <c r="AX55" s="435"/>
    </row>
    <row r="56" spans="1:50" ht="18.75">
      <c r="A56" s="3818" t="s">
        <v>52</v>
      </c>
      <c r="B56" s="3790">
        <f>SUM('цех вода'!U67)</f>
        <v>14.094234115937732</v>
      </c>
      <c r="C56" s="3790">
        <f>SUM('цех вода'!W67)</f>
        <v>14.018587276244205</v>
      </c>
      <c r="D56" s="3790">
        <f>SUM('цех вода'!X67)</f>
        <v>7.5646839693527923E-2</v>
      </c>
      <c r="E56" s="3819">
        <f>SUM('цех вода'!Y67)</f>
        <v>1.1745195096614778</v>
      </c>
      <c r="F56" s="3819">
        <f>SUM('цех вода'!Z67)</f>
        <v>1.1745195096614778</v>
      </c>
      <c r="G56" s="3819">
        <f>SUM('цех вода'!AA67)</f>
        <v>1.1745195096614778</v>
      </c>
      <c r="H56" s="3790">
        <f>SUM('цех вода'!AB67)</f>
        <v>3.5235585289844336</v>
      </c>
      <c r="I56" s="3819">
        <f>SUM('цех вода'!AC67)</f>
        <v>1.1745195096614778</v>
      </c>
      <c r="J56" s="3819">
        <f>SUM('цех вода'!AD67)</f>
        <v>1.1745195096614778</v>
      </c>
      <c r="K56" s="3819">
        <f>SUM('цех вода'!AE67)</f>
        <v>1.1745195096614778</v>
      </c>
      <c r="L56" s="3790">
        <f>SUM('цех вода'!AF67)</f>
        <v>3.5235585289844336</v>
      </c>
      <c r="M56" s="3790">
        <f>SUM('цех вода'!AG67)</f>
        <v>7.0471170579688671</v>
      </c>
      <c r="N56" s="3819">
        <f>SUM('цех вода'!AH67)</f>
        <v>1.1745195096614778</v>
      </c>
      <c r="O56" s="3819">
        <f>SUM('цех вода'!AI67)</f>
        <v>1.1745195096614778</v>
      </c>
      <c r="P56" s="3819">
        <f>SUM('цех вода'!AJ67)</f>
        <v>1.1745195096614778</v>
      </c>
      <c r="Q56" s="3790">
        <f>SUM('цех вода'!AK67)</f>
        <v>3.5235585289844336</v>
      </c>
      <c r="R56" s="3790">
        <f>SUM('цех вода'!AL67)</f>
        <v>10.5706755869533</v>
      </c>
      <c r="S56" s="3819">
        <f>SUM('цех вода'!AM67)</f>
        <v>1.1745195096614778</v>
      </c>
      <c r="T56" s="3819">
        <f>SUM('цех вода'!AN67)</f>
        <v>1.1745195096614778</v>
      </c>
      <c r="U56" s="3819">
        <f>SUM('цех вода'!AO67)</f>
        <v>1.1745195096614778</v>
      </c>
      <c r="V56" s="3790">
        <f>SUM('цех вода'!AP67)</f>
        <v>3.5235585289844336</v>
      </c>
      <c r="W56" s="3814">
        <f t="shared" si="87"/>
        <v>14.094234115937732</v>
      </c>
      <c r="X56" s="435"/>
      <c r="Y56" s="435"/>
      <c r="Z56" s="435"/>
      <c r="AA56" s="435"/>
      <c r="AB56" s="435"/>
      <c r="AC56" s="435"/>
      <c r="AD56" s="435"/>
      <c r="AE56" s="435"/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435"/>
      <c r="AQ56" s="435"/>
      <c r="AR56" s="435"/>
      <c r="AS56" s="435"/>
      <c r="AT56" s="435"/>
      <c r="AU56" s="435"/>
      <c r="AV56" s="435"/>
      <c r="AW56" s="435"/>
      <c r="AX56" s="435"/>
    </row>
    <row r="57" spans="1:50" ht="18.75">
      <c r="A57" s="3818" t="s">
        <v>1557</v>
      </c>
      <c r="B57" s="3790">
        <f>SUM('цех вода'!U68)</f>
        <v>12.723961354666011</v>
      </c>
      <c r="C57" s="3790">
        <f>SUM('цех вода'!W68)</f>
        <v>12.655669068831576</v>
      </c>
      <c r="D57" s="3790">
        <f>SUM('цех вода'!X68)</f>
        <v>6.8292285834434807E-2</v>
      </c>
      <c r="E57" s="3819">
        <f>SUM('цех вода'!Y68)</f>
        <v>1.0603301128888343</v>
      </c>
      <c r="F57" s="3819">
        <f>SUM('цех вода'!Z68)</f>
        <v>1.0603301128888343</v>
      </c>
      <c r="G57" s="3819">
        <f>SUM('цех вода'!AA68)</f>
        <v>1.0603301128888343</v>
      </c>
      <c r="H57" s="3790">
        <f>SUM('цех вода'!AB68)</f>
        <v>3.1809903386665028</v>
      </c>
      <c r="I57" s="3819">
        <f>SUM('цех вода'!AC68)</f>
        <v>1.0603301128888343</v>
      </c>
      <c r="J57" s="3819">
        <f>SUM('цех вода'!AD68)</f>
        <v>1.0603301128888343</v>
      </c>
      <c r="K57" s="3819">
        <f>SUM('цех вода'!AE68)</f>
        <v>1.0603301128888343</v>
      </c>
      <c r="L57" s="3790">
        <f>SUM('цех вода'!AF68)</f>
        <v>3.1809903386665028</v>
      </c>
      <c r="M57" s="3790">
        <f>SUM('цех вода'!AG68)</f>
        <v>6.3619806773330057</v>
      </c>
      <c r="N57" s="3819">
        <f>SUM('цех вода'!AH68)</f>
        <v>1.0603301128888343</v>
      </c>
      <c r="O57" s="3819">
        <f>SUM('цех вода'!AI68)</f>
        <v>1.0603301128888343</v>
      </c>
      <c r="P57" s="3819">
        <f>SUM('цех вода'!AJ68)</f>
        <v>1.0603301128888343</v>
      </c>
      <c r="Q57" s="3790">
        <f>SUM('цех вода'!AK68)</f>
        <v>3.1809903386665028</v>
      </c>
      <c r="R57" s="3790">
        <f>SUM('цех вода'!AL68)</f>
        <v>9.5429710159995089</v>
      </c>
      <c r="S57" s="3819">
        <f>SUM('цех вода'!AM68)</f>
        <v>1.0603301128888343</v>
      </c>
      <c r="T57" s="3819">
        <f>SUM('цех вода'!AN68)</f>
        <v>1.0603301128888343</v>
      </c>
      <c r="U57" s="3819">
        <f>SUM('цех вода'!AO68)</f>
        <v>1.0603301128888343</v>
      </c>
      <c r="V57" s="3790">
        <f>SUM('цех вода'!AP68)</f>
        <v>3.1809903386665028</v>
      </c>
      <c r="W57" s="3814">
        <f t="shared" si="87"/>
        <v>12.723961354666015</v>
      </c>
      <c r="X57" s="435"/>
      <c r="Y57" s="435"/>
      <c r="Z57" s="435"/>
      <c r="AA57" s="435"/>
      <c r="AB57" s="435"/>
      <c r="AC57" s="435"/>
      <c r="AD57" s="435"/>
      <c r="AE57" s="435"/>
      <c r="AF57" s="435"/>
      <c r="AG57" s="435"/>
      <c r="AH57" s="435"/>
      <c r="AI57" s="435"/>
      <c r="AJ57" s="435"/>
      <c r="AK57" s="435"/>
      <c r="AL57" s="435"/>
      <c r="AM57" s="435"/>
      <c r="AN57" s="435"/>
      <c r="AO57" s="435"/>
      <c r="AP57" s="435"/>
      <c r="AQ57" s="435"/>
      <c r="AR57" s="435"/>
      <c r="AS57" s="435"/>
      <c r="AT57" s="435"/>
      <c r="AU57" s="435"/>
      <c r="AV57" s="435"/>
      <c r="AW57" s="435"/>
      <c r="AX57" s="435"/>
    </row>
    <row r="58" spans="1:50" ht="18.75">
      <c r="A58" s="3818" t="s">
        <v>606</v>
      </c>
      <c r="B58" s="3790">
        <f>SUM('цех вода'!U69)</f>
        <v>12.13670159983527</v>
      </c>
      <c r="C58" s="3790">
        <f>SUM('цех вода'!W69)</f>
        <v>12.071561265654731</v>
      </c>
      <c r="D58" s="3790">
        <f>SUM('цех вода'!X69)</f>
        <v>6.5140334180538773E-2</v>
      </c>
      <c r="E58" s="3819">
        <f>SUM('цех вода'!Y69)</f>
        <v>1.0113917999862725</v>
      </c>
      <c r="F58" s="3819">
        <f>SUM('цех вода'!Z69)</f>
        <v>1.0113917999862725</v>
      </c>
      <c r="G58" s="3819">
        <f>SUM('цех вода'!AA69)</f>
        <v>1.0113917999862725</v>
      </c>
      <c r="H58" s="3790">
        <f>SUM('цех вода'!AB69)</f>
        <v>3.0341753999588175</v>
      </c>
      <c r="I58" s="3819">
        <f>SUM('цех вода'!AC69)</f>
        <v>1.0113917999862725</v>
      </c>
      <c r="J58" s="3819">
        <f>SUM('цех вода'!AD69)</f>
        <v>1.0113917999862725</v>
      </c>
      <c r="K58" s="3819">
        <f>SUM('цех вода'!AE69)</f>
        <v>1.0113917999862725</v>
      </c>
      <c r="L58" s="3790">
        <f>SUM('цех вода'!AF69)</f>
        <v>3.0341753999588175</v>
      </c>
      <c r="M58" s="3790">
        <f>SUM('цех вода'!AG69)</f>
        <v>6.0683507999176349</v>
      </c>
      <c r="N58" s="3819">
        <f>SUM('цех вода'!AH69)</f>
        <v>1.0113917999862725</v>
      </c>
      <c r="O58" s="3819">
        <f>SUM('цех вода'!AI69)</f>
        <v>1.0113917999862725</v>
      </c>
      <c r="P58" s="3819">
        <f>SUM('цех вода'!AJ69)</f>
        <v>1.0113917999862725</v>
      </c>
      <c r="Q58" s="3790">
        <f>SUM('цех вода'!AK69)</f>
        <v>3.0341753999588175</v>
      </c>
      <c r="R58" s="3790">
        <f>SUM('цех вода'!AL69)</f>
        <v>9.1025261998764524</v>
      </c>
      <c r="S58" s="3819">
        <f>SUM('цех вода'!AM69)</f>
        <v>1.0113917999862725</v>
      </c>
      <c r="T58" s="3819">
        <f>SUM('цех вода'!AN69)</f>
        <v>1.0113917999862725</v>
      </c>
      <c r="U58" s="3819">
        <f>SUM('цех вода'!AO69)</f>
        <v>1.0113917999862725</v>
      </c>
      <c r="V58" s="3790">
        <f>SUM('цех вода'!AP69)</f>
        <v>3.0341753999588175</v>
      </c>
      <c r="W58" s="3814">
        <f t="shared" si="87"/>
        <v>12.13670159983527</v>
      </c>
      <c r="X58" s="435"/>
      <c r="Y58" s="435"/>
      <c r="Z58" s="435"/>
      <c r="AA58" s="435"/>
      <c r="AB58" s="435"/>
      <c r="AC58" s="435"/>
      <c r="AD58" s="435"/>
      <c r="AE58" s="435"/>
      <c r="AF58" s="435"/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435"/>
      <c r="AR58" s="435"/>
      <c r="AS58" s="435"/>
      <c r="AT58" s="435"/>
      <c r="AU58" s="435"/>
      <c r="AV58" s="435"/>
      <c r="AW58" s="435"/>
      <c r="AX58" s="435"/>
    </row>
    <row r="59" spans="1:50" ht="18.75">
      <c r="A59" s="3818" t="s">
        <v>98</v>
      </c>
      <c r="B59" s="3790">
        <f>SUM('цех вода'!U70)</f>
        <v>112.55811967589163</v>
      </c>
      <c r="C59" s="3790">
        <f>SUM('цех вода'!W70)</f>
        <v>111.95399560889472</v>
      </c>
      <c r="D59" s="3790">
        <f>SUM('цех вода'!X70)</f>
        <v>0.60412406699691701</v>
      </c>
      <c r="E59" s="3819">
        <f>SUM('цех вода'!Y70)</f>
        <v>9.3798433063243021</v>
      </c>
      <c r="F59" s="3819">
        <f>SUM('цех вода'!Z70)</f>
        <v>9.3798433063243021</v>
      </c>
      <c r="G59" s="3819">
        <f>SUM('цех вода'!AA70)</f>
        <v>9.3798433063243021</v>
      </c>
      <c r="H59" s="3790">
        <f>SUM('цех вода'!AB70)</f>
        <v>28.139529918972904</v>
      </c>
      <c r="I59" s="3819">
        <f>SUM('цех вода'!AC70)</f>
        <v>9.3798433063243021</v>
      </c>
      <c r="J59" s="3819">
        <f>SUM('цех вода'!AD70)</f>
        <v>9.3798433063243021</v>
      </c>
      <c r="K59" s="3819">
        <f>SUM('цех вода'!AE70)</f>
        <v>9.3798433063243021</v>
      </c>
      <c r="L59" s="3790">
        <f>SUM('цех вода'!AF70)</f>
        <v>28.139529918972904</v>
      </c>
      <c r="M59" s="3790">
        <f>SUM('цех вода'!AG70)</f>
        <v>56.279059837945809</v>
      </c>
      <c r="N59" s="3819">
        <f>SUM('цех вода'!AH70)</f>
        <v>9.3798433063243021</v>
      </c>
      <c r="O59" s="3819">
        <f>SUM('цех вода'!AI70)</f>
        <v>9.3798433063243021</v>
      </c>
      <c r="P59" s="3819">
        <f>SUM('цех вода'!AJ70)</f>
        <v>9.3798433063243021</v>
      </c>
      <c r="Q59" s="3790">
        <f>SUM('цех вода'!AK70)</f>
        <v>28.139529918972904</v>
      </c>
      <c r="R59" s="3790">
        <f>SUM('цех вода'!AL70)</f>
        <v>84.41858975691872</v>
      </c>
      <c r="S59" s="3819">
        <f>SUM('цех вода'!AM70)</f>
        <v>9.3798433063243021</v>
      </c>
      <c r="T59" s="3819">
        <f>SUM('цех вода'!AN70)</f>
        <v>9.3798433063243021</v>
      </c>
      <c r="U59" s="3819">
        <f>SUM('цех вода'!AO70)</f>
        <v>9.3798433063243021</v>
      </c>
      <c r="V59" s="3790">
        <f>SUM('цех вода'!AP70)</f>
        <v>28.139529918972904</v>
      </c>
      <c r="W59" s="3814">
        <f t="shared" si="87"/>
        <v>112.55811967589163</v>
      </c>
      <c r="X59" s="435"/>
      <c r="Y59" s="435"/>
      <c r="Z59" s="435"/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5"/>
      <c r="AW59" s="435"/>
      <c r="AX59" s="435"/>
    </row>
    <row r="60" spans="1:50" ht="18.75">
      <c r="A60" s="3818" t="s">
        <v>38</v>
      </c>
      <c r="B60" s="3790">
        <f>SUM('цех вода'!U71)</f>
        <v>0</v>
      </c>
      <c r="C60" s="3790">
        <f>SUM('цех вода'!W71)</f>
        <v>0</v>
      </c>
      <c r="D60" s="3790">
        <f>SUM('цех вода'!X71)</f>
        <v>0</v>
      </c>
      <c r="E60" s="3819">
        <f>SUM('цех вода'!Y71)</f>
        <v>0</v>
      </c>
      <c r="F60" s="3819">
        <f>SUM('цех вода'!Z71)</f>
        <v>0</v>
      </c>
      <c r="G60" s="3819">
        <f>SUM('цех вода'!AA71)</f>
        <v>0</v>
      </c>
      <c r="H60" s="3790">
        <f>SUM('цех вода'!AB71)</f>
        <v>0</v>
      </c>
      <c r="I60" s="3819">
        <f>SUM('цех вода'!AC71)</f>
        <v>0</v>
      </c>
      <c r="J60" s="3819">
        <f>SUM('цех вода'!AD71)</f>
        <v>0</v>
      </c>
      <c r="K60" s="3819">
        <f>SUM('цех вода'!AE71)</f>
        <v>0</v>
      </c>
      <c r="L60" s="3790">
        <f>SUM('цех вода'!AF71)</f>
        <v>0</v>
      </c>
      <c r="M60" s="3790">
        <f>SUM('цех вода'!AG71)</f>
        <v>0</v>
      </c>
      <c r="N60" s="3819">
        <f>SUM('цех вода'!AH71)</f>
        <v>0</v>
      </c>
      <c r="O60" s="3819">
        <f>SUM('цех вода'!AI71)</f>
        <v>0</v>
      </c>
      <c r="P60" s="3819">
        <f>SUM('цех вода'!AJ71)</f>
        <v>0</v>
      </c>
      <c r="Q60" s="3790">
        <f>SUM('цех вода'!AK71)</f>
        <v>0</v>
      </c>
      <c r="R60" s="3790">
        <f>SUM('цех вода'!AL71)</f>
        <v>0</v>
      </c>
      <c r="S60" s="3819">
        <f>SUM('цех вода'!AM71)</f>
        <v>0</v>
      </c>
      <c r="T60" s="3819">
        <f>SUM('цех вода'!AN71)</f>
        <v>0</v>
      </c>
      <c r="U60" s="3819">
        <f>SUM('цех вода'!AO71)</f>
        <v>0</v>
      </c>
      <c r="V60" s="3790">
        <f>SUM('цех вода'!AP71)</f>
        <v>0</v>
      </c>
      <c r="W60" s="3814">
        <f t="shared" si="87"/>
        <v>0</v>
      </c>
      <c r="X60" s="435"/>
      <c r="Y60" s="435"/>
      <c r="Z60" s="435"/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5"/>
      <c r="AW60" s="435"/>
      <c r="AX60" s="435"/>
    </row>
    <row r="61" spans="1:50" ht="18.75">
      <c r="A61" s="3818" t="s">
        <v>607</v>
      </c>
      <c r="B61" s="3790">
        <f>SUM('цех вода'!U72)</f>
        <v>76.343768127996057</v>
      </c>
      <c r="C61" s="3790">
        <f>SUM('цех вода'!W72)</f>
        <v>75.934014412989455</v>
      </c>
      <c r="D61" s="3790">
        <f>SUM('цех вода'!X72)</f>
        <v>0.40975371500660174</v>
      </c>
      <c r="E61" s="3819">
        <f>SUM('цех вода'!Y72)</f>
        <v>6.3619806773330039</v>
      </c>
      <c r="F61" s="3819">
        <f>SUM('цех вода'!Z72)</f>
        <v>6.3619806773330039</v>
      </c>
      <c r="G61" s="3819">
        <f>SUM('цех вода'!AA72)</f>
        <v>6.3619806773330039</v>
      </c>
      <c r="H61" s="3790">
        <f>SUM('цех вода'!AB72)</f>
        <v>19.085942031999011</v>
      </c>
      <c r="I61" s="3819">
        <f>SUM('цех вода'!AC72)</f>
        <v>6.3619806773330039</v>
      </c>
      <c r="J61" s="3819">
        <f>SUM('цех вода'!AD72)</f>
        <v>6.3619806773330039</v>
      </c>
      <c r="K61" s="3819">
        <f>SUM('цех вода'!AE72)</f>
        <v>6.3619806773330039</v>
      </c>
      <c r="L61" s="3790">
        <f>SUM('цех вода'!AF72)</f>
        <v>19.085942031999011</v>
      </c>
      <c r="M61" s="3790">
        <f>SUM('цех вода'!AG72)</f>
        <v>38.171884063998021</v>
      </c>
      <c r="N61" s="3819">
        <f>SUM('цех вода'!AH72)</f>
        <v>6.3619806773330039</v>
      </c>
      <c r="O61" s="3819">
        <f>SUM('цех вода'!AI72)</f>
        <v>6.3619806773330039</v>
      </c>
      <c r="P61" s="3819">
        <f>SUM('цех вода'!AJ72)</f>
        <v>6.3619806773330039</v>
      </c>
      <c r="Q61" s="3790">
        <f>SUM('цех вода'!AK72)</f>
        <v>19.085942031999011</v>
      </c>
      <c r="R61" s="3790">
        <f>SUM('цех вода'!AL72)</f>
        <v>57.257826095997032</v>
      </c>
      <c r="S61" s="3819">
        <f>SUM('цех вода'!AM72)</f>
        <v>6.3619806773330039</v>
      </c>
      <c r="T61" s="3819">
        <f>SUM('цех вода'!AN72)</f>
        <v>6.3619806773330039</v>
      </c>
      <c r="U61" s="3819">
        <f>SUM('цех вода'!AO72)</f>
        <v>6.3619806773330039</v>
      </c>
      <c r="V61" s="3790">
        <f>SUM('цех вода'!AP72)</f>
        <v>19.085942031999011</v>
      </c>
      <c r="W61" s="3814">
        <f t="shared" si="87"/>
        <v>76.343768127996043</v>
      </c>
      <c r="X61" s="435"/>
      <c r="Y61" s="435"/>
      <c r="Z61" s="435"/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5"/>
      <c r="AW61" s="435"/>
      <c r="AX61" s="435"/>
    </row>
    <row r="62" spans="1:50" ht="18.75">
      <c r="A62" s="3820" t="s">
        <v>565</v>
      </c>
      <c r="B62" s="3794">
        <f>SUM('цех вода'!U73)</f>
        <v>75.36500186994482</v>
      </c>
      <c r="C62" s="3794">
        <f>SUM('цех вода'!W73)</f>
        <v>74.960501407694707</v>
      </c>
      <c r="D62" s="3794">
        <f>SUM('цех вода'!X73)</f>
        <v>0.40450046225011249</v>
      </c>
      <c r="E62" s="3821">
        <f>SUM('цех вода'!Y73)</f>
        <v>6.2804168224954013</v>
      </c>
      <c r="F62" s="3821">
        <f>SUM('цех вода'!Z73)</f>
        <v>6.2804168224954013</v>
      </c>
      <c r="G62" s="3821">
        <f>SUM('цех вода'!AA73)</f>
        <v>6.2804168224954013</v>
      </c>
      <c r="H62" s="3794">
        <f>SUM('цех вода'!AB73)</f>
        <v>18.841250467486205</v>
      </c>
      <c r="I62" s="3821">
        <f>SUM('цех вода'!AC73)</f>
        <v>6.2804168224954013</v>
      </c>
      <c r="J62" s="3821">
        <f>SUM('цех вода'!AD73)</f>
        <v>6.2804168224954013</v>
      </c>
      <c r="K62" s="3821">
        <f>SUM('цех вода'!AE73)</f>
        <v>6.2804168224954013</v>
      </c>
      <c r="L62" s="3794">
        <f>SUM('цех вода'!AF73)</f>
        <v>18.841250467486205</v>
      </c>
      <c r="M62" s="3794">
        <f>SUM('цех вода'!AG73)</f>
        <v>37.68250093497241</v>
      </c>
      <c r="N62" s="3821">
        <f>SUM('цех вода'!AH73)</f>
        <v>6.2804168224954013</v>
      </c>
      <c r="O62" s="3821">
        <f>SUM('цех вода'!AI73)</f>
        <v>6.2804168224954013</v>
      </c>
      <c r="P62" s="3821">
        <f>SUM('цех вода'!AJ73)</f>
        <v>6.2804168224954013</v>
      </c>
      <c r="Q62" s="3794">
        <f>SUM('цех вода'!AK73)</f>
        <v>18.841250467486205</v>
      </c>
      <c r="R62" s="3794">
        <f>SUM('цех вода'!AL73)</f>
        <v>56.523751402458615</v>
      </c>
      <c r="S62" s="3821">
        <f>SUM('цех вода'!AM73)</f>
        <v>6.2804168224954013</v>
      </c>
      <c r="T62" s="3821">
        <f>SUM('цех вода'!AN73)</f>
        <v>6.2804168224954013</v>
      </c>
      <c r="U62" s="3821">
        <f>SUM('цех вода'!AO73)</f>
        <v>6.2804168224954013</v>
      </c>
      <c r="V62" s="3794">
        <f>SUM('цех вода'!AP73)</f>
        <v>18.841250467486205</v>
      </c>
      <c r="W62" s="3814">
        <f t="shared" si="87"/>
        <v>75.36500186994482</v>
      </c>
      <c r="X62" s="435"/>
      <c r="Y62" s="435"/>
      <c r="Z62" s="435"/>
      <c r="AA62" s="435"/>
      <c r="AB62" s="435"/>
      <c r="AC62" s="435"/>
      <c r="AD62" s="435"/>
      <c r="AE62" s="435"/>
      <c r="AF62" s="435"/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435"/>
      <c r="AR62" s="435"/>
      <c r="AS62" s="435"/>
      <c r="AT62" s="435"/>
      <c r="AU62" s="435"/>
      <c r="AV62" s="435"/>
      <c r="AW62" s="435"/>
      <c r="AX62" s="435"/>
    </row>
    <row r="63" spans="1:50" ht="18.75">
      <c r="A63" s="3820" t="s">
        <v>564</v>
      </c>
      <c r="B63" s="3794">
        <f>SUM('цех вода'!U74)</f>
        <v>0</v>
      </c>
      <c r="C63" s="3794">
        <f>SUM('цех вода'!W74)</f>
        <v>0</v>
      </c>
      <c r="D63" s="3794">
        <f>SUM('цех вода'!X74)</f>
        <v>0</v>
      </c>
      <c r="E63" s="3821">
        <f>SUM('цех вода'!Y74)</f>
        <v>0</v>
      </c>
      <c r="F63" s="3821">
        <f>SUM('цех вода'!Z74)</f>
        <v>0</v>
      </c>
      <c r="G63" s="3821">
        <f>SUM('цех вода'!AA74)</f>
        <v>0</v>
      </c>
      <c r="H63" s="3794">
        <f>SUM('цех вода'!AB74)</f>
        <v>0</v>
      </c>
      <c r="I63" s="3821">
        <f>SUM('цех вода'!AC74)</f>
        <v>0</v>
      </c>
      <c r="J63" s="3821">
        <f>SUM('цех вода'!AD74)</f>
        <v>0</v>
      </c>
      <c r="K63" s="3821">
        <f>SUM('цех вода'!AE74)</f>
        <v>0</v>
      </c>
      <c r="L63" s="3794">
        <f>SUM('цех вода'!AF74)</f>
        <v>0</v>
      </c>
      <c r="M63" s="3794">
        <f>SUM('цех вода'!AG74)</f>
        <v>0</v>
      </c>
      <c r="N63" s="3821">
        <f>SUM('цех вода'!AH74)</f>
        <v>0</v>
      </c>
      <c r="O63" s="3821">
        <f>SUM('цех вода'!AI74)</f>
        <v>0</v>
      </c>
      <c r="P63" s="3821">
        <f>SUM('цех вода'!AJ74)</f>
        <v>0</v>
      </c>
      <c r="Q63" s="3794">
        <f>SUM('цех вода'!AK74)</f>
        <v>0</v>
      </c>
      <c r="R63" s="3794">
        <f>SUM('цех вода'!AL74)</f>
        <v>0</v>
      </c>
      <c r="S63" s="3821">
        <f>SUM('цех вода'!AM74)</f>
        <v>0</v>
      </c>
      <c r="T63" s="3821">
        <f>SUM('цех вода'!AN74)</f>
        <v>0</v>
      </c>
      <c r="U63" s="3821">
        <f>SUM('цех вода'!AO74)</f>
        <v>0</v>
      </c>
      <c r="V63" s="3794">
        <f>SUM('цех вода'!AP74)</f>
        <v>0</v>
      </c>
      <c r="W63" s="3814">
        <f t="shared" si="87"/>
        <v>0</v>
      </c>
      <c r="X63" s="435"/>
      <c r="Y63" s="435"/>
      <c r="Z63" s="435"/>
      <c r="AA63" s="435"/>
      <c r="AB63" s="435"/>
      <c r="AC63" s="435"/>
      <c r="AD63" s="435"/>
      <c r="AE63" s="435"/>
      <c r="AF63" s="435"/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435"/>
      <c r="AR63" s="435"/>
      <c r="AS63" s="435"/>
      <c r="AT63" s="435"/>
      <c r="AU63" s="435"/>
      <c r="AV63" s="435"/>
      <c r="AW63" s="435"/>
      <c r="AX63" s="435"/>
    </row>
    <row r="64" spans="1:50" ht="18.75">
      <c r="A64" s="3820" t="s">
        <v>566</v>
      </c>
      <c r="B64" s="3794">
        <f>SUM('цех вода'!U75)</f>
        <v>0.97876625805123152</v>
      </c>
      <c r="C64" s="3794">
        <f>SUM('цех вода'!W75)</f>
        <v>0.9735130052947365</v>
      </c>
      <c r="D64" s="3794">
        <f>SUM('цех вода'!X75)</f>
        <v>5.2532527564950193E-3</v>
      </c>
      <c r="E64" s="3821">
        <f>SUM('цех вода'!Y75)</f>
        <v>8.1563854837602631E-2</v>
      </c>
      <c r="F64" s="3821">
        <f>SUM('цех вода'!Z75)</f>
        <v>8.1563854837602631E-2</v>
      </c>
      <c r="G64" s="3821">
        <f>SUM('цех вода'!AA75)</f>
        <v>8.1563854837602631E-2</v>
      </c>
      <c r="H64" s="3794">
        <f>SUM('цех вода'!AB75)</f>
        <v>0.24469156451280788</v>
      </c>
      <c r="I64" s="3821">
        <f>SUM('цех вода'!AC75)</f>
        <v>8.1563854837602631E-2</v>
      </c>
      <c r="J64" s="3821">
        <f>SUM('цех вода'!AD75)</f>
        <v>8.1563854837602631E-2</v>
      </c>
      <c r="K64" s="3821">
        <f>SUM('цех вода'!AE75)</f>
        <v>8.1563854837602631E-2</v>
      </c>
      <c r="L64" s="3794">
        <f>SUM('цех вода'!AF75)</f>
        <v>0.24469156451280788</v>
      </c>
      <c r="M64" s="3794">
        <f>SUM('цех вода'!AG75)</f>
        <v>0.48938312902561576</v>
      </c>
      <c r="N64" s="3821">
        <f>SUM('цех вода'!AH75)</f>
        <v>8.1563854837602631E-2</v>
      </c>
      <c r="O64" s="3821">
        <f>SUM('цех вода'!AI75)</f>
        <v>8.1563854837602631E-2</v>
      </c>
      <c r="P64" s="3821">
        <f>SUM('цех вода'!AJ75)</f>
        <v>8.1563854837602631E-2</v>
      </c>
      <c r="Q64" s="3794">
        <f>SUM('цех вода'!AK75)</f>
        <v>0.24469156451280788</v>
      </c>
      <c r="R64" s="3794">
        <f>SUM('цех вода'!AL75)</f>
        <v>0.73407469353842369</v>
      </c>
      <c r="S64" s="3821">
        <f>SUM('цех вода'!AM75)</f>
        <v>8.1563854837602631E-2</v>
      </c>
      <c r="T64" s="3821">
        <f>SUM('цех вода'!AN75)</f>
        <v>8.1563854837602631E-2</v>
      </c>
      <c r="U64" s="3821">
        <f>SUM('цех вода'!AO75)</f>
        <v>8.1563854837602631E-2</v>
      </c>
      <c r="V64" s="3794">
        <f>SUM('цех вода'!AP75)</f>
        <v>0.24469156451280788</v>
      </c>
      <c r="W64" s="3814">
        <f t="shared" si="87"/>
        <v>0.97876625805123163</v>
      </c>
      <c r="X64" s="435"/>
      <c r="Y64" s="435"/>
      <c r="Z64" s="435"/>
      <c r="AA64" s="435"/>
      <c r="AB64" s="435"/>
      <c r="AC64" s="435"/>
      <c r="AD64" s="435"/>
      <c r="AE64" s="435"/>
      <c r="AF64" s="435"/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435"/>
      <c r="AR64" s="435"/>
      <c r="AS64" s="435"/>
      <c r="AT64" s="435"/>
      <c r="AU64" s="435"/>
      <c r="AV64" s="435"/>
      <c r="AW64" s="435"/>
      <c r="AX64" s="435"/>
    </row>
    <row r="65" spans="1:50" ht="18.75">
      <c r="A65" s="3818" t="s">
        <v>610</v>
      </c>
      <c r="B65" s="3790">
        <f>SUM('цех вода'!U76)</f>
        <v>48.546806399341079</v>
      </c>
      <c r="C65" s="3790">
        <f>SUM('цех вода'!W76)</f>
        <v>48.286245062618924</v>
      </c>
      <c r="D65" s="3790">
        <f>SUM('цех вода'!X76)</f>
        <v>0.26056133672215509</v>
      </c>
      <c r="E65" s="3819">
        <f>SUM('цех вода'!Y76)</f>
        <v>3.7751340828455349</v>
      </c>
      <c r="F65" s="3819">
        <f>SUM('цех вода'!Z76)</f>
        <v>3.7751340828455349</v>
      </c>
      <c r="G65" s="3819">
        <f>SUM('цех вода'!AA76)</f>
        <v>3.7751340828455349</v>
      </c>
      <c r="H65" s="3790">
        <f>SUM('цех вода'!AB76)</f>
        <v>11.325402248536605</v>
      </c>
      <c r="I65" s="3819">
        <f>SUM('цех вода'!AC76)</f>
        <v>3.79891810291618</v>
      </c>
      <c r="J65" s="3819">
        <f>SUM('цех вода'!AD76)</f>
        <v>4.1926757685301901</v>
      </c>
      <c r="K65" s="3819">
        <f>SUM('цех вода'!AE76)</f>
        <v>4.536222725106172</v>
      </c>
      <c r="L65" s="3790">
        <f>SUM('цех вода'!AF76)</f>
        <v>12.527816596552542</v>
      </c>
      <c r="M65" s="3790">
        <f>SUM('цех вода'!AG76)</f>
        <v>23.853218845089145</v>
      </c>
      <c r="N65" s="3819">
        <f>SUM('цех вода'!AH76)</f>
        <v>4.639286812078967</v>
      </c>
      <c r="O65" s="3819">
        <f>SUM('цех вода'!AI76)</f>
        <v>4.536222725106172</v>
      </c>
      <c r="P65" s="3819">
        <f>SUM('цех вода'!AJ76)</f>
        <v>4.1926757685301901</v>
      </c>
      <c r="Q65" s="3790">
        <f>SUM('цех вода'!AK76)</f>
        <v>13.368185305715329</v>
      </c>
      <c r="R65" s="3790">
        <f>SUM('цех вода'!AL76)</f>
        <v>37.221404150804474</v>
      </c>
      <c r="S65" s="3819">
        <f>SUM('цех вода'!AM76)</f>
        <v>3.7751340828455349</v>
      </c>
      <c r="T65" s="3819">
        <f>SUM('цех вода'!AN76)</f>
        <v>3.7751340828455349</v>
      </c>
      <c r="U65" s="3819">
        <f>SUM('цех вода'!AO76)</f>
        <v>3.7751340828455349</v>
      </c>
      <c r="V65" s="3790">
        <f>SUM('цех вода'!AP76)</f>
        <v>11.325402248536605</v>
      </c>
      <c r="W65" s="3814">
        <f t="shared" si="87"/>
        <v>48.546806399341072</v>
      </c>
      <c r="X65" s="435"/>
      <c r="Y65" s="435"/>
      <c r="Z65" s="435"/>
      <c r="AA65" s="435"/>
      <c r="AB65" s="435"/>
      <c r="AC65" s="435"/>
      <c r="AD65" s="435"/>
      <c r="AE65" s="435"/>
      <c r="AF65" s="435"/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435"/>
      <c r="AR65" s="435"/>
      <c r="AS65" s="435"/>
      <c r="AT65" s="435"/>
      <c r="AU65" s="435"/>
      <c r="AV65" s="435"/>
      <c r="AW65" s="435"/>
      <c r="AX65" s="435"/>
    </row>
    <row r="66" spans="1:50" ht="18.75">
      <c r="A66" s="3820" t="s">
        <v>552</v>
      </c>
      <c r="B66" s="3794">
        <f>SUM('цех вода'!U77)</f>
        <v>26.426688967383253</v>
      </c>
      <c r="C66" s="3794">
        <f>SUM('цех вода'!W77)</f>
        <v>26.284851142957891</v>
      </c>
      <c r="D66" s="3794">
        <f>SUM('цех вода'!X77)</f>
        <v>0.14183782442536241</v>
      </c>
      <c r="E66" s="3821">
        <f>SUM('цех вода'!Y77)</f>
        <v>1.9317909635157158</v>
      </c>
      <c r="F66" s="3821">
        <f>SUM('цех вода'!Z77)</f>
        <v>1.9317909635157158</v>
      </c>
      <c r="G66" s="3821">
        <f>SUM('цех вода'!AA77)</f>
        <v>1.9317909635157158</v>
      </c>
      <c r="H66" s="3794">
        <f>SUM('цех вода'!AB77)</f>
        <v>5.7953728905471475</v>
      </c>
      <c r="I66" s="3821">
        <f>SUM('цех вода'!AC77)</f>
        <v>1.9555749835863609</v>
      </c>
      <c r="J66" s="3821">
        <f>SUM('цех вода'!AD77)</f>
        <v>2.3493326492003712</v>
      </c>
      <c r="K66" s="3821">
        <f>SUM('цех вода'!AE77)</f>
        <v>2.6928796057763531</v>
      </c>
      <c r="L66" s="3794">
        <f>SUM('цех вода'!AF77)</f>
        <v>6.9977872385630855</v>
      </c>
      <c r="M66" s="3794">
        <f>SUM('цех вода'!AG77)</f>
        <v>12.793160129110234</v>
      </c>
      <c r="N66" s="3821">
        <f>SUM('цех вода'!AH77)</f>
        <v>2.7959436927491481</v>
      </c>
      <c r="O66" s="3821">
        <f>SUM('цех вода'!AI77)</f>
        <v>2.6928796057763531</v>
      </c>
      <c r="P66" s="3821">
        <f>SUM('цех вода'!AJ77)</f>
        <v>2.3493326492003712</v>
      </c>
      <c r="Q66" s="3794">
        <f>SUM('цех вода'!AK77)</f>
        <v>7.8381559477258724</v>
      </c>
      <c r="R66" s="3794">
        <f>SUM('цех вода'!AL77)</f>
        <v>20.631316076836107</v>
      </c>
      <c r="S66" s="3821">
        <f>SUM('цех вода'!AM77)</f>
        <v>1.9317909635157158</v>
      </c>
      <c r="T66" s="3821">
        <f>SUM('цех вода'!AN77)</f>
        <v>1.9317909635157158</v>
      </c>
      <c r="U66" s="3821">
        <f>SUM('цех вода'!AO77)</f>
        <v>1.9317909635157158</v>
      </c>
      <c r="V66" s="3794">
        <f>SUM('цех вода'!AP77)</f>
        <v>5.7953728905471475</v>
      </c>
      <c r="W66" s="3814">
        <f t="shared" si="87"/>
        <v>26.426688967383253</v>
      </c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435"/>
      <c r="AR66" s="435"/>
      <c r="AS66" s="435"/>
      <c r="AT66" s="435"/>
      <c r="AU66" s="435"/>
      <c r="AV66" s="435"/>
      <c r="AW66" s="435"/>
      <c r="AX66" s="435"/>
    </row>
    <row r="67" spans="1:50" ht="18.75">
      <c r="A67" s="3820" t="s">
        <v>644</v>
      </c>
      <c r="B67" s="3794">
        <f>SUM('цех вода'!U78)</f>
        <v>22.12011743195783</v>
      </c>
      <c r="C67" s="3794">
        <f>SUM('цех вода'!W78)</f>
        <v>22.001393919661041</v>
      </c>
      <c r="D67" s="3794">
        <f>SUM('цех вода'!X78)</f>
        <v>0.11872351229678912</v>
      </c>
      <c r="E67" s="3821">
        <f>SUM('цех вода'!Y78)</f>
        <v>1.8433431193298191</v>
      </c>
      <c r="F67" s="3821">
        <f>SUM('цех вода'!Z78)</f>
        <v>1.8433431193298191</v>
      </c>
      <c r="G67" s="3821">
        <f>SUM('цех вода'!AA78)</f>
        <v>1.8433431193298191</v>
      </c>
      <c r="H67" s="3794">
        <f>SUM('цех вода'!AB78)</f>
        <v>5.5300293579894575</v>
      </c>
      <c r="I67" s="3821">
        <f>SUM('цех вода'!AC78)</f>
        <v>1.8433431193298191</v>
      </c>
      <c r="J67" s="3821">
        <f>SUM('цех вода'!AD78)</f>
        <v>1.8433431193298191</v>
      </c>
      <c r="K67" s="3821">
        <f>SUM('цех вода'!AE78)</f>
        <v>1.8433431193298191</v>
      </c>
      <c r="L67" s="3794">
        <f>SUM('цех вода'!AF78)</f>
        <v>5.5300293579894575</v>
      </c>
      <c r="M67" s="3794">
        <f>SUM('цех вода'!AG78)</f>
        <v>11.060058715978915</v>
      </c>
      <c r="N67" s="3821">
        <f>SUM('цех вода'!AH78)</f>
        <v>1.8433431193298191</v>
      </c>
      <c r="O67" s="3821">
        <f>SUM('цех вода'!AI78)</f>
        <v>1.8433431193298191</v>
      </c>
      <c r="P67" s="3821">
        <f>SUM('цех вода'!AJ78)</f>
        <v>1.8433431193298191</v>
      </c>
      <c r="Q67" s="3794">
        <f>SUM('цех вода'!AK78)</f>
        <v>5.5300293579894575</v>
      </c>
      <c r="R67" s="3794">
        <f>SUM('цех вода'!AL78)</f>
        <v>16.590088073968374</v>
      </c>
      <c r="S67" s="3821">
        <f>SUM('цех вода'!AM78)</f>
        <v>1.8433431193298191</v>
      </c>
      <c r="T67" s="3821">
        <f>SUM('цех вода'!AN78)</f>
        <v>1.8433431193298191</v>
      </c>
      <c r="U67" s="3821">
        <f>SUM('цех вода'!AO78)</f>
        <v>1.8433431193298191</v>
      </c>
      <c r="V67" s="3794">
        <f>SUM('цех вода'!AP78)</f>
        <v>5.5300293579894575</v>
      </c>
      <c r="W67" s="3814">
        <f t="shared" si="87"/>
        <v>22.120117431957834</v>
      </c>
      <c r="X67" s="435"/>
      <c r="Y67" s="435"/>
      <c r="Z67" s="435"/>
      <c r="AA67" s="435"/>
      <c r="AB67" s="435"/>
      <c r="AC67" s="435"/>
      <c r="AD67" s="435"/>
      <c r="AE67" s="435"/>
      <c r="AF67" s="435"/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435"/>
      <c r="AR67" s="435"/>
      <c r="AS67" s="435"/>
      <c r="AT67" s="435"/>
      <c r="AU67" s="435"/>
      <c r="AV67" s="435"/>
      <c r="AW67" s="435"/>
      <c r="AX67" s="435"/>
    </row>
    <row r="68" spans="1:50" ht="18.75">
      <c r="A68" s="3817" t="s">
        <v>7</v>
      </c>
      <c r="B68" s="3787">
        <f>SUM(вода!BY17)</f>
        <v>55240.021891225886</v>
      </c>
      <c r="C68" s="3787">
        <f>SUM(вода!CA17)</f>
        <v>55240.021891225886</v>
      </c>
      <c r="D68" s="3787">
        <f>SUM(вода!CB17)</f>
        <v>0</v>
      </c>
      <c r="E68" s="3808">
        <f>SUM(E69+E70+E71+E72+E73+E74+E75+E77)</f>
        <v>4851.1044954117979</v>
      </c>
      <c r="F68" s="3808">
        <f t="shared" ref="F68:G68" si="89">SUM(F69+F70+F71+F72+F73+F74+F75+F77)</f>
        <v>4754.8545357220082</v>
      </c>
      <c r="G68" s="3808">
        <f t="shared" si="89"/>
        <v>4714.6601847717593</v>
      </c>
      <c r="H68" s="3797">
        <f>SUM(E68+F68+G68)</f>
        <v>14320.619215905566</v>
      </c>
      <c r="I68" s="3808">
        <f t="shared" ref="I68:K68" si="90">SUM(I69+I70+I71+I72+I73+I74+I75+I77)</f>
        <v>4561.7053040886276</v>
      </c>
      <c r="J68" s="3808">
        <f t="shared" si="90"/>
        <v>4258.6377217398522</v>
      </c>
      <c r="K68" s="3808">
        <f t="shared" si="90"/>
        <v>4153.224658737995</v>
      </c>
      <c r="L68" s="3797">
        <f>SUM(I68+J68+K68)</f>
        <v>12973.567684566475</v>
      </c>
      <c r="M68" s="3797">
        <f>SUM(H68+L68)</f>
        <v>27294.186900472043</v>
      </c>
      <c r="N68" s="3808">
        <f t="shared" ref="N68:P68" si="91">SUM(N69+N70+N71+N72+N73+N74+N75+N77)</f>
        <v>4337.8060948662178</v>
      </c>
      <c r="O68" s="3808">
        <f t="shared" si="91"/>
        <v>4353.5906423983524</v>
      </c>
      <c r="P68" s="3808">
        <f t="shared" si="91"/>
        <v>4538.9750337174237</v>
      </c>
      <c r="Q68" s="3797">
        <f>SUM(N68+O68+P68)</f>
        <v>13230.371770981994</v>
      </c>
      <c r="R68" s="3797">
        <f>SUM(M68+Q68)</f>
        <v>40524.55867145404</v>
      </c>
      <c r="S68" s="3808">
        <f t="shared" ref="S68:U68" si="92">SUM(S69+S70+S71+S72+S73+S74+S75+S77)</f>
        <v>4790.5935447143247</v>
      </c>
      <c r="T68" s="3808">
        <f t="shared" si="92"/>
        <v>4896.4221255873772</v>
      </c>
      <c r="U68" s="3808">
        <f t="shared" si="92"/>
        <v>5028.4475485969297</v>
      </c>
      <c r="V68" s="3797">
        <f>SUM(S68+T68+U68)</f>
        <v>14715.463218898632</v>
      </c>
      <c r="W68" s="3812">
        <f t="shared" si="87"/>
        <v>55240.021890352677</v>
      </c>
      <c r="X68" s="435"/>
      <c r="Y68" s="435"/>
      <c r="Z68" s="435"/>
      <c r="AA68" s="435"/>
      <c r="AB68" s="435"/>
      <c r="AC68" s="435"/>
      <c r="AD68" s="435"/>
      <c r="AE68" s="435"/>
      <c r="AF68" s="435"/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435"/>
      <c r="AR68" s="435"/>
      <c r="AS68" s="435"/>
      <c r="AT68" s="435"/>
      <c r="AU68" s="435"/>
      <c r="AV68" s="435"/>
      <c r="AW68" s="435"/>
      <c r="AX68" s="435"/>
    </row>
    <row r="69" spans="1:50" ht="18.75">
      <c r="A69" s="3813" t="s">
        <v>1</v>
      </c>
      <c r="B69" s="3790">
        <f>SUM(вода!BY18)</f>
        <v>4900.22</v>
      </c>
      <c r="C69" s="3790">
        <f>SUM(вода!CA18)</f>
        <v>4900.22</v>
      </c>
      <c r="D69" s="3790">
        <f>SUM(вода!CB18)</f>
        <v>0</v>
      </c>
      <c r="E69" s="3801">
        <f>SUM(электр!BO104)</f>
        <v>404.09315712169166</v>
      </c>
      <c r="F69" s="3801">
        <f>SUM(электр!BP104)</f>
        <v>404.80046924172206</v>
      </c>
      <c r="G69" s="3801">
        <f>SUM(электр!BQ104)</f>
        <v>406.59593097661519</v>
      </c>
      <c r="H69" s="3799">
        <f>SUM(электр!BR104)</f>
        <v>1215.4895573400288</v>
      </c>
      <c r="I69" s="3801">
        <f>SUM(электр!BS104)</f>
        <v>399.96407431742085</v>
      </c>
      <c r="J69" s="3801">
        <f>SUM(электр!BT104)</f>
        <v>390.6567714747278</v>
      </c>
      <c r="K69" s="3801">
        <f>SUM(электр!BU104)</f>
        <v>374.14395980067411</v>
      </c>
      <c r="L69" s="3799">
        <f>SUM(электр!BV104)</f>
        <v>1164.7648055928228</v>
      </c>
      <c r="M69" s="3799">
        <f>SUM(электр!BW104)</f>
        <v>2380.2543629328516</v>
      </c>
      <c r="N69" s="3801">
        <f>SUM(электр!BX104)</f>
        <v>387.2545567139565</v>
      </c>
      <c r="O69" s="3801">
        <f>SUM(электр!BY104)</f>
        <v>403.74586161138171</v>
      </c>
      <c r="P69" s="3801">
        <f>SUM(электр!BZ104)</f>
        <v>424.2590093762073</v>
      </c>
      <c r="Q69" s="3799">
        <f>SUM(электр!CA104)</f>
        <v>1215.2594277015455</v>
      </c>
      <c r="R69" s="3799">
        <f>SUM(электр!CB104)</f>
        <v>3598.0183643274599</v>
      </c>
      <c r="S69" s="3801">
        <f>SUM(электр!CC104)</f>
        <v>434.90206949746113</v>
      </c>
      <c r="T69" s="3801">
        <f>SUM(электр!CD104)</f>
        <v>434.90206949746113</v>
      </c>
      <c r="U69" s="3801">
        <f>SUM(электр!CE104)</f>
        <v>434.90206949746113</v>
      </c>
      <c r="V69" s="3799">
        <f>SUM(электр!CF104)</f>
        <v>1304.7062084923834</v>
      </c>
      <c r="W69" s="3814">
        <f t="shared" si="87"/>
        <v>4900.2199991267807</v>
      </c>
      <c r="X69" s="435"/>
      <c r="Y69" s="435"/>
      <c r="Z69" s="435"/>
      <c r="AA69" s="435"/>
      <c r="AB69" s="435"/>
      <c r="AC69" s="435"/>
      <c r="AD69" s="435"/>
      <c r="AE69" s="435"/>
      <c r="AF69" s="435"/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435"/>
      <c r="AR69" s="435"/>
      <c r="AS69" s="435"/>
      <c r="AT69" s="435"/>
      <c r="AU69" s="435"/>
      <c r="AV69" s="435"/>
      <c r="AW69" s="435"/>
      <c r="AX69" s="435"/>
    </row>
    <row r="70" spans="1:50" ht="18.75">
      <c r="A70" s="3813" t="s">
        <v>8</v>
      </c>
      <c r="B70" s="3790">
        <f>SUM(вода!BY19)</f>
        <v>7406.5798759443596</v>
      </c>
      <c r="C70" s="3790">
        <f>SUM(вода!CA19)</f>
        <v>7406.5798759443596</v>
      </c>
      <c r="D70" s="3790">
        <f>SUM(вода!CB19)</f>
        <v>0</v>
      </c>
      <c r="E70" s="3801">
        <f>SUM(B70/12)</f>
        <v>617.21498966203001</v>
      </c>
      <c r="F70" s="3801">
        <f t="shared" ref="F70:G73" si="93">SUM(E70)</f>
        <v>617.21498966203001</v>
      </c>
      <c r="G70" s="3801">
        <f>SUM(E70)</f>
        <v>617.21498966203001</v>
      </c>
      <c r="H70" s="3799">
        <f t="shared" ref="H70" si="94">SUM(E70+F70+G70)</f>
        <v>1851.6449689860901</v>
      </c>
      <c r="I70" s="3801">
        <f>SUM(E70)</f>
        <v>617.21498966203001</v>
      </c>
      <c r="J70" s="3801">
        <f>SUM(E70)</f>
        <v>617.21498966203001</v>
      </c>
      <c r="K70" s="3801">
        <f>SUM(E70)</f>
        <v>617.21498966203001</v>
      </c>
      <c r="L70" s="3799">
        <f t="shared" ref="L70" si="95">SUM(I70+J70+K70)</f>
        <v>1851.6449689860901</v>
      </c>
      <c r="M70" s="3799">
        <f t="shared" ref="M70" si="96">SUM(H70+L70)</f>
        <v>3703.2899379721803</v>
      </c>
      <c r="N70" s="3801">
        <f>SUM(E70)</f>
        <v>617.21498966203001</v>
      </c>
      <c r="O70" s="3801">
        <f>SUM(E70)</f>
        <v>617.21498966203001</v>
      </c>
      <c r="P70" s="3801">
        <f>E70</f>
        <v>617.21498966203001</v>
      </c>
      <c r="Q70" s="3799">
        <f t="shared" ref="Q70" si="97">SUM(N70+O70+P70)</f>
        <v>1851.6449689860901</v>
      </c>
      <c r="R70" s="3799">
        <f t="shared" ref="R70" si="98">SUM(M70+Q70)</f>
        <v>5554.9349069582704</v>
      </c>
      <c r="S70" s="3801">
        <f>E70</f>
        <v>617.21498966203001</v>
      </c>
      <c r="T70" s="3801">
        <f>E70</f>
        <v>617.21498966203001</v>
      </c>
      <c r="U70" s="3801">
        <f>E70</f>
        <v>617.21498966203001</v>
      </c>
      <c r="V70" s="3799">
        <f t="shared" ref="V70" si="99">SUM(S70+T70+U70)</f>
        <v>1851.6449689860901</v>
      </c>
      <c r="W70" s="3814">
        <f t="shared" si="87"/>
        <v>7406.5798759443614</v>
      </c>
      <c r="X70" s="435"/>
      <c r="Y70" s="435"/>
      <c r="Z70" s="435"/>
      <c r="AA70" s="435"/>
      <c r="AB70" s="435"/>
      <c r="AC70" s="435"/>
      <c r="AD70" s="435"/>
      <c r="AE70" s="435"/>
      <c r="AF70" s="435"/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435"/>
      <c r="AR70" s="435"/>
      <c r="AS70" s="435"/>
      <c r="AT70" s="435"/>
      <c r="AU70" s="435"/>
      <c r="AV70" s="435"/>
      <c r="AW70" s="435"/>
      <c r="AX70" s="435"/>
    </row>
    <row r="71" spans="1:50" ht="18.75">
      <c r="A71" s="3813" t="s">
        <v>2</v>
      </c>
      <c r="B71" s="3790">
        <f>SUM(вода!BY20)</f>
        <v>1561.17</v>
      </c>
      <c r="C71" s="3790">
        <f>SUM(вода!CA20)</f>
        <v>1561.17</v>
      </c>
      <c r="D71" s="3790">
        <f>SUM(вода!CB20)</f>
        <v>0</v>
      </c>
      <c r="E71" s="3801">
        <f>SUM(B71/12)</f>
        <v>130.0975</v>
      </c>
      <c r="F71" s="3801">
        <f t="shared" si="93"/>
        <v>130.0975</v>
      </c>
      <c r="G71" s="3801">
        <f>SUM(E71)</f>
        <v>130.0975</v>
      </c>
      <c r="H71" s="3799">
        <f>SUM(E71+F71+G71)</f>
        <v>390.29250000000002</v>
      </c>
      <c r="I71" s="3801">
        <f>SUM(E71)</f>
        <v>130.0975</v>
      </c>
      <c r="J71" s="3801">
        <f>SUM(E71)</f>
        <v>130.0975</v>
      </c>
      <c r="K71" s="3801">
        <f>SUM(E71)</f>
        <v>130.0975</v>
      </c>
      <c r="L71" s="3799">
        <f>SUM(I71+J71+K71)</f>
        <v>390.29250000000002</v>
      </c>
      <c r="M71" s="3799">
        <f>SUM(H71+L71)</f>
        <v>780.58500000000004</v>
      </c>
      <c r="N71" s="3801">
        <f>SUM(E71)</f>
        <v>130.0975</v>
      </c>
      <c r="O71" s="3801">
        <f>SUM(E71)</f>
        <v>130.0975</v>
      </c>
      <c r="P71" s="3801">
        <f>E71</f>
        <v>130.0975</v>
      </c>
      <c r="Q71" s="3799">
        <f>SUM(N71+O71+P71)</f>
        <v>390.29250000000002</v>
      </c>
      <c r="R71" s="3799">
        <f>SUM(M71+Q71)</f>
        <v>1170.8775000000001</v>
      </c>
      <c r="S71" s="3801">
        <f>E71</f>
        <v>130.0975</v>
      </c>
      <c r="T71" s="3801">
        <f>E71</f>
        <v>130.0975</v>
      </c>
      <c r="U71" s="3801">
        <f>E71</f>
        <v>130.0975</v>
      </c>
      <c r="V71" s="3799">
        <f>SUM(S71+T71+U71)</f>
        <v>390.29250000000002</v>
      </c>
      <c r="W71" s="3814">
        <f t="shared" si="87"/>
        <v>1561.1700000000003</v>
      </c>
      <c r="X71" s="435"/>
      <c r="Y71" s="435"/>
      <c r="Z71" s="435"/>
      <c r="AA71" s="435"/>
      <c r="AB71" s="435"/>
      <c r="AC71" s="435"/>
      <c r="AD71" s="435"/>
      <c r="AE71" s="435"/>
      <c r="AF71" s="435"/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435"/>
      <c r="AR71" s="435"/>
      <c r="AS71" s="435"/>
      <c r="AT71" s="435"/>
      <c r="AU71" s="435"/>
      <c r="AV71" s="435"/>
      <c r="AW71" s="435"/>
      <c r="AX71" s="435"/>
    </row>
    <row r="72" spans="1:50" ht="18.75">
      <c r="A72" s="3813" t="s">
        <v>219</v>
      </c>
      <c r="B72" s="3790">
        <v>0</v>
      </c>
      <c r="C72" s="3790">
        <v>0</v>
      </c>
      <c r="D72" s="3790">
        <v>0</v>
      </c>
      <c r="E72" s="3801">
        <f>SUM(B72/12)</f>
        <v>0</v>
      </c>
      <c r="F72" s="3801">
        <f t="shared" si="93"/>
        <v>0</v>
      </c>
      <c r="G72" s="3801">
        <f t="shared" si="93"/>
        <v>0</v>
      </c>
      <c r="H72" s="3799">
        <f>SUM(E72+F72+G72)</f>
        <v>0</v>
      </c>
      <c r="I72" s="3801">
        <f>SUM(E72)</f>
        <v>0</v>
      </c>
      <c r="J72" s="3801">
        <f>SUM(E72)</f>
        <v>0</v>
      </c>
      <c r="K72" s="3801">
        <f>SUM(E72)</f>
        <v>0</v>
      </c>
      <c r="L72" s="3799">
        <f>SUM(I72+J72+K72)</f>
        <v>0</v>
      </c>
      <c r="M72" s="3799">
        <f>SUM(H72+L72)</f>
        <v>0</v>
      </c>
      <c r="N72" s="3801">
        <f>SUM(E72)</f>
        <v>0</v>
      </c>
      <c r="O72" s="3801">
        <f>SUM(E72)</f>
        <v>0</v>
      </c>
      <c r="P72" s="3801">
        <f>E72</f>
        <v>0</v>
      </c>
      <c r="Q72" s="3799">
        <f>SUM(N72+O72+P72)</f>
        <v>0</v>
      </c>
      <c r="R72" s="3799">
        <f>SUM(M72+Q72)</f>
        <v>0</v>
      </c>
      <c r="S72" s="3801">
        <f>E72</f>
        <v>0</v>
      </c>
      <c r="T72" s="3801">
        <f>E72</f>
        <v>0</v>
      </c>
      <c r="U72" s="3801">
        <f>E72</f>
        <v>0</v>
      </c>
      <c r="V72" s="3799">
        <f>SUM(S72+T72+U72)</f>
        <v>0</v>
      </c>
      <c r="W72" s="3814">
        <f t="shared" si="87"/>
        <v>0</v>
      </c>
      <c r="X72" s="435"/>
      <c r="Y72" s="435"/>
      <c r="Z72" s="435"/>
      <c r="AA72" s="435"/>
      <c r="AB72" s="435"/>
      <c r="AC72" s="435"/>
      <c r="AD72" s="435"/>
      <c r="AE72" s="435"/>
      <c r="AF72" s="435"/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435"/>
      <c r="AR72" s="435"/>
      <c r="AS72" s="435"/>
      <c r="AT72" s="435"/>
      <c r="AU72" s="435"/>
      <c r="AV72" s="435"/>
      <c r="AW72" s="435"/>
      <c r="AX72" s="435"/>
    </row>
    <row r="73" spans="1:50" ht="18.75">
      <c r="A73" s="3813" t="s">
        <v>3</v>
      </c>
      <c r="B73" s="3790">
        <f>SUM(вода!BY22)</f>
        <v>0</v>
      </c>
      <c r="C73" s="3790">
        <f>SUM(вода!CA22)</f>
        <v>0</v>
      </c>
      <c r="D73" s="3790">
        <f>SUM(вода!CB22)</f>
        <v>0</v>
      </c>
      <c r="E73" s="3801">
        <f>SUM(B73/12)</f>
        <v>0</v>
      </c>
      <c r="F73" s="3801">
        <f t="shared" si="93"/>
        <v>0</v>
      </c>
      <c r="G73" s="3801">
        <f t="shared" si="93"/>
        <v>0</v>
      </c>
      <c r="H73" s="3799">
        <f>SUM(E73+F73+G73)</f>
        <v>0</v>
      </c>
      <c r="I73" s="3801">
        <f>SUM(E73)</f>
        <v>0</v>
      </c>
      <c r="J73" s="3801">
        <f>SUM(E73)</f>
        <v>0</v>
      </c>
      <c r="K73" s="3801">
        <f>SUM(E73)</f>
        <v>0</v>
      </c>
      <c r="L73" s="3799">
        <f>SUM(I73+J73+K73)</f>
        <v>0</v>
      </c>
      <c r="M73" s="3799">
        <f>SUM(H73+L73)</f>
        <v>0</v>
      </c>
      <c r="N73" s="3801">
        <f>SUM(E73)</f>
        <v>0</v>
      </c>
      <c r="O73" s="3801">
        <f>SUM(E73)</f>
        <v>0</v>
      </c>
      <c r="P73" s="3801">
        <f>E73</f>
        <v>0</v>
      </c>
      <c r="Q73" s="3799">
        <f>SUM(N73+O73+P73)</f>
        <v>0</v>
      </c>
      <c r="R73" s="3799">
        <f>SUM(M73+Q73)</f>
        <v>0</v>
      </c>
      <c r="S73" s="3801">
        <f>E73</f>
        <v>0</v>
      </c>
      <c r="T73" s="3801">
        <f>E73</f>
        <v>0</v>
      </c>
      <c r="U73" s="3801">
        <f>E73</f>
        <v>0</v>
      </c>
      <c r="V73" s="3799">
        <f>SUM(S73+T73+U73)</f>
        <v>0</v>
      </c>
      <c r="W73" s="3814">
        <f t="shared" si="87"/>
        <v>0</v>
      </c>
      <c r="X73" s="435"/>
      <c r="Y73" s="435"/>
      <c r="Z73" s="435"/>
      <c r="AA73" s="435"/>
      <c r="AB73" s="435"/>
      <c r="AC73" s="435"/>
      <c r="AD73" s="435"/>
      <c r="AE73" s="435"/>
      <c r="AF73" s="435"/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435"/>
      <c r="AR73" s="435"/>
      <c r="AS73" s="435"/>
      <c r="AT73" s="435"/>
      <c r="AU73" s="435"/>
      <c r="AV73" s="435"/>
      <c r="AW73" s="435"/>
      <c r="AX73" s="435"/>
    </row>
    <row r="74" spans="1:50" ht="18.75">
      <c r="A74" s="3813" t="s">
        <v>4</v>
      </c>
      <c r="B74" s="3790">
        <f>SUM(вода!BY23)</f>
        <v>23845.655243888872</v>
      </c>
      <c r="C74" s="3790">
        <f>SUM(вода!CA23)</f>
        <v>23845.655243888872</v>
      </c>
      <c r="D74" s="3790">
        <f>SUM(вода!CB23)</f>
        <v>0</v>
      </c>
      <c r="E74" s="3801">
        <f>SUM((ЗП!CR26/2)/(1+(106.03%*100-100)/2/100)/6)</f>
        <v>1928.9792136977524</v>
      </c>
      <c r="F74" s="3801">
        <f>SUM(E74)</f>
        <v>1928.9792136977524</v>
      </c>
      <c r="G74" s="3801">
        <f>SUM(E74)</f>
        <v>1928.9792136977524</v>
      </c>
      <c r="H74" s="3799">
        <f>SUM(E74+F74+G74)</f>
        <v>5786.9376410932573</v>
      </c>
      <c r="I74" s="3801">
        <f>SUM(E74)</f>
        <v>1928.9792136977524</v>
      </c>
      <c r="J74" s="3801">
        <f>SUM(E74)</f>
        <v>1928.9792136977524</v>
      </c>
      <c r="K74" s="3801">
        <f>SUM(E74)</f>
        <v>1928.9792136977524</v>
      </c>
      <c r="L74" s="3799">
        <f>SUM(I74+J74+K74)</f>
        <v>5786.9376410932573</v>
      </c>
      <c r="M74" s="3799">
        <f>SUM(H74+L74)</f>
        <v>11573.875282186515</v>
      </c>
      <c r="N74" s="3801">
        <f>SUM(ЗП!CR26-'Произв. прогр. Вода'!M74)/6</f>
        <v>2045.2966602837262</v>
      </c>
      <c r="O74" s="3801">
        <f>SUM(N74)</f>
        <v>2045.2966602837262</v>
      </c>
      <c r="P74" s="3801">
        <f>SUM(N74)</f>
        <v>2045.2966602837262</v>
      </c>
      <c r="Q74" s="3799">
        <f>SUM(N74+O74+P74)</f>
        <v>6135.8899808511787</v>
      </c>
      <c r="R74" s="3799">
        <f>SUM(M74+Q74)</f>
        <v>17709.765263037694</v>
      </c>
      <c r="S74" s="3801">
        <f>SUM(N74)</f>
        <v>2045.2966602837262</v>
      </c>
      <c r="T74" s="3801">
        <f>SUM(N74)</f>
        <v>2045.2966602837262</v>
      </c>
      <c r="U74" s="3801">
        <f>SUM(N74)</f>
        <v>2045.2966602837262</v>
      </c>
      <c r="V74" s="3799">
        <f>SUM(S74+T74+U74)</f>
        <v>6135.8899808511787</v>
      </c>
      <c r="W74" s="3814">
        <f t="shared" si="87"/>
        <v>23845.655243888872</v>
      </c>
      <c r="X74" s="435"/>
      <c r="Y74" s="435"/>
      <c r="Z74" s="435"/>
      <c r="AA74" s="435"/>
      <c r="AB74" s="435"/>
      <c r="AC74" s="435"/>
      <c r="AD74" s="435"/>
      <c r="AE74" s="435"/>
      <c r="AF74" s="435"/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435"/>
      <c r="AR74" s="435"/>
      <c r="AS74" s="435"/>
      <c r="AT74" s="435"/>
      <c r="AU74" s="435"/>
      <c r="AV74" s="435"/>
      <c r="AW74" s="435"/>
      <c r="AX74" s="435"/>
    </row>
    <row r="75" spans="1:50" ht="18.75">
      <c r="A75" s="3813" t="s">
        <v>5</v>
      </c>
      <c r="B75" s="3790">
        <f>SUM(вода!BY24)</f>
        <v>7111.4635958784502</v>
      </c>
      <c r="C75" s="3790">
        <f>SUM(вода!CA24)</f>
        <v>7111.4635958784502</v>
      </c>
      <c r="D75" s="3790">
        <f>SUM(вода!CB24)</f>
        <v>0</v>
      </c>
      <c r="E75" s="3801">
        <f>SUM(E74*E76)</f>
        <v>575.27735409717434</v>
      </c>
      <c r="F75" s="3801">
        <f>SUM(F74*F76)</f>
        <v>575.27735409717434</v>
      </c>
      <c r="G75" s="3801">
        <f>SUM(G74*G76)</f>
        <v>575.27735409717434</v>
      </c>
      <c r="H75" s="3799">
        <f t="shared" ref="H75" si="100">SUM(E75+F75+G75)</f>
        <v>1725.832062291523</v>
      </c>
      <c r="I75" s="3801">
        <f>SUM(I74*I76)</f>
        <v>575.27735409717434</v>
      </c>
      <c r="J75" s="3801">
        <f>SUM(J74*J76)</f>
        <v>575.27735409717434</v>
      </c>
      <c r="K75" s="3801">
        <f>SUM(K74*K76)</f>
        <v>575.27735409717434</v>
      </c>
      <c r="L75" s="3799">
        <f t="shared" ref="L75" si="101">SUM(I75+J75+K75)</f>
        <v>1725.832062291523</v>
      </c>
      <c r="M75" s="3799">
        <f t="shared" ref="M75" si="102">SUM(H75+L75)</f>
        <v>3451.664124583046</v>
      </c>
      <c r="N75" s="3801">
        <f>SUM(N74*N76)</f>
        <v>609.96657854923376</v>
      </c>
      <c r="O75" s="3801">
        <f>SUM(O74*O76)</f>
        <v>609.96657854923376</v>
      </c>
      <c r="P75" s="3801">
        <f>SUM(P74*P76)</f>
        <v>609.96657854923376</v>
      </c>
      <c r="Q75" s="3799">
        <f t="shared" ref="Q75" si="103">SUM(N75+O75+P75)</f>
        <v>1829.8997356477012</v>
      </c>
      <c r="R75" s="3799">
        <f t="shared" ref="R75" si="104">SUM(M75+Q75)</f>
        <v>5281.5638602307472</v>
      </c>
      <c r="S75" s="3801">
        <f>SUM(S74*S76)</f>
        <v>609.96657854923376</v>
      </c>
      <c r="T75" s="3801">
        <f>SUM(T74*T76)</f>
        <v>609.96657854923376</v>
      </c>
      <c r="U75" s="3801">
        <f>SUM(U74*U76)</f>
        <v>609.96657854923376</v>
      </c>
      <c r="V75" s="3799">
        <f t="shared" ref="V75" si="105">SUM(S75+T75+U75)</f>
        <v>1829.8997356477012</v>
      </c>
      <c r="W75" s="3814">
        <f t="shared" si="87"/>
        <v>7111.4635958784474</v>
      </c>
      <c r="X75" s="435"/>
      <c r="Y75" s="435"/>
      <c r="Z75" s="435"/>
      <c r="AA75" s="435"/>
      <c r="AB75" s="435"/>
      <c r="AC75" s="435"/>
      <c r="AD75" s="435"/>
      <c r="AE75" s="435"/>
      <c r="AF75" s="435"/>
      <c r="AG75" s="435"/>
      <c r="AH75" s="435"/>
      <c r="AI75" s="435"/>
      <c r="AJ75" s="435"/>
      <c r="AK75" s="435"/>
      <c r="AL75" s="435"/>
      <c r="AM75" s="435"/>
      <c r="AN75" s="435"/>
      <c r="AO75" s="435"/>
      <c r="AP75" s="435"/>
      <c r="AQ75" s="435"/>
      <c r="AR75" s="435"/>
      <c r="AS75" s="435"/>
      <c r="AT75" s="435"/>
      <c r="AU75" s="435"/>
      <c r="AV75" s="435"/>
      <c r="AW75" s="435"/>
      <c r="AX75" s="435"/>
    </row>
    <row r="76" spans="1:50" ht="18.75">
      <c r="A76" s="3815" t="str">
        <f>A51</f>
        <v>то же в %</v>
      </c>
      <c r="B76" s="3795">
        <f>SUM([18]вода!BG25)</f>
        <v>0.29822890263000695</v>
      </c>
      <c r="C76" s="3795">
        <f>SUM([18]вода!BI25)</f>
        <v>0.29822890263000695</v>
      </c>
      <c r="D76" s="3795">
        <f>SUM([18]вода!BJ25)</f>
        <v>0</v>
      </c>
      <c r="E76" s="3796">
        <f>SUM(B76)</f>
        <v>0.29822890263000695</v>
      </c>
      <c r="F76" s="3796">
        <f>SUM(E76)</f>
        <v>0.29822890263000695</v>
      </c>
      <c r="G76" s="3796">
        <f>SUM(E76)</f>
        <v>0.29822890263000695</v>
      </c>
      <c r="H76" s="3795">
        <f>SUM(H75/H74)</f>
        <v>0.29822890263000695</v>
      </c>
      <c r="I76" s="3796">
        <f>SUM(E76)</f>
        <v>0.29822890263000695</v>
      </c>
      <c r="J76" s="3796">
        <f>SUM(E76)</f>
        <v>0.29822890263000695</v>
      </c>
      <c r="K76" s="3796">
        <f>SUM(E76)</f>
        <v>0.29822890263000695</v>
      </c>
      <c r="L76" s="3795">
        <f>SUM(L75/L74)</f>
        <v>0.29822890263000695</v>
      </c>
      <c r="M76" s="3795">
        <f>SUM(M75/M74)</f>
        <v>0.29822890263000695</v>
      </c>
      <c r="N76" s="3796">
        <f>SUM(E76)</f>
        <v>0.29822890263000695</v>
      </c>
      <c r="O76" s="3796">
        <f>SUM(E76)</f>
        <v>0.29822890263000695</v>
      </c>
      <c r="P76" s="3796">
        <f>SUM(E76)</f>
        <v>0.29822890263000695</v>
      </c>
      <c r="Q76" s="3795">
        <f>SUM(Q75/Q74)</f>
        <v>0.2982289026300069</v>
      </c>
      <c r="R76" s="3795">
        <f>SUM(R75/R74)</f>
        <v>0.2982289026300069</v>
      </c>
      <c r="S76" s="3796">
        <f>SUM(E76)</f>
        <v>0.29822890263000695</v>
      </c>
      <c r="T76" s="3796">
        <f>SUM(E76)</f>
        <v>0.29822890263000695</v>
      </c>
      <c r="U76" s="3796">
        <f>SUM(E76)</f>
        <v>0.29822890263000695</v>
      </c>
      <c r="V76" s="3795">
        <f>SUM(V75/V74)</f>
        <v>0.2982289026300069</v>
      </c>
      <c r="W76" s="3816">
        <f>SUM(W75/W74)</f>
        <v>0.2982289026300069</v>
      </c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435"/>
      <c r="AR76" s="435"/>
      <c r="AS76" s="435"/>
      <c r="AT76" s="435"/>
      <c r="AU76" s="435"/>
      <c r="AV76" s="435"/>
      <c r="AW76" s="435"/>
      <c r="AX76" s="435"/>
    </row>
    <row r="77" spans="1:50" ht="18.75">
      <c r="A77" s="3817" t="s">
        <v>1742</v>
      </c>
      <c r="B77" s="3787">
        <f>SUM('цех вода'!U79)</f>
        <v>10414.933175514203</v>
      </c>
      <c r="C77" s="3787">
        <f>SUM('цех вода'!W79)</f>
        <v>10414.933175514203</v>
      </c>
      <c r="D77" s="3787">
        <f>SUM('цех вода'!X79)</f>
        <v>0</v>
      </c>
      <c r="E77" s="3800">
        <f>SUM('цех вода'!Y79)</f>
        <v>1195.4422808331494</v>
      </c>
      <c r="F77" s="3800">
        <f>SUM('цех вода'!Z79)</f>
        <v>1098.4850090233299</v>
      </c>
      <c r="G77" s="3800">
        <f>SUM('цех вода'!AA79)</f>
        <v>1056.4951963381877</v>
      </c>
      <c r="H77" s="3787">
        <f>SUM('цех вода'!AB79)</f>
        <v>3350.4224861946673</v>
      </c>
      <c r="I77" s="3800">
        <f>SUM('цех вода'!AC79)</f>
        <v>910.17217231424991</v>
      </c>
      <c r="J77" s="3800">
        <f>SUM('цех вода'!AD79)</f>
        <v>616.41189280816786</v>
      </c>
      <c r="K77" s="3800">
        <f>SUM('цех вода'!AE79)</f>
        <v>527.51164148036446</v>
      </c>
      <c r="L77" s="3787">
        <f>SUM('цех вода'!AF79)</f>
        <v>2054.0957066027822</v>
      </c>
      <c r="M77" s="3787">
        <f>SUM('цех вода'!AG79)</f>
        <v>5404.51819279745</v>
      </c>
      <c r="N77" s="3800">
        <f>SUM('цех вода'!AH79)</f>
        <v>547.97580965727093</v>
      </c>
      <c r="O77" s="3800">
        <f>SUM('цех вода'!AI79)</f>
        <v>547.26905229198053</v>
      </c>
      <c r="P77" s="3800">
        <f>SUM('цех вода'!AJ79)</f>
        <v>712.14029584622619</v>
      </c>
      <c r="Q77" s="3787">
        <f>SUM('цех вода'!AK79)</f>
        <v>1807.3851577954779</v>
      </c>
      <c r="R77" s="3787">
        <f>SUM('цех вода'!AL79)</f>
        <v>7211.9033505929274</v>
      </c>
      <c r="S77" s="3800">
        <f>SUM('цех вода'!AM79)</f>
        <v>953.11574672187282</v>
      </c>
      <c r="T77" s="3800">
        <f>SUM('цех вода'!AN79)</f>
        <v>1058.9443275949259</v>
      </c>
      <c r="U77" s="3800">
        <f>SUM('цех вода'!AO79)</f>
        <v>1190.9697506044781</v>
      </c>
      <c r="V77" s="3787">
        <f>SUM('цех вода'!AP79)</f>
        <v>3203.0298249212769</v>
      </c>
      <c r="W77" s="3814">
        <f>SUM(E77+F77+G77+I77+J77+K77+N77+O77+P77+S77+T77+U77)</f>
        <v>10414.933175514201</v>
      </c>
      <c r="X77" s="435"/>
      <c r="Y77" s="435"/>
      <c r="Z77" s="435"/>
      <c r="AA77" s="435"/>
      <c r="AB77" s="435"/>
      <c r="AC77" s="435"/>
      <c r="AD77" s="435"/>
      <c r="AE77" s="435"/>
      <c r="AF77" s="435"/>
      <c r="AG77" s="435"/>
      <c r="AH77" s="435"/>
      <c r="AI77" s="435"/>
      <c r="AJ77" s="435"/>
      <c r="AK77" s="435"/>
      <c r="AL77" s="435"/>
      <c r="AM77" s="435"/>
      <c r="AN77" s="435"/>
      <c r="AO77" s="435"/>
      <c r="AP77" s="435"/>
      <c r="AQ77" s="435"/>
      <c r="AR77" s="435"/>
      <c r="AS77" s="435"/>
      <c r="AT77" s="435"/>
      <c r="AU77" s="435"/>
      <c r="AV77" s="435"/>
      <c r="AW77" s="435"/>
      <c r="AX77" s="435"/>
    </row>
    <row r="78" spans="1:50" ht="18.75">
      <c r="A78" s="3818" t="s">
        <v>72</v>
      </c>
      <c r="B78" s="3790">
        <f>SUM('цех вода'!U80)</f>
        <v>3114.0650194787468</v>
      </c>
      <c r="C78" s="3790">
        <f>SUM('цех вода'!W80)</f>
        <v>3114.0650194787468</v>
      </c>
      <c r="D78" s="3790">
        <f>SUM('цех вода'!X80)</f>
        <v>0</v>
      </c>
      <c r="E78" s="3819">
        <f>SUM('цех вода'!Y80)</f>
        <v>251.91032207920748</v>
      </c>
      <c r="F78" s="3819">
        <f>SUM('цех вода'!Z80)</f>
        <v>251.91032207920748</v>
      </c>
      <c r="G78" s="3819">
        <f>SUM('цех вода'!AA80)</f>
        <v>251.91032207920748</v>
      </c>
      <c r="H78" s="3790">
        <f>SUM('цех вода'!AB80)</f>
        <v>755.7309662376224</v>
      </c>
      <c r="I78" s="3819">
        <f>SUM('цех вода'!AC80)</f>
        <v>251.91032207920748</v>
      </c>
      <c r="J78" s="3819">
        <f>SUM('цех вода'!AD80)</f>
        <v>251.91032207920748</v>
      </c>
      <c r="K78" s="3819">
        <f>SUM('цех вода'!AE80)</f>
        <v>251.91032207920748</v>
      </c>
      <c r="L78" s="3790">
        <f>SUM('цех вода'!AF80)</f>
        <v>755.7309662376224</v>
      </c>
      <c r="M78" s="3790">
        <f>SUM('цех вода'!AG80)</f>
        <v>1511.4619324752448</v>
      </c>
      <c r="N78" s="3819">
        <f>SUM('цех вода'!AH80)</f>
        <v>267.10051450058364</v>
      </c>
      <c r="O78" s="3819">
        <f>SUM('цех вода'!AI80)</f>
        <v>267.10051450058364</v>
      </c>
      <c r="P78" s="3819">
        <f>SUM('цех вода'!AJ80)</f>
        <v>267.10051450058364</v>
      </c>
      <c r="Q78" s="3790">
        <f>SUM('цех вода'!AK80)</f>
        <v>801.30154350175098</v>
      </c>
      <c r="R78" s="3790">
        <f>SUM('цех вода'!AL80)</f>
        <v>2312.7634759769958</v>
      </c>
      <c r="S78" s="3819">
        <f>SUM('цех вода'!AM80)</f>
        <v>267.10051450058364</v>
      </c>
      <c r="T78" s="3819">
        <f>SUM('цех вода'!AN80)</f>
        <v>267.10051450058364</v>
      </c>
      <c r="U78" s="3819">
        <f>SUM('цех вода'!AO80)</f>
        <v>267.10051450058364</v>
      </c>
      <c r="V78" s="3790">
        <f>SUM('цех вода'!AP80)</f>
        <v>801.30154350175098</v>
      </c>
      <c r="W78" s="3814">
        <f t="shared" ref="W78:W104" si="106">SUM(E78+F78+G78+I78+J78+K78+N78+O78+P78+S78+T78+U78)</f>
        <v>3114.0650194787472</v>
      </c>
      <c r="X78" s="435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R78" s="435"/>
      <c r="AS78" s="435"/>
      <c r="AT78" s="435"/>
      <c r="AU78" s="435"/>
      <c r="AV78" s="435"/>
      <c r="AW78" s="435"/>
      <c r="AX78" s="435"/>
    </row>
    <row r="79" spans="1:50" ht="18.75">
      <c r="A79" s="3818" t="s">
        <v>121</v>
      </c>
      <c r="B79" s="3790">
        <f>SUM('цех вода'!U81)</f>
        <v>936.30249247872689</v>
      </c>
      <c r="C79" s="3790">
        <f>SUM('цех вода'!W81)</f>
        <v>936.30249247872689</v>
      </c>
      <c r="D79" s="3790">
        <f>SUM('цех вода'!X81)</f>
        <v>0</v>
      </c>
      <c r="E79" s="3819">
        <f>SUM('цех вода'!Y81)</f>
        <v>75.741598511440642</v>
      </c>
      <c r="F79" s="3819">
        <f>SUM('цех вода'!Z81)</f>
        <v>75.741598511440642</v>
      </c>
      <c r="G79" s="3819">
        <f>SUM('цех вода'!AA81)</f>
        <v>75.741598511440642</v>
      </c>
      <c r="H79" s="3790">
        <f>SUM('цех вода'!AB81)</f>
        <v>227.22479553432191</v>
      </c>
      <c r="I79" s="3819">
        <f>SUM('цех вода'!AC81)</f>
        <v>75.741598511440642</v>
      </c>
      <c r="J79" s="3819">
        <f>SUM('цех вода'!AD81)</f>
        <v>75.741598511440642</v>
      </c>
      <c r="K79" s="3819">
        <f>SUM('цех вода'!AE81)</f>
        <v>75.741598511440642</v>
      </c>
      <c r="L79" s="3790">
        <f>SUM('цех вода'!AF81)</f>
        <v>227.22479553432191</v>
      </c>
      <c r="M79" s="3790">
        <f>SUM('цех вода'!AG81)</f>
        <v>454.44959106864383</v>
      </c>
      <c r="N79" s="3819">
        <f>SUM('цех вода'!AH81)</f>
        <v>80.308816901680515</v>
      </c>
      <c r="O79" s="3819">
        <f>SUM('цех вода'!AI81)</f>
        <v>80.308816901680515</v>
      </c>
      <c r="P79" s="3819">
        <f>SUM('цех вода'!AJ81)</f>
        <v>80.308816901680515</v>
      </c>
      <c r="Q79" s="3790">
        <f>SUM('цех вода'!AK81)</f>
        <v>240.92645070504153</v>
      </c>
      <c r="R79" s="3790">
        <f>SUM('цех вода'!AL81)</f>
        <v>695.3760417736853</v>
      </c>
      <c r="S79" s="3819">
        <f>SUM('цех вода'!AM81)</f>
        <v>80.308816901680515</v>
      </c>
      <c r="T79" s="3819">
        <f>SUM('цех вода'!AN81)</f>
        <v>80.308816901680515</v>
      </c>
      <c r="U79" s="3819">
        <f>SUM('цех вода'!AO81)</f>
        <v>80.308816901680515</v>
      </c>
      <c r="V79" s="3790">
        <f>SUM('цех вода'!AP81)</f>
        <v>240.92645070504153</v>
      </c>
      <c r="W79" s="3814">
        <f t="shared" si="106"/>
        <v>936.302492478727</v>
      </c>
      <c r="X79" s="435"/>
      <c r="Y79" s="435"/>
      <c r="Z79" s="435"/>
      <c r="AA79" s="435"/>
      <c r="AB79" s="435"/>
      <c r="AC79" s="435"/>
      <c r="AD79" s="435"/>
      <c r="AE79" s="435"/>
      <c r="AF79" s="435"/>
      <c r="AG79" s="435"/>
      <c r="AH79" s="435"/>
      <c r="AI79" s="435"/>
      <c r="AJ79" s="435"/>
      <c r="AK79" s="435"/>
      <c r="AL79" s="435"/>
      <c r="AM79" s="435"/>
      <c r="AN79" s="435"/>
      <c r="AO79" s="435"/>
      <c r="AP79" s="435"/>
      <c r="AQ79" s="435"/>
      <c r="AR79" s="435"/>
      <c r="AS79" s="435"/>
      <c r="AT79" s="435"/>
      <c r="AU79" s="435"/>
      <c r="AV79" s="435"/>
      <c r="AW79" s="435"/>
      <c r="AX79" s="435"/>
    </row>
    <row r="80" spans="1:50" ht="18.75">
      <c r="A80" s="3818" t="s">
        <v>52</v>
      </c>
      <c r="B80" s="3790">
        <f>SUM('цех вода'!U82)</f>
        <v>103.1078384375906</v>
      </c>
      <c r="C80" s="3790">
        <f>SUM('цех вода'!W82)</f>
        <v>103.1078384375906</v>
      </c>
      <c r="D80" s="3790">
        <f>SUM('цех вода'!X82)</f>
        <v>0</v>
      </c>
      <c r="E80" s="3819">
        <f>SUM('цех вода'!Y82)</f>
        <v>8.5923198697992174</v>
      </c>
      <c r="F80" s="3819">
        <f>SUM('цех вода'!Z82)</f>
        <v>8.5923198697992174</v>
      </c>
      <c r="G80" s="3819">
        <f>SUM('цех вода'!AA82)</f>
        <v>8.5923198697992174</v>
      </c>
      <c r="H80" s="3790">
        <f>SUM('цех вода'!AB82)</f>
        <v>25.77695960939765</v>
      </c>
      <c r="I80" s="3819">
        <f>SUM('цех вода'!AC82)</f>
        <v>8.5923198697992174</v>
      </c>
      <c r="J80" s="3819">
        <f>SUM('цех вода'!AD82)</f>
        <v>8.5923198697992174</v>
      </c>
      <c r="K80" s="3819">
        <f>SUM('цех вода'!AE82)</f>
        <v>8.5923198697992174</v>
      </c>
      <c r="L80" s="3790">
        <f>SUM('цех вода'!AF82)</f>
        <v>25.77695960939765</v>
      </c>
      <c r="M80" s="3790">
        <f>SUM('цех вода'!AG82)</f>
        <v>51.553919218795301</v>
      </c>
      <c r="N80" s="3819">
        <f>SUM('цех вода'!AH82)</f>
        <v>8.5923198697992174</v>
      </c>
      <c r="O80" s="3819">
        <f>SUM('цех вода'!AI82)</f>
        <v>8.5923198697992174</v>
      </c>
      <c r="P80" s="3819">
        <f>SUM('цех вода'!AJ82)</f>
        <v>8.5923198697992174</v>
      </c>
      <c r="Q80" s="3790">
        <f>SUM('цех вода'!AK82)</f>
        <v>25.77695960939765</v>
      </c>
      <c r="R80" s="3790">
        <f>SUM('цех вода'!AL82)</f>
        <v>77.330878828192951</v>
      </c>
      <c r="S80" s="3819">
        <f>SUM('цех вода'!AM82)</f>
        <v>8.5923198697992174</v>
      </c>
      <c r="T80" s="3819">
        <f>SUM('цех вода'!AN82)</f>
        <v>8.5923198697992174</v>
      </c>
      <c r="U80" s="3819">
        <f>SUM('цех вода'!AO82)</f>
        <v>8.5923198697992174</v>
      </c>
      <c r="V80" s="3790">
        <f>SUM('цех вода'!AP82)</f>
        <v>25.77695960939765</v>
      </c>
      <c r="W80" s="3814">
        <f t="shared" si="106"/>
        <v>103.10783843759059</v>
      </c>
      <c r="X80" s="435"/>
      <c r="Y80" s="435"/>
      <c r="Z80" s="435"/>
      <c r="AA80" s="435"/>
      <c r="AB80" s="435"/>
      <c r="AC80" s="435"/>
      <c r="AD80" s="435"/>
      <c r="AE80" s="435"/>
      <c r="AF80" s="435"/>
      <c r="AG80" s="435"/>
      <c r="AH80" s="435"/>
      <c r="AI80" s="435"/>
      <c r="AJ80" s="435"/>
      <c r="AK80" s="435"/>
      <c r="AL80" s="435"/>
      <c r="AM80" s="435"/>
      <c r="AN80" s="435"/>
      <c r="AO80" s="435"/>
      <c r="AP80" s="435"/>
      <c r="AQ80" s="435"/>
      <c r="AR80" s="435"/>
      <c r="AS80" s="435"/>
      <c r="AT80" s="435"/>
      <c r="AU80" s="435"/>
      <c r="AV80" s="435"/>
      <c r="AW80" s="435"/>
      <c r="AX80" s="435"/>
    </row>
    <row r="81" spans="1:50" ht="18.75">
      <c r="A81" s="3818" t="s">
        <v>1557</v>
      </c>
      <c r="B81" s="3790">
        <f>SUM('цех вода'!U83)</f>
        <v>56.240639147776697</v>
      </c>
      <c r="C81" s="3790">
        <f>SUM('цех вода'!W83)</f>
        <v>56.240639147776697</v>
      </c>
      <c r="D81" s="3790">
        <f>SUM('цех вода'!X83)</f>
        <v>0</v>
      </c>
      <c r="E81" s="3819">
        <f>SUM('цех вода'!Y83)</f>
        <v>4.6867199289813914</v>
      </c>
      <c r="F81" s="3819">
        <f>SUM('цех вода'!Z83)</f>
        <v>4.6867199289813914</v>
      </c>
      <c r="G81" s="3819">
        <f>SUM('цех вода'!AA83)</f>
        <v>4.6867199289813914</v>
      </c>
      <c r="H81" s="3790">
        <f>SUM('цех вода'!AB83)</f>
        <v>14.060159786944174</v>
      </c>
      <c r="I81" s="3819">
        <f>SUM('цех вода'!AC83)</f>
        <v>4.6867199289813914</v>
      </c>
      <c r="J81" s="3819">
        <f>SUM('цех вода'!AD83)</f>
        <v>4.6867199289813914</v>
      </c>
      <c r="K81" s="3819">
        <f>SUM('цех вода'!AE83)</f>
        <v>4.6867199289813914</v>
      </c>
      <c r="L81" s="3790">
        <f>SUM('цех вода'!AF83)</f>
        <v>14.060159786944174</v>
      </c>
      <c r="M81" s="3790">
        <f>SUM('цех вода'!AG83)</f>
        <v>28.120319573888349</v>
      </c>
      <c r="N81" s="3819">
        <f>SUM('цех вода'!AH83)</f>
        <v>4.6867199289813914</v>
      </c>
      <c r="O81" s="3819">
        <f>SUM('цех вода'!AI83)</f>
        <v>4.6867199289813914</v>
      </c>
      <c r="P81" s="3819">
        <f>SUM('цех вода'!AJ83)</f>
        <v>4.6867199289813914</v>
      </c>
      <c r="Q81" s="3790">
        <f>SUM('цех вода'!AK83)</f>
        <v>14.060159786944174</v>
      </c>
      <c r="R81" s="3790">
        <f>SUM('цех вода'!AL83)</f>
        <v>42.180479360832521</v>
      </c>
      <c r="S81" s="3819">
        <f>SUM('цех вода'!AM83)</f>
        <v>4.6867199289813914</v>
      </c>
      <c r="T81" s="3819">
        <f>SUM('цех вода'!AN83)</f>
        <v>4.6867199289813914</v>
      </c>
      <c r="U81" s="3819">
        <f>SUM('цех вода'!AO83)</f>
        <v>4.6867199289813914</v>
      </c>
      <c r="V81" s="3790">
        <f>SUM('цех вода'!AP83)</f>
        <v>14.060159786944174</v>
      </c>
      <c r="W81" s="3814">
        <f t="shared" si="106"/>
        <v>56.240639147776683</v>
      </c>
      <c r="X81" s="435"/>
      <c r="Y81" s="435"/>
      <c r="Z81" s="435"/>
      <c r="AA81" s="435"/>
      <c r="AB81" s="435"/>
      <c r="AC81" s="435"/>
      <c r="AD81" s="435"/>
      <c r="AE81" s="435"/>
      <c r="AF81" s="435"/>
      <c r="AG81" s="435"/>
      <c r="AH81" s="435"/>
      <c r="AI81" s="435"/>
      <c r="AJ81" s="435"/>
      <c r="AK81" s="435"/>
      <c r="AL81" s="435"/>
      <c r="AM81" s="435"/>
      <c r="AN81" s="435"/>
      <c r="AO81" s="435"/>
      <c r="AP81" s="435"/>
      <c r="AQ81" s="435"/>
      <c r="AR81" s="435"/>
      <c r="AS81" s="435"/>
      <c r="AT81" s="435"/>
      <c r="AU81" s="435"/>
      <c r="AV81" s="435"/>
      <c r="AW81" s="435"/>
      <c r="AX81" s="435"/>
    </row>
    <row r="82" spans="1:50" ht="18.75">
      <c r="A82" s="3818" t="s">
        <v>606</v>
      </c>
      <c r="B82" s="3790">
        <f>SUM('цех вода'!U84)</f>
        <v>908.18217290483847</v>
      </c>
      <c r="C82" s="3790">
        <f>SUM('цех вода'!W84)</f>
        <v>908.18217290483847</v>
      </c>
      <c r="D82" s="3790">
        <f>SUM('цех вода'!X84)</f>
        <v>0</v>
      </c>
      <c r="E82" s="3819">
        <f>SUM('цех вода'!Y84)</f>
        <v>75.681847742069877</v>
      </c>
      <c r="F82" s="3819">
        <f>SUM('цех вода'!Z84)</f>
        <v>75.681847742069877</v>
      </c>
      <c r="G82" s="3819">
        <f>SUM('цех вода'!AA84)</f>
        <v>75.681847742069877</v>
      </c>
      <c r="H82" s="3790">
        <f>SUM('цех вода'!AB84)</f>
        <v>227.04554322620965</v>
      </c>
      <c r="I82" s="3819">
        <f>SUM('цех вода'!AC84)</f>
        <v>75.681847742069877</v>
      </c>
      <c r="J82" s="3819">
        <f>SUM('цех вода'!AD84)</f>
        <v>75.681847742069877</v>
      </c>
      <c r="K82" s="3819">
        <f>SUM('цех вода'!AE84)</f>
        <v>75.681847742069877</v>
      </c>
      <c r="L82" s="3790">
        <f>SUM('цех вода'!AF84)</f>
        <v>227.04554322620965</v>
      </c>
      <c r="M82" s="3790">
        <f>SUM('цех вода'!AG84)</f>
        <v>454.09108645241929</v>
      </c>
      <c r="N82" s="3819">
        <f>SUM('цех вода'!AH84)</f>
        <v>75.681847742069877</v>
      </c>
      <c r="O82" s="3819">
        <f>SUM('цех вода'!AI84)</f>
        <v>75.681847742069877</v>
      </c>
      <c r="P82" s="3819">
        <f>SUM('цех вода'!AJ84)</f>
        <v>75.681847742069877</v>
      </c>
      <c r="Q82" s="3790">
        <f>SUM('цех вода'!AK84)</f>
        <v>227.04554322620965</v>
      </c>
      <c r="R82" s="3790">
        <f>SUM('цех вода'!AL84)</f>
        <v>681.13662967862888</v>
      </c>
      <c r="S82" s="3819">
        <f>SUM('цех вода'!AM84)</f>
        <v>75.681847742069877</v>
      </c>
      <c r="T82" s="3819">
        <f>SUM('цех вода'!AN84)</f>
        <v>75.681847742069877</v>
      </c>
      <c r="U82" s="3819">
        <f>SUM('цех вода'!AO84)</f>
        <v>75.681847742069877</v>
      </c>
      <c r="V82" s="3790">
        <f>SUM('цех вода'!AP84)</f>
        <v>227.04554322620965</v>
      </c>
      <c r="W82" s="3814">
        <f t="shared" si="106"/>
        <v>908.18217290483847</v>
      </c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</row>
    <row r="83" spans="1:50" ht="18.75">
      <c r="A83" s="3818" t="s">
        <v>1558</v>
      </c>
      <c r="B83" s="3790">
        <f>SUM('цех вода'!U85)</f>
        <v>24.995839621234087</v>
      </c>
      <c r="C83" s="3790">
        <f>SUM('цех вода'!W85)</f>
        <v>24.995839621234087</v>
      </c>
      <c r="D83" s="3790">
        <f>SUM('цех вода'!X85)</f>
        <v>0</v>
      </c>
      <c r="E83" s="3819">
        <f>SUM('цех вода'!Y85)</f>
        <v>2.0829866351028405</v>
      </c>
      <c r="F83" s="3819">
        <f>SUM('цех вода'!Z85)</f>
        <v>2.0829866351028405</v>
      </c>
      <c r="G83" s="3819">
        <f>SUM('цех вода'!AA85)</f>
        <v>2.0829866351028405</v>
      </c>
      <c r="H83" s="3790">
        <f>SUM('цех вода'!AB85)</f>
        <v>6.2489599053085216</v>
      </c>
      <c r="I83" s="3819">
        <f>SUM('цех вода'!AC85)</f>
        <v>2.0829866351028405</v>
      </c>
      <c r="J83" s="3819">
        <f>SUM('цех вода'!AD85)</f>
        <v>2.0829866351028405</v>
      </c>
      <c r="K83" s="3819">
        <f>SUM('цех вода'!AE85)</f>
        <v>2.0829866351028405</v>
      </c>
      <c r="L83" s="3790">
        <f>SUM('цех вода'!AF85)</f>
        <v>6.2489599053085216</v>
      </c>
      <c r="M83" s="3790">
        <f>SUM('цех вода'!AG85)</f>
        <v>12.497919810617043</v>
      </c>
      <c r="N83" s="3819">
        <f>SUM('цех вода'!AH85)</f>
        <v>2.0829866351028405</v>
      </c>
      <c r="O83" s="3819">
        <f>SUM('цех вода'!AI85)</f>
        <v>2.0829866351028405</v>
      </c>
      <c r="P83" s="3819">
        <f>SUM('цех вода'!AJ85)</f>
        <v>2.0829866351028405</v>
      </c>
      <c r="Q83" s="3790">
        <f>SUM('цех вода'!AK85)</f>
        <v>6.2489599053085216</v>
      </c>
      <c r="R83" s="3790">
        <f>SUM('цех вода'!AL85)</f>
        <v>18.746879715925566</v>
      </c>
      <c r="S83" s="3819">
        <f>SUM('цех вода'!AM85)</f>
        <v>2.0829866351028405</v>
      </c>
      <c r="T83" s="3819">
        <f>SUM('цех вода'!AN85)</f>
        <v>2.0829866351028405</v>
      </c>
      <c r="U83" s="3819">
        <f>SUM('цех вода'!AO85)</f>
        <v>2.0829866351028405</v>
      </c>
      <c r="V83" s="3790">
        <f>SUM('цех вода'!AP85)</f>
        <v>6.2489599053085216</v>
      </c>
      <c r="W83" s="3814">
        <f t="shared" si="106"/>
        <v>24.995839621234094</v>
      </c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5"/>
      <c r="AW83" s="435"/>
      <c r="AX83" s="435"/>
    </row>
    <row r="84" spans="1:50" ht="18.75">
      <c r="A84" s="3818" t="s">
        <v>608</v>
      </c>
      <c r="B84" s="3790">
        <f>SUM('цех вода'!U86)</f>
        <v>91.651411944524995</v>
      </c>
      <c r="C84" s="3790">
        <f>SUM('цех вода'!W86)</f>
        <v>91.651411944524995</v>
      </c>
      <c r="D84" s="3790">
        <f>SUM('цех вода'!X86)</f>
        <v>0</v>
      </c>
      <c r="E84" s="3819">
        <f>SUM('цех вода'!Y86)</f>
        <v>7.6376176620437493</v>
      </c>
      <c r="F84" s="3819">
        <f>SUM('цех вода'!Z86)</f>
        <v>7.6376176620437493</v>
      </c>
      <c r="G84" s="3819">
        <f>SUM('цех вода'!AA86)</f>
        <v>7.6376176620437493</v>
      </c>
      <c r="H84" s="3790">
        <f>SUM('цех вода'!AB86)</f>
        <v>22.912852986131249</v>
      </c>
      <c r="I84" s="3819">
        <f>SUM('цех вода'!AC86)</f>
        <v>7.6376176620437493</v>
      </c>
      <c r="J84" s="3819">
        <f>SUM('цех вода'!AD86)</f>
        <v>7.6376176620437493</v>
      </c>
      <c r="K84" s="3819">
        <f>SUM('цех вода'!AE86)</f>
        <v>7.6376176620437493</v>
      </c>
      <c r="L84" s="3790">
        <f>SUM('цех вода'!AF86)</f>
        <v>22.912852986131249</v>
      </c>
      <c r="M84" s="3790">
        <f>SUM('цех вода'!AG86)</f>
        <v>45.825705972262497</v>
      </c>
      <c r="N84" s="3819">
        <f>SUM('цех вода'!AH86)</f>
        <v>7.6376176620437493</v>
      </c>
      <c r="O84" s="3819">
        <f>SUM('цех вода'!AI86)</f>
        <v>7.6376176620437493</v>
      </c>
      <c r="P84" s="3819">
        <f>SUM('цех вода'!AJ86)</f>
        <v>7.6376176620437493</v>
      </c>
      <c r="Q84" s="3790">
        <f>SUM('цех вода'!AK86)</f>
        <v>22.912852986131249</v>
      </c>
      <c r="R84" s="3790">
        <f>SUM('цех вода'!AL86)</f>
        <v>68.738558958393753</v>
      </c>
      <c r="S84" s="3819">
        <f>SUM('цех вода'!AM86)</f>
        <v>7.6376176620437493</v>
      </c>
      <c r="T84" s="3819">
        <f>SUM('цех вода'!AN86)</f>
        <v>7.6376176620437493</v>
      </c>
      <c r="U84" s="3819">
        <f>SUM('цех вода'!AO86)</f>
        <v>7.6376176620437493</v>
      </c>
      <c r="V84" s="3790">
        <f>SUM('цех вода'!AP86)</f>
        <v>22.912852986131249</v>
      </c>
      <c r="W84" s="3814">
        <f t="shared" si="106"/>
        <v>91.651411944525009</v>
      </c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35"/>
      <c r="AJ84" s="435"/>
      <c r="AK84" s="435"/>
      <c r="AL84" s="435"/>
      <c r="AM84" s="435"/>
      <c r="AN84" s="435"/>
      <c r="AO84" s="435"/>
      <c r="AP84" s="435"/>
      <c r="AQ84" s="435"/>
      <c r="AR84" s="435"/>
      <c r="AS84" s="435"/>
      <c r="AT84" s="435"/>
      <c r="AU84" s="435"/>
      <c r="AV84" s="435"/>
      <c r="AW84" s="435"/>
      <c r="AX84" s="435"/>
    </row>
    <row r="85" spans="1:50" ht="18.75">
      <c r="A85" s="3818" t="s">
        <v>98</v>
      </c>
      <c r="B85" s="3790">
        <f>SUM('цех вода'!U87)</f>
        <v>127.06218474127327</v>
      </c>
      <c r="C85" s="3790">
        <f>SUM('цех вода'!W87)</f>
        <v>127.06218474127327</v>
      </c>
      <c r="D85" s="3790">
        <f>SUM('цех вода'!X87)</f>
        <v>0</v>
      </c>
      <c r="E85" s="3819">
        <f>SUM('цех вода'!Y87)</f>
        <v>10.588515395106105</v>
      </c>
      <c r="F85" s="3819">
        <f>SUM('цех вода'!Z87)</f>
        <v>10.588515395106105</v>
      </c>
      <c r="G85" s="3819">
        <f>SUM('цех вода'!AA87)</f>
        <v>10.588515395106105</v>
      </c>
      <c r="H85" s="3790">
        <f>SUM('цех вода'!AB87)</f>
        <v>31.765546185318314</v>
      </c>
      <c r="I85" s="3819">
        <f>SUM('цех вода'!AC87)</f>
        <v>10.588515395106105</v>
      </c>
      <c r="J85" s="3819">
        <f>SUM('цех вода'!AD87)</f>
        <v>10.588515395106105</v>
      </c>
      <c r="K85" s="3819">
        <f>SUM('цех вода'!AE87)</f>
        <v>10.588515395106105</v>
      </c>
      <c r="L85" s="3790">
        <f>SUM('цех вода'!AF87)</f>
        <v>31.765546185318314</v>
      </c>
      <c r="M85" s="3790">
        <f>SUM('цех вода'!AG87)</f>
        <v>63.531092370636628</v>
      </c>
      <c r="N85" s="3819">
        <f>SUM('цех вода'!AH87)</f>
        <v>10.588515395106105</v>
      </c>
      <c r="O85" s="3819">
        <f>SUM('цех вода'!AI87)</f>
        <v>10.588515395106105</v>
      </c>
      <c r="P85" s="3819">
        <f>SUM('цех вода'!AJ87)</f>
        <v>10.588515395106105</v>
      </c>
      <c r="Q85" s="3790">
        <f>SUM('цех вода'!AK87)</f>
        <v>31.765546185318314</v>
      </c>
      <c r="R85" s="3790">
        <f>SUM('цех вода'!AL87)</f>
        <v>95.296638555954942</v>
      </c>
      <c r="S85" s="3819">
        <f>SUM('цех вода'!AM87)</f>
        <v>10.588515395106105</v>
      </c>
      <c r="T85" s="3819">
        <f>SUM('цех вода'!AN87)</f>
        <v>10.588515395106105</v>
      </c>
      <c r="U85" s="3819">
        <f>SUM('цех вода'!AO87)</f>
        <v>10.588515395106105</v>
      </c>
      <c r="V85" s="3790">
        <f>SUM('цех вода'!AP87)</f>
        <v>31.765546185318314</v>
      </c>
      <c r="W85" s="3814">
        <f t="shared" si="106"/>
        <v>127.06218474127324</v>
      </c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35"/>
      <c r="AJ85" s="435"/>
      <c r="AK85" s="435"/>
      <c r="AL85" s="435"/>
      <c r="AM85" s="435"/>
      <c r="AN85" s="435"/>
      <c r="AO85" s="435"/>
      <c r="AP85" s="435"/>
      <c r="AQ85" s="435"/>
      <c r="AR85" s="435"/>
      <c r="AS85" s="435"/>
      <c r="AT85" s="435"/>
      <c r="AU85" s="435"/>
      <c r="AV85" s="435"/>
      <c r="AW85" s="435"/>
      <c r="AX85" s="435"/>
    </row>
    <row r="86" spans="1:50" ht="18.75">
      <c r="A86" s="3818" t="s">
        <v>609</v>
      </c>
      <c r="B86" s="3790">
        <f>SUM('цех вода'!U88)</f>
        <v>57.282132465328125</v>
      </c>
      <c r="C86" s="3790">
        <f>SUM('цех вода'!W88)</f>
        <v>57.282132465328125</v>
      </c>
      <c r="D86" s="3790">
        <f>SUM('цех вода'!X88)</f>
        <v>0</v>
      </c>
      <c r="E86" s="3819">
        <f>SUM('цех вода'!Y88)</f>
        <v>4.7735110387773441</v>
      </c>
      <c r="F86" s="3819">
        <f>SUM('цех вода'!Z88)</f>
        <v>4.7735110387773441</v>
      </c>
      <c r="G86" s="3819">
        <f>SUM('цех вода'!AA88)</f>
        <v>4.7735110387773441</v>
      </c>
      <c r="H86" s="3790">
        <f>SUM('цех вода'!AB88)</f>
        <v>14.320533116332033</v>
      </c>
      <c r="I86" s="3819">
        <f>SUM('цех вода'!AC88)</f>
        <v>4.7735110387773441</v>
      </c>
      <c r="J86" s="3819">
        <f>SUM('цех вода'!AD88)</f>
        <v>4.7735110387773441</v>
      </c>
      <c r="K86" s="3819">
        <f>SUM('цех вода'!AE88)</f>
        <v>4.7735110387773441</v>
      </c>
      <c r="L86" s="3790">
        <f>SUM('цех вода'!AF88)</f>
        <v>14.320533116332033</v>
      </c>
      <c r="M86" s="3790">
        <f>SUM('цех вода'!AG88)</f>
        <v>28.641066232664066</v>
      </c>
      <c r="N86" s="3819">
        <f>SUM('цех вода'!AH88)</f>
        <v>4.7735110387773441</v>
      </c>
      <c r="O86" s="3819">
        <f>SUM('цех вода'!AI88)</f>
        <v>4.7735110387773441</v>
      </c>
      <c r="P86" s="3819">
        <f>SUM('цех вода'!AJ88)</f>
        <v>4.7735110387773441</v>
      </c>
      <c r="Q86" s="3790">
        <f>SUM('цех вода'!AK88)</f>
        <v>14.320533116332033</v>
      </c>
      <c r="R86" s="3790">
        <f>SUM('цех вода'!AL88)</f>
        <v>42.961599348996103</v>
      </c>
      <c r="S86" s="3819">
        <f>SUM('цех вода'!AM88)</f>
        <v>4.7735110387773441</v>
      </c>
      <c r="T86" s="3819">
        <f>SUM('цех вода'!AN88)</f>
        <v>4.7735110387773441</v>
      </c>
      <c r="U86" s="3819">
        <f>SUM('цех вода'!AO88)</f>
        <v>4.7735110387773441</v>
      </c>
      <c r="V86" s="3790">
        <f>SUM('цех вода'!AP88)</f>
        <v>14.320533116332033</v>
      </c>
      <c r="W86" s="3814">
        <f t="shared" si="106"/>
        <v>57.282132465328125</v>
      </c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5"/>
      <c r="AW86" s="435"/>
      <c r="AX86" s="435"/>
    </row>
    <row r="87" spans="1:50" ht="18.75">
      <c r="A87" s="3818" t="s">
        <v>1559</v>
      </c>
      <c r="B87" s="3790">
        <f>SUM('цех вода'!U89)</f>
        <v>48.950185924916745</v>
      </c>
      <c r="C87" s="3790">
        <f>SUM('цех вода'!W89)</f>
        <v>48.950185924916745</v>
      </c>
      <c r="D87" s="3790">
        <f>SUM('цех вода'!X89)</f>
        <v>0</v>
      </c>
      <c r="E87" s="3819">
        <f>SUM('цех вода'!Y89)</f>
        <v>4.0791821604097285</v>
      </c>
      <c r="F87" s="3819">
        <f>SUM('цех вода'!Z89)</f>
        <v>4.0791821604097285</v>
      </c>
      <c r="G87" s="3819">
        <f>SUM('цех вода'!AA89)</f>
        <v>4.0791821604097285</v>
      </c>
      <c r="H87" s="3790">
        <f>SUM('цех вода'!AB89)</f>
        <v>12.237546481229185</v>
      </c>
      <c r="I87" s="3819">
        <f>SUM('цех вода'!AC89)</f>
        <v>4.0791821604097285</v>
      </c>
      <c r="J87" s="3819">
        <f>SUM('цех вода'!AD89)</f>
        <v>4.0791821604097285</v>
      </c>
      <c r="K87" s="3819">
        <f>SUM('цех вода'!AE89)</f>
        <v>4.0791821604097285</v>
      </c>
      <c r="L87" s="3790">
        <f>SUM('цех вода'!AF89)</f>
        <v>12.237546481229185</v>
      </c>
      <c r="M87" s="3790">
        <f>SUM('цех вода'!AG89)</f>
        <v>24.475092962458369</v>
      </c>
      <c r="N87" s="3819">
        <f>SUM('цех вода'!AH89)</f>
        <v>4.0791821604097285</v>
      </c>
      <c r="O87" s="3819">
        <f>SUM('цех вода'!AI89)</f>
        <v>4.0791821604097285</v>
      </c>
      <c r="P87" s="3819">
        <f>SUM('цех вода'!AJ89)</f>
        <v>4.0791821604097285</v>
      </c>
      <c r="Q87" s="3790">
        <f>SUM('цех вода'!AK89)</f>
        <v>12.237546481229185</v>
      </c>
      <c r="R87" s="3790">
        <f>SUM('цех вода'!AL89)</f>
        <v>36.71263944368755</v>
      </c>
      <c r="S87" s="3819">
        <f>SUM('цех вода'!AM89)</f>
        <v>4.0791821604097285</v>
      </c>
      <c r="T87" s="3819">
        <f>SUM('цех вода'!AN89)</f>
        <v>4.0791821604097285</v>
      </c>
      <c r="U87" s="3819">
        <f>SUM('цех вода'!AO89)</f>
        <v>4.0791821604097285</v>
      </c>
      <c r="V87" s="3790">
        <f>SUM('цех вода'!AP89)</f>
        <v>12.237546481229185</v>
      </c>
      <c r="W87" s="3814">
        <f t="shared" si="106"/>
        <v>48.950185924916745</v>
      </c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35"/>
      <c r="AJ87" s="435"/>
      <c r="AK87" s="435"/>
      <c r="AL87" s="435"/>
      <c r="AM87" s="435"/>
      <c r="AN87" s="435"/>
      <c r="AO87" s="435"/>
      <c r="AP87" s="435"/>
      <c r="AQ87" s="435"/>
      <c r="AR87" s="435"/>
      <c r="AS87" s="435"/>
      <c r="AT87" s="435"/>
      <c r="AU87" s="435"/>
      <c r="AV87" s="435"/>
      <c r="AW87" s="435"/>
      <c r="AX87" s="435"/>
    </row>
    <row r="88" spans="1:50" ht="18.75">
      <c r="A88" s="3818" t="s">
        <v>612</v>
      </c>
      <c r="B88" s="3790">
        <f>SUM('цех вода'!U90)</f>
        <v>95.817385214730663</v>
      </c>
      <c r="C88" s="3790">
        <f>SUM('цех вода'!W90)</f>
        <v>95.817385214730663</v>
      </c>
      <c r="D88" s="3790">
        <f>SUM('цех вода'!X90)</f>
        <v>0</v>
      </c>
      <c r="E88" s="3819">
        <f>SUM('цех вода'!Y90)</f>
        <v>7.9847821012275553</v>
      </c>
      <c r="F88" s="3819">
        <f>SUM('цех вода'!Z90)</f>
        <v>7.9847821012275553</v>
      </c>
      <c r="G88" s="3819">
        <f>SUM('цех вода'!AA90)</f>
        <v>7.9847821012275553</v>
      </c>
      <c r="H88" s="3790">
        <f>SUM('цех вода'!AB90)</f>
        <v>23.954346303682666</v>
      </c>
      <c r="I88" s="3819">
        <f>SUM('цех вода'!AC90)</f>
        <v>7.9847821012275553</v>
      </c>
      <c r="J88" s="3819">
        <f>SUM('цех вода'!AD90)</f>
        <v>7.9847821012275553</v>
      </c>
      <c r="K88" s="3819">
        <f>SUM('цех вода'!AE90)</f>
        <v>7.9847821012275553</v>
      </c>
      <c r="L88" s="3790">
        <f>SUM('цех вода'!AF90)</f>
        <v>23.954346303682666</v>
      </c>
      <c r="M88" s="3790">
        <f>SUM('цех вода'!AG90)</f>
        <v>47.908692607365332</v>
      </c>
      <c r="N88" s="3819">
        <f>SUM('цех вода'!AH90)</f>
        <v>7.9847821012275553</v>
      </c>
      <c r="O88" s="3819">
        <f>SUM('цех вода'!AI90)</f>
        <v>7.9847821012275553</v>
      </c>
      <c r="P88" s="3819">
        <f>SUM('цех вода'!AJ90)</f>
        <v>7.9847821012275553</v>
      </c>
      <c r="Q88" s="3790">
        <f>SUM('цех вода'!AK90)</f>
        <v>23.954346303682666</v>
      </c>
      <c r="R88" s="3790">
        <f>SUM('цех вода'!AL90)</f>
        <v>71.863038911047994</v>
      </c>
      <c r="S88" s="3819">
        <f>SUM('цех вода'!AM90)</f>
        <v>7.9847821012275553</v>
      </c>
      <c r="T88" s="3819">
        <f>SUM('цех вода'!AN90)</f>
        <v>7.9847821012275553</v>
      </c>
      <c r="U88" s="3819">
        <f>SUM('цех вода'!AO90)</f>
        <v>7.9847821012275553</v>
      </c>
      <c r="V88" s="3790">
        <f>SUM('цех вода'!AP90)</f>
        <v>23.954346303682666</v>
      </c>
      <c r="W88" s="3814">
        <f t="shared" si="106"/>
        <v>95.817385214730635</v>
      </c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35"/>
      <c r="AJ88" s="435"/>
      <c r="AK88" s="435"/>
      <c r="AL88" s="435"/>
      <c r="AM88" s="435"/>
      <c r="AN88" s="435"/>
      <c r="AO88" s="435"/>
      <c r="AP88" s="435"/>
      <c r="AQ88" s="435"/>
      <c r="AR88" s="435"/>
      <c r="AS88" s="435"/>
      <c r="AT88" s="435"/>
      <c r="AU88" s="435"/>
      <c r="AV88" s="435"/>
      <c r="AW88" s="435"/>
      <c r="AX88" s="435"/>
    </row>
    <row r="89" spans="1:50" ht="18.75">
      <c r="A89" s="3818" t="s">
        <v>616</v>
      </c>
      <c r="B89" s="3790">
        <f>SUM('цех вода'!U91)</f>
        <v>0</v>
      </c>
      <c r="C89" s="3790">
        <f>SUM('цех вода'!W91)</f>
        <v>0</v>
      </c>
      <c r="D89" s="3790">
        <f>SUM('цех вода'!X91)</f>
        <v>0</v>
      </c>
      <c r="E89" s="3819">
        <f>SUM('цех вода'!Y91)</f>
        <v>0</v>
      </c>
      <c r="F89" s="3819">
        <f>SUM('цех вода'!Z91)</f>
        <v>0</v>
      </c>
      <c r="G89" s="3819">
        <f>SUM('цех вода'!AA91)</f>
        <v>0</v>
      </c>
      <c r="H89" s="3790">
        <f>SUM('цех вода'!AB91)</f>
        <v>0</v>
      </c>
      <c r="I89" s="3819">
        <f>SUM('цех вода'!AC91)</f>
        <v>0</v>
      </c>
      <c r="J89" s="3819">
        <f>SUM('цех вода'!AD91)</f>
        <v>0</v>
      </c>
      <c r="K89" s="3819">
        <f>SUM('цех вода'!AE91)</f>
        <v>0</v>
      </c>
      <c r="L89" s="3790">
        <f>SUM('цех вода'!AF91)</f>
        <v>0</v>
      </c>
      <c r="M89" s="3790">
        <f>SUM('цех вода'!AG91)</f>
        <v>0</v>
      </c>
      <c r="N89" s="3819">
        <f>SUM('цех вода'!AH91)</f>
        <v>0</v>
      </c>
      <c r="O89" s="3819">
        <f>SUM('цех вода'!AI91)</f>
        <v>0</v>
      </c>
      <c r="P89" s="3819">
        <f>SUM('цех вода'!AJ91)</f>
        <v>0</v>
      </c>
      <c r="Q89" s="3790">
        <f>SUM('цех вода'!AK91)</f>
        <v>0</v>
      </c>
      <c r="R89" s="3790">
        <f>SUM('цех вода'!AL91)</f>
        <v>0</v>
      </c>
      <c r="S89" s="3819">
        <f>SUM('цех вода'!AM91)</f>
        <v>0</v>
      </c>
      <c r="T89" s="3819">
        <f>SUM('цех вода'!AN91)</f>
        <v>0</v>
      </c>
      <c r="U89" s="3819">
        <f>SUM('цех вода'!AO91)</f>
        <v>0</v>
      </c>
      <c r="V89" s="3790">
        <f>SUM('цех вода'!AP91)</f>
        <v>0</v>
      </c>
      <c r="W89" s="3814">
        <f t="shared" si="106"/>
        <v>0</v>
      </c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R89" s="435"/>
      <c r="AS89" s="435"/>
      <c r="AT89" s="435"/>
      <c r="AU89" s="435"/>
      <c r="AV89" s="435"/>
      <c r="AW89" s="435"/>
      <c r="AX89" s="435"/>
    </row>
    <row r="90" spans="1:50" ht="18.75">
      <c r="A90" s="3818" t="s">
        <v>613</v>
      </c>
      <c r="B90" s="3790">
        <f>SUM('цех вода'!U92)</f>
        <v>0</v>
      </c>
      <c r="C90" s="3790">
        <f>SUM('цех вода'!W92)</f>
        <v>0</v>
      </c>
      <c r="D90" s="3790">
        <f>SUM('цех вода'!X92)</f>
        <v>0</v>
      </c>
      <c r="E90" s="3819">
        <f>SUM('цех вода'!Y92)</f>
        <v>0</v>
      </c>
      <c r="F90" s="3819">
        <f>SUM('цех вода'!Z92)</f>
        <v>0</v>
      </c>
      <c r="G90" s="3819">
        <f>SUM('цех вода'!AA92)</f>
        <v>0</v>
      </c>
      <c r="H90" s="3790">
        <f>SUM('цех вода'!AB92)</f>
        <v>0</v>
      </c>
      <c r="I90" s="3819">
        <f>SUM('цех вода'!AC92)</f>
        <v>0</v>
      </c>
      <c r="J90" s="3819">
        <f>SUM('цех вода'!AD92)</f>
        <v>0</v>
      </c>
      <c r="K90" s="3819">
        <f>SUM('цех вода'!AE92)</f>
        <v>0</v>
      </c>
      <c r="L90" s="3790">
        <f>SUM('цех вода'!AF92)</f>
        <v>0</v>
      </c>
      <c r="M90" s="3790">
        <f>SUM('цех вода'!AG92)</f>
        <v>0</v>
      </c>
      <c r="N90" s="3819">
        <f>SUM('цех вода'!AH92)</f>
        <v>0</v>
      </c>
      <c r="O90" s="3819">
        <f>SUM('цех вода'!AI92)</f>
        <v>0</v>
      </c>
      <c r="P90" s="3819">
        <f>SUM('цех вода'!AJ92)</f>
        <v>0</v>
      </c>
      <c r="Q90" s="3790">
        <f>SUM('цех вода'!AK92)</f>
        <v>0</v>
      </c>
      <c r="R90" s="3790">
        <f>SUM('цех вода'!AL92)</f>
        <v>0</v>
      </c>
      <c r="S90" s="3819">
        <f>SUM('цех вода'!AM92)</f>
        <v>0</v>
      </c>
      <c r="T90" s="3819">
        <f>SUM('цех вода'!AN92)</f>
        <v>0</v>
      </c>
      <c r="U90" s="3819">
        <f>SUM('цех вода'!AO92)</f>
        <v>0</v>
      </c>
      <c r="V90" s="3790">
        <f>SUM('цех вода'!AP92)</f>
        <v>0</v>
      </c>
      <c r="W90" s="3814">
        <f t="shared" si="106"/>
        <v>0</v>
      </c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</row>
    <row r="91" spans="1:50" ht="18.75">
      <c r="A91" s="3818" t="s">
        <v>1560</v>
      </c>
      <c r="B91" s="3790">
        <f>SUM('цех вода'!U93)</f>
        <v>133.31114464658179</v>
      </c>
      <c r="C91" s="3790">
        <f>SUM('цех вода'!W93)</f>
        <v>133.31114464658179</v>
      </c>
      <c r="D91" s="3790">
        <f>SUM('цех вода'!X93)</f>
        <v>0</v>
      </c>
      <c r="E91" s="3819">
        <f>SUM('цех вода'!Y93)</f>
        <v>11.109262053881816</v>
      </c>
      <c r="F91" s="3819">
        <f>SUM('цех вода'!Z93)</f>
        <v>11.109262053881816</v>
      </c>
      <c r="G91" s="3819">
        <f>SUM('цех вода'!AA93)</f>
        <v>11.109262053881816</v>
      </c>
      <c r="H91" s="3790">
        <f>SUM('цех вода'!AB93)</f>
        <v>33.327786161645449</v>
      </c>
      <c r="I91" s="3819">
        <f>SUM('цех вода'!AC93)</f>
        <v>11.109262053881816</v>
      </c>
      <c r="J91" s="3819">
        <f>SUM('цех вода'!AD93)</f>
        <v>11.109262053881816</v>
      </c>
      <c r="K91" s="3819">
        <f>SUM('цех вода'!AE93)</f>
        <v>11.109262053881816</v>
      </c>
      <c r="L91" s="3790">
        <f>SUM('цех вода'!AF93)</f>
        <v>33.327786161645449</v>
      </c>
      <c r="M91" s="3790">
        <f>SUM('цех вода'!AG93)</f>
        <v>66.655572323290897</v>
      </c>
      <c r="N91" s="3819">
        <f>SUM('цех вода'!AH93)</f>
        <v>11.109262053881816</v>
      </c>
      <c r="O91" s="3819">
        <f>SUM('цех вода'!AI93)</f>
        <v>11.109262053881816</v>
      </c>
      <c r="P91" s="3819">
        <f>SUM('цех вода'!AJ93)</f>
        <v>11.109262053881816</v>
      </c>
      <c r="Q91" s="3790">
        <f>SUM('цех вода'!AK93)</f>
        <v>33.327786161645449</v>
      </c>
      <c r="R91" s="3790">
        <f>SUM('цех вода'!AL93)</f>
        <v>99.983358484936346</v>
      </c>
      <c r="S91" s="3819">
        <f>SUM('цех вода'!AM93)</f>
        <v>11.109262053881816</v>
      </c>
      <c r="T91" s="3819">
        <f>SUM('цех вода'!AN93)</f>
        <v>11.109262053881816</v>
      </c>
      <c r="U91" s="3819">
        <f>SUM('цех вода'!AO93)</f>
        <v>11.109262053881816</v>
      </c>
      <c r="V91" s="3790">
        <f>SUM('цех вода'!AP93)</f>
        <v>33.327786161645449</v>
      </c>
      <c r="W91" s="3814">
        <f t="shared" si="106"/>
        <v>133.31114464658182</v>
      </c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35"/>
      <c r="AJ91" s="435"/>
      <c r="AK91" s="435"/>
      <c r="AL91" s="435"/>
      <c r="AM91" s="435"/>
      <c r="AN91" s="435"/>
      <c r="AO91" s="435"/>
      <c r="AP91" s="435"/>
      <c r="AQ91" s="435"/>
      <c r="AR91" s="435"/>
      <c r="AS91" s="435"/>
      <c r="AT91" s="435"/>
      <c r="AU91" s="435"/>
      <c r="AV91" s="435"/>
      <c r="AW91" s="435"/>
      <c r="AX91" s="435"/>
    </row>
    <row r="92" spans="1:50" ht="18.75">
      <c r="A92" s="3818" t="s">
        <v>38</v>
      </c>
      <c r="B92" s="3790">
        <f>SUM('цех вода'!U94)</f>
        <v>54.157652512673856</v>
      </c>
      <c r="C92" s="3790">
        <f>SUM('цех вода'!W94)</f>
        <v>54.157652512673856</v>
      </c>
      <c r="D92" s="3790">
        <f>SUM('цех вода'!X94)</f>
        <v>0</v>
      </c>
      <c r="E92" s="3819">
        <f>SUM('цех вода'!Y94)</f>
        <v>4.513137709389488</v>
      </c>
      <c r="F92" s="3819">
        <f>SUM('цех вода'!Z94)</f>
        <v>4.513137709389488</v>
      </c>
      <c r="G92" s="3819">
        <f>SUM('цех вода'!AA94)</f>
        <v>4.513137709389488</v>
      </c>
      <c r="H92" s="3790">
        <f>SUM('цех вода'!AB94)</f>
        <v>13.539413128168464</v>
      </c>
      <c r="I92" s="3819">
        <f>SUM('цех вода'!AC94)</f>
        <v>4.513137709389488</v>
      </c>
      <c r="J92" s="3819">
        <f>SUM('цех вода'!AD94)</f>
        <v>4.513137709389488</v>
      </c>
      <c r="K92" s="3819">
        <f>SUM('цех вода'!AE94)</f>
        <v>4.513137709389488</v>
      </c>
      <c r="L92" s="3790">
        <f>SUM('цех вода'!AF94)</f>
        <v>13.539413128168464</v>
      </c>
      <c r="M92" s="3790">
        <f>SUM('цех вода'!AG94)</f>
        <v>27.078826256336928</v>
      </c>
      <c r="N92" s="3819">
        <f>SUM('цех вода'!AH94)</f>
        <v>4.513137709389488</v>
      </c>
      <c r="O92" s="3819">
        <f>SUM('цех вода'!AI94)</f>
        <v>4.513137709389488</v>
      </c>
      <c r="P92" s="3819">
        <f>SUM('цех вода'!AJ94)</f>
        <v>4.513137709389488</v>
      </c>
      <c r="Q92" s="3790">
        <f>SUM('цех вода'!AK94)</f>
        <v>13.539413128168464</v>
      </c>
      <c r="R92" s="3790">
        <f>SUM('цех вода'!AL94)</f>
        <v>40.618239384505394</v>
      </c>
      <c r="S92" s="3819">
        <f>SUM('цех вода'!AM94)</f>
        <v>4.513137709389488</v>
      </c>
      <c r="T92" s="3819">
        <f>SUM('цех вода'!AN94)</f>
        <v>4.513137709389488</v>
      </c>
      <c r="U92" s="3819">
        <f>SUM('цех вода'!AO94)</f>
        <v>4.513137709389488</v>
      </c>
      <c r="V92" s="3790">
        <f>SUM('цех вода'!AP94)</f>
        <v>13.539413128168464</v>
      </c>
      <c r="W92" s="3814">
        <f t="shared" si="106"/>
        <v>54.15765251267387</v>
      </c>
      <c r="X92" s="435"/>
      <c r="Y92" s="435"/>
      <c r="Z92" s="435"/>
      <c r="AA92" s="435"/>
      <c r="AB92" s="435"/>
      <c r="AC92" s="435"/>
      <c r="AD92" s="435"/>
      <c r="AE92" s="435"/>
      <c r="AF92" s="435"/>
      <c r="AG92" s="435"/>
      <c r="AH92" s="435"/>
      <c r="AI92" s="435"/>
      <c r="AJ92" s="435"/>
      <c r="AK92" s="435"/>
      <c r="AL92" s="435"/>
      <c r="AM92" s="435"/>
      <c r="AN92" s="435"/>
      <c r="AO92" s="435"/>
      <c r="AP92" s="435"/>
      <c r="AQ92" s="435"/>
      <c r="AR92" s="435"/>
      <c r="AS92" s="435"/>
      <c r="AT92" s="435"/>
      <c r="AU92" s="435"/>
      <c r="AV92" s="435"/>
      <c r="AW92" s="435"/>
      <c r="AX92" s="435"/>
    </row>
    <row r="93" spans="1:50" ht="18.75">
      <c r="A93" s="3818" t="s">
        <v>32</v>
      </c>
      <c r="B93" s="3790">
        <f>SUM('цех вода'!U95)</f>
        <v>23.954346303682666</v>
      </c>
      <c r="C93" s="3790">
        <f>SUM('цех вода'!W95)</f>
        <v>23.954346303682666</v>
      </c>
      <c r="D93" s="3790">
        <f>SUM('цех вода'!X95)</f>
        <v>0</v>
      </c>
      <c r="E93" s="3819">
        <f>SUM('цех вода'!Y95)</f>
        <v>1.9961955253068888</v>
      </c>
      <c r="F93" s="3819">
        <f>SUM('цех вода'!Z95)</f>
        <v>1.9961955253068888</v>
      </c>
      <c r="G93" s="3819">
        <f>SUM('цех вода'!AA95)</f>
        <v>1.9961955253068888</v>
      </c>
      <c r="H93" s="3790">
        <f>SUM('цех вода'!AB95)</f>
        <v>5.9885865759206665</v>
      </c>
      <c r="I93" s="3819">
        <f>SUM('цех вода'!AC95)</f>
        <v>1.9961955253068888</v>
      </c>
      <c r="J93" s="3819">
        <f>SUM('цех вода'!AD95)</f>
        <v>1.9961955253068888</v>
      </c>
      <c r="K93" s="3819">
        <f>SUM('цех вода'!AE95)</f>
        <v>1.9961955253068888</v>
      </c>
      <c r="L93" s="3790">
        <f>SUM('цех вода'!AF95)</f>
        <v>5.9885865759206665</v>
      </c>
      <c r="M93" s="3790">
        <f>SUM('цех вода'!AG95)</f>
        <v>11.977173151841333</v>
      </c>
      <c r="N93" s="3819">
        <f>SUM('цех вода'!AH95)</f>
        <v>1.9961955253068888</v>
      </c>
      <c r="O93" s="3819">
        <f>SUM('цех вода'!AI95)</f>
        <v>1.9961955253068888</v>
      </c>
      <c r="P93" s="3819">
        <f>SUM('цех вода'!AJ95)</f>
        <v>1.9961955253068888</v>
      </c>
      <c r="Q93" s="3790">
        <f>SUM('цех вода'!AK95)</f>
        <v>5.9885865759206665</v>
      </c>
      <c r="R93" s="3790">
        <f>SUM('цех вода'!AL95)</f>
        <v>17.965759727761998</v>
      </c>
      <c r="S93" s="3819">
        <f>SUM('цех вода'!AM95)</f>
        <v>1.9961955253068888</v>
      </c>
      <c r="T93" s="3819">
        <f>SUM('цех вода'!AN95)</f>
        <v>1.9961955253068888</v>
      </c>
      <c r="U93" s="3819">
        <f>SUM('цех вода'!AO95)</f>
        <v>1.9961955253068888</v>
      </c>
      <c r="V93" s="3790">
        <f>SUM('цех вода'!AP95)</f>
        <v>5.9885865759206665</v>
      </c>
      <c r="W93" s="3814">
        <f t="shared" si="106"/>
        <v>23.954346303682659</v>
      </c>
      <c r="X93" s="435"/>
      <c r="Y93" s="435"/>
      <c r="Z93" s="435"/>
      <c r="AA93" s="435"/>
      <c r="AB93" s="435"/>
      <c r="AC93" s="435"/>
      <c r="AD93" s="435"/>
      <c r="AE93" s="435"/>
      <c r="AF93" s="435"/>
      <c r="AG93" s="435"/>
      <c r="AH93" s="435"/>
      <c r="AI93" s="435"/>
      <c r="AJ93" s="435"/>
      <c r="AK93" s="435"/>
      <c r="AL93" s="435"/>
      <c r="AM93" s="435"/>
      <c r="AN93" s="435"/>
      <c r="AO93" s="435"/>
      <c r="AP93" s="435"/>
      <c r="AQ93" s="435"/>
      <c r="AR93" s="435"/>
      <c r="AS93" s="435"/>
      <c r="AT93" s="435"/>
      <c r="AU93" s="435"/>
      <c r="AV93" s="435"/>
      <c r="AW93" s="435"/>
      <c r="AX93" s="435"/>
    </row>
    <row r="94" spans="1:50" ht="18.75">
      <c r="A94" s="3818" t="s">
        <v>607</v>
      </c>
      <c r="B94" s="3790">
        <f>SUM('цех вода'!U96)</f>
        <v>4388.852840161685</v>
      </c>
      <c r="C94" s="3790">
        <f>SUM('цех вода'!W96)</f>
        <v>4388.852840161685</v>
      </c>
      <c r="D94" s="3790">
        <f>SUM('цех вода'!X96)</f>
        <v>0</v>
      </c>
      <c r="E94" s="3819">
        <f>SUM('цех вода'!Y96)</f>
        <v>705.00210796081296</v>
      </c>
      <c r="F94" s="3819">
        <f>SUM('цех вода'!Z96)</f>
        <v>608.04483615099343</v>
      </c>
      <c r="G94" s="3819">
        <f>SUM('цех вода'!AA96)</f>
        <v>566.05502346585115</v>
      </c>
      <c r="H94" s="3790">
        <f>SUM('цех вода'!AB96)</f>
        <v>1879.1019675776574</v>
      </c>
      <c r="I94" s="3819">
        <f>SUM('цех вода'!AC96)</f>
        <v>419.56890158838496</v>
      </c>
      <c r="J94" s="3819">
        <f>SUM('цех вода'!AD96)</f>
        <v>123.10844650721907</v>
      </c>
      <c r="K94" s="3819">
        <f>SUM('цех вода'!AE96)</f>
        <v>31.852337295114271</v>
      </c>
      <c r="L94" s="3790">
        <f>SUM('цех вода'!AF96)</f>
        <v>574.52968539071821</v>
      </c>
      <c r="M94" s="3790">
        <f>SUM('цех вода'!AG96)</f>
        <v>2453.6316529683754</v>
      </c>
      <c r="N94" s="3819">
        <f>SUM('цех вода'!AH96)</f>
        <v>31.852337295114271</v>
      </c>
      <c r="O94" s="3819">
        <f>SUM('цех вода'!AI96)</f>
        <v>31.852337295114271</v>
      </c>
      <c r="P94" s="3819">
        <f>SUM('цех вода'!AJ96)</f>
        <v>199.07943873366136</v>
      </c>
      <c r="Q94" s="3790">
        <f>SUM('цех вода'!AK96)</f>
        <v>262.78411332388993</v>
      </c>
      <c r="R94" s="3790">
        <f>SUM('цех вода'!AL96)</f>
        <v>2716.4157662922653</v>
      </c>
      <c r="S94" s="3819">
        <f>SUM('цех вода'!AM96)</f>
        <v>442.91816303792029</v>
      </c>
      <c r="T94" s="3819">
        <f>SUM('цех вода'!AN96)</f>
        <v>548.74674391097324</v>
      </c>
      <c r="U94" s="3819">
        <f>SUM('цех вода'!AO96)</f>
        <v>680.77216692052548</v>
      </c>
      <c r="V94" s="3790">
        <f>SUM('цех вода'!AP96)</f>
        <v>1672.437073869419</v>
      </c>
      <c r="W94" s="3814">
        <f t="shared" si="106"/>
        <v>4388.852840161685</v>
      </c>
      <c r="X94" s="435"/>
      <c r="Y94" s="435"/>
      <c r="Z94" s="435"/>
      <c r="AA94" s="435"/>
      <c r="AB94" s="435"/>
      <c r="AC94" s="435"/>
      <c r="AD94" s="435"/>
      <c r="AE94" s="435"/>
      <c r="AF94" s="435"/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R94" s="435"/>
      <c r="AS94" s="435"/>
      <c r="AT94" s="435"/>
      <c r="AU94" s="435"/>
      <c r="AV94" s="435"/>
      <c r="AW94" s="435"/>
      <c r="AX94" s="435"/>
    </row>
    <row r="95" spans="1:50" ht="18.75">
      <c r="A95" s="3820" t="s">
        <v>563</v>
      </c>
      <c r="B95" s="3794">
        <f>SUM('цех вода'!U97)</f>
        <v>4006.6247926203137</v>
      </c>
      <c r="C95" s="3794">
        <f>SUM('цех вода'!W97)</f>
        <v>4006.6247926203137</v>
      </c>
      <c r="D95" s="3794">
        <f>SUM('цех вода'!X97)</f>
        <v>0</v>
      </c>
      <c r="E95" s="3821">
        <f>SUM('цех вода'!Y97)</f>
        <v>673.14977066569872</v>
      </c>
      <c r="F95" s="3821">
        <f>SUM('цех вода'!Z97)</f>
        <v>576.19249885587919</v>
      </c>
      <c r="G95" s="3821">
        <f>SUM('цех вода'!AA97)</f>
        <v>534.20268617073691</v>
      </c>
      <c r="H95" s="3794">
        <f>SUM('цех вода'!AB97)</f>
        <v>1783.5449556923149</v>
      </c>
      <c r="I95" s="3821">
        <f>SUM('цех вода'!AC97)</f>
        <v>387.71656429327066</v>
      </c>
      <c r="J95" s="3821">
        <f>SUM('цех вода'!AD97)</f>
        <v>91.256109212104803</v>
      </c>
      <c r="K95" s="3821">
        <f>SUM('цех вода'!AE97)</f>
        <v>0</v>
      </c>
      <c r="L95" s="3794">
        <f>SUM('цех вода'!AF97)</f>
        <v>478.9726735053755</v>
      </c>
      <c r="M95" s="3794">
        <f>SUM('цех вода'!AG97)</f>
        <v>2262.5176291976904</v>
      </c>
      <c r="N95" s="3821">
        <f>SUM('цех вода'!AH97)</f>
        <v>0</v>
      </c>
      <c r="O95" s="3821">
        <f>SUM('цех вода'!AI97)</f>
        <v>0</v>
      </c>
      <c r="P95" s="3821">
        <f>SUM('цех вода'!AJ97)</f>
        <v>167.22710143854709</v>
      </c>
      <c r="Q95" s="3794">
        <f>SUM('цех вода'!AK97)</f>
        <v>167.22710143854709</v>
      </c>
      <c r="R95" s="3794">
        <f>SUM('цех вода'!AL97)</f>
        <v>2429.7447306362374</v>
      </c>
      <c r="S95" s="3821">
        <f>SUM('цех вода'!AM97)</f>
        <v>411.065825742806</v>
      </c>
      <c r="T95" s="3821">
        <f>SUM('цех вода'!AN97)</f>
        <v>516.894406615859</v>
      </c>
      <c r="U95" s="3821">
        <f>SUM('цех вода'!AO97)</f>
        <v>648.91982962541124</v>
      </c>
      <c r="V95" s="3794">
        <f>SUM('цех вода'!AP97)</f>
        <v>1576.8800619840763</v>
      </c>
      <c r="W95" s="3814">
        <f t="shared" si="106"/>
        <v>4006.6247926203137</v>
      </c>
      <c r="X95" s="435"/>
      <c r="Y95" s="435"/>
      <c r="Z95" s="435"/>
      <c r="AA95" s="435"/>
      <c r="AB95" s="435"/>
      <c r="AC95" s="435"/>
      <c r="AD95" s="435"/>
      <c r="AE95" s="435"/>
      <c r="AF95" s="435"/>
      <c r="AG95" s="435"/>
      <c r="AH95" s="435"/>
      <c r="AI95" s="435"/>
      <c r="AJ95" s="435"/>
      <c r="AK95" s="435"/>
      <c r="AL95" s="435"/>
      <c r="AM95" s="435"/>
      <c r="AN95" s="435"/>
      <c r="AO95" s="435"/>
      <c r="AP95" s="435"/>
      <c r="AQ95" s="435"/>
      <c r="AR95" s="435"/>
      <c r="AS95" s="435"/>
      <c r="AT95" s="435"/>
      <c r="AU95" s="435"/>
      <c r="AV95" s="435"/>
      <c r="AW95" s="435"/>
      <c r="AX95" s="435"/>
    </row>
    <row r="96" spans="1:50" ht="18.75">
      <c r="A96" s="3820" t="s">
        <v>565</v>
      </c>
      <c r="B96" s="3794">
        <f>SUM('цех вода'!U98)</f>
        <v>324.94591507604315</v>
      </c>
      <c r="C96" s="3794">
        <f>SUM('цех вода'!W98)</f>
        <v>324.94591507604315</v>
      </c>
      <c r="D96" s="3794">
        <f>SUM('цех вода'!X98)</f>
        <v>0</v>
      </c>
      <c r="E96" s="3821">
        <f>SUM('цех вода'!Y98)</f>
        <v>27.078826256336928</v>
      </c>
      <c r="F96" s="3821">
        <f>SUM('цех вода'!Z98)</f>
        <v>27.078826256336928</v>
      </c>
      <c r="G96" s="3821">
        <f>SUM('цех вода'!AA98)</f>
        <v>27.078826256336928</v>
      </c>
      <c r="H96" s="3794">
        <f>SUM('цех вода'!AB98)</f>
        <v>81.236478769010787</v>
      </c>
      <c r="I96" s="3821">
        <f>SUM('цех вода'!AC98)</f>
        <v>27.078826256336928</v>
      </c>
      <c r="J96" s="3821">
        <f>SUM('цех вода'!AD98)</f>
        <v>27.078826256336928</v>
      </c>
      <c r="K96" s="3821">
        <f>SUM('цех вода'!AE98)</f>
        <v>27.078826256336928</v>
      </c>
      <c r="L96" s="3794">
        <f>SUM('цех вода'!AF98)</f>
        <v>81.236478769010787</v>
      </c>
      <c r="M96" s="3794">
        <f>SUM('цех вода'!AG98)</f>
        <v>162.47295753802157</v>
      </c>
      <c r="N96" s="3821">
        <f>SUM('цех вода'!AH98)</f>
        <v>27.078826256336928</v>
      </c>
      <c r="O96" s="3821">
        <f>SUM('цех вода'!AI98)</f>
        <v>27.078826256336928</v>
      </c>
      <c r="P96" s="3821">
        <f>SUM('цех вода'!AJ98)</f>
        <v>27.078826256336928</v>
      </c>
      <c r="Q96" s="3794">
        <f>SUM('цех вода'!AK98)</f>
        <v>81.236478769010787</v>
      </c>
      <c r="R96" s="3794">
        <f>SUM('цех вода'!AL98)</f>
        <v>243.70943630703238</v>
      </c>
      <c r="S96" s="3821">
        <f>SUM('цех вода'!AM98)</f>
        <v>27.078826256336928</v>
      </c>
      <c r="T96" s="3821">
        <f>SUM('цех вода'!AN98)</f>
        <v>27.078826256336928</v>
      </c>
      <c r="U96" s="3821">
        <f>SUM('цех вода'!AO98)</f>
        <v>27.078826256336928</v>
      </c>
      <c r="V96" s="3794">
        <f>SUM('цех вода'!AP98)</f>
        <v>81.236478769010787</v>
      </c>
      <c r="W96" s="3814">
        <f t="shared" si="106"/>
        <v>324.94591507604315</v>
      </c>
      <c r="X96" s="435"/>
      <c r="Y96" s="435"/>
      <c r="Z96" s="435"/>
      <c r="AA96" s="435"/>
      <c r="AB96" s="435"/>
      <c r="AC96" s="435"/>
      <c r="AD96" s="435"/>
      <c r="AE96" s="435"/>
      <c r="AF96" s="435"/>
      <c r="AG96" s="435"/>
      <c r="AH96" s="435"/>
      <c r="AI96" s="435"/>
      <c r="AJ96" s="435"/>
      <c r="AK96" s="435"/>
      <c r="AL96" s="435"/>
      <c r="AM96" s="435"/>
      <c r="AN96" s="435"/>
      <c r="AO96" s="435"/>
      <c r="AP96" s="435"/>
      <c r="AQ96" s="435"/>
      <c r="AR96" s="435"/>
      <c r="AS96" s="435"/>
      <c r="AT96" s="435"/>
      <c r="AU96" s="435"/>
      <c r="AV96" s="435"/>
      <c r="AW96" s="435"/>
      <c r="AX96" s="435"/>
    </row>
    <row r="97" spans="1:50" ht="18.75">
      <c r="A97" s="3820" t="s">
        <v>564</v>
      </c>
      <c r="B97" s="3794">
        <f>SUM('цех вода'!U99)</f>
        <v>22.912852986131249</v>
      </c>
      <c r="C97" s="3794">
        <f>SUM('цех вода'!W99)</f>
        <v>22.912852986131249</v>
      </c>
      <c r="D97" s="3794">
        <f>SUM('цех вода'!X99)</f>
        <v>0</v>
      </c>
      <c r="E97" s="3821">
        <f>SUM('цех вода'!Y99)</f>
        <v>1.9094044155109373</v>
      </c>
      <c r="F97" s="3821">
        <f>SUM('цех вода'!Z99)</f>
        <v>1.9094044155109373</v>
      </c>
      <c r="G97" s="3821">
        <f>SUM('цех вода'!AA99)</f>
        <v>1.9094044155109373</v>
      </c>
      <c r="H97" s="3794">
        <f>SUM('цех вода'!AB99)</f>
        <v>5.7282132465328122</v>
      </c>
      <c r="I97" s="3821">
        <f>SUM('цех вода'!AC99)</f>
        <v>1.9094044155109373</v>
      </c>
      <c r="J97" s="3821">
        <f>SUM('цех вода'!AD99)</f>
        <v>1.9094044155109373</v>
      </c>
      <c r="K97" s="3821">
        <f>SUM('цех вода'!AE99)</f>
        <v>1.9094044155109373</v>
      </c>
      <c r="L97" s="3794">
        <f>SUM('цех вода'!AF99)</f>
        <v>5.7282132465328122</v>
      </c>
      <c r="M97" s="3794">
        <f>SUM('цех вода'!AG99)</f>
        <v>11.456426493065624</v>
      </c>
      <c r="N97" s="3821">
        <f>SUM('цех вода'!AH99)</f>
        <v>1.9094044155109373</v>
      </c>
      <c r="O97" s="3821">
        <f>SUM('цех вода'!AI99)</f>
        <v>1.9094044155109373</v>
      </c>
      <c r="P97" s="3821">
        <f>SUM('цех вода'!AJ99)</f>
        <v>1.9094044155109373</v>
      </c>
      <c r="Q97" s="3794">
        <f>SUM('цех вода'!AK99)</f>
        <v>5.7282132465328122</v>
      </c>
      <c r="R97" s="3794">
        <f>SUM('цех вода'!AL99)</f>
        <v>17.184639739598438</v>
      </c>
      <c r="S97" s="3821">
        <f>SUM('цех вода'!AM99)</f>
        <v>1.9094044155109373</v>
      </c>
      <c r="T97" s="3821">
        <f>SUM('цех вода'!AN99)</f>
        <v>1.9094044155109373</v>
      </c>
      <c r="U97" s="3821">
        <f>SUM('цех вода'!AO99)</f>
        <v>1.9094044155109373</v>
      </c>
      <c r="V97" s="3794">
        <f>SUM('цех вода'!AP99)</f>
        <v>5.7282132465328122</v>
      </c>
      <c r="W97" s="3814">
        <f t="shared" si="106"/>
        <v>22.912852986131252</v>
      </c>
      <c r="X97" s="435"/>
      <c r="Y97" s="435"/>
      <c r="Z97" s="435"/>
      <c r="AA97" s="435"/>
      <c r="AB97" s="435"/>
      <c r="AC97" s="435"/>
      <c r="AD97" s="435"/>
      <c r="AE97" s="435"/>
      <c r="AF97" s="435"/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R97" s="435"/>
      <c r="AS97" s="435"/>
      <c r="AT97" s="435"/>
      <c r="AU97" s="435"/>
      <c r="AV97" s="435"/>
      <c r="AW97" s="435"/>
      <c r="AX97" s="435"/>
    </row>
    <row r="98" spans="1:50" ht="18.75">
      <c r="A98" s="3820" t="s">
        <v>566</v>
      </c>
      <c r="B98" s="3794">
        <f>SUM('цех вода'!U100)</f>
        <v>34.369279479196869</v>
      </c>
      <c r="C98" s="3794">
        <f>SUM('цех вода'!W100)</f>
        <v>34.369279479196869</v>
      </c>
      <c r="D98" s="3794">
        <f>SUM('цех вода'!X100)</f>
        <v>0</v>
      </c>
      <c r="E98" s="3821">
        <f>SUM('цех вода'!Y100)</f>
        <v>2.8641066232664056</v>
      </c>
      <c r="F98" s="3821">
        <f>SUM('цех вода'!Z100)</f>
        <v>2.8641066232664056</v>
      </c>
      <c r="G98" s="3821">
        <f>SUM('цех вода'!AA100)</f>
        <v>2.8641066232664056</v>
      </c>
      <c r="H98" s="3794">
        <f>SUM('цех вода'!AB100)</f>
        <v>8.5923198697992174</v>
      </c>
      <c r="I98" s="3821">
        <f>SUM('цех вода'!AC100)</f>
        <v>2.8641066232664056</v>
      </c>
      <c r="J98" s="3821">
        <f>SUM('цех вода'!AD100)</f>
        <v>2.8641066232664056</v>
      </c>
      <c r="K98" s="3821">
        <f>SUM('цех вода'!AE100)</f>
        <v>2.8641066232664056</v>
      </c>
      <c r="L98" s="3794">
        <f>SUM('цех вода'!AF100)</f>
        <v>8.5923198697992174</v>
      </c>
      <c r="M98" s="3794">
        <f>SUM('цех вода'!AG100)</f>
        <v>17.184639739598435</v>
      </c>
      <c r="N98" s="3821">
        <f>SUM('цех вода'!AH100)</f>
        <v>2.8641066232664056</v>
      </c>
      <c r="O98" s="3821">
        <f>SUM('цех вода'!AI100)</f>
        <v>2.8641066232664056</v>
      </c>
      <c r="P98" s="3821">
        <f>SUM('цех вода'!AJ100)</f>
        <v>2.8641066232664056</v>
      </c>
      <c r="Q98" s="3794">
        <f>SUM('цех вода'!AK100)</f>
        <v>8.5923198697992174</v>
      </c>
      <c r="R98" s="3794">
        <f>SUM('цех вода'!AL100)</f>
        <v>25.77695960939765</v>
      </c>
      <c r="S98" s="3821">
        <f>SUM('цех вода'!AM100)</f>
        <v>2.8641066232664056</v>
      </c>
      <c r="T98" s="3821">
        <f>SUM('цех вода'!AN100)</f>
        <v>2.8641066232664056</v>
      </c>
      <c r="U98" s="3821">
        <f>SUM('цех вода'!AO100)</f>
        <v>2.8641066232664056</v>
      </c>
      <c r="V98" s="3794">
        <f>SUM('цех вода'!AP100)</f>
        <v>8.5923198697992174</v>
      </c>
      <c r="W98" s="3814">
        <f t="shared" si="106"/>
        <v>34.369279479196869</v>
      </c>
      <c r="X98" s="435"/>
      <c r="Y98" s="435"/>
      <c r="Z98" s="435"/>
      <c r="AA98" s="435"/>
      <c r="AB98" s="435"/>
      <c r="AC98" s="435"/>
      <c r="AD98" s="435"/>
      <c r="AE98" s="435"/>
      <c r="AF98" s="435"/>
      <c r="AG98" s="435"/>
      <c r="AH98" s="435"/>
      <c r="AI98" s="435"/>
      <c r="AJ98" s="435"/>
      <c r="AK98" s="435"/>
      <c r="AL98" s="435"/>
      <c r="AM98" s="435"/>
      <c r="AN98" s="435"/>
      <c r="AO98" s="435"/>
      <c r="AP98" s="435"/>
      <c r="AQ98" s="435"/>
      <c r="AR98" s="435"/>
      <c r="AS98" s="435"/>
      <c r="AT98" s="435"/>
      <c r="AU98" s="435"/>
      <c r="AV98" s="435"/>
      <c r="AW98" s="435"/>
      <c r="AX98" s="435"/>
    </row>
    <row r="99" spans="1:50" ht="18.75">
      <c r="A99" s="3818" t="s">
        <v>610</v>
      </c>
      <c r="B99" s="3790">
        <f>SUM('цех вода'!U101)</f>
        <v>250.99988952989227</v>
      </c>
      <c r="C99" s="3790">
        <f>SUM('цех вода'!W101)</f>
        <v>250.99988952989227</v>
      </c>
      <c r="D99" s="3790">
        <f>SUM('цех вода'!X101)</f>
        <v>0</v>
      </c>
      <c r="E99" s="3819">
        <f>SUM('цех вода'!Y101)</f>
        <v>19.062174459592296</v>
      </c>
      <c r="F99" s="3819">
        <f>SUM('цех вода'!Z101)</f>
        <v>19.062174459592296</v>
      </c>
      <c r="G99" s="3819">
        <f>SUM('цех вода'!AA101)</f>
        <v>19.062174459592296</v>
      </c>
      <c r="H99" s="3790">
        <f>SUM('цех вода'!AB101)</f>
        <v>57.186523378776883</v>
      </c>
      <c r="I99" s="3819">
        <f>SUM('цех вода'!AC101)</f>
        <v>19.22527231312085</v>
      </c>
      <c r="J99" s="3819">
        <f>SUM('цех вода'!AD101)</f>
        <v>21.925447888204658</v>
      </c>
      <c r="K99" s="3819">
        <f>SUM('цех вода'!AE101)</f>
        <v>24.28130577250597</v>
      </c>
      <c r="L99" s="3790">
        <f>SUM('цех вода'!AF101)</f>
        <v>65.432025973831486</v>
      </c>
      <c r="M99" s="3790">
        <f>SUM('цех вода'!AG101)</f>
        <v>122.61854935260837</v>
      </c>
      <c r="N99" s="3819">
        <f>SUM('цех вода'!AH101)</f>
        <v>24.988063137796367</v>
      </c>
      <c r="O99" s="3819">
        <f>SUM('цех вода'!AI101)</f>
        <v>24.28130577250597</v>
      </c>
      <c r="P99" s="3819">
        <f>SUM('цех вода'!AJ101)</f>
        <v>21.925447888204658</v>
      </c>
      <c r="Q99" s="3790">
        <f>SUM('цех вода'!AK101)</f>
        <v>71.194816798506992</v>
      </c>
      <c r="R99" s="3790">
        <f>SUM('цех вода'!AL101)</f>
        <v>193.81336615111536</v>
      </c>
      <c r="S99" s="3819">
        <f>SUM('цех вода'!AM101)</f>
        <v>19.062174459592296</v>
      </c>
      <c r="T99" s="3819">
        <f>SUM('цех вода'!AN101)</f>
        <v>19.062174459592296</v>
      </c>
      <c r="U99" s="3819">
        <f>SUM('цех вода'!AO101)</f>
        <v>19.062174459592296</v>
      </c>
      <c r="V99" s="3790">
        <f>SUM('цех вода'!AP101)</f>
        <v>57.186523378776883</v>
      </c>
      <c r="W99" s="3814">
        <f t="shared" si="106"/>
        <v>250.99988952989222</v>
      </c>
      <c r="X99" s="435"/>
      <c r="Y99" s="435"/>
      <c r="Z99" s="435"/>
      <c r="AA99" s="435"/>
      <c r="AB99" s="435"/>
      <c r="AC99" s="435"/>
      <c r="AD99" s="435"/>
      <c r="AE99" s="435"/>
      <c r="AF99" s="435"/>
      <c r="AG99" s="435"/>
      <c r="AH99" s="435"/>
      <c r="AI99" s="435"/>
      <c r="AJ99" s="435"/>
      <c r="AK99" s="435"/>
      <c r="AL99" s="435"/>
      <c r="AM99" s="435"/>
      <c r="AN99" s="435"/>
      <c r="AO99" s="435"/>
      <c r="AP99" s="435"/>
      <c r="AQ99" s="435"/>
      <c r="AR99" s="435"/>
      <c r="AS99" s="435"/>
      <c r="AT99" s="435"/>
      <c r="AU99" s="435"/>
      <c r="AV99" s="435"/>
      <c r="AW99" s="435"/>
      <c r="AX99" s="435"/>
    </row>
    <row r="100" spans="1:50" ht="18.75">
      <c r="A100" s="3820" t="s">
        <v>552</v>
      </c>
      <c r="B100" s="3794">
        <f>SUM('цех вода'!U102)</f>
        <v>181.21983725394711</v>
      </c>
      <c r="C100" s="3794">
        <f>SUM('цех вода'!W102)</f>
        <v>181.21983725394711</v>
      </c>
      <c r="D100" s="3794">
        <f>SUM('цех вода'!X102)</f>
        <v>0</v>
      </c>
      <c r="E100" s="3821">
        <f>SUM('цех вода'!Y102)</f>
        <v>13.247170103263533</v>
      </c>
      <c r="F100" s="3821">
        <f>SUM('цех вода'!Z102)</f>
        <v>13.247170103263533</v>
      </c>
      <c r="G100" s="3821">
        <f>SUM('цех вода'!AA102)</f>
        <v>13.247170103263533</v>
      </c>
      <c r="H100" s="3794">
        <f>SUM('цех вода'!AB102)</f>
        <v>39.741510309790598</v>
      </c>
      <c r="I100" s="3821">
        <f>SUM('цех вода'!AC102)</f>
        <v>13.410267956792088</v>
      </c>
      <c r="J100" s="3821">
        <f>SUM('цех вода'!AD102)</f>
        <v>16.110443531875898</v>
      </c>
      <c r="K100" s="3821">
        <f>SUM('цех вода'!AE102)</f>
        <v>18.46630141617721</v>
      </c>
      <c r="L100" s="3794">
        <f>SUM('цех вода'!AF102)</f>
        <v>47.987012904845194</v>
      </c>
      <c r="M100" s="3794">
        <f>SUM('цех вода'!AG102)</f>
        <v>87.7285232146358</v>
      </c>
      <c r="N100" s="3821">
        <f>SUM('цех вода'!AH102)</f>
        <v>19.173058781467606</v>
      </c>
      <c r="O100" s="3821">
        <f>SUM('цех вода'!AI102)</f>
        <v>18.46630141617721</v>
      </c>
      <c r="P100" s="3821">
        <f>SUM('цех вода'!AJ102)</f>
        <v>16.110443531875898</v>
      </c>
      <c r="Q100" s="3794">
        <f>SUM('цех вода'!AK102)</f>
        <v>53.749803729520721</v>
      </c>
      <c r="R100" s="3794">
        <f>SUM('цех вода'!AL102)</f>
        <v>141.47832694415652</v>
      </c>
      <c r="S100" s="3821">
        <f>SUM('цех вода'!AM102)</f>
        <v>13.247170103263533</v>
      </c>
      <c r="T100" s="3821">
        <f>SUM('цех вода'!AN102)</f>
        <v>13.247170103263533</v>
      </c>
      <c r="U100" s="3821">
        <f>SUM('цех вода'!AO102)</f>
        <v>13.247170103263533</v>
      </c>
      <c r="V100" s="3794">
        <f>SUM('цех вода'!AP102)</f>
        <v>39.741510309790598</v>
      </c>
      <c r="W100" s="3814">
        <f t="shared" si="106"/>
        <v>181.21983725394708</v>
      </c>
      <c r="X100" s="435"/>
      <c r="Y100" s="435"/>
      <c r="Z100" s="435"/>
      <c r="AA100" s="435"/>
      <c r="AB100" s="435"/>
      <c r="AC100" s="435"/>
      <c r="AD100" s="435"/>
      <c r="AE100" s="435"/>
      <c r="AF100" s="435"/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R100" s="435"/>
      <c r="AS100" s="435"/>
      <c r="AT100" s="435"/>
      <c r="AU100" s="435"/>
      <c r="AV100" s="435"/>
      <c r="AW100" s="435"/>
      <c r="AX100" s="435"/>
    </row>
    <row r="101" spans="1:50" ht="18.75">
      <c r="A101" s="3820" t="s">
        <v>644</v>
      </c>
      <c r="B101" s="3794">
        <f>SUM('цех вода'!U103)</f>
        <v>30.203306208991187</v>
      </c>
      <c r="C101" s="3794">
        <f>SUM('цех вода'!W103)</f>
        <v>30.203306208991187</v>
      </c>
      <c r="D101" s="3794">
        <f>SUM('цех вода'!X103)</f>
        <v>0</v>
      </c>
      <c r="E101" s="3821">
        <f>SUM('цех вода'!Y103)</f>
        <v>2.5169421840825987</v>
      </c>
      <c r="F101" s="3821">
        <f>SUM('цех вода'!Z103)</f>
        <v>2.5169421840825987</v>
      </c>
      <c r="G101" s="3821">
        <f>SUM('цех вода'!AA103)</f>
        <v>2.5169421840825987</v>
      </c>
      <c r="H101" s="3794">
        <f>SUM('цех вода'!AB103)</f>
        <v>7.5508265522477966</v>
      </c>
      <c r="I101" s="3821">
        <f>SUM('цех вода'!AC103)</f>
        <v>2.5169421840825987</v>
      </c>
      <c r="J101" s="3821">
        <f>SUM('цех вода'!AD103)</f>
        <v>2.5169421840825987</v>
      </c>
      <c r="K101" s="3821">
        <f>SUM('цех вода'!AE103)</f>
        <v>2.5169421840825987</v>
      </c>
      <c r="L101" s="3794">
        <f>SUM('цех вода'!AF103)</f>
        <v>7.5508265522477966</v>
      </c>
      <c r="M101" s="3794">
        <f>SUM('цех вода'!AG103)</f>
        <v>15.101653104495593</v>
      </c>
      <c r="N101" s="3821">
        <f>SUM('цех вода'!AH103)</f>
        <v>2.5169421840825987</v>
      </c>
      <c r="O101" s="3821">
        <f>SUM('цех вода'!AI103)</f>
        <v>2.5169421840825987</v>
      </c>
      <c r="P101" s="3821">
        <f>SUM('цех вода'!AJ103)</f>
        <v>2.5169421840825987</v>
      </c>
      <c r="Q101" s="3794">
        <f>SUM('цех вода'!AK103)</f>
        <v>7.5508265522477966</v>
      </c>
      <c r="R101" s="3794">
        <f>SUM('цех вода'!AL103)</f>
        <v>22.652479656743388</v>
      </c>
      <c r="S101" s="3821">
        <f>SUM('цех вода'!AM103)</f>
        <v>2.5169421840825987</v>
      </c>
      <c r="T101" s="3821">
        <f>SUM('цех вода'!AN103)</f>
        <v>2.5169421840825987</v>
      </c>
      <c r="U101" s="3821">
        <f>SUM('цех вода'!AO103)</f>
        <v>2.5169421840825987</v>
      </c>
      <c r="V101" s="3794">
        <f>SUM('цех вода'!AP103)</f>
        <v>7.5508265522477966</v>
      </c>
      <c r="W101" s="3814">
        <f t="shared" si="106"/>
        <v>30.203306208991183</v>
      </c>
      <c r="X101" s="435"/>
      <c r="Y101" s="435"/>
      <c r="Z101" s="435"/>
      <c r="AA101" s="435"/>
      <c r="AB101" s="435"/>
      <c r="AC101" s="435"/>
      <c r="AD101" s="435"/>
      <c r="AE101" s="435"/>
      <c r="AF101" s="435"/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R101" s="435"/>
      <c r="AS101" s="435"/>
      <c r="AT101" s="435"/>
      <c r="AU101" s="435"/>
      <c r="AV101" s="435"/>
      <c r="AW101" s="435"/>
      <c r="AX101" s="435"/>
    </row>
    <row r="102" spans="1:50" ht="18.75">
      <c r="A102" s="3820" t="s">
        <v>560</v>
      </c>
      <c r="B102" s="3794">
        <f>SUM('цех вода'!U104)</f>
        <v>32.286292844094028</v>
      </c>
      <c r="C102" s="3794">
        <f>SUM('цех вода'!W104)</f>
        <v>32.286292844094028</v>
      </c>
      <c r="D102" s="3794">
        <f>SUM('цех вода'!X104)</f>
        <v>0</v>
      </c>
      <c r="E102" s="3821">
        <f>SUM('цех вода'!Y104)</f>
        <v>2.6905244036745022</v>
      </c>
      <c r="F102" s="3821">
        <f>SUM('цех вода'!Z104)</f>
        <v>2.6905244036745022</v>
      </c>
      <c r="G102" s="3821">
        <f>SUM('цех вода'!AA104)</f>
        <v>2.6905244036745022</v>
      </c>
      <c r="H102" s="3794">
        <f>SUM('цех вода'!AB104)</f>
        <v>8.071573211023507</v>
      </c>
      <c r="I102" s="3821">
        <f>SUM('цех вода'!AC104)</f>
        <v>2.6905244036745022</v>
      </c>
      <c r="J102" s="3821">
        <f>SUM('цех вода'!AD104)</f>
        <v>2.6905244036745022</v>
      </c>
      <c r="K102" s="3821">
        <f>SUM('цех вода'!AE104)</f>
        <v>2.6905244036745022</v>
      </c>
      <c r="L102" s="3794">
        <f>SUM('цех вода'!AF104)</f>
        <v>8.071573211023507</v>
      </c>
      <c r="M102" s="3794">
        <f>SUM('цех вода'!AG104)</f>
        <v>16.143146422047014</v>
      </c>
      <c r="N102" s="3821">
        <f>SUM('цех вода'!AH104)</f>
        <v>2.6905244036745022</v>
      </c>
      <c r="O102" s="3821">
        <f>SUM('цех вода'!AI104)</f>
        <v>2.6905244036745022</v>
      </c>
      <c r="P102" s="3821">
        <f>SUM('цех вода'!AJ104)</f>
        <v>2.6905244036745022</v>
      </c>
      <c r="Q102" s="3794">
        <f>SUM('цех вода'!AK104)</f>
        <v>8.071573211023507</v>
      </c>
      <c r="R102" s="3794">
        <f>SUM('цех вода'!AL104)</f>
        <v>24.214719633070523</v>
      </c>
      <c r="S102" s="3821">
        <f>SUM('цех вода'!AM104)</f>
        <v>2.6905244036745022</v>
      </c>
      <c r="T102" s="3821">
        <f>SUM('цех вода'!AN104)</f>
        <v>2.6905244036745022</v>
      </c>
      <c r="U102" s="3821">
        <f>SUM('цех вода'!AO104)</f>
        <v>2.6905244036745022</v>
      </c>
      <c r="V102" s="3794">
        <f>SUM('цех вода'!AP104)</f>
        <v>8.071573211023507</v>
      </c>
      <c r="W102" s="3814">
        <f t="shared" si="106"/>
        <v>32.286292844094028</v>
      </c>
      <c r="X102" s="435"/>
      <c r="Y102" s="435"/>
      <c r="Z102" s="435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435"/>
      <c r="AW102" s="435"/>
      <c r="AX102" s="435"/>
    </row>
    <row r="103" spans="1:50" ht="18.75">
      <c r="A103" s="3820" t="s">
        <v>614</v>
      </c>
      <c r="B103" s="3794">
        <f>SUM('цех вода'!U105)</f>
        <v>7.2904532228599432</v>
      </c>
      <c r="C103" s="3794">
        <f>SUM('цех вода'!W105)</f>
        <v>7.2904532228599432</v>
      </c>
      <c r="D103" s="3794">
        <f>SUM('цех вода'!X105)</f>
        <v>0</v>
      </c>
      <c r="E103" s="3821">
        <f>SUM('цех вода'!Y105)</f>
        <v>0.60753776857166197</v>
      </c>
      <c r="F103" s="3821">
        <f>SUM('цех вода'!Z105)</f>
        <v>0.60753776857166197</v>
      </c>
      <c r="G103" s="3821">
        <f>SUM('цех вода'!AA105)</f>
        <v>0.60753776857166197</v>
      </c>
      <c r="H103" s="3794">
        <f>SUM('цех вода'!AB105)</f>
        <v>1.8226133057149858</v>
      </c>
      <c r="I103" s="3821">
        <f>SUM('цех вода'!AC105)</f>
        <v>0.60753776857166197</v>
      </c>
      <c r="J103" s="3821">
        <f>SUM('цех вода'!AD105)</f>
        <v>0.60753776857166197</v>
      </c>
      <c r="K103" s="3821">
        <f>SUM('цех вода'!AE105)</f>
        <v>0.60753776857166197</v>
      </c>
      <c r="L103" s="3794">
        <f>SUM('цех вода'!AF105)</f>
        <v>1.8226133057149858</v>
      </c>
      <c r="M103" s="3794">
        <f>SUM('цех вода'!AG105)</f>
        <v>3.6452266114299716</v>
      </c>
      <c r="N103" s="3821">
        <f>SUM('цех вода'!AH105)</f>
        <v>0.60753776857166197</v>
      </c>
      <c r="O103" s="3821">
        <f>SUM('цех вода'!AI105)</f>
        <v>0.60753776857166197</v>
      </c>
      <c r="P103" s="3821">
        <f>SUM('цех вода'!AJ105)</f>
        <v>0.60753776857166197</v>
      </c>
      <c r="Q103" s="3794">
        <f>SUM('цех вода'!AK105)</f>
        <v>1.8226133057149858</v>
      </c>
      <c r="R103" s="3794">
        <f>SUM('цех вода'!AL105)</f>
        <v>5.467839917144957</v>
      </c>
      <c r="S103" s="3821">
        <f>SUM('цех вода'!AM105)</f>
        <v>0.60753776857166197</v>
      </c>
      <c r="T103" s="3821">
        <f>SUM('цех вода'!AN105)</f>
        <v>0.60753776857166197</v>
      </c>
      <c r="U103" s="3821">
        <f>SUM('цех вода'!AO105)</f>
        <v>0.60753776857166197</v>
      </c>
      <c r="V103" s="3794">
        <f>SUM('цех вода'!AP105)</f>
        <v>1.8226133057149858</v>
      </c>
      <c r="W103" s="3814">
        <f t="shared" si="106"/>
        <v>7.2904532228599441</v>
      </c>
      <c r="X103" s="435"/>
      <c r="Y103" s="435"/>
      <c r="Z103" s="435"/>
      <c r="AA103" s="435"/>
      <c r="AB103" s="435"/>
      <c r="AC103" s="435"/>
      <c r="AD103" s="435"/>
      <c r="AE103" s="435"/>
      <c r="AF103" s="435"/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R103" s="435"/>
      <c r="AS103" s="435"/>
      <c r="AT103" s="435"/>
      <c r="AU103" s="435"/>
      <c r="AV103" s="435"/>
      <c r="AW103" s="435"/>
      <c r="AX103" s="435"/>
    </row>
    <row r="104" spans="1:50" ht="18.75">
      <c r="A104" s="3817" t="s">
        <v>16</v>
      </c>
      <c r="B104" s="3787">
        <f>SUM(вода!BY27)</f>
        <v>19623.67377019069</v>
      </c>
      <c r="C104" s="3787">
        <f>SUM(вода!CA27)</f>
        <v>19520.096060778294</v>
      </c>
      <c r="D104" s="3787">
        <f>SUM(вода!CB27)</f>
        <v>103.57770941239451</v>
      </c>
      <c r="E104" s="3808">
        <f>SUM(E105+E106+E107+E108+E109+E111)</f>
        <v>1593.2078161405295</v>
      </c>
      <c r="F104" s="3808">
        <f t="shared" ref="F104:V104" si="107">SUM(F105+F106+F107+F108+F109+F111)</f>
        <v>1593.2078161405295</v>
      </c>
      <c r="G104" s="3808">
        <f t="shared" si="107"/>
        <v>1593.2078161405295</v>
      </c>
      <c r="H104" s="3797">
        <f t="shared" si="107"/>
        <v>4779.6234484215884</v>
      </c>
      <c r="I104" s="3823">
        <f t="shared" si="107"/>
        <v>1593.2809522150053</v>
      </c>
      <c r="J104" s="3823">
        <f t="shared" si="107"/>
        <v>1594.4917605591045</v>
      </c>
      <c r="K104" s="3823">
        <f t="shared" si="107"/>
        <v>1595.5481705237548</v>
      </c>
      <c r="L104" s="3797">
        <f t="shared" si="107"/>
        <v>4783.3208832978644</v>
      </c>
      <c r="M104" s="3797">
        <f t="shared" si="107"/>
        <v>9562.9443317194527</v>
      </c>
      <c r="N104" s="3808">
        <f t="shared" si="107"/>
        <v>1678.3985877554228</v>
      </c>
      <c r="O104" s="3808">
        <f t="shared" si="107"/>
        <v>1678.0816647660276</v>
      </c>
      <c r="P104" s="3808">
        <f t="shared" si="107"/>
        <v>1677.0252548013775</v>
      </c>
      <c r="Q104" s="3797">
        <f t="shared" si="107"/>
        <v>5033.5055073228286</v>
      </c>
      <c r="R104" s="3797">
        <f t="shared" si="107"/>
        <v>14596.44983904228</v>
      </c>
      <c r="S104" s="3823">
        <f t="shared" si="107"/>
        <v>1675.7413103828026</v>
      </c>
      <c r="T104" s="3823">
        <f t="shared" si="107"/>
        <v>1675.7413103828026</v>
      </c>
      <c r="U104" s="3823">
        <f t="shared" si="107"/>
        <v>1675.7413103828026</v>
      </c>
      <c r="V104" s="3797">
        <f t="shared" si="107"/>
        <v>5027.2239311484082</v>
      </c>
      <c r="W104" s="3812">
        <f t="shared" si="106"/>
        <v>19623.67377019069</v>
      </c>
      <c r="X104" s="435"/>
      <c r="Y104" s="435"/>
      <c r="Z104" s="435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R104" s="435"/>
      <c r="AS104" s="435"/>
      <c r="AT104" s="435"/>
      <c r="AU104" s="435"/>
      <c r="AV104" s="435"/>
      <c r="AW104" s="435"/>
      <c r="AX104" s="435"/>
    </row>
    <row r="105" spans="1:50" ht="18.75">
      <c r="A105" s="3813" t="s">
        <v>3</v>
      </c>
      <c r="B105" s="3790">
        <f>SUM(вода!BY28)</f>
        <v>271.57525856999996</v>
      </c>
      <c r="C105" s="3790">
        <f>SUM(вода!CA28)</f>
        <v>271.57525856999996</v>
      </c>
      <c r="D105" s="3790">
        <f>SUM(вода!CB28)</f>
        <v>0</v>
      </c>
      <c r="E105" s="3801">
        <f>SUM(B105/12)</f>
        <v>22.631271547499995</v>
      </c>
      <c r="F105" s="3801">
        <f t="shared" ref="F105" si="108">SUM(E105)</f>
        <v>22.631271547499995</v>
      </c>
      <c r="G105" s="3801">
        <f>SUM(E105)</f>
        <v>22.631271547499995</v>
      </c>
      <c r="H105" s="3799">
        <f t="shared" ref="H105" si="109">SUM(E105+F105+G105)</f>
        <v>67.89381464249999</v>
      </c>
      <c r="I105" s="3801">
        <f>SUM(E105)</f>
        <v>22.631271547499995</v>
      </c>
      <c r="J105" s="3801">
        <f>SUM(E105)</f>
        <v>22.631271547499995</v>
      </c>
      <c r="K105" s="3801">
        <f>SUM(E105)</f>
        <v>22.631271547499995</v>
      </c>
      <c r="L105" s="3799">
        <f t="shared" ref="L105" si="110">SUM(I105+J105+K105)</f>
        <v>67.89381464249999</v>
      </c>
      <c r="M105" s="3799">
        <f t="shared" ref="M105" si="111">SUM(H105+L105)</f>
        <v>135.78762928499998</v>
      </c>
      <c r="N105" s="3801">
        <f>SUM(E105)</f>
        <v>22.631271547499995</v>
      </c>
      <c r="O105" s="3801">
        <f>SUM(E105)</f>
        <v>22.631271547499995</v>
      </c>
      <c r="P105" s="3801">
        <f>E105</f>
        <v>22.631271547499995</v>
      </c>
      <c r="Q105" s="3799">
        <f t="shared" ref="Q105" si="112">SUM(N105+O105+P105)</f>
        <v>67.89381464249999</v>
      </c>
      <c r="R105" s="3799">
        <f t="shared" ref="R105" si="113">SUM(M105+Q105)</f>
        <v>203.68144392749997</v>
      </c>
      <c r="S105" s="3801">
        <f>E105</f>
        <v>22.631271547499995</v>
      </c>
      <c r="T105" s="3801">
        <f>E105</f>
        <v>22.631271547499995</v>
      </c>
      <c r="U105" s="3801">
        <f>E105</f>
        <v>22.631271547499995</v>
      </c>
      <c r="V105" s="3799">
        <f t="shared" ref="V105" si="114">SUM(S105+T105+U105)</f>
        <v>67.89381464249999</v>
      </c>
      <c r="W105" s="3814">
        <f>SUM(E105+F105+G105+I105+J105+K105+N105+O105+P105+S105+T105+U105)</f>
        <v>271.57525857000002</v>
      </c>
      <c r="X105" s="435"/>
      <c r="Y105" s="435"/>
      <c r="Z105" s="435"/>
      <c r="AA105" s="435"/>
      <c r="AB105" s="435"/>
      <c r="AC105" s="435"/>
      <c r="AD105" s="435"/>
      <c r="AE105" s="435"/>
      <c r="AF105" s="435"/>
      <c r="AG105" s="435"/>
      <c r="AH105" s="435"/>
      <c r="AI105" s="435"/>
      <c r="AJ105" s="435"/>
      <c r="AK105" s="435"/>
      <c r="AL105" s="435"/>
      <c r="AM105" s="435"/>
      <c r="AN105" s="435"/>
      <c r="AO105" s="435"/>
      <c r="AP105" s="435"/>
      <c r="AQ105" s="435"/>
      <c r="AR105" s="435"/>
      <c r="AS105" s="435"/>
      <c r="AT105" s="435"/>
      <c r="AU105" s="435"/>
      <c r="AV105" s="435"/>
      <c r="AW105" s="435"/>
      <c r="AX105" s="435"/>
    </row>
    <row r="106" spans="1:50" ht="18.75">
      <c r="A106" s="3813" t="s">
        <v>2</v>
      </c>
      <c r="B106" s="3790">
        <f>SUM(вода!BY29)</f>
        <v>53.89</v>
      </c>
      <c r="C106" s="3790">
        <f>SUM(вода!CA29)</f>
        <v>53.89</v>
      </c>
      <c r="D106" s="3790">
        <f>SUM(вода!CB29)</f>
        <v>0</v>
      </c>
      <c r="E106" s="3801">
        <f>SUM(B106/12)</f>
        <v>4.4908333333333337</v>
      </c>
      <c r="F106" s="3801">
        <f>SUM(E106)</f>
        <v>4.4908333333333337</v>
      </c>
      <c r="G106" s="3801">
        <f>SUM(F106)</f>
        <v>4.4908333333333337</v>
      </c>
      <c r="H106" s="3799">
        <f>SUM(E106+F106+G106)</f>
        <v>13.4725</v>
      </c>
      <c r="I106" s="3798">
        <f>SUM(E106)</f>
        <v>4.4908333333333337</v>
      </c>
      <c r="J106" s="3798">
        <f>SUM(E106)</f>
        <v>4.4908333333333337</v>
      </c>
      <c r="K106" s="3798">
        <f>SUM(E106)</f>
        <v>4.4908333333333337</v>
      </c>
      <c r="L106" s="3799">
        <f>SUM(I106+J106+K106)</f>
        <v>13.4725</v>
      </c>
      <c r="M106" s="3799">
        <f>SUM(H106+L106)</f>
        <v>26.945</v>
      </c>
      <c r="N106" s="3801">
        <f>SUM(E106)</f>
        <v>4.4908333333333337</v>
      </c>
      <c r="O106" s="3801">
        <f>SUM(E106)</f>
        <v>4.4908333333333337</v>
      </c>
      <c r="P106" s="3801">
        <f>E106</f>
        <v>4.4908333333333337</v>
      </c>
      <c r="Q106" s="3799">
        <f>SUM(N106+O106+P106)</f>
        <v>13.4725</v>
      </c>
      <c r="R106" s="3799">
        <f>SUM(M106+Q106)</f>
        <v>40.417500000000004</v>
      </c>
      <c r="S106" s="3798">
        <f>E106</f>
        <v>4.4908333333333337</v>
      </c>
      <c r="T106" s="3798">
        <f>E106</f>
        <v>4.4908333333333337</v>
      </c>
      <c r="U106" s="3798">
        <f>E106</f>
        <v>4.4908333333333337</v>
      </c>
      <c r="V106" s="3799">
        <f>SUM(S106+T106+U106)</f>
        <v>13.4725</v>
      </c>
      <c r="W106" s="3814">
        <f>SUM(E106+F106+G106+I106+J106+K106+N106+O106+P106+S106+T106+U106)</f>
        <v>53.890000000000008</v>
      </c>
      <c r="X106" s="435"/>
      <c r="Y106" s="435"/>
      <c r="Z106" s="435"/>
      <c r="AA106" s="435"/>
      <c r="AB106" s="435"/>
      <c r="AC106" s="435"/>
      <c r="AD106" s="435"/>
      <c r="AE106" s="435"/>
      <c r="AF106" s="435"/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R106" s="435"/>
      <c r="AS106" s="435"/>
      <c r="AT106" s="435"/>
      <c r="AU106" s="435"/>
      <c r="AV106" s="435"/>
      <c r="AW106" s="435"/>
      <c r="AX106" s="435"/>
    </row>
    <row r="107" spans="1:50" ht="18.75">
      <c r="A107" s="3813" t="s">
        <v>219</v>
      </c>
      <c r="B107" s="3790">
        <v>0</v>
      </c>
      <c r="C107" s="3790">
        <v>0</v>
      </c>
      <c r="D107" s="3790">
        <v>0</v>
      </c>
      <c r="E107" s="3801">
        <f>SUM(B107/12)</f>
        <v>0</v>
      </c>
      <c r="F107" s="3801">
        <f>SUM(E107)</f>
        <v>0</v>
      </c>
      <c r="G107" s="3801">
        <f>SUM(F107)</f>
        <v>0</v>
      </c>
      <c r="H107" s="3799">
        <f>SUM(E107+F107+G107)</f>
        <v>0</v>
      </c>
      <c r="I107" s="3798">
        <f>SUM(E107)</f>
        <v>0</v>
      </c>
      <c r="J107" s="3798">
        <f>SUM(E107)</f>
        <v>0</v>
      </c>
      <c r="K107" s="3798">
        <f>SUM(E107)</f>
        <v>0</v>
      </c>
      <c r="L107" s="3799">
        <f>SUM(I107+J107+K107)</f>
        <v>0</v>
      </c>
      <c r="M107" s="3799">
        <f>SUM(H107+L107)</f>
        <v>0</v>
      </c>
      <c r="N107" s="3801">
        <f>SUM(E107)</f>
        <v>0</v>
      </c>
      <c r="O107" s="3801">
        <f>SUM(E107)</f>
        <v>0</v>
      </c>
      <c r="P107" s="3801">
        <f>E107</f>
        <v>0</v>
      </c>
      <c r="Q107" s="3799">
        <f>SUM(N107+O107+P107)</f>
        <v>0</v>
      </c>
      <c r="R107" s="3799">
        <f>SUM(M107+Q107)</f>
        <v>0</v>
      </c>
      <c r="S107" s="3798">
        <f>E107</f>
        <v>0</v>
      </c>
      <c r="T107" s="3798">
        <f>E107</f>
        <v>0</v>
      </c>
      <c r="U107" s="3798">
        <f>E107</f>
        <v>0</v>
      </c>
      <c r="V107" s="3799">
        <f>SUM(S107+T107+U107)</f>
        <v>0</v>
      </c>
      <c r="W107" s="3814">
        <f>SUM(E107+F107+G107+I107+J107+K107+N107+O107+P107+S107+T107+U107)</f>
        <v>0</v>
      </c>
      <c r="X107" s="435"/>
      <c r="Y107" s="435"/>
      <c r="Z107" s="435"/>
      <c r="AA107" s="435"/>
      <c r="AB107" s="435"/>
      <c r="AC107" s="435"/>
      <c r="AD107" s="435"/>
      <c r="AE107" s="435"/>
      <c r="AF107" s="435"/>
      <c r="AG107" s="435"/>
      <c r="AH107" s="435"/>
      <c r="AI107" s="435"/>
      <c r="AJ107" s="435"/>
      <c r="AK107" s="435"/>
      <c r="AL107" s="435"/>
      <c r="AM107" s="435"/>
      <c r="AN107" s="435"/>
      <c r="AO107" s="435"/>
      <c r="AP107" s="435"/>
      <c r="AQ107" s="435"/>
      <c r="AR107" s="435"/>
      <c r="AS107" s="435"/>
      <c r="AT107" s="435"/>
      <c r="AU107" s="435"/>
      <c r="AV107" s="435"/>
      <c r="AW107" s="435"/>
      <c r="AX107" s="435"/>
    </row>
    <row r="108" spans="1:50" ht="18.75">
      <c r="A108" s="3813" t="s">
        <v>4</v>
      </c>
      <c r="B108" s="3790">
        <f>SUM(вода!BY31)</f>
        <v>11270.267151430742</v>
      </c>
      <c r="C108" s="3790">
        <f>SUM(вода!CA31)</f>
        <v>11209.777160595168</v>
      </c>
      <c r="D108" s="3790">
        <f>SUM(вода!CB31)</f>
        <v>60.489990835574645</v>
      </c>
      <c r="E108" s="3801">
        <f>SUM((ЗП!CR27/2)/(1+(106.03%*100-100)/2/100)/6)</f>
        <v>911.70113991738606</v>
      </c>
      <c r="F108" s="3801">
        <f>SUM(E108)</f>
        <v>911.70113991738606</v>
      </c>
      <c r="G108" s="3801">
        <f>SUM(E108)</f>
        <v>911.70113991738606</v>
      </c>
      <c r="H108" s="3799">
        <f>SUM(E108+F108+G108)</f>
        <v>2735.1034197521581</v>
      </c>
      <c r="I108" s="3798">
        <f>SUM(E108)</f>
        <v>911.70113991738606</v>
      </c>
      <c r="J108" s="3798">
        <f>SUM(E108)</f>
        <v>911.70113991738606</v>
      </c>
      <c r="K108" s="3798">
        <f>SUM(E108)</f>
        <v>911.70113991738606</v>
      </c>
      <c r="L108" s="3799">
        <f>SUM(I108+J108+K108)</f>
        <v>2735.1034197521581</v>
      </c>
      <c r="M108" s="3799">
        <f>SUM(H108+L108)</f>
        <v>5470.2068395043161</v>
      </c>
      <c r="N108" s="3801">
        <f>SUM(ЗП!CR27-'Произв. прогр. Вода'!M108)/6</f>
        <v>966.67671865440434</v>
      </c>
      <c r="O108" s="3801">
        <f>SUM(N108)</f>
        <v>966.67671865440434</v>
      </c>
      <c r="P108" s="3801">
        <f>SUM(N108)</f>
        <v>966.67671865440434</v>
      </c>
      <c r="Q108" s="3799">
        <f>SUM(N108+O108+P108)</f>
        <v>2900.030155963213</v>
      </c>
      <c r="R108" s="3799">
        <f>SUM(M108+Q108)</f>
        <v>8370.2369954675287</v>
      </c>
      <c r="S108" s="3798">
        <f>SUM(N108)</f>
        <v>966.67671865440434</v>
      </c>
      <c r="T108" s="3798">
        <f>SUM(N108)</f>
        <v>966.67671865440434</v>
      </c>
      <c r="U108" s="3798">
        <f>SUM(N108)</f>
        <v>966.67671865440434</v>
      </c>
      <c r="V108" s="3799">
        <f>SUM(S108+T108+U108)</f>
        <v>2900.030155963213</v>
      </c>
      <c r="W108" s="3814">
        <f>SUM(E108+F108+G108+I108+J108+K108+N108+O108+P108+S108+T108+U108)</f>
        <v>11270.26715143074</v>
      </c>
      <c r="X108" s="435"/>
      <c r="Y108" s="435"/>
      <c r="Z108" s="435"/>
      <c r="AA108" s="435"/>
      <c r="AB108" s="435"/>
      <c r="AC108" s="435"/>
      <c r="AD108" s="435"/>
      <c r="AE108" s="435"/>
      <c r="AF108" s="435"/>
      <c r="AG108" s="435"/>
      <c r="AH108" s="435"/>
      <c r="AI108" s="435"/>
      <c r="AJ108" s="435"/>
      <c r="AK108" s="435"/>
      <c r="AL108" s="435"/>
      <c r="AM108" s="435"/>
      <c r="AN108" s="435"/>
      <c r="AO108" s="435"/>
      <c r="AP108" s="435"/>
      <c r="AQ108" s="435"/>
      <c r="AR108" s="435"/>
      <c r="AS108" s="435"/>
      <c r="AT108" s="435"/>
      <c r="AU108" s="435"/>
      <c r="AV108" s="435"/>
      <c r="AW108" s="435"/>
      <c r="AX108" s="435"/>
    </row>
    <row r="109" spans="1:50" ht="18.75">
      <c r="A109" s="3813" t="s">
        <v>5</v>
      </c>
      <c r="B109" s="3790">
        <f>SUM(вода!BY32)</f>
        <v>3384.3810760129504</v>
      </c>
      <c r="C109" s="3790">
        <f>SUM(вода!CA32)</f>
        <v>3366.2163619452699</v>
      </c>
      <c r="D109" s="3790">
        <f>SUM(вода!CB32)</f>
        <v>18.164714067680872</v>
      </c>
      <c r="E109" s="3801">
        <f>SUM(E108*E110)</f>
        <v>273.77736866904098</v>
      </c>
      <c r="F109" s="3801">
        <f>SUM(F108*F110)</f>
        <v>273.77736866904098</v>
      </c>
      <c r="G109" s="3801">
        <f>SUM(G108*G110)</f>
        <v>273.77736866904098</v>
      </c>
      <c r="H109" s="3799">
        <f>SUM(E109+F109+G109)</f>
        <v>821.332106007123</v>
      </c>
      <c r="I109" s="3798">
        <f>SUM(I108*I110)</f>
        <v>273.77736866904098</v>
      </c>
      <c r="J109" s="3798">
        <f>SUM(J108*J110)</f>
        <v>273.77736866904098</v>
      </c>
      <c r="K109" s="3798">
        <f>SUM(K108*K110)</f>
        <v>273.77736866904098</v>
      </c>
      <c r="L109" s="3799">
        <f>SUM(I109+J109+K109)</f>
        <v>821.332106007123</v>
      </c>
      <c r="M109" s="3799">
        <f>SUM(H109+L109)</f>
        <v>1642.664212014246</v>
      </c>
      <c r="N109" s="3801">
        <f>SUM(N108*N110)</f>
        <v>290.28614399978414</v>
      </c>
      <c r="O109" s="3801">
        <f>SUM(O108*O110)</f>
        <v>290.28614399978414</v>
      </c>
      <c r="P109" s="3801">
        <f>SUM(P108*P110)</f>
        <v>290.28614399978414</v>
      </c>
      <c r="Q109" s="3799">
        <f>SUM(N109+O109+P109)</f>
        <v>870.85843199935243</v>
      </c>
      <c r="R109" s="3799">
        <f>SUM(M109+Q109)</f>
        <v>2513.5226440135984</v>
      </c>
      <c r="S109" s="3798">
        <f>SUM(S108*S110)</f>
        <v>290.28614399978414</v>
      </c>
      <c r="T109" s="3798">
        <f>SUM(T108*T110)</f>
        <v>290.28614399978414</v>
      </c>
      <c r="U109" s="3798">
        <f>SUM(U108*U110)</f>
        <v>290.28614399978414</v>
      </c>
      <c r="V109" s="3799">
        <f>SUM(S109+T109+U109)</f>
        <v>870.85843199935243</v>
      </c>
      <c r="W109" s="3814">
        <f>SUM(E109+F109+G109+I109+J109+K109+N109+O109+P109+S109+T109+U109)</f>
        <v>3384.3810760129509</v>
      </c>
      <c r="X109" s="435"/>
      <c r="Y109" s="435"/>
      <c r="Z109" s="435"/>
      <c r="AA109" s="435"/>
      <c r="AB109" s="435"/>
      <c r="AC109" s="435"/>
      <c r="AD109" s="435"/>
      <c r="AE109" s="435"/>
      <c r="AF109" s="435"/>
      <c r="AG109" s="435"/>
      <c r="AH109" s="435"/>
      <c r="AI109" s="435"/>
      <c r="AJ109" s="435"/>
      <c r="AK109" s="435"/>
      <c r="AL109" s="435"/>
      <c r="AM109" s="435"/>
      <c r="AN109" s="435"/>
      <c r="AO109" s="435"/>
      <c r="AP109" s="435"/>
      <c r="AQ109" s="435"/>
      <c r="AR109" s="435"/>
      <c r="AS109" s="435"/>
      <c r="AT109" s="435"/>
      <c r="AU109" s="435"/>
      <c r="AV109" s="435"/>
      <c r="AW109" s="435"/>
      <c r="AX109" s="435"/>
    </row>
    <row r="110" spans="1:50" ht="18.75">
      <c r="A110" s="3815" t="str">
        <f>A76</f>
        <v>то же в %</v>
      </c>
      <c r="B110" s="3795">
        <f>SUM([18]вода!BG33)</f>
        <v>0.30029288840622637</v>
      </c>
      <c r="C110" s="3795">
        <f>SUM([18]вода!BI33)</f>
        <v>0.30029288840622637</v>
      </c>
      <c r="D110" s="3795">
        <f>SUM([18]вода!BJ33)</f>
        <v>0.30029288840622637</v>
      </c>
      <c r="E110" s="3796">
        <f>SUM(B110)</f>
        <v>0.30029288840622637</v>
      </c>
      <c r="F110" s="3796">
        <f>SUM(E110)</f>
        <v>0.30029288840622637</v>
      </c>
      <c r="G110" s="3796">
        <f>SUM(E110)</f>
        <v>0.30029288840622637</v>
      </c>
      <c r="H110" s="3795">
        <f>SUM(H109/H108)</f>
        <v>0.30029288840622642</v>
      </c>
      <c r="I110" s="3824">
        <f>SUM(E110)</f>
        <v>0.30029288840622637</v>
      </c>
      <c r="J110" s="3824">
        <f>SUM(E110)</f>
        <v>0.30029288840622637</v>
      </c>
      <c r="K110" s="3824">
        <f>SUM(E110)</f>
        <v>0.30029288840622637</v>
      </c>
      <c r="L110" s="3795">
        <f>SUM(L109/L108)</f>
        <v>0.30029288840622642</v>
      </c>
      <c r="M110" s="3795">
        <f>SUM(M109/M108)</f>
        <v>0.30029288840622642</v>
      </c>
      <c r="N110" s="3796">
        <f>SUM(E110)</f>
        <v>0.30029288840622637</v>
      </c>
      <c r="O110" s="3796">
        <f>SUM(E110)</f>
        <v>0.30029288840622637</v>
      </c>
      <c r="P110" s="3796">
        <f>SUM(E110)</f>
        <v>0.30029288840622637</v>
      </c>
      <c r="Q110" s="3795">
        <f>SUM(Q109/Q108)</f>
        <v>0.30029288840622637</v>
      </c>
      <c r="R110" s="3795">
        <f>SUM(R109/R108)</f>
        <v>0.30029288840622642</v>
      </c>
      <c r="S110" s="3824">
        <f>SUM(E110)</f>
        <v>0.30029288840622637</v>
      </c>
      <c r="T110" s="3824">
        <f>SUM(E110)</f>
        <v>0.30029288840622637</v>
      </c>
      <c r="U110" s="3824">
        <f>SUM(E110)</f>
        <v>0.30029288840622637</v>
      </c>
      <c r="V110" s="3795">
        <f>SUM(V109/V108)</f>
        <v>0.30029288840622637</v>
      </c>
      <c r="W110" s="3816">
        <f>SUM(W109/W108)</f>
        <v>0.30029288840622642</v>
      </c>
      <c r="X110" s="435"/>
      <c r="Y110" s="435"/>
      <c r="Z110" s="435"/>
      <c r="AA110" s="435"/>
      <c r="AB110" s="435"/>
      <c r="AC110" s="435"/>
      <c r="AD110" s="435"/>
      <c r="AE110" s="435"/>
      <c r="AF110" s="435"/>
      <c r="AG110" s="435"/>
      <c r="AH110" s="435"/>
      <c r="AI110" s="435"/>
      <c r="AJ110" s="435"/>
      <c r="AK110" s="435"/>
      <c r="AL110" s="435"/>
      <c r="AM110" s="435"/>
      <c r="AN110" s="435"/>
      <c r="AO110" s="435"/>
      <c r="AP110" s="435"/>
      <c r="AQ110" s="435"/>
      <c r="AR110" s="435"/>
      <c r="AS110" s="435"/>
      <c r="AT110" s="435"/>
      <c r="AU110" s="435"/>
      <c r="AV110" s="435"/>
      <c r="AW110" s="435"/>
      <c r="AX110" s="435"/>
    </row>
    <row r="111" spans="1:50" ht="18.75">
      <c r="A111" s="3817" t="s">
        <v>1742</v>
      </c>
      <c r="B111" s="3787">
        <f>SUM('цех вода'!U106)</f>
        <v>4643.5602841769951</v>
      </c>
      <c r="C111" s="3787">
        <f>SUM('цех вода'!W106)</f>
        <v>4618.6372796678561</v>
      </c>
      <c r="D111" s="3787">
        <f>SUM('цех вода'!X106)</f>
        <v>24.923004509138991</v>
      </c>
      <c r="E111" s="3800">
        <f>SUM('цех вода'!Y106)</f>
        <v>380.60720267326906</v>
      </c>
      <c r="F111" s="3800">
        <f>SUM('цех вода'!Z106)</f>
        <v>380.60720267326906</v>
      </c>
      <c r="G111" s="3800">
        <f>SUM('цех вода'!AA106)</f>
        <v>380.60720267326906</v>
      </c>
      <c r="H111" s="3787">
        <f>SUM('цех вода'!AB106)</f>
        <v>1141.8216080198072</v>
      </c>
      <c r="I111" s="3800">
        <f>SUM('цех вода'!AC106)</f>
        <v>380.68033874774483</v>
      </c>
      <c r="J111" s="3800">
        <f>SUM('цех вода'!AD106)</f>
        <v>381.891147091844</v>
      </c>
      <c r="K111" s="3800">
        <f>SUM('цех вода'!AE106)</f>
        <v>382.94755705649425</v>
      </c>
      <c r="L111" s="3787">
        <f>SUM('цех вода'!AF106)</f>
        <v>1145.5190428960832</v>
      </c>
      <c r="M111" s="3787">
        <f>SUM('цех вода'!AG106)</f>
        <v>2287.3406509158904</v>
      </c>
      <c r="N111" s="3800">
        <f>SUM('цех вода'!AH106)</f>
        <v>394.31362022040099</v>
      </c>
      <c r="O111" s="3800">
        <f>SUM('цех вода'!AI106)</f>
        <v>393.9966972310059</v>
      </c>
      <c r="P111" s="3800">
        <f>SUM('цех вода'!AJ106)</f>
        <v>392.94028726635565</v>
      </c>
      <c r="Q111" s="3787">
        <f>SUM('цех вода'!AK106)</f>
        <v>1181.2506047177626</v>
      </c>
      <c r="R111" s="3787">
        <f>SUM('цех вода'!AL106)</f>
        <v>3468.591255633653</v>
      </c>
      <c r="S111" s="3800">
        <f>SUM('цех вода'!AM106)</f>
        <v>391.65634284778071</v>
      </c>
      <c r="T111" s="3800">
        <f>SUM('цех вода'!AN106)</f>
        <v>391.65634284778071</v>
      </c>
      <c r="U111" s="3800">
        <f>SUM('цех вода'!AO106)</f>
        <v>391.65634284778071</v>
      </c>
      <c r="V111" s="3787">
        <f>SUM('цех вода'!AP106)</f>
        <v>1174.9690285433421</v>
      </c>
      <c r="W111" s="3814">
        <f t="shared" ref="W111:W128" si="115">SUM(E111+F111+G111+I111+J111+K111+N111+O111+P111+S111+T111+U111)</f>
        <v>4643.5602841769942</v>
      </c>
      <c r="X111" s="435"/>
      <c r="Y111" s="435"/>
      <c r="Z111" s="435"/>
      <c r="AA111" s="435"/>
      <c r="AB111" s="435"/>
      <c r="AC111" s="435"/>
      <c r="AD111" s="435"/>
      <c r="AE111" s="435"/>
      <c r="AF111" s="435"/>
      <c r="AG111" s="435"/>
      <c r="AH111" s="435"/>
      <c r="AI111" s="435"/>
      <c r="AJ111" s="435"/>
      <c r="AK111" s="435"/>
      <c r="AL111" s="435"/>
      <c r="AM111" s="435"/>
      <c r="AN111" s="435"/>
      <c r="AO111" s="435"/>
      <c r="AP111" s="435"/>
      <c r="AQ111" s="435"/>
      <c r="AR111" s="435"/>
      <c r="AS111" s="435"/>
      <c r="AT111" s="435"/>
      <c r="AU111" s="435"/>
      <c r="AV111" s="435"/>
      <c r="AW111" s="435"/>
      <c r="AX111" s="435"/>
    </row>
    <row r="112" spans="1:50" ht="18.75">
      <c r="A112" s="3818" t="s">
        <v>72</v>
      </c>
      <c r="B112" s="3790">
        <f>SUM('цех вода'!U107)</f>
        <v>1741.3351065663733</v>
      </c>
      <c r="C112" s="3790">
        <f>SUM('цех вода'!W107)</f>
        <v>1731.9889798754461</v>
      </c>
      <c r="D112" s="3790">
        <f>SUM('цех вода'!X107)</f>
        <v>9.3461266909271217</v>
      </c>
      <c r="E112" s="3819">
        <f>SUM('цех вода'!Y107)</f>
        <v>140.86420315539593</v>
      </c>
      <c r="F112" s="3819">
        <f>SUM('цех вода'!Z107)</f>
        <v>140.86420315539593</v>
      </c>
      <c r="G112" s="3819">
        <f>SUM('цех вода'!AA107)</f>
        <v>140.86420315539593</v>
      </c>
      <c r="H112" s="3790">
        <f>SUM('цех вода'!AB107)</f>
        <v>422.59260946618781</v>
      </c>
      <c r="I112" s="3819">
        <f>SUM('цех вода'!AC107)</f>
        <v>140.86420315539593</v>
      </c>
      <c r="J112" s="3819">
        <f>SUM('цех вода'!AD107)</f>
        <v>140.86420315539593</v>
      </c>
      <c r="K112" s="3819">
        <f>SUM('цех вода'!AE107)</f>
        <v>140.86420315539593</v>
      </c>
      <c r="L112" s="3790">
        <f>SUM('цех вода'!AF107)</f>
        <v>422.59260946618781</v>
      </c>
      <c r="M112" s="3790">
        <f>SUM('цех вода'!AG107)</f>
        <v>845.18521893237562</v>
      </c>
      <c r="N112" s="3819">
        <f>SUM('цех вода'!AH107)</f>
        <v>149.35831460566627</v>
      </c>
      <c r="O112" s="3819">
        <f>SUM('цех вода'!AI107)</f>
        <v>149.35831460566627</v>
      </c>
      <c r="P112" s="3819">
        <f>SUM('цех вода'!AJ107)</f>
        <v>149.35831460566627</v>
      </c>
      <c r="Q112" s="3790">
        <f>SUM('цех вода'!AK107)</f>
        <v>448.07494381699883</v>
      </c>
      <c r="R112" s="3790">
        <f>SUM('цех вода'!AL107)</f>
        <v>1293.2601627493746</v>
      </c>
      <c r="S112" s="3819">
        <f>SUM('цех вода'!AM107)</f>
        <v>149.35831460566627</v>
      </c>
      <c r="T112" s="3819">
        <f>SUM('цех вода'!AN107)</f>
        <v>149.35831460566627</v>
      </c>
      <c r="U112" s="3819">
        <f>SUM('цех вода'!AO107)</f>
        <v>149.35831460566627</v>
      </c>
      <c r="V112" s="3790">
        <f>SUM('цех вода'!AP107)</f>
        <v>448.07494381699883</v>
      </c>
      <c r="W112" s="3814">
        <f t="shared" si="115"/>
        <v>1741.335106566373</v>
      </c>
      <c r="X112" s="435"/>
      <c r="Y112" s="435"/>
      <c r="Z112" s="435"/>
      <c r="AA112" s="435"/>
      <c r="AB112" s="435"/>
      <c r="AC112" s="435"/>
      <c r="AD112" s="435"/>
      <c r="AE112" s="435"/>
      <c r="AF112" s="435"/>
      <c r="AG112" s="435"/>
      <c r="AH112" s="435"/>
      <c r="AI112" s="435"/>
      <c r="AJ112" s="435"/>
      <c r="AK112" s="435"/>
      <c r="AL112" s="435"/>
      <c r="AM112" s="435"/>
      <c r="AN112" s="435"/>
      <c r="AO112" s="435"/>
      <c r="AP112" s="435"/>
      <c r="AQ112" s="435"/>
      <c r="AR112" s="435"/>
      <c r="AS112" s="435"/>
      <c r="AT112" s="435"/>
      <c r="AU112" s="435"/>
      <c r="AV112" s="435"/>
      <c r="AW112" s="435"/>
      <c r="AX112" s="435"/>
    </row>
    <row r="113" spans="1:50" ht="18.75">
      <c r="A113" s="3818" t="s">
        <v>121</v>
      </c>
      <c r="B113" s="3790">
        <f>SUM('цех вода'!U108)</f>
        <v>523.79360005516503</v>
      </c>
      <c r="C113" s="3790">
        <f>SUM('цех вода'!W108)</f>
        <v>520.9822851465342</v>
      </c>
      <c r="D113" s="3790">
        <f>SUM('цех вода'!X108)</f>
        <v>2.811314908630834</v>
      </c>
      <c r="E113" s="3819">
        <f>SUM('цех вода'!Y108)</f>
        <v>42.37195230914309</v>
      </c>
      <c r="F113" s="3819">
        <f>SUM('цех вода'!Z108)</f>
        <v>42.37195230914309</v>
      </c>
      <c r="G113" s="3819">
        <f>SUM('цех вода'!AA108)</f>
        <v>42.37195230914309</v>
      </c>
      <c r="H113" s="3790">
        <f>SUM('цех вода'!AB108)</f>
        <v>127.11585692742926</v>
      </c>
      <c r="I113" s="3819">
        <f>SUM('цех вода'!AC108)</f>
        <v>42.37195230914309</v>
      </c>
      <c r="J113" s="3819">
        <f>SUM('цех вода'!AD108)</f>
        <v>42.37195230914309</v>
      </c>
      <c r="K113" s="3819">
        <f>SUM('цех вода'!AE108)</f>
        <v>42.37195230914309</v>
      </c>
      <c r="L113" s="3790">
        <f>SUM('цех вода'!AF108)</f>
        <v>127.11585692742926</v>
      </c>
      <c r="M113" s="3790">
        <f>SUM('цех вода'!AG108)</f>
        <v>254.23171385485853</v>
      </c>
      <c r="N113" s="3819">
        <f>SUM('цех вода'!AH108)</f>
        <v>44.926981033384415</v>
      </c>
      <c r="O113" s="3819">
        <f>SUM('цех вода'!AI108)</f>
        <v>44.926981033384415</v>
      </c>
      <c r="P113" s="3819">
        <f>SUM('цех вода'!AJ108)</f>
        <v>44.926981033384415</v>
      </c>
      <c r="Q113" s="3790">
        <f>SUM('цех вода'!AK108)</f>
        <v>134.78094310015325</v>
      </c>
      <c r="R113" s="3790">
        <f>SUM('цех вода'!AL108)</f>
        <v>389.01265695501178</v>
      </c>
      <c r="S113" s="3819">
        <f>SUM('цех вода'!AM108)</f>
        <v>44.926981033384415</v>
      </c>
      <c r="T113" s="3819">
        <f>SUM('цех вода'!AN108)</f>
        <v>44.926981033384415</v>
      </c>
      <c r="U113" s="3819">
        <f>SUM('цех вода'!AO108)</f>
        <v>44.926981033384415</v>
      </c>
      <c r="V113" s="3790">
        <f>SUM('цех вода'!AP108)</f>
        <v>134.78094310015325</v>
      </c>
      <c r="W113" s="3814">
        <f t="shared" si="115"/>
        <v>523.79360005516514</v>
      </c>
      <c r="X113" s="435"/>
      <c r="Y113" s="435"/>
      <c r="Z113" s="435"/>
      <c r="AA113" s="435"/>
      <c r="AB113" s="435"/>
      <c r="AC113" s="435"/>
      <c r="AD113" s="435"/>
      <c r="AE113" s="435"/>
      <c r="AF113" s="435"/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R113" s="435"/>
      <c r="AS113" s="435"/>
      <c r="AT113" s="435"/>
      <c r="AU113" s="435"/>
      <c r="AV113" s="435"/>
      <c r="AW113" s="435"/>
      <c r="AX113" s="435"/>
    </row>
    <row r="114" spans="1:50" ht="18.75">
      <c r="A114" s="3818" t="s">
        <v>52</v>
      </c>
      <c r="B114" s="3790">
        <f>SUM('цех вода'!U109)</f>
        <v>7.4296964546831923</v>
      </c>
      <c r="C114" s="3790">
        <f>SUM('цех вода'!W109)</f>
        <v>7.3898196474685705</v>
      </c>
      <c r="D114" s="3790">
        <f>SUM('цех вода'!X109)</f>
        <v>3.9876807214621834E-2</v>
      </c>
      <c r="E114" s="3819">
        <f>SUM('цех вода'!Y109)</f>
        <v>0.61914137122359936</v>
      </c>
      <c r="F114" s="3819">
        <f>SUM('цех вода'!Z109)</f>
        <v>0.61914137122359936</v>
      </c>
      <c r="G114" s="3819">
        <f>SUM('цех вода'!AA109)</f>
        <v>0.61914137122359936</v>
      </c>
      <c r="H114" s="3790">
        <f>SUM('цех вода'!AB109)</f>
        <v>1.8574241136707981</v>
      </c>
      <c r="I114" s="3819">
        <f>SUM('цех вода'!AC109)</f>
        <v>0.61914137122359936</v>
      </c>
      <c r="J114" s="3819">
        <f>SUM('цех вода'!AD109)</f>
        <v>0.61914137122359936</v>
      </c>
      <c r="K114" s="3819">
        <f>SUM('цех вода'!AE109)</f>
        <v>0.61914137122359936</v>
      </c>
      <c r="L114" s="3790">
        <f>SUM('цех вода'!AF109)</f>
        <v>1.8574241136707981</v>
      </c>
      <c r="M114" s="3790">
        <f>SUM('цех вода'!AG109)</f>
        <v>3.7148482273415961</v>
      </c>
      <c r="N114" s="3819">
        <f>SUM('цех вода'!AH109)</f>
        <v>0.61914137122359936</v>
      </c>
      <c r="O114" s="3819">
        <f>SUM('цех вода'!AI109)</f>
        <v>0.61914137122359936</v>
      </c>
      <c r="P114" s="3819">
        <f>SUM('цех вода'!AJ109)</f>
        <v>0.61914137122359936</v>
      </c>
      <c r="Q114" s="3790">
        <f>SUM('цех вода'!AK109)</f>
        <v>1.8574241136707981</v>
      </c>
      <c r="R114" s="3790">
        <f>SUM('цех вода'!AL109)</f>
        <v>5.5722723410123942</v>
      </c>
      <c r="S114" s="3819">
        <f>SUM('цех вода'!AM109)</f>
        <v>0.61914137122359936</v>
      </c>
      <c r="T114" s="3819">
        <f>SUM('цех вода'!AN109)</f>
        <v>0.61914137122359936</v>
      </c>
      <c r="U114" s="3819">
        <f>SUM('цех вода'!AO109)</f>
        <v>0.61914137122359936</v>
      </c>
      <c r="V114" s="3790">
        <f>SUM('цех вода'!AP109)</f>
        <v>1.8574241136707981</v>
      </c>
      <c r="W114" s="3814">
        <f t="shared" si="115"/>
        <v>7.4296964546831923</v>
      </c>
      <c r="X114" s="435"/>
      <c r="Y114" s="435"/>
      <c r="Z114" s="435"/>
      <c r="AA114" s="435"/>
      <c r="AB114" s="435"/>
      <c r="AC114" s="435"/>
      <c r="AD114" s="435"/>
      <c r="AE114" s="435"/>
      <c r="AF114" s="435"/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R114" s="435"/>
      <c r="AS114" s="435"/>
      <c r="AT114" s="435"/>
      <c r="AU114" s="435"/>
      <c r="AV114" s="435"/>
      <c r="AW114" s="435"/>
      <c r="AX114" s="435"/>
    </row>
    <row r="115" spans="1:50" ht="18.75">
      <c r="A115" s="3818" t="s">
        <v>604</v>
      </c>
      <c r="B115" s="3790">
        <f>SUM('цех вода'!U110)</f>
        <v>2045.4883051799661</v>
      </c>
      <c r="C115" s="3790">
        <f>SUM('цех вода'!W110)</f>
        <v>2034.5097216936904</v>
      </c>
      <c r="D115" s="3790">
        <f>SUM('цех вода'!X110)</f>
        <v>10.978583486275738</v>
      </c>
      <c r="E115" s="3819">
        <f>SUM('цех вода'!Y110)</f>
        <v>170.45735876499717</v>
      </c>
      <c r="F115" s="3819">
        <f>SUM('цех вода'!Z110)</f>
        <v>170.45735876499717</v>
      </c>
      <c r="G115" s="3819">
        <f>SUM('цех вода'!AA110)</f>
        <v>170.45735876499717</v>
      </c>
      <c r="H115" s="3790">
        <f>SUM('цех вода'!AB110)</f>
        <v>511.37207629499153</v>
      </c>
      <c r="I115" s="3819">
        <f>SUM('цех вода'!AC110)</f>
        <v>170.45735876499717</v>
      </c>
      <c r="J115" s="3819">
        <f>SUM('цех вода'!AD110)</f>
        <v>170.45735876499717</v>
      </c>
      <c r="K115" s="3819">
        <f>SUM('цех вода'!AE110)</f>
        <v>170.45735876499717</v>
      </c>
      <c r="L115" s="3790">
        <f>SUM('цех вода'!AF110)</f>
        <v>511.37207629499153</v>
      </c>
      <c r="M115" s="3790">
        <f>SUM('цех вода'!AG110)</f>
        <v>1022.7441525899831</v>
      </c>
      <c r="N115" s="3819">
        <f>SUM('цех вода'!AH110)</f>
        <v>170.45735876499717</v>
      </c>
      <c r="O115" s="3819">
        <f>SUM('цех вода'!AI110)</f>
        <v>170.45735876499717</v>
      </c>
      <c r="P115" s="3819">
        <f>SUM('цех вода'!AJ110)</f>
        <v>170.45735876499717</v>
      </c>
      <c r="Q115" s="3790">
        <f>SUM('цех вода'!AK110)</f>
        <v>511.37207629499153</v>
      </c>
      <c r="R115" s="3790">
        <f>SUM('цех вода'!AL110)</f>
        <v>1534.1162288849746</v>
      </c>
      <c r="S115" s="3819">
        <f>SUM('цех вода'!AM110)</f>
        <v>170.45735876499717</v>
      </c>
      <c r="T115" s="3819">
        <f>SUM('цех вода'!AN110)</f>
        <v>170.45735876499717</v>
      </c>
      <c r="U115" s="3819">
        <f>SUM('цех вода'!AO110)</f>
        <v>170.45735876499717</v>
      </c>
      <c r="V115" s="3790">
        <f>SUM('цех вода'!AP110)</f>
        <v>511.37207629499153</v>
      </c>
      <c r="W115" s="3814">
        <f t="shared" si="115"/>
        <v>2045.4883051799663</v>
      </c>
      <c r="X115" s="435"/>
      <c r="Y115" s="435"/>
      <c r="Z115" s="435"/>
      <c r="AA115" s="435"/>
      <c r="AB115" s="435"/>
      <c r="AC115" s="435"/>
      <c r="AD115" s="435"/>
      <c r="AE115" s="435"/>
      <c r="AF115" s="435"/>
      <c r="AG115" s="435"/>
      <c r="AH115" s="435"/>
      <c r="AI115" s="435"/>
      <c r="AJ115" s="435"/>
      <c r="AK115" s="435"/>
      <c r="AL115" s="435"/>
      <c r="AM115" s="435"/>
      <c r="AN115" s="435"/>
      <c r="AO115" s="435"/>
      <c r="AP115" s="435"/>
      <c r="AQ115" s="435"/>
      <c r="AR115" s="435"/>
      <c r="AS115" s="435"/>
      <c r="AT115" s="435"/>
      <c r="AU115" s="435"/>
      <c r="AV115" s="435"/>
      <c r="AW115" s="435"/>
      <c r="AX115" s="435"/>
    </row>
    <row r="116" spans="1:50" ht="18.75">
      <c r="A116" s="3818" t="s">
        <v>606</v>
      </c>
      <c r="B116" s="3790">
        <f>SUM('цех вода'!U111)</f>
        <v>107.73059859290628</v>
      </c>
      <c r="C116" s="3790">
        <f>SUM('цех вода'!W111)</f>
        <v>107.15238488829425</v>
      </c>
      <c r="D116" s="3790">
        <f>SUM('цех вода'!X111)</f>
        <v>0.57821370461202548</v>
      </c>
      <c r="E116" s="3819">
        <f>SUM('цех вода'!Y111)</f>
        <v>8.9775498827421902</v>
      </c>
      <c r="F116" s="3819">
        <f>SUM('цех вода'!Z111)</f>
        <v>8.9775498827421902</v>
      </c>
      <c r="G116" s="3819">
        <f>SUM('цех вода'!AA111)</f>
        <v>8.9775498827421902</v>
      </c>
      <c r="H116" s="3790">
        <f>SUM('цех вода'!AB111)</f>
        <v>26.932649648226572</v>
      </c>
      <c r="I116" s="3819">
        <f>SUM('цех вода'!AC111)</f>
        <v>8.9775498827421902</v>
      </c>
      <c r="J116" s="3819">
        <f>SUM('цех вода'!AD111)</f>
        <v>8.9775498827421902</v>
      </c>
      <c r="K116" s="3819">
        <f>SUM('цех вода'!AE111)</f>
        <v>8.9775498827421902</v>
      </c>
      <c r="L116" s="3790">
        <f>SUM('цех вода'!AF111)</f>
        <v>26.932649648226572</v>
      </c>
      <c r="M116" s="3790">
        <f>SUM('цех вода'!AG111)</f>
        <v>53.865299296453145</v>
      </c>
      <c r="N116" s="3819">
        <f>SUM('цех вода'!AH111)</f>
        <v>8.9775498827421902</v>
      </c>
      <c r="O116" s="3819">
        <f>SUM('цех вода'!AI111)</f>
        <v>8.9775498827421902</v>
      </c>
      <c r="P116" s="3819">
        <f>SUM('цех вода'!AJ111)</f>
        <v>8.9775498827421902</v>
      </c>
      <c r="Q116" s="3790">
        <f>SUM('цех вода'!AK111)</f>
        <v>26.932649648226572</v>
      </c>
      <c r="R116" s="3790">
        <f>SUM('цех вода'!AL111)</f>
        <v>80.797948944679717</v>
      </c>
      <c r="S116" s="3819">
        <f>SUM('цех вода'!AM111)</f>
        <v>8.9775498827421902</v>
      </c>
      <c r="T116" s="3819">
        <f>SUM('цех вода'!AN111)</f>
        <v>8.9775498827421902</v>
      </c>
      <c r="U116" s="3819">
        <f>SUM('цех вода'!AO111)</f>
        <v>8.9775498827421902</v>
      </c>
      <c r="V116" s="3790">
        <f>SUM('цех вода'!AP111)</f>
        <v>26.932649648226572</v>
      </c>
      <c r="W116" s="3814">
        <f t="shared" si="115"/>
        <v>107.7305985929063</v>
      </c>
      <c r="X116" s="435"/>
      <c r="Y116" s="435"/>
      <c r="Z116" s="435"/>
      <c r="AA116" s="435"/>
      <c r="AB116" s="435"/>
      <c r="AC116" s="435"/>
      <c r="AD116" s="435"/>
      <c r="AE116" s="435"/>
      <c r="AF116" s="435"/>
      <c r="AG116" s="435"/>
      <c r="AH116" s="435"/>
      <c r="AI116" s="435"/>
      <c r="AJ116" s="435"/>
      <c r="AK116" s="435"/>
      <c r="AL116" s="435"/>
      <c r="AM116" s="435"/>
      <c r="AN116" s="435"/>
      <c r="AO116" s="435"/>
      <c r="AP116" s="435"/>
      <c r="AQ116" s="435"/>
      <c r="AR116" s="435"/>
      <c r="AS116" s="435"/>
      <c r="AT116" s="435"/>
      <c r="AU116" s="435"/>
      <c r="AV116" s="435"/>
      <c r="AW116" s="435"/>
      <c r="AX116" s="435"/>
    </row>
    <row r="117" spans="1:50" ht="18.75">
      <c r="A117" s="3818" t="s">
        <v>605</v>
      </c>
      <c r="B117" s="3790">
        <f>SUM('цех вода'!U112)</f>
        <v>74.761320575249613</v>
      </c>
      <c r="C117" s="3790">
        <f>SUM('цех вода'!W112)</f>
        <v>74.360060202652477</v>
      </c>
      <c r="D117" s="3790">
        <f>SUM('цех вода'!X112)</f>
        <v>0.40126037259713598</v>
      </c>
      <c r="E117" s="3819">
        <f>SUM('цех вода'!Y112)</f>
        <v>6.230110047937468</v>
      </c>
      <c r="F117" s="3819">
        <f>SUM('цех вода'!Z112)</f>
        <v>6.230110047937468</v>
      </c>
      <c r="G117" s="3819">
        <f>SUM('цех вода'!AA112)</f>
        <v>6.230110047937468</v>
      </c>
      <c r="H117" s="3790">
        <f>SUM('цех вода'!AB112)</f>
        <v>18.690330143812403</v>
      </c>
      <c r="I117" s="3819">
        <f>SUM('цех вода'!AC112)</f>
        <v>6.230110047937468</v>
      </c>
      <c r="J117" s="3819">
        <f>SUM('цех вода'!AD112)</f>
        <v>6.230110047937468</v>
      </c>
      <c r="K117" s="3819">
        <f>SUM('цех вода'!AE112)</f>
        <v>6.230110047937468</v>
      </c>
      <c r="L117" s="3790">
        <f>SUM('цех вода'!AF112)</f>
        <v>18.690330143812403</v>
      </c>
      <c r="M117" s="3790">
        <f>SUM('цех вода'!AG112)</f>
        <v>37.380660287624806</v>
      </c>
      <c r="N117" s="3819">
        <f>SUM('цех вода'!AH112)</f>
        <v>6.230110047937468</v>
      </c>
      <c r="O117" s="3819">
        <f>SUM('цех вода'!AI112)</f>
        <v>6.230110047937468</v>
      </c>
      <c r="P117" s="3819">
        <f>SUM('цех вода'!AJ112)</f>
        <v>6.230110047937468</v>
      </c>
      <c r="Q117" s="3790">
        <f>SUM('цех вода'!AK112)</f>
        <v>18.690330143812403</v>
      </c>
      <c r="R117" s="3790">
        <f>SUM('цех вода'!AL112)</f>
        <v>56.07099043143721</v>
      </c>
      <c r="S117" s="3819">
        <f>SUM('цех вода'!AM112)</f>
        <v>6.230110047937468</v>
      </c>
      <c r="T117" s="3819">
        <f>SUM('цех вода'!AN112)</f>
        <v>6.230110047937468</v>
      </c>
      <c r="U117" s="3819">
        <f>SUM('цех вода'!AO112)</f>
        <v>6.230110047937468</v>
      </c>
      <c r="V117" s="3790">
        <f>SUM('цех вода'!AP112)</f>
        <v>18.690330143812403</v>
      </c>
      <c r="W117" s="3814">
        <f t="shared" si="115"/>
        <v>74.761320575249613</v>
      </c>
      <c r="X117" s="435"/>
      <c r="Y117" s="435"/>
      <c r="Z117" s="435"/>
      <c r="AA117" s="435"/>
      <c r="AB117" s="435"/>
      <c r="AC117" s="435"/>
      <c r="AD117" s="435"/>
      <c r="AE117" s="435"/>
      <c r="AF117" s="435"/>
      <c r="AG117" s="435"/>
      <c r="AH117" s="435"/>
      <c r="AI117" s="435"/>
      <c r="AJ117" s="435"/>
      <c r="AK117" s="435"/>
      <c r="AL117" s="435"/>
      <c r="AM117" s="435"/>
      <c r="AN117" s="435"/>
      <c r="AO117" s="435"/>
      <c r="AP117" s="435"/>
      <c r="AQ117" s="435"/>
      <c r="AR117" s="435"/>
      <c r="AS117" s="435"/>
      <c r="AT117" s="435"/>
      <c r="AU117" s="435"/>
      <c r="AV117" s="435"/>
      <c r="AW117" s="435"/>
      <c r="AX117" s="435"/>
    </row>
    <row r="118" spans="1:50" ht="18.75">
      <c r="A118" s="3818" t="s">
        <v>615</v>
      </c>
      <c r="B118" s="3790">
        <f>SUM('цех вода'!U113)</f>
        <v>13.466324824113284</v>
      </c>
      <c r="C118" s="3790">
        <f>SUM('цех вода'!W113)</f>
        <v>13.394048111036781</v>
      </c>
      <c r="D118" s="3790">
        <f>SUM('цех вода'!X113)</f>
        <v>7.2276713076503185E-2</v>
      </c>
      <c r="E118" s="3819">
        <f>SUM('цех вода'!Y113)</f>
        <v>1.1221937353427738</v>
      </c>
      <c r="F118" s="3819">
        <f>SUM('цех вода'!Z113)</f>
        <v>1.1221937353427738</v>
      </c>
      <c r="G118" s="3819">
        <f>SUM('цех вода'!AA113)</f>
        <v>1.1221937353427738</v>
      </c>
      <c r="H118" s="3790">
        <f>SUM('цех вода'!AB113)</f>
        <v>3.3665812060283216</v>
      </c>
      <c r="I118" s="3819">
        <f>SUM('цех вода'!AC113)</f>
        <v>1.1221937353427738</v>
      </c>
      <c r="J118" s="3819">
        <f>SUM('цех вода'!AD113)</f>
        <v>1.1221937353427738</v>
      </c>
      <c r="K118" s="3819">
        <f>SUM('цех вода'!AE113)</f>
        <v>1.1221937353427738</v>
      </c>
      <c r="L118" s="3790">
        <f>SUM('цех вода'!AF113)</f>
        <v>3.3665812060283216</v>
      </c>
      <c r="M118" s="3790">
        <f>SUM('цех вода'!AG113)</f>
        <v>6.7331624120566431</v>
      </c>
      <c r="N118" s="3819">
        <f>SUM('цех вода'!AH113)</f>
        <v>1.1221937353427738</v>
      </c>
      <c r="O118" s="3819">
        <f>SUM('цех вода'!AI113)</f>
        <v>1.1221937353427738</v>
      </c>
      <c r="P118" s="3819">
        <f>SUM('цех вода'!AJ113)</f>
        <v>1.1221937353427738</v>
      </c>
      <c r="Q118" s="3790">
        <f>SUM('цех вода'!AK113)</f>
        <v>3.3665812060283216</v>
      </c>
      <c r="R118" s="3790">
        <f>SUM('цех вода'!AL113)</f>
        <v>10.099743618084965</v>
      </c>
      <c r="S118" s="3819">
        <f>SUM('цех вода'!AM113)</f>
        <v>1.1221937353427738</v>
      </c>
      <c r="T118" s="3819">
        <f>SUM('цех вода'!AN113)</f>
        <v>1.1221937353427738</v>
      </c>
      <c r="U118" s="3819">
        <f>SUM('цех вода'!AO113)</f>
        <v>1.1221937353427738</v>
      </c>
      <c r="V118" s="3790">
        <f>SUM('цех вода'!AP113)</f>
        <v>3.3665812060283216</v>
      </c>
      <c r="W118" s="3814">
        <f t="shared" si="115"/>
        <v>13.466324824113288</v>
      </c>
      <c r="X118" s="435"/>
      <c r="Y118" s="435"/>
      <c r="Z118" s="435"/>
      <c r="AA118" s="435"/>
      <c r="AB118" s="435"/>
      <c r="AC118" s="435"/>
      <c r="AD118" s="435"/>
      <c r="AE118" s="435"/>
      <c r="AF118" s="435"/>
      <c r="AG118" s="435"/>
      <c r="AH118" s="435"/>
      <c r="AI118" s="435"/>
      <c r="AJ118" s="435"/>
      <c r="AK118" s="435"/>
      <c r="AL118" s="435"/>
      <c r="AM118" s="435"/>
      <c r="AN118" s="435"/>
      <c r="AO118" s="435"/>
      <c r="AP118" s="435"/>
      <c r="AQ118" s="435"/>
      <c r="AR118" s="435"/>
      <c r="AS118" s="435"/>
      <c r="AT118" s="435"/>
      <c r="AU118" s="435"/>
      <c r="AV118" s="435"/>
      <c r="AW118" s="435"/>
      <c r="AX118" s="435"/>
    </row>
    <row r="119" spans="1:50" ht="18.75">
      <c r="A119" s="3818" t="s">
        <v>41</v>
      </c>
      <c r="B119" s="3790">
        <f>SUM('цех вода'!U114)</f>
        <v>0</v>
      </c>
      <c r="C119" s="3790">
        <f>SUM('цех вода'!W114)</f>
        <v>0</v>
      </c>
      <c r="D119" s="3790">
        <f>SUM('цех вода'!X114)</f>
        <v>0</v>
      </c>
      <c r="E119" s="3819">
        <f>SUM('цех вода'!Y114)</f>
        <v>0</v>
      </c>
      <c r="F119" s="3819">
        <f>SUM('цех вода'!Z114)</f>
        <v>0</v>
      </c>
      <c r="G119" s="3819">
        <f>SUM('цех вода'!AA114)</f>
        <v>0</v>
      </c>
      <c r="H119" s="3790">
        <f>SUM('цех вода'!AB114)</f>
        <v>0</v>
      </c>
      <c r="I119" s="3819">
        <f>SUM('цех вода'!AC114)</f>
        <v>0</v>
      </c>
      <c r="J119" s="3819">
        <f>SUM('цех вода'!AD114)</f>
        <v>0</v>
      </c>
      <c r="K119" s="3819">
        <f>SUM('цех вода'!AE114)</f>
        <v>0</v>
      </c>
      <c r="L119" s="3790">
        <f>SUM('цех вода'!AF114)</f>
        <v>0</v>
      </c>
      <c r="M119" s="3790">
        <f>SUM('цех вода'!AG114)</f>
        <v>0</v>
      </c>
      <c r="N119" s="3819">
        <f>SUM('цех вода'!AH114)</f>
        <v>0</v>
      </c>
      <c r="O119" s="3819">
        <f>SUM('цех вода'!AI114)</f>
        <v>0</v>
      </c>
      <c r="P119" s="3819">
        <f>SUM('цех вода'!AJ114)</f>
        <v>0</v>
      </c>
      <c r="Q119" s="3790">
        <f>SUM('цех вода'!AK114)</f>
        <v>0</v>
      </c>
      <c r="R119" s="3790">
        <f>SUM('цех вода'!AL114)</f>
        <v>0</v>
      </c>
      <c r="S119" s="3819">
        <f>SUM('цех вода'!AM114)</f>
        <v>0</v>
      </c>
      <c r="T119" s="3819">
        <f>SUM('цех вода'!AN114)</f>
        <v>0</v>
      </c>
      <c r="U119" s="3819">
        <f>SUM('цех вода'!AO114)</f>
        <v>0</v>
      </c>
      <c r="V119" s="3790">
        <f>SUM('цех вода'!AP114)</f>
        <v>0</v>
      </c>
      <c r="W119" s="3814">
        <f t="shared" si="115"/>
        <v>0</v>
      </c>
      <c r="X119" s="435"/>
      <c r="Y119" s="435"/>
      <c r="Z119" s="435"/>
      <c r="AA119" s="435"/>
      <c r="AB119" s="435"/>
      <c r="AC119" s="435"/>
      <c r="AD119" s="435"/>
      <c r="AE119" s="435"/>
      <c r="AF119" s="435"/>
      <c r="AG119" s="435"/>
      <c r="AH119" s="435"/>
      <c r="AI119" s="435"/>
      <c r="AJ119" s="435"/>
      <c r="AK119" s="435"/>
      <c r="AL119" s="435"/>
      <c r="AM119" s="435"/>
      <c r="AN119" s="435"/>
      <c r="AO119" s="435"/>
      <c r="AP119" s="435"/>
      <c r="AQ119" s="435"/>
      <c r="AR119" s="435"/>
      <c r="AS119" s="435"/>
      <c r="AT119" s="435"/>
      <c r="AU119" s="435"/>
      <c r="AV119" s="435"/>
      <c r="AW119" s="435"/>
      <c r="AX119" s="435"/>
    </row>
    <row r="120" spans="1:50" ht="18.75">
      <c r="A120" s="3818" t="s">
        <v>38</v>
      </c>
      <c r="B120" s="3790">
        <f>SUM('цех вода'!U115)</f>
        <v>0</v>
      </c>
      <c r="C120" s="3790">
        <f>SUM('цех вода'!W115)</f>
        <v>0</v>
      </c>
      <c r="D120" s="3790">
        <f>SUM('цех вода'!X115)</f>
        <v>0</v>
      </c>
      <c r="E120" s="3819">
        <f>SUM('цех вода'!Y115)</f>
        <v>0</v>
      </c>
      <c r="F120" s="3819">
        <f>SUM('цех вода'!Z115)</f>
        <v>0</v>
      </c>
      <c r="G120" s="3819">
        <f>SUM('цех вода'!AA115)</f>
        <v>0</v>
      </c>
      <c r="H120" s="3790">
        <f>SUM('цех вода'!AB115)</f>
        <v>0</v>
      </c>
      <c r="I120" s="3819">
        <f>SUM('цех вода'!AC115)</f>
        <v>0</v>
      </c>
      <c r="J120" s="3819">
        <f>SUM('цех вода'!AD115)</f>
        <v>0</v>
      </c>
      <c r="K120" s="3819">
        <f>SUM('цех вода'!AE115)</f>
        <v>0</v>
      </c>
      <c r="L120" s="3790">
        <f>SUM('цех вода'!AF115)</f>
        <v>0</v>
      </c>
      <c r="M120" s="3790">
        <f>SUM('цех вода'!AG115)</f>
        <v>0</v>
      </c>
      <c r="N120" s="3819">
        <f>SUM('цех вода'!AH115)</f>
        <v>0</v>
      </c>
      <c r="O120" s="3819">
        <f>SUM('цех вода'!AI115)</f>
        <v>0</v>
      </c>
      <c r="P120" s="3819">
        <f>SUM('цех вода'!AJ115)</f>
        <v>0</v>
      </c>
      <c r="Q120" s="3790">
        <f>SUM('цех вода'!AK115)</f>
        <v>0</v>
      </c>
      <c r="R120" s="3790">
        <f>SUM('цех вода'!AL115)</f>
        <v>0</v>
      </c>
      <c r="S120" s="3819">
        <f>SUM('цех вода'!AM115)</f>
        <v>0</v>
      </c>
      <c r="T120" s="3819">
        <f>SUM('цех вода'!AN115)</f>
        <v>0</v>
      </c>
      <c r="U120" s="3819">
        <f>SUM('цех вода'!AO115)</f>
        <v>0</v>
      </c>
      <c r="V120" s="3790">
        <f>SUM('цех вода'!AP115)</f>
        <v>0</v>
      </c>
      <c r="W120" s="3814">
        <f t="shared" si="115"/>
        <v>0</v>
      </c>
      <c r="X120" s="435"/>
      <c r="Y120" s="435"/>
      <c r="Z120" s="435"/>
      <c r="AA120" s="435"/>
      <c r="AB120" s="435"/>
      <c r="AC120" s="435"/>
      <c r="AD120" s="435"/>
      <c r="AE120" s="435"/>
      <c r="AF120" s="435"/>
      <c r="AG120" s="435"/>
      <c r="AH120" s="435"/>
      <c r="AI120" s="435"/>
      <c r="AJ120" s="435"/>
      <c r="AK120" s="435"/>
      <c r="AL120" s="435"/>
      <c r="AM120" s="435"/>
      <c r="AN120" s="435"/>
      <c r="AO120" s="435"/>
      <c r="AP120" s="435"/>
      <c r="AQ120" s="435"/>
      <c r="AR120" s="435"/>
      <c r="AS120" s="435"/>
      <c r="AT120" s="435"/>
      <c r="AU120" s="435"/>
      <c r="AV120" s="435"/>
      <c r="AW120" s="435"/>
      <c r="AX120" s="435"/>
    </row>
    <row r="121" spans="1:50" ht="18.75">
      <c r="A121" s="3818" t="s">
        <v>32</v>
      </c>
      <c r="B121" s="3790">
        <f>SUM('цех вода'!U116)</f>
        <v>5.1079163125946945</v>
      </c>
      <c r="C121" s="3790">
        <f>SUM('цех вода'!W116)</f>
        <v>5.0805010076346422</v>
      </c>
      <c r="D121" s="3790">
        <f>SUM('цех вода'!X116)</f>
        <v>2.7415304960052289E-2</v>
      </c>
      <c r="E121" s="3819">
        <f>SUM('цех вода'!Y116)</f>
        <v>0.42565969271622456</v>
      </c>
      <c r="F121" s="3819">
        <f>SUM('цех вода'!Z116)</f>
        <v>0.42565969271622456</v>
      </c>
      <c r="G121" s="3819">
        <f>SUM('цех вода'!AA116)</f>
        <v>0.42565969271622456</v>
      </c>
      <c r="H121" s="3790">
        <f>SUM('цех вода'!AB116)</f>
        <v>1.2769790781486736</v>
      </c>
      <c r="I121" s="3819">
        <f>SUM('цех вода'!AC116)</f>
        <v>0.42565969271622456</v>
      </c>
      <c r="J121" s="3819">
        <f>SUM('цех вода'!AD116)</f>
        <v>0.42565969271622456</v>
      </c>
      <c r="K121" s="3819">
        <f>SUM('цех вода'!AE116)</f>
        <v>0.42565969271622456</v>
      </c>
      <c r="L121" s="3790">
        <f>SUM('цех вода'!AF116)</f>
        <v>1.2769790781486736</v>
      </c>
      <c r="M121" s="3790">
        <f>SUM('цех вода'!AG116)</f>
        <v>2.5539581562973472</v>
      </c>
      <c r="N121" s="3819">
        <f>SUM('цех вода'!AH116)</f>
        <v>0.42565969271622456</v>
      </c>
      <c r="O121" s="3819">
        <f>SUM('цех вода'!AI116)</f>
        <v>0.42565969271622456</v>
      </c>
      <c r="P121" s="3819">
        <f>SUM('цех вода'!AJ116)</f>
        <v>0.42565969271622456</v>
      </c>
      <c r="Q121" s="3790">
        <f>SUM('цех вода'!AK116)</f>
        <v>1.2769790781486736</v>
      </c>
      <c r="R121" s="3790">
        <f>SUM('цех вода'!AL116)</f>
        <v>3.8309372344460209</v>
      </c>
      <c r="S121" s="3819">
        <f>SUM('цех вода'!AM116)</f>
        <v>0.42565969271622456</v>
      </c>
      <c r="T121" s="3819">
        <f>SUM('цех вода'!AN116)</f>
        <v>0.42565969271622456</v>
      </c>
      <c r="U121" s="3819">
        <f>SUM('цех вода'!AO116)</f>
        <v>0.42565969271622456</v>
      </c>
      <c r="V121" s="3790">
        <f>SUM('цех вода'!AP116)</f>
        <v>1.2769790781486736</v>
      </c>
      <c r="W121" s="3814">
        <f t="shared" si="115"/>
        <v>5.1079163125946936</v>
      </c>
      <c r="X121" s="435"/>
      <c r="Y121" s="435"/>
      <c r="Z121" s="435"/>
      <c r="AA121" s="435"/>
      <c r="AB121" s="435"/>
      <c r="AC121" s="435"/>
      <c r="AD121" s="435"/>
      <c r="AE121" s="435"/>
      <c r="AF121" s="435"/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  <c r="AQ121" s="435"/>
      <c r="AR121" s="435"/>
      <c r="AS121" s="435"/>
      <c r="AT121" s="435"/>
      <c r="AU121" s="435"/>
      <c r="AV121" s="435"/>
      <c r="AW121" s="435"/>
      <c r="AX121" s="435"/>
    </row>
    <row r="122" spans="1:50" ht="18.75">
      <c r="A122" s="3818" t="s">
        <v>607</v>
      </c>
      <c r="B122" s="3790">
        <f>SUM('цех вода'!U117)</f>
        <v>19.502953193543377</v>
      </c>
      <c r="C122" s="3790">
        <f>SUM('цех вода'!W117)</f>
        <v>19.398276574604996</v>
      </c>
      <c r="D122" s="3790">
        <f>SUM('цех вода'!X117)</f>
        <v>0.10467661893838098</v>
      </c>
      <c r="E122" s="3819">
        <f>SUM('цех вода'!Y117)</f>
        <v>1.625246099461948</v>
      </c>
      <c r="F122" s="3819">
        <f>SUM('цех вода'!Z117)</f>
        <v>1.625246099461948</v>
      </c>
      <c r="G122" s="3819">
        <f>SUM('цех вода'!AA117)</f>
        <v>1.625246099461948</v>
      </c>
      <c r="H122" s="3790">
        <f>SUM('цех вода'!AB117)</f>
        <v>4.8757382983858442</v>
      </c>
      <c r="I122" s="3819">
        <f>SUM('цех вода'!AC117)</f>
        <v>1.625246099461948</v>
      </c>
      <c r="J122" s="3819">
        <f>SUM('цех вода'!AD117)</f>
        <v>1.625246099461948</v>
      </c>
      <c r="K122" s="3819">
        <f>SUM('цех вода'!AE117)</f>
        <v>1.625246099461948</v>
      </c>
      <c r="L122" s="3790">
        <f>SUM('цех вода'!AF117)</f>
        <v>4.8757382983858442</v>
      </c>
      <c r="M122" s="3790">
        <f>SUM('цех вода'!AG117)</f>
        <v>9.7514765967716883</v>
      </c>
      <c r="N122" s="3819">
        <f>SUM('цех вода'!AH117)</f>
        <v>1.625246099461948</v>
      </c>
      <c r="O122" s="3819">
        <f>SUM('цех вода'!AI117)</f>
        <v>1.625246099461948</v>
      </c>
      <c r="P122" s="3819">
        <f>SUM('цех вода'!AJ117)</f>
        <v>1.625246099461948</v>
      </c>
      <c r="Q122" s="3790">
        <f>SUM('цех вода'!AK117)</f>
        <v>4.8757382983858442</v>
      </c>
      <c r="R122" s="3790">
        <f>SUM('цех вода'!AL117)</f>
        <v>14.627214895157532</v>
      </c>
      <c r="S122" s="3819">
        <f>SUM('цех вода'!AM117)</f>
        <v>1.625246099461948</v>
      </c>
      <c r="T122" s="3819">
        <f>SUM('цех вода'!AN117)</f>
        <v>1.625246099461948</v>
      </c>
      <c r="U122" s="3819">
        <f>SUM('цех вода'!AO117)</f>
        <v>1.625246099461948</v>
      </c>
      <c r="V122" s="3790">
        <f>SUM('цех вода'!AP117)</f>
        <v>4.8757382983858442</v>
      </c>
      <c r="W122" s="3814">
        <f t="shared" si="115"/>
        <v>19.502953193543377</v>
      </c>
      <c r="X122" s="435"/>
      <c r="Y122" s="435"/>
      <c r="Z122" s="435"/>
      <c r="AA122" s="435"/>
      <c r="AB122" s="435"/>
      <c r="AC122" s="435"/>
      <c r="AD122" s="435"/>
      <c r="AE122" s="435"/>
      <c r="AF122" s="435"/>
      <c r="AG122" s="435"/>
      <c r="AH122" s="435"/>
      <c r="AI122" s="435"/>
      <c r="AJ122" s="435"/>
      <c r="AK122" s="435"/>
      <c r="AL122" s="435"/>
      <c r="AM122" s="435"/>
      <c r="AN122" s="435"/>
      <c r="AO122" s="435"/>
      <c r="AP122" s="435"/>
      <c r="AQ122" s="435"/>
      <c r="AR122" s="435"/>
      <c r="AS122" s="435"/>
      <c r="AT122" s="435"/>
      <c r="AU122" s="435"/>
      <c r="AV122" s="435"/>
      <c r="AW122" s="435"/>
      <c r="AX122" s="435"/>
    </row>
    <row r="123" spans="1:50" ht="18.75">
      <c r="A123" s="3820" t="s">
        <v>565</v>
      </c>
      <c r="B123" s="3794">
        <f>SUM('цех вода'!U118)</f>
        <v>19.502953193543377</v>
      </c>
      <c r="C123" s="3794">
        <f>SUM('цех вода'!W118)</f>
        <v>19.398276574604996</v>
      </c>
      <c r="D123" s="3794">
        <f>SUM('цех вода'!X118)</f>
        <v>0.10467661893838098</v>
      </c>
      <c r="E123" s="3821">
        <f>SUM('цех вода'!Y118)</f>
        <v>1.625246099461948</v>
      </c>
      <c r="F123" s="3821">
        <f>SUM('цех вода'!Z118)</f>
        <v>1.625246099461948</v>
      </c>
      <c r="G123" s="3821">
        <f>SUM('цех вода'!AA118)</f>
        <v>1.625246099461948</v>
      </c>
      <c r="H123" s="3794">
        <f>SUM('цех вода'!AB118)</f>
        <v>4.8757382983858442</v>
      </c>
      <c r="I123" s="3821">
        <f>SUM('цех вода'!AC118)</f>
        <v>1.625246099461948</v>
      </c>
      <c r="J123" s="3821">
        <f>SUM('цех вода'!AD118)</f>
        <v>1.625246099461948</v>
      </c>
      <c r="K123" s="3821">
        <f>SUM('цех вода'!AE118)</f>
        <v>1.625246099461948</v>
      </c>
      <c r="L123" s="3794">
        <f>SUM('цех вода'!AF118)</f>
        <v>4.8757382983858442</v>
      </c>
      <c r="M123" s="3794">
        <f>SUM('цех вода'!AG118)</f>
        <v>9.7514765967716883</v>
      </c>
      <c r="N123" s="3821">
        <f>SUM('цех вода'!AH118)</f>
        <v>1.625246099461948</v>
      </c>
      <c r="O123" s="3821">
        <f>SUM('цех вода'!AI118)</f>
        <v>1.625246099461948</v>
      </c>
      <c r="P123" s="3821">
        <f>SUM('цех вода'!AJ118)</f>
        <v>1.625246099461948</v>
      </c>
      <c r="Q123" s="3794">
        <f>SUM('цех вода'!AK118)</f>
        <v>4.8757382983858442</v>
      </c>
      <c r="R123" s="3794">
        <f>SUM('цех вода'!AL118)</f>
        <v>14.627214895157532</v>
      </c>
      <c r="S123" s="3821">
        <f>SUM('цех вода'!AM118)</f>
        <v>1.625246099461948</v>
      </c>
      <c r="T123" s="3821">
        <f>SUM('цех вода'!AN118)</f>
        <v>1.625246099461948</v>
      </c>
      <c r="U123" s="3821">
        <f>SUM('цех вода'!AO118)</f>
        <v>1.625246099461948</v>
      </c>
      <c r="V123" s="3794">
        <f>SUM('цех вода'!AP118)</f>
        <v>4.8757382983858442</v>
      </c>
      <c r="W123" s="3814">
        <f t="shared" si="115"/>
        <v>19.502953193543377</v>
      </c>
      <c r="X123" s="435"/>
      <c r="Y123" s="435"/>
      <c r="Z123" s="435"/>
      <c r="AA123" s="435"/>
      <c r="AB123" s="435"/>
      <c r="AC123" s="435"/>
      <c r="AD123" s="435"/>
      <c r="AE123" s="435"/>
      <c r="AF123" s="435"/>
      <c r="AG123" s="435"/>
      <c r="AH123" s="435"/>
      <c r="AI123" s="435"/>
      <c r="AJ123" s="435"/>
      <c r="AK123" s="435"/>
      <c r="AL123" s="435"/>
      <c r="AM123" s="435"/>
      <c r="AN123" s="435"/>
      <c r="AO123" s="435"/>
      <c r="AP123" s="435"/>
      <c r="AQ123" s="435"/>
      <c r="AR123" s="435"/>
      <c r="AS123" s="435"/>
      <c r="AT123" s="435"/>
      <c r="AU123" s="435"/>
      <c r="AV123" s="435"/>
      <c r="AW123" s="435"/>
      <c r="AX123" s="435"/>
    </row>
    <row r="124" spans="1:50" ht="18.75">
      <c r="A124" s="3818" t="s">
        <v>610</v>
      </c>
      <c r="B124" s="3790">
        <f>SUM('цех вода'!U119)</f>
        <v>104.94446242240011</v>
      </c>
      <c r="C124" s="3790">
        <f>SUM('цех вода'!W119)</f>
        <v>104.38120252049357</v>
      </c>
      <c r="D124" s="3790">
        <f>SUM('цех вода'!X119)</f>
        <v>0.5632599019065303</v>
      </c>
      <c r="E124" s="3819">
        <f>SUM('цех вода'!Y119)</f>
        <v>7.913787614308645</v>
      </c>
      <c r="F124" s="3819">
        <f>SUM('цех вода'!Z119)</f>
        <v>7.913787614308645</v>
      </c>
      <c r="G124" s="3819">
        <f>SUM('цех вода'!AA119)</f>
        <v>7.913787614308645</v>
      </c>
      <c r="H124" s="3790">
        <f>SUM('цех вода'!AB119)</f>
        <v>23.741362842925934</v>
      </c>
      <c r="I124" s="3819">
        <f>SUM('цех вода'!AC119)</f>
        <v>7.9869236887844339</v>
      </c>
      <c r="J124" s="3819">
        <f>SUM('цех вода'!AD119)</f>
        <v>9.1977320328835841</v>
      </c>
      <c r="K124" s="3819">
        <f>SUM('цех вода'!AE119)</f>
        <v>10.25414199753385</v>
      </c>
      <c r="L124" s="3790">
        <f>SUM('цех вода'!AF119)</f>
        <v>27.438797719201869</v>
      </c>
      <c r="M124" s="3790">
        <f>SUM('цех вода'!AG119)</f>
        <v>51.180160562127803</v>
      </c>
      <c r="N124" s="3819">
        <f>SUM('цех вода'!AH119)</f>
        <v>10.571064986928931</v>
      </c>
      <c r="O124" s="3819">
        <f>SUM('цех вода'!AI119)</f>
        <v>10.25414199753385</v>
      </c>
      <c r="P124" s="3819">
        <f>SUM('цех вода'!AJ119)</f>
        <v>9.1977320328835841</v>
      </c>
      <c r="Q124" s="3790">
        <f>SUM('цех вода'!AK119)</f>
        <v>30.022939017346367</v>
      </c>
      <c r="R124" s="3790">
        <f>SUM('цех вода'!AL119)</f>
        <v>81.20309957947417</v>
      </c>
      <c r="S124" s="3819">
        <f>SUM('цех вода'!AM119)</f>
        <v>7.913787614308645</v>
      </c>
      <c r="T124" s="3819">
        <f>SUM('цех вода'!AN119)</f>
        <v>7.913787614308645</v>
      </c>
      <c r="U124" s="3819">
        <f>SUM('цех вода'!AO119)</f>
        <v>7.913787614308645</v>
      </c>
      <c r="V124" s="3790">
        <f>SUM('цех вода'!AP119)</f>
        <v>23.741362842925934</v>
      </c>
      <c r="W124" s="3814">
        <f t="shared" si="115"/>
        <v>104.94446242240009</v>
      </c>
      <c r="X124" s="435"/>
      <c r="Y124" s="435"/>
      <c r="Z124" s="435"/>
      <c r="AA124" s="435"/>
      <c r="AB124" s="435"/>
      <c r="AC124" s="435"/>
      <c r="AD124" s="435"/>
      <c r="AE124" s="435"/>
      <c r="AF124" s="435"/>
      <c r="AG124" s="435"/>
      <c r="AH124" s="435"/>
      <c r="AI124" s="435"/>
      <c r="AJ124" s="435"/>
      <c r="AK124" s="435"/>
      <c r="AL124" s="435"/>
      <c r="AM124" s="435"/>
      <c r="AN124" s="435"/>
      <c r="AO124" s="435"/>
      <c r="AP124" s="435"/>
      <c r="AQ124" s="435"/>
      <c r="AR124" s="435"/>
      <c r="AS124" s="435"/>
      <c r="AT124" s="435"/>
      <c r="AU124" s="435"/>
      <c r="AV124" s="435"/>
      <c r="AW124" s="435"/>
      <c r="AX124" s="435"/>
    </row>
    <row r="125" spans="1:50" ht="18.75">
      <c r="A125" s="3820" t="s">
        <v>552</v>
      </c>
      <c r="B125" s="3794">
        <f>SUM('цех вода'!U120)</f>
        <v>81.262304973097429</v>
      </c>
      <c r="C125" s="3794">
        <f>SUM('цех вода'!W120)</f>
        <v>80.826152394187503</v>
      </c>
      <c r="D125" s="3794">
        <f>SUM('цех вода'!X120)</f>
        <v>0.43615257890992609</v>
      </c>
      <c r="E125" s="3821">
        <f>SUM('цех вода'!Y120)</f>
        <v>5.9402744935334217</v>
      </c>
      <c r="F125" s="3821">
        <f>SUM('цех вода'!Z120)</f>
        <v>5.9402744935334217</v>
      </c>
      <c r="G125" s="3821">
        <f>SUM('цех вода'!AA120)</f>
        <v>5.9402744935334217</v>
      </c>
      <c r="H125" s="3794">
        <f>SUM('цех вода'!AB120)</f>
        <v>17.820823480600264</v>
      </c>
      <c r="I125" s="3821">
        <f>SUM('цех вода'!AC120)</f>
        <v>6.0134105680092107</v>
      </c>
      <c r="J125" s="3821">
        <f>SUM('цех вода'!AD120)</f>
        <v>7.2242189121083618</v>
      </c>
      <c r="K125" s="3821">
        <f>SUM('цех вода'!AE120)</f>
        <v>8.2806288767586267</v>
      </c>
      <c r="L125" s="3794">
        <f>SUM('цех вода'!AF120)</f>
        <v>21.518258356876199</v>
      </c>
      <c r="M125" s="3794">
        <f>SUM('цех вода'!AG120)</f>
        <v>39.339081837476463</v>
      </c>
      <c r="N125" s="3821">
        <f>SUM('цех вода'!AH120)</f>
        <v>8.597551866153708</v>
      </c>
      <c r="O125" s="3821">
        <f>SUM('цех вода'!AI120)</f>
        <v>8.2806288767586267</v>
      </c>
      <c r="P125" s="3821">
        <f>SUM('цех вода'!AJ120)</f>
        <v>7.2242189121083618</v>
      </c>
      <c r="Q125" s="3794">
        <f>SUM('цех вода'!AK120)</f>
        <v>24.102399655020697</v>
      </c>
      <c r="R125" s="3794">
        <f>SUM('цех вода'!AL120)</f>
        <v>63.441481492497161</v>
      </c>
      <c r="S125" s="3821">
        <f>SUM('цех вода'!AM120)</f>
        <v>5.9402744935334217</v>
      </c>
      <c r="T125" s="3821">
        <f>SUM('цех вода'!AN120)</f>
        <v>5.9402744935334217</v>
      </c>
      <c r="U125" s="3821">
        <f>SUM('цех вода'!AO120)</f>
        <v>5.9402744935334217</v>
      </c>
      <c r="V125" s="3794">
        <f>SUM('цех вода'!AP120)</f>
        <v>17.820823480600264</v>
      </c>
      <c r="W125" s="3814">
        <f t="shared" si="115"/>
        <v>81.262304973097429</v>
      </c>
      <c r="X125" s="435"/>
      <c r="Y125" s="435"/>
      <c r="Z125" s="435"/>
      <c r="AA125" s="435"/>
      <c r="AB125" s="435"/>
      <c r="AC125" s="435"/>
      <c r="AD125" s="435"/>
      <c r="AE125" s="435"/>
      <c r="AF125" s="435"/>
      <c r="AG125" s="435"/>
      <c r="AH125" s="435"/>
      <c r="AI125" s="435"/>
      <c r="AJ125" s="435"/>
      <c r="AK125" s="435"/>
      <c r="AL125" s="435"/>
      <c r="AM125" s="435"/>
      <c r="AN125" s="435"/>
      <c r="AO125" s="435"/>
      <c r="AP125" s="435"/>
      <c r="AQ125" s="435"/>
      <c r="AR125" s="435"/>
      <c r="AS125" s="435"/>
      <c r="AT125" s="435"/>
      <c r="AU125" s="435"/>
      <c r="AV125" s="435"/>
      <c r="AW125" s="435"/>
      <c r="AX125" s="435"/>
    </row>
    <row r="126" spans="1:50" ht="18.75">
      <c r="A126" s="3820" t="s">
        <v>560</v>
      </c>
      <c r="B126" s="3794">
        <f>SUM('цех вода'!U121)</f>
        <v>23.682157449302675</v>
      </c>
      <c r="C126" s="3794">
        <f>SUM('цех вода'!W121)</f>
        <v>23.555050126306071</v>
      </c>
      <c r="D126" s="3794">
        <f>SUM('цех вода'!X121)</f>
        <v>0.12710732299660421</v>
      </c>
      <c r="E126" s="3821">
        <f>SUM('цех вода'!Y121)</f>
        <v>1.973513120775223</v>
      </c>
      <c r="F126" s="3821">
        <f>SUM('цех вода'!Z121)</f>
        <v>1.973513120775223</v>
      </c>
      <c r="G126" s="3821">
        <f>SUM('цех вода'!AA121)</f>
        <v>1.973513120775223</v>
      </c>
      <c r="H126" s="3794">
        <f>SUM('цех вода'!AB121)</f>
        <v>5.9205393623256688</v>
      </c>
      <c r="I126" s="3821">
        <f>SUM('цех вода'!AC121)</f>
        <v>1.973513120775223</v>
      </c>
      <c r="J126" s="3821">
        <f>SUM('цех вода'!AD121)</f>
        <v>1.973513120775223</v>
      </c>
      <c r="K126" s="3821">
        <f>SUM('цех вода'!AE121)</f>
        <v>1.973513120775223</v>
      </c>
      <c r="L126" s="3794">
        <f>SUM('цех вода'!AF121)</f>
        <v>5.9205393623256688</v>
      </c>
      <c r="M126" s="3794">
        <f>SUM('цех вода'!AG121)</f>
        <v>11.841078724651338</v>
      </c>
      <c r="N126" s="3821">
        <f>SUM('цех вода'!AH121)</f>
        <v>1.973513120775223</v>
      </c>
      <c r="O126" s="3821">
        <f>SUM('цех вода'!AI121)</f>
        <v>1.973513120775223</v>
      </c>
      <c r="P126" s="3821">
        <f>SUM('цех вода'!AJ121)</f>
        <v>1.973513120775223</v>
      </c>
      <c r="Q126" s="3794">
        <f>SUM('цех вода'!AK121)</f>
        <v>5.9205393623256688</v>
      </c>
      <c r="R126" s="3794">
        <f>SUM('цех вода'!AL121)</f>
        <v>17.761618086977006</v>
      </c>
      <c r="S126" s="3821">
        <f>SUM('цех вода'!AM121)</f>
        <v>1.973513120775223</v>
      </c>
      <c r="T126" s="3821">
        <f>SUM('цех вода'!AN121)</f>
        <v>1.973513120775223</v>
      </c>
      <c r="U126" s="3821">
        <f>SUM('цех вода'!AO121)</f>
        <v>1.973513120775223</v>
      </c>
      <c r="V126" s="3794">
        <f>SUM('цех вода'!AP121)</f>
        <v>5.9205393623256688</v>
      </c>
      <c r="W126" s="3814">
        <f t="shared" si="115"/>
        <v>23.682157449302675</v>
      </c>
      <c r="X126" s="435"/>
      <c r="Y126" s="435"/>
      <c r="Z126" s="435"/>
      <c r="AA126" s="435"/>
      <c r="AB126" s="435"/>
      <c r="AC126" s="435"/>
      <c r="AD126" s="435"/>
      <c r="AE126" s="435"/>
      <c r="AF126" s="435"/>
      <c r="AG126" s="435"/>
      <c r="AH126" s="435"/>
      <c r="AI126" s="435"/>
      <c r="AJ126" s="435"/>
      <c r="AK126" s="435"/>
      <c r="AL126" s="435"/>
      <c r="AM126" s="435"/>
      <c r="AN126" s="435"/>
      <c r="AO126" s="435"/>
      <c r="AP126" s="435"/>
      <c r="AQ126" s="435"/>
      <c r="AR126" s="435"/>
      <c r="AS126" s="435"/>
      <c r="AT126" s="435"/>
      <c r="AU126" s="435"/>
      <c r="AV126" s="435"/>
      <c r="AW126" s="435"/>
      <c r="AX126" s="435"/>
    </row>
    <row r="127" spans="1:50" ht="18.75">
      <c r="A127" s="3820" t="s">
        <v>614</v>
      </c>
      <c r="B127" s="3794">
        <f>SUM('цех вода'!U122)</f>
        <v>0</v>
      </c>
      <c r="C127" s="3794">
        <f>SUM('цех вода'!W122)</f>
        <v>0</v>
      </c>
      <c r="D127" s="3794">
        <f>SUM('цех вода'!X122)</f>
        <v>0</v>
      </c>
      <c r="E127" s="3821">
        <f>SUM('цех вода'!Y122)</f>
        <v>0</v>
      </c>
      <c r="F127" s="3821">
        <f>SUM('цех вода'!Z122)</f>
        <v>0</v>
      </c>
      <c r="G127" s="3821">
        <f>SUM('цех вода'!AA122)</f>
        <v>0</v>
      </c>
      <c r="H127" s="3794">
        <f>SUM('цех вода'!AB122)</f>
        <v>0</v>
      </c>
      <c r="I127" s="3821">
        <f>SUM('цех вода'!AC122)</f>
        <v>0</v>
      </c>
      <c r="J127" s="3821">
        <f>SUM('цех вода'!AD122)</f>
        <v>0</v>
      </c>
      <c r="K127" s="3821">
        <f>SUM('цех вода'!AE122)</f>
        <v>0</v>
      </c>
      <c r="L127" s="3794">
        <f>SUM('цех вода'!AF122)</f>
        <v>0</v>
      </c>
      <c r="M127" s="3794">
        <f>SUM('цех вода'!AG122)</f>
        <v>0</v>
      </c>
      <c r="N127" s="3821">
        <f>SUM('цех вода'!AH122)</f>
        <v>0</v>
      </c>
      <c r="O127" s="3821">
        <f>SUM('цех вода'!AI122)</f>
        <v>0</v>
      </c>
      <c r="P127" s="3821">
        <f>SUM('цех вода'!AJ122)</f>
        <v>0</v>
      </c>
      <c r="Q127" s="3794">
        <f>SUM('цех вода'!AK122)</f>
        <v>0</v>
      </c>
      <c r="R127" s="3794">
        <f>SUM('цех вода'!AL122)</f>
        <v>0</v>
      </c>
      <c r="S127" s="3821">
        <f>SUM('цех вода'!AM122)</f>
        <v>0</v>
      </c>
      <c r="T127" s="3821">
        <f>SUM('цех вода'!AN122)</f>
        <v>0</v>
      </c>
      <c r="U127" s="3821">
        <f>SUM('цех вода'!AO122)</f>
        <v>0</v>
      </c>
      <c r="V127" s="3794">
        <f>SUM('цех вода'!AP122)</f>
        <v>0</v>
      </c>
      <c r="W127" s="3814">
        <f t="shared" si="115"/>
        <v>0</v>
      </c>
      <c r="X127" s="435"/>
      <c r="Y127" s="435"/>
      <c r="Z127" s="435"/>
      <c r="AA127" s="435"/>
      <c r="AB127" s="435"/>
      <c r="AC127" s="435"/>
      <c r="AD127" s="435"/>
      <c r="AE127" s="435"/>
      <c r="AF127" s="435"/>
      <c r="AG127" s="435"/>
      <c r="AH127" s="435"/>
      <c r="AI127" s="435"/>
      <c r="AJ127" s="435"/>
      <c r="AK127" s="435"/>
      <c r="AL127" s="435"/>
      <c r="AM127" s="435"/>
      <c r="AN127" s="435"/>
      <c r="AO127" s="435"/>
      <c r="AP127" s="435"/>
      <c r="AQ127" s="435"/>
      <c r="AR127" s="435"/>
      <c r="AS127" s="435"/>
      <c r="AT127" s="435"/>
      <c r="AU127" s="435"/>
      <c r="AV127" s="435"/>
      <c r="AW127" s="435"/>
      <c r="AX127" s="435"/>
    </row>
    <row r="128" spans="1:50" ht="18.75">
      <c r="A128" s="3785" t="s">
        <v>542</v>
      </c>
      <c r="B128" s="3787">
        <f>SUM(вода!BY35)</f>
        <v>16220.774851495938</v>
      </c>
      <c r="C128" s="3787">
        <f>SUM(вода!CA35)</f>
        <v>16151.52778340369</v>
      </c>
      <c r="D128" s="3787">
        <f>SUM(вода!CB35)</f>
        <v>69.247068092248711</v>
      </c>
      <c r="E128" s="3808">
        <f>SUM(E129+E130+E131+E132+E133+E135)</f>
        <v>1319.0717036624455</v>
      </c>
      <c r="F128" s="3808">
        <f t="shared" ref="F128:V128" si="116">SUM(F129+F130+F131+F132+F133+F135)</f>
        <v>1319.0717036624455</v>
      </c>
      <c r="G128" s="3808">
        <f t="shared" si="116"/>
        <v>1319.0717036624455</v>
      </c>
      <c r="H128" s="3797">
        <f t="shared" si="116"/>
        <v>3957.2151109873362</v>
      </c>
      <c r="I128" s="3808">
        <f t="shared" si="116"/>
        <v>1319.1032226685811</v>
      </c>
      <c r="J128" s="3808">
        <f t="shared" si="116"/>
        <v>1319.6250373257135</v>
      </c>
      <c r="K128" s="3808">
        <f t="shared" si="116"/>
        <v>1320.0803118587821</v>
      </c>
      <c r="L128" s="3797">
        <f t="shared" si="116"/>
        <v>3958.8085718530765</v>
      </c>
      <c r="M128" s="3797">
        <f t="shared" si="116"/>
        <v>7916.0236828404122</v>
      </c>
      <c r="N128" s="3823">
        <f t="shared" si="116"/>
        <v>1384.8191965962012</v>
      </c>
      <c r="O128" s="3823">
        <f t="shared" si="116"/>
        <v>1384.6826142362806</v>
      </c>
      <c r="P128" s="3823">
        <f t="shared" si="116"/>
        <v>1384.227339703212</v>
      </c>
      <c r="Q128" s="3797">
        <f t="shared" si="116"/>
        <v>4153.7291505356943</v>
      </c>
      <c r="R128" s="3797">
        <f t="shared" si="116"/>
        <v>12069.752833376107</v>
      </c>
      <c r="S128" s="3823">
        <f t="shared" si="116"/>
        <v>1383.6740060399441</v>
      </c>
      <c r="T128" s="3823">
        <f t="shared" si="116"/>
        <v>1383.6740060399441</v>
      </c>
      <c r="U128" s="3823">
        <f t="shared" si="116"/>
        <v>1383.6740060399441</v>
      </c>
      <c r="V128" s="3797">
        <f t="shared" si="116"/>
        <v>4151.0220181198329</v>
      </c>
      <c r="W128" s="3812">
        <f t="shared" si="115"/>
        <v>16220.774851495938</v>
      </c>
      <c r="X128" s="435"/>
      <c r="Y128" s="435"/>
      <c r="Z128" s="435"/>
      <c r="AA128" s="435"/>
      <c r="AB128" s="435"/>
      <c r="AC128" s="435"/>
      <c r="AD128" s="435"/>
      <c r="AE128" s="435"/>
      <c r="AF128" s="435"/>
      <c r="AG128" s="435"/>
      <c r="AH128" s="435"/>
      <c r="AI128" s="435"/>
      <c r="AJ128" s="435"/>
      <c r="AK128" s="435"/>
      <c r="AL128" s="435"/>
      <c r="AM128" s="435"/>
      <c r="AN128" s="435"/>
      <c r="AO128" s="435"/>
      <c r="AP128" s="435"/>
      <c r="AQ128" s="435"/>
      <c r="AR128" s="435"/>
      <c r="AS128" s="435"/>
      <c r="AT128" s="435"/>
      <c r="AU128" s="435"/>
      <c r="AV128" s="435"/>
      <c r="AW128" s="435"/>
      <c r="AX128" s="435"/>
    </row>
    <row r="129" spans="1:50" ht="18.75">
      <c r="A129" s="3813" t="s">
        <v>2</v>
      </c>
      <c r="B129" s="3790">
        <f>SUM(вода!BY36)</f>
        <v>3059.78</v>
      </c>
      <c r="C129" s="3790">
        <f>SUM(вода!CA36)</f>
        <v>3059.78</v>
      </c>
      <c r="D129" s="3790">
        <f>SUM(вода!CB36)</f>
        <v>0</v>
      </c>
      <c r="E129" s="3801">
        <f>SUM(B129/12)</f>
        <v>254.98166666666668</v>
      </c>
      <c r="F129" s="3801">
        <f t="shared" ref="F129:G131" si="117">SUM(E129)</f>
        <v>254.98166666666668</v>
      </c>
      <c r="G129" s="3801">
        <f t="shared" si="117"/>
        <v>254.98166666666668</v>
      </c>
      <c r="H129" s="3799">
        <f>SUM(E129+F129+G129)</f>
        <v>764.94500000000005</v>
      </c>
      <c r="I129" s="3801">
        <f>SUM(E129)</f>
        <v>254.98166666666668</v>
      </c>
      <c r="J129" s="3801">
        <f>SUM(E129)</f>
        <v>254.98166666666668</v>
      </c>
      <c r="K129" s="3801">
        <f>SUM(E129)</f>
        <v>254.98166666666668</v>
      </c>
      <c r="L129" s="3799">
        <f>SUM(I129+J129+K129)</f>
        <v>764.94500000000005</v>
      </c>
      <c r="M129" s="3799">
        <f>SUM(H129+L129)</f>
        <v>1529.89</v>
      </c>
      <c r="N129" s="3798">
        <f>SUM(E129)</f>
        <v>254.98166666666668</v>
      </c>
      <c r="O129" s="3798">
        <f>SUM(E129)</f>
        <v>254.98166666666668</v>
      </c>
      <c r="P129" s="3798">
        <f>E129</f>
        <v>254.98166666666668</v>
      </c>
      <c r="Q129" s="3799">
        <f>SUM(N129+O129+P129)</f>
        <v>764.94500000000005</v>
      </c>
      <c r="R129" s="3799">
        <f>SUM(M129+Q129)</f>
        <v>2294.835</v>
      </c>
      <c r="S129" s="3798">
        <f>E129</f>
        <v>254.98166666666668</v>
      </c>
      <c r="T129" s="3798">
        <f>E129</f>
        <v>254.98166666666668</v>
      </c>
      <c r="U129" s="3798">
        <f>E129</f>
        <v>254.98166666666668</v>
      </c>
      <c r="V129" s="3799">
        <f>SUM(S129+T129+U129)</f>
        <v>764.94500000000005</v>
      </c>
      <c r="W129" s="3814">
        <f>SUM(E129+F129+G129+I129+J129+K129+N129+O129+P129+S129+T129+U129)</f>
        <v>3059.7799999999993</v>
      </c>
      <c r="X129" s="435"/>
      <c r="Y129" s="435"/>
      <c r="Z129" s="435"/>
      <c r="AA129" s="435"/>
      <c r="AB129" s="435"/>
      <c r="AC129" s="435"/>
      <c r="AD129" s="435"/>
      <c r="AE129" s="435"/>
      <c r="AF129" s="435"/>
      <c r="AG129" s="435"/>
      <c r="AH129" s="435"/>
      <c r="AI129" s="435"/>
      <c r="AJ129" s="435"/>
      <c r="AK129" s="435"/>
      <c r="AL129" s="435"/>
      <c r="AM129" s="435"/>
      <c r="AN129" s="435"/>
      <c r="AO129" s="435"/>
      <c r="AP129" s="435"/>
      <c r="AQ129" s="435"/>
      <c r="AR129" s="435"/>
      <c r="AS129" s="435"/>
      <c r="AT129" s="435"/>
      <c r="AU129" s="435"/>
      <c r="AV129" s="435"/>
      <c r="AW129" s="435"/>
      <c r="AX129" s="435"/>
    </row>
    <row r="130" spans="1:50" ht="18.75">
      <c r="A130" s="3813" t="s">
        <v>219</v>
      </c>
      <c r="B130" s="3790">
        <v>0</v>
      </c>
      <c r="C130" s="3790">
        <v>0</v>
      </c>
      <c r="D130" s="3790">
        <v>0</v>
      </c>
      <c r="E130" s="3801">
        <f>SUM(B130/12)</f>
        <v>0</v>
      </c>
      <c r="F130" s="3801">
        <f t="shared" si="117"/>
        <v>0</v>
      </c>
      <c r="G130" s="3801">
        <f t="shared" si="117"/>
        <v>0</v>
      </c>
      <c r="H130" s="3799">
        <f>SUM(E130+F130+G130)</f>
        <v>0</v>
      </c>
      <c r="I130" s="3801">
        <f>SUM(E130)</f>
        <v>0</v>
      </c>
      <c r="J130" s="3801">
        <f>SUM(E130)</f>
        <v>0</v>
      </c>
      <c r="K130" s="3801">
        <f>SUM(E130)</f>
        <v>0</v>
      </c>
      <c r="L130" s="3799">
        <f>SUM(I130+J130+K130)</f>
        <v>0</v>
      </c>
      <c r="M130" s="3799">
        <f>SUM(H130+L130)</f>
        <v>0</v>
      </c>
      <c r="N130" s="3798">
        <f>SUM(E130)</f>
        <v>0</v>
      </c>
      <c r="O130" s="3798">
        <f>SUM(E130)</f>
        <v>0</v>
      </c>
      <c r="P130" s="3798">
        <f>E130</f>
        <v>0</v>
      </c>
      <c r="Q130" s="3799">
        <f>SUM(N130+O130+P130)</f>
        <v>0</v>
      </c>
      <c r="R130" s="3799">
        <f>SUM(M130+Q130)</f>
        <v>0</v>
      </c>
      <c r="S130" s="3798">
        <f>E130</f>
        <v>0</v>
      </c>
      <c r="T130" s="3798">
        <f>E130</f>
        <v>0</v>
      </c>
      <c r="U130" s="3798">
        <f>E130</f>
        <v>0</v>
      </c>
      <c r="V130" s="3799">
        <f>SUM(S130+T130+U130)</f>
        <v>0</v>
      </c>
      <c r="W130" s="3814">
        <f>SUM(E130+F130+G130+I130+J130+K130+N130+O130+P130+S130+T130+U130)</f>
        <v>0</v>
      </c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435"/>
      <c r="AK130" s="435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/>
      <c r="AV130" s="435"/>
      <c r="AW130" s="435"/>
      <c r="AX130" s="435"/>
    </row>
    <row r="131" spans="1:50" ht="18.75">
      <c r="A131" s="3818" t="s">
        <v>3</v>
      </c>
      <c r="B131" s="3790">
        <f>SUM(вода!BY38)</f>
        <v>259.14206440677964</v>
      </c>
      <c r="C131" s="3790">
        <f>SUM(вода!CA38)</f>
        <v>259.14206440677964</v>
      </c>
      <c r="D131" s="3790">
        <f>SUM(вода!CB38)</f>
        <v>0</v>
      </c>
      <c r="E131" s="3801">
        <f>SUM(B131/12)</f>
        <v>21.595172033898304</v>
      </c>
      <c r="F131" s="3801">
        <f t="shared" si="117"/>
        <v>21.595172033898304</v>
      </c>
      <c r="G131" s="3801">
        <f t="shared" si="117"/>
        <v>21.595172033898304</v>
      </c>
      <c r="H131" s="3799">
        <f>SUM(E131+F131+G131)</f>
        <v>64.78551610169491</v>
      </c>
      <c r="I131" s="3801">
        <f>SUM(E131)</f>
        <v>21.595172033898304</v>
      </c>
      <c r="J131" s="3801">
        <f>SUM(E131)</f>
        <v>21.595172033898304</v>
      </c>
      <c r="K131" s="3801">
        <f>SUM(E131)</f>
        <v>21.595172033898304</v>
      </c>
      <c r="L131" s="3799">
        <f>SUM(I131+J131+K131)</f>
        <v>64.78551610169491</v>
      </c>
      <c r="M131" s="3799">
        <f>SUM(H131+L131)</f>
        <v>129.57103220338982</v>
      </c>
      <c r="N131" s="3798">
        <f>SUM(E131)</f>
        <v>21.595172033898304</v>
      </c>
      <c r="O131" s="3798">
        <f>SUM(E131)</f>
        <v>21.595172033898304</v>
      </c>
      <c r="P131" s="3798">
        <f>E131</f>
        <v>21.595172033898304</v>
      </c>
      <c r="Q131" s="3799">
        <f>SUM(N131+O131+P131)</f>
        <v>64.78551610169491</v>
      </c>
      <c r="R131" s="3799">
        <f>SUM(M131+Q131)</f>
        <v>194.35654830508474</v>
      </c>
      <c r="S131" s="3798">
        <f>E131</f>
        <v>21.595172033898304</v>
      </c>
      <c r="T131" s="3798">
        <f>E131</f>
        <v>21.595172033898304</v>
      </c>
      <c r="U131" s="3798">
        <f>E131</f>
        <v>21.595172033898304</v>
      </c>
      <c r="V131" s="3799">
        <f>SUM(S131+T131+U131)</f>
        <v>64.78551610169491</v>
      </c>
      <c r="W131" s="3814">
        <f>SUM(E131+F131+G131+I131+J131+K131+N131+O131+P131+S131+T131+U131)</f>
        <v>259.14206440677964</v>
      </c>
      <c r="X131" s="435"/>
      <c r="Y131" s="435"/>
      <c r="Z131" s="435"/>
      <c r="AA131" s="435"/>
      <c r="AB131" s="435"/>
      <c r="AC131" s="435"/>
      <c r="AD131" s="435"/>
      <c r="AE131" s="435"/>
      <c r="AF131" s="435"/>
      <c r="AG131" s="435"/>
      <c r="AH131" s="435"/>
      <c r="AI131" s="435"/>
      <c r="AJ131" s="435"/>
      <c r="AK131" s="435"/>
      <c r="AL131" s="435"/>
      <c r="AM131" s="435"/>
      <c r="AN131" s="435"/>
      <c r="AO131" s="435"/>
      <c r="AP131" s="435"/>
      <c r="AQ131" s="435"/>
      <c r="AR131" s="435"/>
      <c r="AS131" s="435"/>
      <c r="AT131" s="435"/>
      <c r="AU131" s="435"/>
      <c r="AV131" s="435"/>
      <c r="AW131" s="435"/>
      <c r="AX131" s="435"/>
    </row>
    <row r="132" spans="1:50" ht="18.75">
      <c r="A132" s="3813" t="s">
        <v>4</v>
      </c>
      <c r="B132" s="3790">
        <f>SUM(вода!BY39)</f>
        <v>7813.8569938021474</v>
      </c>
      <c r="C132" s="3790">
        <f>SUM(вода!CA39)</f>
        <v>7771.9183128822742</v>
      </c>
      <c r="D132" s="3790">
        <f>SUM(вода!CB39)</f>
        <v>41.93868091987315</v>
      </c>
      <c r="E132" s="3801">
        <f>SUM((ЗП!CR28/2)/(1+(106.03%*100-100)/2/100)/6)</f>
        <v>632.09702420376868</v>
      </c>
      <c r="F132" s="3801">
        <f>SUM(E132)</f>
        <v>632.09702420376868</v>
      </c>
      <c r="G132" s="3801">
        <f>SUM(E132)</f>
        <v>632.09702420376868</v>
      </c>
      <c r="H132" s="3799">
        <f>SUM(E132+F132+G132)</f>
        <v>1896.2910726113059</v>
      </c>
      <c r="I132" s="3801">
        <f>SUM(E132)</f>
        <v>632.09702420376868</v>
      </c>
      <c r="J132" s="3801">
        <f>SUM(E132)</f>
        <v>632.09702420376868</v>
      </c>
      <c r="K132" s="3801">
        <f>SUM(E132)</f>
        <v>632.09702420376868</v>
      </c>
      <c r="L132" s="3799">
        <f>SUM(I132+J132+K132)</f>
        <v>1896.2910726113059</v>
      </c>
      <c r="M132" s="3799">
        <f>SUM(H132+L132)</f>
        <v>3792.5821452226119</v>
      </c>
      <c r="N132" s="3798">
        <f>SUM(ЗП!CR28-'Произв. прогр. Вода'!M132)/6</f>
        <v>670.21247476325595</v>
      </c>
      <c r="O132" s="3798">
        <f>SUM(N132)</f>
        <v>670.21247476325595</v>
      </c>
      <c r="P132" s="3798">
        <f>SUM(N132)</f>
        <v>670.21247476325595</v>
      </c>
      <c r="Q132" s="3799">
        <f>SUM(N132+O132+P132)</f>
        <v>2010.6374242897678</v>
      </c>
      <c r="R132" s="3799">
        <f>SUM(M132+Q132)</f>
        <v>5803.2195695123792</v>
      </c>
      <c r="S132" s="3798">
        <f>SUM(N132)</f>
        <v>670.21247476325595</v>
      </c>
      <c r="T132" s="3798">
        <f>SUM(N132)</f>
        <v>670.21247476325595</v>
      </c>
      <c r="U132" s="3798">
        <f>SUM(N132)</f>
        <v>670.21247476325595</v>
      </c>
      <c r="V132" s="3799">
        <f>SUM(S132+T132+U132)</f>
        <v>2010.6374242897678</v>
      </c>
      <c r="W132" s="3814">
        <f>SUM(E132+F132+G132+I132+J132+K132+N132+O132+P132+S132+T132+U132)</f>
        <v>7813.8569938021483</v>
      </c>
      <c r="X132" s="435"/>
      <c r="Y132" s="435"/>
      <c r="Z132" s="435"/>
      <c r="AA132" s="435"/>
      <c r="AB132" s="435"/>
      <c r="AC132" s="435"/>
      <c r="AD132" s="435"/>
      <c r="AE132" s="435"/>
      <c r="AF132" s="435"/>
      <c r="AG132" s="435"/>
      <c r="AH132" s="435"/>
      <c r="AI132" s="435"/>
      <c r="AJ132" s="435"/>
      <c r="AK132" s="435"/>
      <c r="AL132" s="435"/>
      <c r="AM132" s="435"/>
      <c r="AN132" s="435"/>
      <c r="AO132" s="435"/>
      <c r="AP132" s="435"/>
      <c r="AQ132" s="435"/>
      <c r="AR132" s="435"/>
      <c r="AS132" s="435"/>
      <c r="AT132" s="435"/>
      <c r="AU132" s="435"/>
      <c r="AV132" s="435"/>
      <c r="AW132" s="435"/>
      <c r="AX132" s="435"/>
    </row>
    <row r="133" spans="1:50" ht="18.75">
      <c r="A133" s="3813" t="s">
        <v>5</v>
      </c>
      <c r="B133" s="3790">
        <f>SUM(вода!BY40)</f>
        <v>2351.9709551344463</v>
      </c>
      <c r="C133" s="3790">
        <f>SUM(вода!CA40)</f>
        <v>2339.3474121775644</v>
      </c>
      <c r="D133" s="3790">
        <f>SUM(вода!CB40)</f>
        <v>12.623542956881817</v>
      </c>
      <c r="E133" s="3801">
        <f>SUM(E132*E134)</f>
        <v>190.26120428533437</v>
      </c>
      <c r="F133" s="3801">
        <f>SUM(F132*F134)</f>
        <v>190.26120428533437</v>
      </c>
      <c r="G133" s="3801">
        <f>SUM(G132*G134)</f>
        <v>190.26120428533437</v>
      </c>
      <c r="H133" s="3799">
        <f>SUM(E133+F133+G133)</f>
        <v>570.78361285600317</v>
      </c>
      <c r="I133" s="3801">
        <f>SUM(I132*I134)</f>
        <v>190.26120428533437</v>
      </c>
      <c r="J133" s="3801">
        <f>SUM(J132*J134)</f>
        <v>190.26120428533437</v>
      </c>
      <c r="K133" s="3801">
        <f>SUM(K132*K134)</f>
        <v>190.26120428533437</v>
      </c>
      <c r="L133" s="3799">
        <f>SUM(I133+J133+K133)</f>
        <v>570.78361285600317</v>
      </c>
      <c r="M133" s="3799">
        <f>SUM(H133+L133)</f>
        <v>1141.5672257120063</v>
      </c>
      <c r="N133" s="3798">
        <f>SUM(N132*N134)</f>
        <v>201.73395490374003</v>
      </c>
      <c r="O133" s="3798">
        <f>SUM(O132*O134)</f>
        <v>201.73395490374003</v>
      </c>
      <c r="P133" s="3798">
        <f>SUM(P132*P134)</f>
        <v>201.73395490374003</v>
      </c>
      <c r="Q133" s="3799">
        <f>SUM(N133+O133+P133)</f>
        <v>605.20186471122008</v>
      </c>
      <c r="R133" s="3799">
        <f>SUM(M133+Q133)</f>
        <v>1746.7690904232263</v>
      </c>
      <c r="S133" s="3798">
        <f>SUM(S132*S134)</f>
        <v>201.73395490374003</v>
      </c>
      <c r="T133" s="3798">
        <f>SUM(T132*T134)</f>
        <v>201.73395490374003</v>
      </c>
      <c r="U133" s="3798">
        <f>SUM(U132*U134)</f>
        <v>201.73395490374003</v>
      </c>
      <c r="V133" s="3799">
        <f>SUM(S133+T133+U133)</f>
        <v>605.20186471122008</v>
      </c>
      <c r="W133" s="3814">
        <f>SUM(E133+F133+G133+I133+J133+K133+N133+O133+P133+S133+T133+U133)</f>
        <v>2351.9709551344467</v>
      </c>
      <c r="X133" s="435"/>
      <c r="Y133" s="435"/>
      <c r="Z133" s="435"/>
      <c r="AA133" s="435"/>
      <c r="AB133" s="435"/>
      <c r="AC133" s="435"/>
      <c r="AD133" s="435"/>
      <c r="AE133" s="435"/>
      <c r="AF133" s="435"/>
      <c r="AG133" s="435"/>
      <c r="AH133" s="435"/>
      <c r="AI133" s="435"/>
      <c r="AJ133" s="435"/>
      <c r="AK133" s="435"/>
      <c r="AL133" s="435"/>
      <c r="AM133" s="435"/>
      <c r="AN133" s="435"/>
      <c r="AO133" s="435"/>
      <c r="AP133" s="435"/>
      <c r="AQ133" s="435"/>
      <c r="AR133" s="435"/>
      <c r="AS133" s="435"/>
      <c r="AT133" s="435"/>
      <c r="AU133" s="435"/>
      <c r="AV133" s="435"/>
      <c r="AW133" s="435"/>
      <c r="AX133" s="435"/>
    </row>
    <row r="134" spans="1:50" ht="18.75">
      <c r="A134" s="3815" t="str">
        <f>A76</f>
        <v>то же в %</v>
      </c>
      <c r="B134" s="3795">
        <f>SUM([18]вода!BG41)</f>
        <v>0.30099999999999999</v>
      </c>
      <c r="C134" s="3795">
        <f>SUM([18]вода!BI41)</f>
        <v>0.30099999999999999</v>
      </c>
      <c r="D134" s="3795">
        <f>SUM([18]вода!BJ41)</f>
        <v>0.30099999999999999</v>
      </c>
      <c r="E134" s="3796">
        <f>SUM(B134)</f>
        <v>0.30099999999999999</v>
      </c>
      <c r="F134" s="3796">
        <f>SUM(E134)</f>
        <v>0.30099999999999999</v>
      </c>
      <c r="G134" s="3796">
        <f>SUM(E134)</f>
        <v>0.30099999999999999</v>
      </c>
      <c r="H134" s="3795">
        <f>SUM(H133/H132)</f>
        <v>0.30100000000000005</v>
      </c>
      <c r="I134" s="3796">
        <f>SUM(E134)</f>
        <v>0.30099999999999999</v>
      </c>
      <c r="J134" s="3796">
        <f>SUM(E134)</f>
        <v>0.30099999999999999</v>
      </c>
      <c r="K134" s="3796">
        <f>SUM(E134)</f>
        <v>0.30099999999999999</v>
      </c>
      <c r="L134" s="3795">
        <f>SUM(L133/L132)</f>
        <v>0.30100000000000005</v>
      </c>
      <c r="M134" s="3795">
        <f>SUM(M133/M132)</f>
        <v>0.30100000000000005</v>
      </c>
      <c r="N134" s="3824">
        <f>SUM(E134)</f>
        <v>0.30099999999999999</v>
      </c>
      <c r="O134" s="3824">
        <f>SUM(E134)</f>
        <v>0.30099999999999999</v>
      </c>
      <c r="P134" s="3824">
        <f>SUM(E134)</f>
        <v>0.30099999999999999</v>
      </c>
      <c r="Q134" s="3795">
        <f>SUM(Q133/Q132)</f>
        <v>0.30099999999999999</v>
      </c>
      <c r="R134" s="3795">
        <f>SUM(R133/R132)</f>
        <v>0.30100000000000005</v>
      </c>
      <c r="S134" s="3824">
        <f>SUM(E134)</f>
        <v>0.30099999999999999</v>
      </c>
      <c r="T134" s="3824">
        <f>SUM(E134)</f>
        <v>0.30099999999999999</v>
      </c>
      <c r="U134" s="3824">
        <f>SUM(E134)</f>
        <v>0.30099999999999999</v>
      </c>
      <c r="V134" s="3795">
        <f>SUM(V133/V132)</f>
        <v>0.30099999999999999</v>
      </c>
      <c r="W134" s="3816">
        <f>SUM(W133/W132)</f>
        <v>0.30099999999999999</v>
      </c>
      <c r="X134" s="435"/>
      <c r="Y134" s="435"/>
      <c r="Z134" s="435"/>
      <c r="AA134" s="435"/>
      <c r="AB134" s="435"/>
      <c r="AC134" s="435"/>
      <c r="AD134" s="435"/>
      <c r="AE134" s="435"/>
      <c r="AF134" s="435"/>
      <c r="AG134" s="435"/>
      <c r="AH134" s="435"/>
      <c r="AI134" s="435"/>
      <c r="AJ134" s="435"/>
      <c r="AK134" s="435"/>
      <c r="AL134" s="435"/>
      <c r="AM134" s="435"/>
      <c r="AN134" s="435"/>
      <c r="AO134" s="435"/>
      <c r="AP134" s="435"/>
      <c r="AQ134" s="435"/>
      <c r="AR134" s="435"/>
      <c r="AS134" s="435"/>
      <c r="AT134" s="435"/>
      <c r="AU134" s="435"/>
      <c r="AV134" s="435"/>
      <c r="AW134" s="435"/>
      <c r="AX134" s="435"/>
    </row>
    <row r="135" spans="1:50" ht="18.75">
      <c r="A135" s="3817" t="s">
        <v>1742</v>
      </c>
      <c r="B135" s="3787">
        <f>SUM('цех вода'!U123)</f>
        <v>2736.0248381525657</v>
      </c>
      <c r="C135" s="3787">
        <f>SUM('цех вода'!W123)</f>
        <v>2721.339993937072</v>
      </c>
      <c r="D135" s="3787">
        <f>SUM('цех вода'!X123)</f>
        <v>14.68484421549374</v>
      </c>
      <c r="E135" s="3800">
        <f>SUM('цех вода'!Y123)</f>
        <v>220.13663647277755</v>
      </c>
      <c r="F135" s="3800">
        <f>SUM('цех вода'!Z123)</f>
        <v>220.13663647277755</v>
      </c>
      <c r="G135" s="3800">
        <f>SUM('цех вода'!AA123)</f>
        <v>220.13663647277755</v>
      </c>
      <c r="H135" s="3787">
        <f>SUM('цех вода'!AB123)</f>
        <v>660.40990941833263</v>
      </c>
      <c r="I135" s="3800">
        <f>SUM('цех вода'!AC123)</f>
        <v>220.16815547891306</v>
      </c>
      <c r="J135" s="3800">
        <f>SUM('цех вода'!AD123)</f>
        <v>220.68997013604553</v>
      </c>
      <c r="K135" s="3800">
        <f>SUM('цех вода'!AE123)</f>
        <v>221.14524466911411</v>
      </c>
      <c r="L135" s="3787">
        <f>SUM('цех вода'!AF123)</f>
        <v>662.00337028407262</v>
      </c>
      <c r="M135" s="3787">
        <f>SUM('цех вода'!AG123)</f>
        <v>1322.4132797024054</v>
      </c>
      <c r="N135" s="3800">
        <f>SUM('цех вода'!AH123)</f>
        <v>236.29592822864029</v>
      </c>
      <c r="O135" s="3800">
        <f>SUM('цех вода'!AI123)</f>
        <v>236.1593458687197</v>
      </c>
      <c r="P135" s="3800">
        <f>SUM('цех вода'!AJ123)</f>
        <v>235.70407133565112</v>
      </c>
      <c r="Q135" s="3787">
        <f>SUM('цех вода'!AK123)</f>
        <v>708.15934543301114</v>
      </c>
      <c r="R135" s="3787">
        <f>SUM('цех вода'!AL123)</f>
        <v>2030.5726251354165</v>
      </c>
      <c r="S135" s="3800">
        <f>SUM('цех вода'!AM123)</f>
        <v>235.15073767238314</v>
      </c>
      <c r="T135" s="3800">
        <f>SUM('цех вода'!AN123)</f>
        <v>235.15073767238314</v>
      </c>
      <c r="U135" s="3800">
        <f>SUM('цех вода'!AO123)</f>
        <v>235.15073767238314</v>
      </c>
      <c r="V135" s="3787">
        <f>SUM('цех вода'!AP123)</f>
        <v>705.45221301714946</v>
      </c>
      <c r="W135" s="3814">
        <f>SUM(E135+F135+G135+I135+J135+K135+N135+O135+P135+S135+T135+U135)</f>
        <v>2736.0248381525657</v>
      </c>
    </row>
    <row r="136" spans="1:50" ht="18.75">
      <c r="A136" s="3818" t="s">
        <v>72</v>
      </c>
      <c r="B136" s="3790">
        <f>SUM('цех вода'!U124)</f>
        <v>1941.2096226692454</v>
      </c>
      <c r="C136" s="3790">
        <f>SUM('цех вода'!W124)</f>
        <v>1930.7907256983528</v>
      </c>
      <c r="D136" s="3790">
        <f>SUM('цех вода'!X124)</f>
        <v>10.418896970892547</v>
      </c>
      <c r="E136" s="3819">
        <f>SUM('цех вода'!Y124)</f>
        <v>155.99563023700139</v>
      </c>
      <c r="F136" s="3819">
        <f>SUM('цех вода'!Z124)</f>
        <v>155.99563023700139</v>
      </c>
      <c r="G136" s="3819">
        <f>SUM('цех вода'!AA124)</f>
        <v>155.99563023700139</v>
      </c>
      <c r="H136" s="3790">
        <f>SUM('цех вода'!AB124)</f>
        <v>467.98689071100421</v>
      </c>
      <c r="I136" s="3819">
        <f>SUM('цех вода'!AC124)</f>
        <v>155.99563023700139</v>
      </c>
      <c r="J136" s="3819">
        <f>SUM('цех вода'!AD124)</f>
        <v>155.99563023700139</v>
      </c>
      <c r="K136" s="3819">
        <f>SUM('цех вода'!AE124)</f>
        <v>155.99563023700139</v>
      </c>
      <c r="L136" s="3790">
        <f>SUM('цех вода'!AF124)</f>
        <v>467.98689071100421</v>
      </c>
      <c r="M136" s="3790">
        <f>SUM('цех вода'!AG124)</f>
        <v>935.97378142200841</v>
      </c>
      <c r="N136" s="3819">
        <f>SUM('цех вода'!AH124)</f>
        <v>167.53930687453951</v>
      </c>
      <c r="O136" s="3819">
        <f>SUM('цех вода'!AI124)</f>
        <v>167.53930687453951</v>
      </c>
      <c r="P136" s="3819">
        <f>SUM('цех вода'!AJ124)</f>
        <v>167.53930687453951</v>
      </c>
      <c r="Q136" s="3790">
        <f>SUM('цех вода'!AK124)</f>
        <v>502.61792062361849</v>
      </c>
      <c r="R136" s="3790">
        <f>SUM('цех вода'!AL124)</f>
        <v>1438.5917020456268</v>
      </c>
      <c r="S136" s="3819">
        <f>SUM('цех вода'!AM124)</f>
        <v>167.53930687453951</v>
      </c>
      <c r="T136" s="3819">
        <f>SUM('цех вода'!AN124)</f>
        <v>167.53930687453951</v>
      </c>
      <c r="U136" s="3819">
        <f>SUM('цех вода'!AO124)</f>
        <v>167.53930687453951</v>
      </c>
      <c r="V136" s="3790">
        <f>SUM('цех вода'!AP124)</f>
        <v>502.61792062361849</v>
      </c>
      <c r="W136" s="3814">
        <f>SUM(E136+F136+G136+I136+J136+K136+N136+O136+P136+S136+T136+U136)</f>
        <v>1941.2096226692454</v>
      </c>
    </row>
    <row r="137" spans="1:50" ht="18.75">
      <c r="A137" s="3818" t="s">
        <v>121</v>
      </c>
      <c r="B137" s="3790">
        <f>SUM('цех вода'!U125)</f>
        <v>583.59409797794228</v>
      </c>
      <c r="C137" s="3790">
        <f>SUM('цех вода'!W125)</f>
        <v>580.46182070677753</v>
      </c>
      <c r="D137" s="3790">
        <f>SUM('цех вода'!X125)</f>
        <v>3.1322772711647531</v>
      </c>
      <c r="E137" s="3819">
        <f>SUM('цех вода'!Y125)</f>
        <v>46.897629217128113</v>
      </c>
      <c r="F137" s="3819">
        <f>SUM('цех вода'!Z125)</f>
        <v>46.897629217128113</v>
      </c>
      <c r="G137" s="3819">
        <f>SUM('цех вода'!AA125)</f>
        <v>46.897629217128113</v>
      </c>
      <c r="H137" s="3790">
        <f>SUM('цех вода'!AB125)</f>
        <v>140.69288765138435</v>
      </c>
      <c r="I137" s="3819">
        <f>SUM('цех вода'!AC125)</f>
        <v>46.897629217128113</v>
      </c>
      <c r="J137" s="3819">
        <f>SUM('цех вода'!AD125)</f>
        <v>46.897629217128113</v>
      </c>
      <c r="K137" s="3819">
        <f>SUM('цех вода'!AE125)</f>
        <v>46.897629217128113</v>
      </c>
      <c r="L137" s="3790">
        <f>SUM('цех вода'!AF125)</f>
        <v>140.69288765138435</v>
      </c>
      <c r="M137" s="3790">
        <f>SUM('цех вода'!AG125)</f>
        <v>281.38577530276871</v>
      </c>
      <c r="N137" s="3819">
        <f>SUM('цех вода'!AH125)</f>
        <v>50.368053779195598</v>
      </c>
      <c r="O137" s="3819">
        <f>SUM('цех вода'!AI125)</f>
        <v>50.368053779195598</v>
      </c>
      <c r="P137" s="3819">
        <f>SUM('цех вода'!AJ125)</f>
        <v>50.368053779195598</v>
      </c>
      <c r="Q137" s="3790">
        <f>SUM('цех вода'!AK125)</f>
        <v>151.10416133758679</v>
      </c>
      <c r="R137" s="3790">
        <f>SUM('цех вода'!AL125)</f>
        <v>432.4899366403555</v>
      </c>
      <c r="S137" s="3819">
        <f>SUM('цех вода'!AM125)</f>
        <v>50.368053779195598</v>
      </c>
      <c r="T137" s="3819">
        <f>SUM('цех вода'!AN125)</f>
        <v>50.368053779195598</v>
      </c>
      <c r="U137" s="3819">
        <f>SUM('цех вода'!AO125)</f>
        <v>50.368053779195598</v>
      </c>
      <c r="V137" s="3790">
        <f>SUM('цех вода'!AP125)</f>
        <v>151.10416133758679</v>
      </c>
      <c r="W137" s="3814">
        <f t="shared" ref="W137:W164" si="118">SUM(E137+F137+G137+I137+J137+K137+N137+O137+P137+S137+T137+U137)</f>
        <v>583.59409797794217</v>
      </c>
    </row>
    <row r="138" spans="1:50" ht="18.75">
      <c r="A138" s="3818" t="s">
        <v>52</v>
      </c>
      <c r="B138" s="3790">
        <f>SUM('цех вода'!U126)</f>
        <v>13.680124190762829</v>
      </c>
      <c r="C138" s="3790">
        <f>SUM('цех вода'!W126)</f>
        <v>13.606699969685362</v>
      </c>
      <c r="D138" s="3790">
        <f>SUM('цех вода'!X126)</f>
        <v>7.3424221077466711E-2</v>
      </c>
      <c r="E138" s="3819">
        <f>SUM('цех вода'!Y126)</f>
        <v>1.1400103492302358</v>
      </c>
      <c r="F138" s="3819">
        <f>SUM('цех вода'!Z126)</f>
        <v>1.1400103492302358</v>
      </c>
      <c r="G138" s="3819">
        <f>SUM('цех вода'!AA126)</f>
        <v>1.1400103492302358</v>
      </c>
      <c r="H138" s="3790">
        <f>SUM('цех вода'!AB126)</f>
        <v>3.4200310476907072</v>
      </c>
      <c r="I138" s="3819">
        <f>SUM('цех вода'!AC126)</f>
        <v>1.1400103492302358</v>
      </c>
      <c r="J138" s="3819">
        <f>SUM('цех вода'!AD126)</f>
        <v>1.1400103492302358</v>
      </c>
      <c r="K138" s="3819">
        <f>SUM('цех вода'!AE126)</f>
        <v>1.1400103492302358</v>
      </c>
      <c r="L138" s="3790">
        <f>SUM('цех вода'!AF126)</f>
        <v>3.4200310476907072</v>
      </c>
      <c r="M138" s="3790">
        <f>SUM('цех вода'!AG126)</f>
        <v>6.8400620953814144</v>
      </c>
      <c r="N138" s="3819">
        <f>SUM('цех вода'!AH126)</f>
        <v>1.1400103492302358</v>
      </c>
      <c r="O138" s="3819">
        <f>SUM('цех вода'!AI126)</f>
        <v>1.1400103492302358</v>
      </c>
      <c r="P138" s="3819">
        <f>SUM('цех вода'!AJ126)</f>
        <v>1.1400103492302358</v>
      </c>
      <c r="Q138" s="3790">
        <f>SUM('цех вода'!AK126)</f>
        <v>3.4200310476907072</v>
      </c>
      <c r="R138" s="3790">
        <f>SUM('цех вода'!AL126)</f>
        <v>10.260093143072123</v>
      </c>
      <c r="S138" s="3819">
        <f>SUM('цех вода'!AM126)</f>
        <v>1.1400103492302358</v>
      </c>
      <c r="T138" s="3819">
        <f>SUM('цех вода'!AN126)</f>
        <v>1.1400103492302358</v>
      </c>
      <c r="U138" s="3819">
        <f>SUM('цех вода'!AO126)</f>
        <v>1.1400103492302358</v>
      </c>
      <c r="V138" s="3790">
        <f>SUM('цех вода'!AP126)</f>
        <v>3.4200310476907072</v>
      </c>
      <c r="W138" s="3814">
        <f t="shared" si="118"/>
        <v>13.680124190762831</v>
      </c>
    </row>
    <row r="139" spans="1:50" ht="18.75">
      <c r="A139" s="3818" t="s">
        <v>606</v>
      </c>
      <c r="B139" s="3790">
        <f>SUM('цех вода'!U127)</f>
        <v>106.15776372031955</v>
      </c>
      <c r="C139" s="3790">
        <f>SUM('цех вода'!W127)</f>
        <v>105.5879917647584</v>
      </c>
      <c r="D139" s="3790">
        <f>SUM('цех вода'!X127)</f>
        <v>0.56977195556115134</v>
      </c>
      <c r="E139" s="3819">
        <f>SUM('цех вода'!Y127)</f>
        <v>8.8464803100266298</v>
      </c>
      <c r="F139" s="3819">
        <f>SUM('цех вода'!Z127)</f>
        <v>8.8464803100266298</v>
      </c>
      <c r="G139" s="3819">
        <f>SUM('цех вода'!AA127)</f>
        <v>8.8464803100266298</v>
      </c>
      <c r="H139" s="3790">
        <f>SUM('цех вода'!AB127)</f>
        <v>26.539440930079891</v>
      </c>
      <c r="I139" s="3819">
        <f>SUM('цех вода'!AC127)</f>
        <v>8.8464803100266298</v>
      </c>
      <c r="J139" s="3819">
        <f>SUM('цех вода'!AD127)</f>
        <v>8.8464803100266298</v>
      </c>
      <c r="K139" s="3819">
        <f>SUM('цех вода'!AE127)</f>
        <v>8.8464803100266298</v>
      </c>
      <c r="L139" s="3790">
        <f>SUM('цех вода'!AF127)</f>
        <v>26.539440930079891</v>
      </c>
      <c r="M139" s="3790">
        <f>SUM('цех вода'!AG127)</f>
        <v>53.078881860159782</v>
      </c>
      <c r="N139" s="3819">
        <f>SUM('цех вода'!AH127)</f>
        <v>8.8464803100266298</v>
      </c>
      <c r="O139" s="3819">
        <f>SUM('цех вода'!AI127)</f>
        <v>8.8464803100266298</v>
      </c>
      <c r="P139" s="3819">
        <f>SUM('цех вода'!AJ127)</f>
        <v>8.8464803100266298</v>
      </c>
      <c r="Q139" s="3790">
        <f>SUM('цех вода'!AK127)</f>
        <v>26.539440930079891</v>
      </c>
      <c r="R139" s="3790">
        <f>SUM('цех вода'!AL127)</f>
        <v>79.618322790239674</v>
      </c>
      <c r="S139" s="3819">
        <f>SUM('цех вода'!AM127)</f>
        <v>8.8464803100266298</v>
      </c>
      <c r="T139" s="3819">
        <f>SUM('цех вода'!AN127)</f>
        <v>8.8464803100266298</v>
      </c>
      <c r="U139" s="3819">
        <f>SUM('цех вода'!AO127)</f>
        <v>8.8464803100266298</v>
      </c>
      <c r="V139" s="3790">
        <f>SUM('цех вода'!AP127)</f>
        <v>26.539440930079891</v>
      </c>
      <c r="W139" s="3814">
        <f t="shared" si="118"/>
        <v>106.15776372031958</v>
      </c>
    </row>
    <row r="140" spans="1:50" ht="18.75">
      <c r="A140" s="3818" t="s">
        <v>38</v>
      </c>
      <c r="B140" s="3790">
        <f>SUM('цех вода'!U128)</f>
        <v>0</v>
      </c>
      <c r="C140" s="3790">
        <f>SUM('цех вода'!W128)</f>
        <v>0</v>
      </c>
      <c r="D140" s="3790">
        <f>SUM('цех вода'!X128)</f>
        <v>0</v>
      </c>
      <c r="E140" s="3819">
        <f>SUM('цех вода'!Y128)</f>
        <v>0</v>
      </c>
      <c r="F140" s="3819">
        <f>SUM('цех вода'!Z128)</f>
        <v>0</v>
      </c>
      <c r="G140" s="3819">
        <f>SUM('цех вода'!AA128)</f>
        <v>0</v>
      </c>
      <c r="H140" s="3790">
        <f>SUM('цех вода'!AB128)</f>
        <v>0</v>
      </c>
      <c r="I140" s="3819">
        <f>SUM('цех вода'!AC128)</f>
        <v>0</v>
      </c>
      <c r="J140" s="3819">
        <f>SUM('цех вода'!AD128)</f>
        <v>0</v>
      </c>
      <c r="K140" s="3819">
        <f>SUM('цех вода'!AE128)</f>
        <v>0</v>
      </c>
      <c r="L140" s="3790">
        <f>SUM('цех вода'!AF128)</f>
        <v>0</v>
      </c>
      <c r="M140" s="3790">
        <f>SUM('цех вода'!AG128)</f>
        <v>0</v>
      </c>
      <c r="N140" s="3819">
        <f>SUM('цех вода'!AH128)</f>
        <v>0</v>
      </c>
      <c r="O140" s="3819">
        <f>SUM('цех вода'!AI128)</f>
        <v>0</v>
      </c>
      <c r="P140" s="3819">
        <f>SUM('цех вода'!AJ128)</f>
        <v>0</v>
      </c>
      <c r="Q140" s="3790">
        <f>SUM('цех вода'!AK128)</f>
        <v>0</v>
      </c>
      <c r="R140" s="3790">
        <f>SUM('цех вода'!AL128)</f>
        <v>0</v>
      </c>
      <c r="S140" s="3819">
        <f>SUM('цех вода'!AM128)</f>
        <v>0</v>
      </c>
      <c r="T140" s="3819">
        <f>SUM('цех вода'!AN128)</f>
        <v>0</v>
      </c>
      <c r="U140" s="3819">
        <f>SUM('цех вода'!AO128)</f>
        <v>0</v>
      </c>
      <c r="V140" s="3790">
        <f>SUM('цех вода'!AP128)</f>
        <v>0</v>
      </c>
      <c r="W140" s="3814">
        <f t="shared" si="118"/>
        <v>0</v>
      </c>
    </row>
    <row r="141" spans="1:50" ht="18.75">
      <c r="A141" s="3818" t="s">
        <v>32</v>
      </c>
      <c r="B141" s="3790">
        <f>SUM('цех вода'!U129)</f>
        <v>5.7456521601203878</v>
      </c>
      <c r="C141" s="3790">
        <f>SUM('цех вода'!W129)</f>
        <v>5.7148139872678518</v>
      </c>
      <c r="D141" s="3790">
        <f>SUM('цех вода'!X129)</f>
        <v>3.0838172852535983E-2</v>
      </c>
      <c r="E141" s="3819">
        <f>SUM('цех вода'!Y129)</f>
        <v>0.47880434667669897</v>
      </c>
      <c r="F141" s="3819">
        <f>SUM('цех вода'!Z129)</f>
        <v>0.47880434667669897</v>
      </c>
      <c r="G141" s="3819">
        <f>SUM('цех вода'!AA129)</f>
        <v>0.47880434667669897</v>
      </c>
      <c r="H141" s="3790">
        <f>SUM('цех вода'!AB129)</f>
        <v>1.436413040030097</v>
      </c>
      <c r="I141" s="3819">
        <f>SUM('цех вода'!AC129)</f>
        <v>0.47880434667669897</v>
      </c>
      <c r="J141" s="3819">
        <f>SUM('цех вода'!AD129)</f>
        <v>0.47880434667669897</v>
      </c>
      <c r="K141" s="3819">
        <f>SUM('цех вода'!AE129)</f>
        <v>0.47880434667669897</v>
      </c>
      <c r="L141" s="3790">
        <f>SUM('цех вода'!AF129)</f>
        <v>1.436413040030097</v>
      </c>
      <c r="M141" s="3790">
        <f>SUM('цех вода'!AG129)</f>
        <v>2.8728260800601939</v>
      </c>
      <c r="N141" s="3819">
        <f>SUM('цех вода'!AH129)</f>
        <v>0.47880434667669897</v>
      </c>
      <c r="O141" s="3819">
        <f>SUM('цех вода'!AI129)</f>
        <v>0.47880434667669897</v>
      </c>
      <c r="P141" s="3819">
        <f>SUM('цех вода'!AJ129)</f>
        <v>0.47880434667669897</v>
      </c>
      <c r="Q141" s="3790">
        <f>SUM('цех вода'!AK129)</f>
        <v>1.436413040030097</v>
      </c>
      <c r="R141" s="3790">
        <f>SUM('цех вода'!AL129)</f>
        <v>4.3092391200902913</v>
      </c>
      <c r="S141" s="3819">
        <f>SUM('цех вода'!AM129)</f>
        <v>0.47880434667669897</v>
      </c>
      <c r="T141" s="3819">
        <f>SUM('цех вода'!AN129)</f>
        <v>0.47880434667669897</v>
      </c>
      <c r="U141" s="3819">
        <f>SUM('цех вода'!AO129)</f>
        <v>0.47880434667669897</v>
      </c>
      <c r="V141" s="3790">
        <f>SUM('цех вода'!AP129)</f>
        <v>1.436413040030097</v>
      </c>
      <c r="W141" s="3814">
        <f t="shared" si="118"/>
        <v>5.7456521601203887</v>
      </c>
    </row>
    <row r="142" spans="1:50" ht="18.75">
      <c r="A142" s="3818" t="s">
        <v>607</v>
      </c>
      <c r="B142" s="3790">
        <f>SUM('цех вода'!U130)</f>
        <v>48.701242119115669</v>
      </c>
      <c r="C142" s="3790">
        <f>SUM('цех вода'!W130)</f>
        <v>48.439851892079886</v>
      </c>
      <c r="D142" s="3790">
        <f>SUM('цех вода'!X130)</f>
        <v>0.26139022703578263</v>
      </c>
      <c r="E142" s="3819">
        <f>SUM('цех вода'!Y130)</f>
        <v>4.0584368432596394</v>
      </c>
      <c r="F142" s="3819">
        <f>SUM('цех вода'!Z130)</f>
        <v>4.0584368432596394</v>
      </c>
      <c r="G142" s="3819">
        <f>SUM('цех вода'!AA130)</f>
        <v>4.0584368432596394</v>
      </c>
      <c r="H142" s="3790">
        <f>SUM('цех вода'!AB130)</f>
        <v>12.175310529778919</v>
      </c>
      <c r="I142" s="3819">
        <f>SUM('цех вода'!AC130)</f>
        <v>4.0584368432596394</v>
      </c>
      <c r="J142" s="3819">
        <f>SUM('цех вода'!AD130)</f>
        <v>4.0584368432596394</v>
      </c>
      <c r="K142" s="3819">
        <f>SUM('цех вода'!AE130)</f>
        <v>4.0584368432596394</v>
      </c>
      <c r="L142" s="3790">
        <f>SUM('цех вода'!AF130)</f>
        <v>12.175310529778919</v>
      </c>
      <c r="M142" s="3790">
        <f>SUM('цех вода'!AG130)</f>
        <v>24.350621059557838</v>
      </c>
      <c r="N142" s="3819">
        <f>SUM('цех вода'!AH130)</f>
        <v>4.0584368432596394</v>
      </c>
      <c r="O142" s="3819">
        <f>SUM('цех вода'!AI130)</f>
        <v>4.0584368432596394</v>
      </c>
      <c r="P142" s="3819">
        <f>SUM('цех вода'!AJ130)</f>
        <v>4.0584368432596394</v>
      </c>
      <c r="Q142" s="3790">
        <f>SUM('цех вода'!AK130)</f>
        <v>12.175310529778919</v>
      </c>
      <c r="R142" s="3790">
        <f>SUM('цех вода'!AL130)</f>
        <v>36.525931589336757</v>
      </c>
      <c r="S142" s="3819">
        <f>SUM('цех вода'!AM130)</f>
        <v>4.0584368432596394</v>
      </c>
      <c r="T142" s="3819">
        <f>SUM('цех вода'!AN130)</f>
        <v>4.0584368432596394</v>
      </c>
      <c r="U142" s="3819">
        <f>SUM('цех вода'!AO130)</f>
        <v>4.0584368432596394</v>
      </c>
      <c r="V142" s="3790">
        <f>SUM('цех вода'!AP130)</f>
        <v>12.175310529778919</v>
      </c>
      <c r="W142" s="3814">
        <f t="shared" si="118"/>
        <v>48.701242119115683</v>
      </c>
    </row>
    <row r="143" spans="1:50" ht="18.75">
      <c r="A143" s="3820" t="s">
        <v>565</v>
      </c>
      <c r="B143" s="3794">
        <f>SUM('цех вода'!U131)</f>
        <v>48.701242119115669</v>
      </c>
      <c r="C143" s="3794">
        <f>SUM('цех вода'!W131)</f>
        <v>48.439851892079886</v>
      </c>
      <c r="D143" s="3794">
        <f>SUM('цех вода'!X131)</f>
        <v>0.26139022703578263</v>
      </c>
      <c r="E143" s="3821">
        <f>SUM('цех вода'!Y131)</f>
        <v>4.0584368432596394</v>
      </c>
      <c r="F143" s="3821">
        <f>SUM('цех вода'!Z131)</f>
        <v>4.0584368432596394</v>
      </c>
      <c r="G143" s="3821">
        <f>SUM('цех вода'!AA131)</f>
        <v>4.0584368432596394</v>
      </c>
      <c r="H143" s="3794">
        <f>SUM('цех вода'!AB131)</f>
        <v>12.175310529778919</v>
      </c>
      <c r="I143" s="3821">
        <f>SUM('цех вода'!AC131)</f>
        <v>4.0584368432596394</v>
      </c>
      <c r="J143" s="3821">
        <f>SUM('цех вода'!AD131)</f>
        <v>4.0584368432596394</v>
      </c>
      <c r="K143" s="3821">
        <f>SUM('цех вода'!AE131)</f>
        <v>4.0584368432596394</v>
      </c>
      <c r="L143" s="3794">
        <f>SUM('цех вода'!AF131)</f>
        <v>12.175310529778919</v>
      </c>
      <c r="M143" s="3794">
        <f>SUM('цех вода'!AG131)</f>
        <v>24.350621059557838</v>
      </c>
      <c r="N143" s="3821">
        <f>SUM('цех вода'!AH131)</f>
        <v>4.0584368432596394</v>
      </c>
      <c r="O143" s="3821">
        <f>SUM('цех вода'!AI131)</f>
        <v>4.0584368432596394</v>
      </c>
      <c r="P143" s="3821">
        <f>SUM('цех вода'!AJ131)</f>
        <v>4.0584368432596394</v>
      </c>
      <c r="Q143" s="3794">
        <f>SUM('цех вода'!AK131)</f>
        <v>12.175310529778919</v>
      </c>
      <c r="R143" s="3794">
        <f>SUM('цех вода'!AL131)</f>
        <v>36.525931589336757</v>
      </c>
      <c r="S143" s="3821">
        <f>SUM('цех вода'!AM131)</f>
        <v>4.0584368432596394</v>
      </c>
      <c r="T143" s="3821">
        <f>SUM('цех вода'!AN131)</f>
        <v>4.0584368432596394</v>
      </c>
      <c r="U143" s="3821">
        <f>SUM('цех вода'!AO131)</f>
        <v>4.0584368432596394</v>
      </c>
      <c r="V143" s="3794">
        <f>SUM('цех вода'!AP131)</f>
        <v>12.175310529778919</v>
      </c>
      <c r="W143" s="3814">
        <f t="shared" si="118"/>
        <v>48.701242119115683</v>
      </c>
    </row>
    <row r="144" spans="1:50" ht="18.75">
      <c r="A144" s="3818" t="s">
        <v>610</v>
      </c>
      <c r="B144" s="3790">
        <f>SUM('цех вода'!U132)</f>
        <v>36.936335315059637</v>
      </c>
      <c r="C144" s="3790">
        <f>SUM('цех вода'!W132)</f>
        <v>36.738089918150472</v>
      </c>
      <c r="D144" s="3790">
        <f>SUM('цех вода'!X132)</f>
        <v>0.19824539690916132</v>
      </c>
      <c r="E144" s="3819">
        <f>SUM('цех вода'!Y132)</f>
        <v>2.719645169454826</v>
      </c>
      <c r="F144" s="3819">
        <f>SUM('цех вода'!Z132)</f>
        <v>2.719645169454826</v>
      </c>
      <c r="G144" s="3819">
        <f>SUM('цех вода'!AA132)</f>
        <v>2.719645169454826</v>
      </c>
      <c r="H144" s="3790">
        <f>SUM('цех вода'!AB132)</f>
        <v>8.158935508364479</v>
      </c>
      <c r="I144" s="3819">
        <f>SUM('цех вода'!AC132)</f>
        <v>2.7511641755903438</v>
      </c>
      <c r="J144" s="3819">
        <f>SUM('цех вода'!AD132)</f>
        <v>3.2729788327228011</v>
      </c>
      <c r="K144" s="3819">
        <f>SUM('цех вода'!AE132)</f>
        <v>3.7282533657913874</v>
      </c>
      <c r="L144" s="3790">
        <f>SUM('цех вода'!AF132)</f>
        <v>9.7523963741045314</v>
      </c>
      <c r="M144" s="3790">
        <f>SUM('цех вода'!AG132)</f>
        <v>17.91133188246901</v>
      </c>
      <c r="N144" s="3819">
        <f>SUM('цех вода'!AH132)</f>
        <v>3.8648357257119641</v>
      </c>
      <c r="O144" s="3819">
        <f>SUM('цех вода'!AI132)</f>
        <v>3.7282533657913874</v>
      </c>
      <c r="P144" s="3819">
        <f>SUM('цех вода'!AJ132)</f>
        <v>3.2729788327228011</v>
      </c>
      <c r="Q144" s="3790">
        <f>SUM('цех вода'!AK132)</f>
        <v>10.866067924226153</v>
      </c>
      <c r="R144" s="3790">
        <f>SUM('цех вода'!AL132)</f>
        <v>28.777399806695165</v>
      </c>
      <c r="S144" s="3819">
        <f>SUM('цех вода'!AM132)</f>
        <v>2.719645169454826</v>
      </c>
      <c r="T144" s="3819">
        <f>SUM('цех вода'!AN132)</f>
        <v>2.719645169454826</v>
      </c>
      <c r="U144" s="3819">
        <f>SUM('цех вода'!AO132)</f>
        <v>2.719645169454826</v>
      </c>
      <c r="V144" s="3790">
        <f>SUM('цех вода'!AP132)</f>
        <v>8.158935508364479</v>
      </c>
      <c r="W144" s="3814">
        <f t="shared" si="118"/>
        <v>36.936335315059644</v>
      </c>
    </row>
    <row r="145" spans="1:23" ht="18.75">
      <c r="A145" s="3820" t="s">
        <v>552</v>
      </c>
      <c r="B145" s="3794">
        <f>SUM('цех вода'!U133)</f>
        <v>35.021117928352844</v>
      </c>
      <c r="C145" s="3794">
        <f>SUM('цех вода'!W133)</f>
        <v>34.833151922394528</v>
      </c>
      <c r="D145" s="3794">
        <f>SUM('цех вода'!X133)</f>
        <v>0.18796600595831592</v>
      </c>
      <c r="E145" s="3821">
        <f>SUM('цех вода'!Y133)</f>
        <v>2.560043720562593</v>
      </c>
      <c r="F145" s="3821">
        <f>SUM('цех вода'!Z133)</f>
        <v>2.560043720562593</v>
      </c>
      <c r="G145" s="3821">
        <f>SUM('цех вода'!AA133)</f>
        <v>2.560043720562593</v>
      </c>
      <c r="H145" s="3794">
        <f>SUM('цех вода'!AB133)</f>
        <v>7.680131161687779</v>
      </c>
      <c r="I145" s="3821">
        <f>SUM('цех вода'!AC133)</f>
        <v>2.5915627266981107</v>
      </c>
      <c r="J145" s="3821">
        <f>SUM('цех вода'!AD133)</f>
        <v>3.1133773838305681</v>
      </c>
      <c r="K145" s="3821">
        <f>SUM('цех вода'!AE133)</f>
        <v>3.5686519168991544</v>
      </c>
      <c r="L145" s="3794">
        <f>SUM('цех вода'!AF133)</f>
        <v>9.2735920274278332</v>
      </c>
      <c r="M145" s="3794">
        <f>SUM('цех вода'!AG133)</f>
        <v>16.953723189115614</v>
      </c>
      <c r="N145" s="3821">
        <f>SUM('цех вода'!AH133)</f>
        <v>3.7052342768197311</v>
      </c>
      <c r="O145" s="3821">
        <f>SUM('цех вода'!AI133)</f>
        <v>3.5686519168991544</v>
      </c>
      <c r="P145" s="3821">
        <f>SUM('цех вода'!AJ133)</f>
        <v>3.1133773838305681</v>
      </c>
      <c r="Q145" s="3794">
        <f>SUM('цех вода'!AK133)</f>
        <v>10.387263577549454</v>
      </c>
      <c r="R145" s="3794">
        <f>SUM('цех вода'!AL133)</f>
        <v>27.340986766665068</v>
      </c>
      <c r="S145" s="3821">
        <f>SUM('цех вода'!AM133)</f>
        <v>2.560043720562593</v>
      </c>
      <c r="T145" s="3821">
        <f>SUM('цех вода'!AN133)</f>
        <v>2.560043720562593</v>
      </c>
      <c r="U145" s="3821">
        <f>SUM('цех вода'!AO133)</f>
        <v>2.560043720562593</v>
      </c>
      <c r="V145" s="3794">
        <f>SUM('цех вода'!AP133)</f>
        <v>7.680131161687779</v>
      </c>
      <c r="W145" s="3814">
        <f t="shared" si="118"/>
        <v>35.021117928352837</v>
      </c>
    </row>
    <row r="146" spans="1:23" ht="18.75">
      <c r="A146" s="3820" t="s">
        <v>644</v>
      </c>
      <c r="B146" s="3794">
        <f>SUM('цех вода'!U134)</f>
        <v>1.9152173867067963</v>
      </c>
      <c r="C146" s="3794">
        <f>SUM('цех вода'!W134)</f>
        <v>1.9049379957559509</v>
      </c>
      <c r="D146" s="3794">
        <f>SUM('цех вода'!X134)</f>
        <v>1.0279390950845402E-2</v>
      </c>
      <c r="E146" s="3821">
        <f>SUM('цех вода'!Y134)</f>
        <v>0.15960144889223302</v>
      </c>
      <c r="F146" s="3821">
        <f>SUM('цех вода'!Z134)</f>
        <v>0.15960144889223302</v>
      </c>
      <c r="G146" s="3821">
        <f>SUM('цех вода'!AA134)</f>
        <v>0.15960144889223302</v>
      </c>
      <c r="H146" s="3794">
        <f>SUM('цех вода'!AB134)</f>
        <v>0.47880434667669902</v>
      </c>
      <c r="I146" s="3821">
        <f>SUM('цех вода'!AC134)</f>
        <v>0.15960144889223302</v>
      </c>
      <c r="J146" s="3821">
        <f>SUM('цех вода'!AD134)</f>
        <v>0.15960144889223302</v>
      </c>
      <c r="K146" s="3821">
        <f>SUM('цех вода'!AE134)</f>
        <v>0.15960144889223302</v>
      </c>
      <c r="L146" s="3794">
        <f>SUM('цех вода'!AF134)</f>
        <v>0.47880434667669902</v>
      </c>
      <c r="M146" s="3794">
        <f>SUM('цех вода'!AG134)</f>
        <v>0.95760869335339804</v>
      </c>
      <c r="N146" s="3821">
        <f>SUM('цех вода'!AH134)</f>
        <v>0.15960144889223302</v>
      </c>
      <c r="O146" s="3821">
        <f>SUM('цех вода'!AI134)</f>
        <v>0.15960144889223302</v>
      </c>
      <c r="P146" s="3821">
        <f>SUM('цех вода'!AJ134)</f>
        <v>0.15960144889223302</v>
      </c>
      <c r="Q146" s="3794">
        <f>SUM('цех вода'!AK134)</f>
        <v>0.47880434667669902</v>
      </c>
      <c r="R146" s="3794">
        <f>SUM('цех вода'!AL134)</f>
        <v>1.436413040030097</v>
      </c>
      <c r="S146" s="3821">
        <f>SUM('цех вода'!AM134)</f>
        <v>0.15960144889223302</v>
      </c>
      <c r="T146" s="3821">
        <f>SUM('цех вода'!AN134)</f>
        <v>0.15960144889223302</v>
      </c>
      <c r="U146" s="3821">
        <f>SUM('цех вода'!AO134)</f>
        <v>0.15960144889223302</v>
      </c>
      <c r="V146" s="3794">
        <f>SUM('цех вода'!AP134)</f>
        <v>0.47880434667669902</v>
      </c>
      <c r="W146" s="3814">
        <f t="shared" si="118"/>
        <v>1.9152173867067963</v>
      </c>
    </row>
    <row r="147" spans="1:23" ht="18.75">
      <c r="A147" s="3820" t="s">
        <v>614</v>
      </c>
      <c r="B147" s="3794">
        <f>SUM('цех вода'!U135)</f>
        <v>0</v>
      </c>
      <c r="C147" s="3794">
        <f>SUM('цех вода'!W135)</f>
        <v>0</v>
      </c>
      <c r="D147" s="3794">
        <f>SUM('цех вода'!X135)</f>
        <v>0</v>
      </c>
      <c r="E147" s="3821">
        <f>SUM('цех вода'!Y135)</f>
        <v>0</v>
      </c>
      <c r="F147" s="3821">
        <f>SUM('цех вода'!Z135)</f>
        <v>0</v>
      </c>
      <c r="G147" s="3821">
        <f>SUM('цех вода'!AA135)</f>
        <v>0</v>
      </c>
      <c r="H147" s="3794">
        <f>SUM('цех вода'!AB135)</f>
        <v>0</v>
      </c>
      <c r="I147" s="3821">
        <f>SUM('цех вода'!AC135)</f>
        <v>0</v>
      </c>
      <c r="J147" s="3821">
        <f>SUM('цех вода'!AD135)</f>
        <v>0</v>
      </c>
      <c r="K147" s="3821">
        <f>SUM('цех вода'!AE135)</f>
        <v>0</v>
      </c>
      <c r="L147" s="3794">
        <f>SUM('цех вода'!AF135)</f>
        <v>0</v>
      </c>
      <c r="M147" s="3794">
        <f>SUM('цех вода'!AG135)</f>
        <v>0</v>
      </c>
      <c r="N147" s="3821">
        <f>SUM('цех вода'!AH135)</f>
        <v>0</v>
      </c>
      <c r="O147" s="3821">
        <f>SUM('цех вода'!AI135)</f>
        <v>0</v>
      </c>
      <c r="P147" s="3821">
        <f>SUM('цех вода'!AJ135)</f>
        <v>0</v>
      </c>
      <c r="Q147" s="3794">
        <f>SUM('цех вода'!AK135)</f>
        <v>0</v>
      </c>
      <c r="R147" s="3794">
        <f>SUM('цех вода'!AL135)</f>
        <v>0</v>
      </c>
      <c r="S147" s="3821">
        <f>SUM('цех вода'!AM135)</f>
        <v>0</v>
      </c>
      <c r="T147" s="3821">
        <f>SUM('цех вода'!AN135)</f>
        <v>0</v>
      </c>
      <c r="U147" s="3821">
        <f>SUM('цех вода'!AO135)</f>
        <v>0</v>
      </c>
      <c r="V147" s="3794">
        <f>SUM('цех вода'!AP135)</f>
        <v>0</v>
      </c>
      <c r="W147" s="3814">
        <f t="shared" si="118"/>
        <v>0</v>
      </c>
    </row>
    <row r="148" spans="1:23" ht="18.75">
      <c r="A148" s="3820" t="s">
        <v>1743</v>
      </c>
      <c r="B148" s="3794">
        <v>0</v>
      </c>
      <c r="C148" s="3794">
        <v>0</v>
      </c>
      <c r="D148" s="3794">
        <v>0</v>
      </c>
      <c r="E148" s="3802">
        <f>SUM(B148/12)</f>
        <v>0</v>
      </c>
      <c r="F148" s="3802">
        <f t="shared" ref="F148" si="119">SUM(E148)</f>
        <v>0</v>
      </c>
      <c r="G148" s="3802">
        <f t="shared" ref="G148" si="120">SUM(F148)</f>
        <v>0</v>
      </c>
      <c r="H148" s="3803">
        <f>SUM(E148+F148+G148)</f>
        <v>0</v>
      </c>
      <c r="I148" s="3802">
        <f>SUM(E148)</f>
        <v>0</v>
      </c>
      <c r="J148" s="3802">
        <f>SUM(E148)</f>
        <v>0</v>
      </c>
      <c r="K148" s="3802">
        <f>SUM(E148)</f>
        <v>0</v>
      </c>
      <c r="L148" s="3803">
        <f>SUM(I148+J148+K148)</f>
        <v>0</v>
      </c>
      <c r="M148" s="3803">
        <f>SUM(H148+L148)</f>
        <v>0</v>
      </c>
      <c r="N148" s="3900">
        <f>SUM(E148)</f>
        <v>0</v>
      </c>
      <c r="O148" s="3900">
        <f>SUM(E148)</f>
        <v>0</v>
      </c>
      <c r="P148" s="3900">
        <f>E148</f>
        <v>0</v>
      </c>
      <c r="Q148" s="3803">
        <f>SUM(N148+O148+P148)</f>
        <v>0</v>
      </c>
      <c r="R148" s="3803">
        <f>SUM(M148+Q148)</f>
        <v>0</v>
      </c>
      <c r="S148" s="3900">
        <f>E148</f>
        <v>0</v>
      </c>
      <c r="T148" s="3900">
        <f>E148</f>
        <v>0</v>
      </c>
      <c r="U148" s="3900">
        <f>E148</f>
        <v>0</v>
      </c>
      <c r="V148" s="3803">
        <f>SUM(S148+T148+U148)</f>
        <v>0</v>
      </c>
      <c r="W148" s="3814">
        <f t="shared" si="118"/>
        <v>0</v>
      </c>
    </row>
    <row r="149" spans="1:23" ht="18.75">
      <c r="A149" s="3817" t="s">
        <v>1744</v>
      </c>
      <c r="B149" s="3787">
        <f>SUM(вода!BY43)</f>
        <v>3621.9039999999995</v>
      </c>
      <c r="C149" s="3787">
        <f>SUM(вода!CA43)</f>
        <v>3603.174</v>
      </c>
      <c r="D149" s="3787">
        <f>SUM(вода!CB43)</f>
        <v>18.73</v>
      </c>
      <c r="E149" s="3822">
        <f>SUM(E150+E151+E152+E153)</f>
        <v>0</v>
      </c>
      <c r="F149" s="3822">
        <f>SUM(F150+F151+F152+F153)</f>
        <v>0</v>
      </c>
      <c r="G149" s="3808">
        <f>SUM(G150+G151+G152+G153)</f>
        <v>905.47599999999989</v>
      </c>
      <c r="H149" s="3797">
        <f t="shared" ref="H149:H156" si="121">SUM(E149+F149+G149)</f>
        <v>905.47599999999989</v>
      </c>
      <c r="I149" s="3825">
        <f>SUM(I150+I151+I152+I153)</f>
        <v>0</v>
      </c>
      <c r="J149" s="3825">
        <f>SUM(J150+J151+J152+J153)</f>
        <v>0</v>
      </c>
      <c r="K149" s="3823">
        <f>SUM(K150+K151+K152+K153)</f>
        <v>905.47599999999989</v>
      </c>
      <c r="L149" s="3797">
        <f t="shared" ref="L149:L156" si="122">SUM(I149+J149+K149)</f>
        <v>905.47599999999989</v>
      </c>
      <c r="M149" s="3797">
        <f t="shared" ref="M149:M164" si="123">SUM(H149+L149)</f>
        <v>1810.9519999999998</v>
      </c>
      <c r="N149" s="3825">
        <f>SUM(N150+N151+N152+N153)</f>
        <v>0</v>
      </c>
      <c r="O149" s="3825">
        <f>SUM(O150+O151+O152+O153)</f>
        <v>0</v>
      </c>
      <c r="P149" s="3823">
        <f>SUM(P150+P151+P152+P153)</f>
        <v>905.47599999999989</v>
      </c>
      <c r="Q149" s="3797">
        <f t="shared" ref="Q149:Q156" si="124">SUM(N149+O149+P149)</f>
        <v>905.47599999999989</v>
      </c>
      <c r="R149" s="3797">
        <f t="shared" ref="R149:R164" si="125">SUM(M149+Q149)</f>
        <v>2716.4279999999999</v>
      </c>
      <c r="S149" s="3825">
        <f>SUM(S150+S151+S152+S153)</f>
        <v>0</v>
      </c>
      <c r="T149" s="3825">
        <f>SUM(T150+T151+T152+T153)</f>
        <v>0</v>
      </c>
      <c r="U149" s="3823">
        <f>SUM(U150+U151+U152+U153)</f>
        <v>905.47599999999989</v>
      </c>
      <c r="V149" s="3797">
        <f t="shared" ref="V149:V156" si="126">SUM(S149+T149+U149)</f>
        <v>905.47599999999989</v>
      </c>
      <c r="W149" s="3812">
        <f t="shared" si="118"/>
        <v>3621.9039999999995</v>
      </c>
    </row>
    <row r="150" spans="1:23" ht="18.75">
      <c r="A150" s="3815" t="s">
        <v>1745</v>
      </c>
      <c r="B150" s="3794">
        <f>SUM(вода!BY44)</f>
        <v>1357.51</v>
      </c>
      <c r="C150" s="3794">
        <f>SUM(вода!CA44)</f>
        <v>1349.53</v>
      </c>
      <c r="D150" s="3794">
        <f>SUM(вода!CB44)</f>
        <v>7.98</v>
      </c>
      <c r="E150" s="3826">
        <v>0</v>
      </c>
      <c r="F150" s="3826">
        <v>0</v>
      </c>
      <c r="G150" s="3802">
        <f>SUM(B150/12*3)</f>
        <v>339.3775</v>
      </c>
      <c r="H150" s="3803">
        <f t="shared" si="121"/>
        <v>339.3775</v>
      </c>
      <c r="I150" s="3901">
        <v>0</v>
      </c>
      <c r="J150" s="3901">
        <v>0</v>
      </c>
      <c r="K150" s="3900">
        <f>SUM(G150)</f>
        <v>339.3775</v>
      </c>
      <c r="L150" s="3803">
        <f t="shared" si="122"/>
        <v>339.3775</v>
      </c>
      <c r="M150" s="3803">
        <f t="shared" si="123"/>
        <v>678.755</v>
      </c>
      <c r="N150" s="3826">
        <v>0</v>
      </c>
      <c r="O150" s="3826">
        <v>0</v>
      </c>
      <c r="P150" s="3802">
        <f>SUM(G150)</f>
        <v>339.3775</v>
      </c>
      <c r="Q150" s="3803">
        <f t="shared" si="124"/>
        <v>339.3775</v>
      </c>
      <c r="R150" s="3803">
        <f t="shared" si="125"/>
        <v>1018.1324999999999</v>
      </c>
      <c r="S150" s="3901">
        <v>0</v>
      </c>
      <c r="T150" s="3901">
        <v>0</v>
      </c>
      <c r="U150" s="3900">
        <f>SUM(G150)</f>
        <v>339.3775</v>
      </c>
      <c r="V150" s="3803">
        <f t="shared" si="126"/>
        <v>339.3775</v>
      </c>
      <c r="W150" s="3814">
        <f t="shared" si="118"/>
        <v>1357.51</v>
      </c>
    </row>
    <row r="151" spans="1:23" ht="18.75">
      <c r="A151" s="3815" t="s">
        <v>543</v>
      </c>
      <c r="B151" s="3794">
        <f>SUM(вода!BY45)</f>
        <v>89.17</v>
      </c>
      <c r="C151" s="3794">
        <f>SUM(вода!CA45)</f>
        <v>88.75</v>
      </c>
      <c r="D151" s="3794">
        <f>SUM(вода!CB45)</f>
        <v>0.42</v>
      </c>
      <c r="E151" s="3826">
        <v>0</v>
      </c>
      <c r="F151" s="3826">
        <v>0</v>
      </c>
      <c r="G151" s="3802">
        <f>SUM(B151/12*3)</f>
        <v>22.2925</v>
      </c>
      <c r="H151" s="3803">
        <f t="shared" si="121"/>
        <v>22.2925</v>
      </c>
      <c r="I151" s="3901">
        <v>0</v>
      </c>
      <c r="J151" s="3901">
        <v>0</v>
      </c>
      <c r="K151" s="3900">
        <f t="shared" ref="K151:K153" si="127">SUM(G151)</f>
        <v>22.2925</v>
      </c>
      <c r="L151" s="3803">
        <f t="shared" si="122"/>
        <v>22.2925</v>
      </c>
      <c r="M151" s="3803">
        <f t="shared" si="123"/>
        <v>44.585000000000001</v>
      </c>
      <c r="N151" s="3826">
        <v>0</v>
      </c>
      <c r="O151" s="3826">
        <v>0</v>
      </c>
      <c r="P151" s="3802">
        <f t="shared" ref="P151:P153" si="128">SUM(G151)</f>
        <v>22.2925</v>
      </c>
      <c r="Q151" s="3803">
        <f t="shared" si="124"/>
        <v>22.2925</v>
      </c>
      <c r="R151" s="3803">
        <f t="shared" si="125"/>
        <v>66.877499999999998</v>
      </c>
      <c r="S151" s="3901">
        <v>0</v>
      </c>
      <c r="T151" s="3901">
        <v>0</v>
      </c>
      <c r="U151" s="3900">
        <f t="shared" ref="U151:U153" si="129">SUM(G151)</f>
        <v>22.2925</v>
      </c>
      <c r="V151" s="3803">
        <f t="shared" si="126"/>
        <v>22.2925</v>
      </c>
      <c r="W151" s="3814">
        <f t="shared" si="118"/>
        <v>89.17</v>
      </c>
    </row>
    <row r="152" spans="1:23" ht="18.75">
      <c r="A152" s="3815" t="s">
        <v>544</v>
      </c>
      <c r="B152" s="3794">
        <f>SUM(вода!BY46)</f>
        <v>0</v>
      </c>
      <c r="C152" s="3794">
        <f>SUM(вода!CA46)</f>
        <v>0</v>
      </c>
      <c r="D152" s="3794">
        <f>SUM(вода!CB46)</f>
        <v>0</v>
      </c>
      <c r="E152" s="3826">
        <v>0</v>
      </c>
      <c r="F152" s="3826">
        <v>0</v>
      </c>
      <c r="G152" s="3802">
        <f t="shared" ref="G152:G153" si="130">SUM(B152/12*3)</f>
        <v>0</v>
      </c>
      <c r="H152" s="3803">
        <f t="shared" si="121"/>
        <v>0</v>
      </c>
      <c r="I152" s="3901">
        <v>0</v>
      </c>
      <c r="J152" s="3901">
        <v>0</v>
      </c>
      <c r="K152" s="3900">
        <f t="shared" si="127"/>
        <v>0</v>
      </c>
      <c r="L152" s="3803">
        <f t="shared" si="122"/>
        <v>0</v>
      </c>
      <c r="M152" s="3803">
        <f t="shared" si="123"/>
        <v>0</v>
      </c>
      <c r="N152" s="3826">
        <v>0</v>
      </c>
      <c r="O152" s="3826">
        <v>0</v>
      </c>
      <c r="P152" s="3802">
        <f t="shared" si="128"/>
        <v>0</v>
      </c>
      <c r="Q152" s="3803">
        <f t="shared" si="124"/>
        <v>0</v>
      </c>
      <c r="R152" s="3803">
        <f t="shared" si="125"/>
        <v>0</v>
      </c>
      <c r="S152" s="3901">
        <v>0</v>
      </c>
      <c r="T152" s="3901">
        <v>0</v>
      </c>
      <c r="U152" s="3900">
        <f t="shared" si="129"/>
        <v>0</v>
      </c>
      <c r="V152" s="3803">
        <f t="shared" si="126"/>
        <v>0</v>
      </c>
      <c r="W152" s="3814">
        <f t="shared" si="118"/>
        <v>0</v>
      </c>
    </row>
    <row r="153" spans="1:23" ht="18.75">
      <c r="A153" s="3815" t="s">
        <v>545</v>
      </c>
      <c r="B153" s="3794">
        <f>SUM(вода!BY47)</f>
        <v>2175.2239999999997</v>
      </c>
      <c r="C153" s="3794">
        <f>SUM(вода!CA47)</f>
        <v>2164.8939999999998</v>
      </c>
      <c r="D153" s="3794">
        <f>SUM(вода!CB47)</f>
        <v>10.33</v>
      </c>
      <c r="E153" s="3826">
        <v>0</v>
      </c>
      <c r="F153" s="3826">
        <v>0</v>
      </c>
      <c r="G153" s="3802">
        <f t="shared" si="130"/>
        <v>543.80599999999993</v>
      </c>
      <c r="H153" s="3803">
        <f t="shared" si="121"/>
        <v>543.80599999999993</v>
      </c>
      <c r="I153" s="3901">
        <v>0</v>
      </c>
      <c r="J153" s="3901">
        <v>0</v>
      </c>
      <c r="K153" s="3900">
        <f t="shared" si="127"/>
        <v>543.80599999999993</v>
      </c>
      <c r="L153" s="3803">
        <f t="shared" si="122"/>
        <v>543.80599999999993</v>
      </c>
      <c r="M153" s="3803">
        <f t="shared" si="123"/>
        <v>1087.6119999999999</v>
      </c>
      <c r="N153" s="3826">
        <v>0</v>
      </c>
      <c r="O153" s="3826">
        <v>0</v>
      </c>
      <c r="P153" s="3802">
        <f t="shared" si="128"/>
        <v>543.80599999999993</v>
      </c>
      <c r="Q153" s="3803">
        <f t="shared" si="124"/>
        <v>543.80599999999993</v>
      </c>
      <c r="R153" s="3803">
        <f t="shared" si="125"/>
        <v>1631.4179999999997</v>
      </c>
      <c r="S153" s="3901">
        <v>0</v>
      </c>
      <c r="T153" s="3901">
        <v>0</v>
      </c>
      <c r="U153" s="3900">
        <f t="shared" si="129"/>
        <v>543.80599999999993</v>
      </c>
      <c r="V153" s="3803">
        <f t="shared" si="126"/>
        <v>543.80599999999993</v>
      </c>
      <c r="W153" s="3814">
        <f t="shared" si="118"/>
        <v>2175.2239999999997</v>
      </c>
    </row>
    <row r="154" spans="1:23" ht="18.75">
      <c r="A154" s="3817" t="s">
        <v>1746</v>
      </c>
      <c r="B154" s="3787">
        <f>SUM(вода!BY48)</f>
        <v>10405.569747911368</v>
      </c>
      <c r="C154" s="3787">
        <f>SUM(вода!CA48)</f>
        <v>10353.7749</v>
      </c>
      <c r="D154" s="3787">
        <f>SUM(вода!CB48)</f>
        <v>51.8</v>
      </c>
      <c r="E154" s="3808">
        <f>SUM(E155+E156+E157)</f>
        <v>844.07164738068468</v>
      </c>
      <c r="F154" s="3808">
        <f t="shared" ref="F154:G154" si="131">SUM(F155+F156+F157)</f>
        <v>844.07164738068468</v>
      </c>
      <c r="G154" s="3808">
        <f t="shared" si="131"/>
        <v>844.07164738068468</v>
      </c>
      <c r="H154" s="3797">
        <f t="shared" si="121"/>
        <v>2532.214942142054</v>
      </c>
      <c r="I154" s="3823">
        <f t="shared" ref="I154:K154" si="132">SUM(I155+I156+I157)</f>
        <v>844.07164738068468</v>
      </c>
      <c r="J154" s="3823">
        <f t="shared" si="132"/>
        <v>844.07164738068468</v>
      </c>
      <c r="K154" s="3823">
        <f t="shared" si="132"/>
        <v>844.07164738068468</v>
      </c>
      <c r="L154" s="3797">
        <f t="shared" si="122"/>
        <v>2532.214942142054</v>
      </c>
      <c r="M154" s="3797">
        <f t="shared" si="123"/>
        <v>5064.4298842841081</v>
      </c>
      <c r="N154" s="3808">
        <f t="shared" ref="N154:P154" si="133">SUM(N155+N156+N157)</f>
        <v>890.18997727121007</v>
      </c>
      <c r="O154" s="3808">
        <f t="shared" si="133"/>
        <v>890.18997727121007</v>
      </c>
      <c r="P154" s="3808">
        <f t="shared" si="133"/>
        <v>890.18997727121007</v>
      </c>
      <c r="Q154" s="3797">
        <f t="shared" si="124"/>
        <v>2670.5699318136303</v>
      </c>
      <c r="R154" s="3797">
        <f t="shared" si="125"/>
        <v>7734.9998160977384</v>
      </c>
      <c r="S154" s="3823">
        <f t="shared" ref="S154:U154" si="134">SUM(S155+S156+S157)</f>
        <v>890.18997727121007</v>
      </c>
      <c r="T154" s="3823">
        <f t="shared" si="134"/>
        <v>890.18997727121007</v>
      </c>
      <c r="U154" s="3823">
        <f t="shared" si="134"/>
        <v>890.18997727121007</v>
      </c>
      <c r="V154" s="3797">
        <f t="shared" si="126"/>
        <v>2670.5699318136303</v>
      </c>
      <c r="W154" s="3812">
        <f t="shared" si="118"/>
        <v>10405.569747911368</v>
      </c>
    </row>
    <row r="155" spans="1:23" ht="18.75">
      <c r="A155" s="3820" t="s">
        <v>1747</v>
      </c>
      <c r="B155" s="3794">
        <f>SUM('ОХР '!BM10*(B154/'ОХР '!AU56))</f>
        <v>7387.3046417956002</v>
      </c>
      <c r="C155" s="3794">
        <f>SUM(B155*C164/B164)</f>
        <v>7347.6553607202095</v>
      </c>
      <c r="D155" s="3794">
        <f>SUM(B155*D164/B164)</f>
        <v>39.649281075389965</v>
      </c>
      <c r="E155" s="3802">
        <f>SUM(B155/2)/(1+(106.03%*100-100)/2/100)/6</f>
        <v>597.59134121208888</v>
      </c>
      <c r="F155" s="3802">
        <f>SUM(E155)</f>
        <v>597.59134121208888</v>
      </c>
      <c r="G155" s="3802">
        <f>SUM(E155)</f>
        <v>597.59134121208888</v>
      </c>
      <c r="H155" s="3803">
        <f t="shared" si="121"/>
        <v>1792.7740236362665</v>
      </c>
      <c r="I155" s="3900">
        <f t="shared" ref="I155:I162" si="135">SUM(E155)</f>
        <v>597.59134121208888</v>
      </c>
      <c r="J155" s="3900">
        <f t="shared" ref="J155:J162" si="136">SUM(E155)</f>
        <v>597.59134121208888</v>
      </c>
      <c r="K155" s="3900">
        <f t="shared" ref="K155:K162" si="137">SUM(E155)</f>
        <v>597.59134121208888</v>
      </c>
      <c r="L155" s="3803">
        <f t="shared" si="122"/>
        <v>1792.7740236362665</v>
      </c>
      <c r="M155" s="3803">
        <f t="shared" si="123"/>
        <v>3585.548047272533</v>
      </c>
      <c r="N155" s="3802">
        <f>SUM(B155-M155)/6</f>
        <v>633.62609908717786</v>
      </c>
      <c r="O155" s="3802">
        <f>SUM(N155)</f>
        <v>633.62609908717786</v>
      </c>
      <c r="P155" s="3802">
        <f>SUM(N155)</f>
        <v>633.62609908717786</v>
      </c>
      <c r="Q155" s="3803">
        <f t="shared" si="124"/>
        <v>1900.8782972615336</v>
      </c>
      <c r="R155" s="3803">
        <f t="shared" si="125"/>
        <v>5486.4263445340666</v>
      </c>
      <c r="S155" s="3900">
        <f>SUM(N155)</f>
        <v>633.62609908717786</v>
      </c>
      <c r="T155" s="3900">
        <f>SUM(N155)</f>
        <v>633.62609908717786</v>
      </c>
      <c r="U155" s="3900">
        <f>SUM(N155)</f>
        <v>633.62609908717786</v>
      </c>
      <c r="V155" s="3803">
        <f t="shared" si="126"/>
        <v>1900.8782972615336</v>
      </c>
      <c r="W155" s="3814">
        <f t="shared" si="118"/>
        <v>7387.3046417956011</v>
      </c>
    </row>
    <row r="156" spans="1:23" ht="18.75">
      <c r="A156" s="3820" t="s">
        <v>1748</v>
      </c>
      <c r="B156" s="3794">
        <f>SUM('ОХР '!BM11*(B154/'ОХР '!AU56))</f>
        <v>2067.1824301894248</v>
      </c>
      <c r="C156" s="3794">
        <f>SUM(B156*C164/B164)</f>
        <v>2056.0874095854329</v>
      </c>
      <c r="D156" s="3794">
        <f>SUM(B156*D164/B164)</f>
        <v>11.095020603992037</v>
      </c>
      <c r="E156" s="3802">
        <f>SUM(B156/2)/(1+(106.03%*100-100)/2/100)/6</f>
        <v>167.2234165080672</v>
      </c>
      <c r="F156" s="3802">
        <f>SUM(E156)</f>
        <v>167.2234165080672</v>
      </c>
      <c r="G156" s="3802">
        <f>SUM(E156)</f>
        <v>167.2234165080672</v>
      </c>
      <c r="H156" s="3803">
        <f t="shared" si="121"/>
        <v>501.67024952420161</v>
      </c>
      <c r="I156" s="3900">
        <f t="shared" si="135"/>
        <v>167.2234165080672</v>
      </c>
      <c r="J156" s="3900">
        <f t="shared" si="136"/>
        <v>167.2234165080672</v>
      </c>
      <c r="K156" s="3900">
        <f t="shared" si="137"/>
        <v>167.2234165080672</v>
      </c>
      <c r="L156" s="3803">
        <f t="shared" si="122"/>
        <v>501.67024952420161</v>
      </c>
      <c r="M156" s="3803">
        <f t="shared" si="123"/>
        <v>1003.3404990484032</v>
      </c>
      <c r="N156" s="3802">
        <f>SUM(B156-M156)/6</f>
        <v>177.30698852350361</v>
      </c>
      <c r="O156" s="3802">
        <f>SUM(N156)</f>
        <v>177.30698852350361</v>
      </c>
      <c r="P156" s="3802">
        <f>SUM(N156)</f>
        <v>177.30698852350361</v>
      </c>
      <c r="Q156" s="3803">
        <f t="shared" si="124"/>
        <v>531.92096557051082</v>
      </c>
      <c r="R156" s="3803">
        <f t="shared" si="125"/>
        <v>1535.261464618914</v>
      </c>
      <c r="S156" s="3900">
        <f>SUM(N156)</f>
        <v>177.30698852350361</v>
      </c>
      <c r="T156" s="3900">
        <f>SUM(N156)</f>
        <v>177.30698852350361</v>
      </c>
      <c r="U156" s="3900">
        <f>SUM(N156)</f>
        <v>177.30698852350361</v>
      </c>
      <c r="V156" s="3803">
        <f t="shared" si="126"/>
        <v>531.92096557051082</v>
      </c>
      <c r="W156" s="3814">
        <f t="shared" si="118"/>
        <v>2067.1824301894248</v>
      </c>
    </row>
    <row r="157" spans="1:23" ht="18.75">
      <c r="A157" s="3815" t="s">
        <v>1749</v>
      </c>
      <c r="B157" s="3794">
        <f>SUM(B154-B155-B156)</f>
        <v>951.08267592634274</v>
      </c>
      <c r="C157" s="3794">
        <f>SUM(C154-C155-C156)</f>
        <v>950.03212969435799</v>
      </c>
      <c r="D157" s="3794">
        <f>SUM(D154-D155-D156)</f>
        <v>1.0556983206179957</v>
      </c>
      <c r="E157" s="3802">
        <f t="shared" ref="E157:E162" si="138">SUM(B157/12)</f>
        <v>79.256889660528557</v>
      </c>
      <c r="F157" s="3802">
        <f t="shared" ref="F157:F162" si="139">SUM(E157)</f>
        <v>79.256889660528557</v>
      </c>
      <c r="G157" s="3802">
        <f t="shared" ref="G157:G162" si="140">SUM(F157)</f>
        <v>79.256889660528557</v>
      </c>
      <c r="H157" s="3803">
        <f t="shared" ref="H157:H164" si="141">SUM(E157+F157+G157)</f>
        <v>237.77066898158569</v>
      </c>
      <c r="I157" s="3900">
        <f t="shared" si="135"/>
        <v>79.256889660528557</v>
      </c>
      <c r="J157" s="3900">
        <f t="shared" si="136"/>
        <v>79.256889660528557</v>
      </c>
      <c r="K157" s="3900">
        <f t="shared" si="137"/>
        <v>79.256889660528557</v>
      </c>
      <c r="L157" s="3803">
        <f t="shared" ref="L157:L164" si="142">SUM(I157+J157+K157)</f>
        <v>237.77066898158569</v>
      </c>
      <c r="M157" s="3803">
        <f t="shared" si="123"/>
        <v>475.54133796317137</v>
      </c>
      <c r="N157" s="3802">
        <f t="shared" ref="N157:N162" si="143">SUM(E157)</f>
        <v>79.256889660528557</v>
      </c>
      <c r="O157" s="3802">
        <f t="shared" ref="O157:O162" si="144">SUM(E157)</f>
        <v>79.256889660528557</v>
      </c>
      <c r="P157" s="3802">
        <f t="shared" ref="P157:P162" si="145">E157</f>
        <v>79.256889660528557</v>
      </c>
      <c r="Q157" s="3803">
        <f t="shared" ref="Q157:Q164" si="146">SUM(N157+O157+P157)</f>
        <v>237.77066898158569</v>
      </c>
      <c r="R157" s="3803">
        <f t="shared" si="125"/>
        <v>713.31200694475706</v>
      </c>
      <c r="S157" s="3900">
        <f t="shared" ref="S157:S162" si="147">E157</f>
        <v>79.256889660528557</v>
      </c>
      <c r="T157" s="3900">
        <f t="shared" ref="T157:T162" si="148">E157</f>
        <v>79.256889660528557</v>
      </c>
      <c r="U157" s="3900">
        <f t="shared" ref="U157:U162" si="149">E157</f>
        <v>79.256889660528557</v>
      </c>
      <c r="V157" s="3803">
        <f t="shared" ref="V157:V164" si="150">SUM(S157+T157+U157)</f>
        <v>237.77066898158569</v>
      </c>
      <c r="W157" s="3814">
        <f t="shared" si="118"/>
        <v>951.08267592634286</v>
      </c>
    </row>
    <row r="158" spans="1:23" ht="18.75">
      <c r="A158" s="3785" t="s">
        <v>1750</v>
      </c>
      <c r="B158" s="3827">
        <f>SUM(вода!BY50)</f>
        <v>2254.38</v>
      </c>
      <c r="C158" s="3827">
        <f>SUM(вода!CA50)</f>
        <v>2254.38</v>
      </c>
      <c r="D158" s="3827">
        <f>SUM(вода!CB50)</f>
        <v>0</v>
      </c>
      <c r="E158" s="3828">
        <f t="shared" si="138"/>
        <v>187.86500000000001</v>
      </c>
      <c r="F158" s="3828">
        <f t="shared" si="139"/>
        <v>187.86500000000001</v>
      </c>
      <c r="G158" s="3828">
        <f t="shared" si="140"/>
        <v>187.86500000000001</v>
      </c>
      <c r="H158" s="3829">
        <f t="shared" si="141"/>
        <v>563.59500000000003</v>
      </c>
      <c r="I158" s="3902">
        <f t="shared" si="135"/>
        <v>187.86500000000001</v>
      </c>
      <c r="J158" s="3902">
        <f t="shared" si="136"/>
        <v>187.86500000000001</v>
      </c>
      <c r="K158" s="3902">
        <f t="shared" si="137"/>
        <v>187.86500000000001</v>
      </c>
      <c r="L158" s="3829">
        <f t="shared" si="142"/>
        <v>563.59500000000003</v>
      </c>
      <c r="M158" s="3829">
        <f t="shared" si="123"/>
        <v>1127.19</v>
      </c>
      <c r="N158" s="3828">
        <f t="shared" si="143"/>
        <v>187.86500000000001</v>
      </c>
      <c r="O158" s="3828">
        <f t="shared" si="144"/>
        <v>187.86500000000001</v>
      </c>
      <c r="P158" s="3828">
        <f t="shared" si="145"/>
        <v>187.86500000000001</v>
      </c>
      <c r="Q158" s="3829">
        <f t="shared" si="146"/>
        <v>563.59500000000003</v>
      </c>
      <c r="R158" s="3829">
        <f t="shared" si="125"/>
        <v>1690.7850000000001</v>
      </c>
      <c r="S158" s="3902">
        <f t="shared" si="147"/>
        <v>187.86500000000001</v>
      </c>
      <c r="T158" s="3902">
        <f t="shared" si="148"/>
        <v>187.86500000000001</v>
      </c>
      <c r="U158" s="3902">
        <f t="shared" si="149"/>
        <v>187.86500000000001</v>
      </c>
      <c r="V158" s="3829">
        <f t="shared" si="150"/>
        <v>563.59500000000003</v>
      </c>
      <c r="W158" s="3830">
        <f t="shared" si="118"/>
        <v>2254.38</v>
      </c>
    </row>
    <row r="159" spans="1:23" ht="18.75">
      <c r="A159" s="3793" t="s">
        <v>286</v>
      </c>
      <c r="B159" s="3794">
        <f>SUM('Выпадающ15-16'!K7)</f>
        <v>746.35</v>
      </c>
      <c r="C159" s="3794">
        <f>SUM(B159)</f>
        <v>746.35</v>
      </c>
      <c r="D159" s="3794">
        <v>0</v>
      </c>
      <c r="E159" s="3802">
        <f t="shared" si="138"/>
        <v>62.195833333333333</v>
      </c>
      <c r="F159" s="3802">
        <f t="shared" si="139"/>
        <v>62.195833333333333</v>
      </c>
      <c r="G159" s="3802">
        <f t="shared" si="140"/>
        <v>62.195833333333333</v>
      </c>
      <c r="H159" s="3803">
        <f t="shared" si="141"/>
        <v>186.58750000000001</v>
      </c>
      <c r="I159" s="3900">
        <f t="shared" si="135"/>
        <v>62.195833333333333</v>
      </c>
      <c r="J159" s="3900">
        <f t="shared" si="136"/>
        <v>62.195833333333333</v>
      </c>
      <c r="K159" s="3900">
        <f t="shared" si="137"/>
        <v>62.195833333333333</v>
      </c>
      <c r="L159" s="3803">
        <f t="shared" si="142"/>
        <v>186.58750000000001</v>
      </c>
      <c r="M159" s="3803">
        <f t="shared" si="123"/>
        <v>373.17500000000001</v>
      </c>
      <c r="N159" s="3802">
        <f t="shared" si="143"/>
        <v>62.195833333333333</v>
      </c>
      <c r="O159" s="3802">
        <f t="shared" si="144"/>
        <v>62.195833333333333</v>
      </c>
      <c r="P159" s="3802">
        <f t="shared" si="145"/>
        <v>62.195833333333333</v>
      </c>
      <c r="Q159" s="3803">
        <f t="shared" si="146"/>
        <v>186.58750000000001</v>
      </c>
      <c r="R159" s="3803">
        <f t="shared" si="125"/>
        <v>559.76250000000005</v>
      </c>
      <c r="S159" s="3900">
        <f t="shared" si="147"/>
        <v>62.195833333333333</v>
      </c>
      <c r="T159" s="3900">
        <f t="shared" si="148"/>
        <v>62.195833333333333</v>
      </c>
      <c r="U159" s="3900">
        <f t="shared" si="149"/>
        <v>62.195833333333333</v>
      </c>
      <c r="V159" s="3803">
        <f t="shared" si="150"/>
        <v>186.58750000000001</v>
      </c>
      <c r="W159" s="3814">
        <f t="shared" si="118"/>
        <v>746.35</v>
      </c>
    </row>
    <row r="160" spans="1:23" ht="18.75">
      <c r="A160" s="3793" t="s">
        <v>289</v>
      </c>
      <c r="B160" s="3794">
        <f>SUM('Выпадающ15-16'!K10)</f>
        <v>1206.25</v>
      </c>
      <c r="C160" s="3794">
        <f t="shared" ref="C160:C161" si="151">SUM(B160)</f>
        <v>1206.25</v>
      </c>
      <c r="D160" s="3794">
        <v>0</v>
      </c>
      <c r="E160" s="3802">
        <f t="shared" si="138"/>
        <v>100.52083333333333</v>
      </c>
      <c r="F160" s="3802">
        <f t="shared" ref="F160" si="152">SUM(E160)</f>
        <v>100.52083333333333</v>
      </c>
      <c r="G160" s="3802">
        <f t="shared" ref="G160" si="153">SUM(F160)</f>
        <v>100.52083333333333</v>
      </c>
      <c r="H160" s="3803">
        <f t="shared" ref="H160" si="154">SUM(E160+F160+G160)</f>
        <v>301.5625</v>
      </c>
      <c r="I160" s="3900">
        <f t="shared" ref="I160" si="155">SUM(E160)</f>
        <v>100.52083333333333</v>
      </c>
      <c r="J160" s="3900">
        <f t="shared" ref="J160" si="156">SUM(E160)</f>
        <v>100.52083333333333</v>
      </c>
      <c r="K160" s="3900">
        <f t="shared" ref="K160" si="157">SUM(E160)</f>
        <v>100.52083333333333</v>
      </c>
      <c r="L160" s="3803">
        <f t="shared" ref="L160" si="158">SUM(I160+J160+K160)</f>
        <v>301.5625</v>
      </c>
      <c r="M160" s="3803">
        <f t="shared" ref="M160" si="159">SUM(H160+L160)</f>
        <v>603.125</v>
      </c>
      <c r="N160" s="3802">
        <f t="shared" si="143"/>
        <v>100.52083333333333</v>
      </c>
      <c r="O160" s="3802">
        <f t="shared" si="144"/>
        <v>100.52083333333333</v>
      </c>
      <c r="P160" s="3802">
        <f t="shared" si="145"/>
        <v>100.52083333333333</v>
      </c>
      <c r="Q160" s="3803">
        <f t="shared" ref="Q160" si="160">SUM(N160+O160+P160)</f>
        <v>301.5625</v>
      </c>
      <c r="R160" s="3803">
        <f t="shared" ref="R160" si="161">SUM(M160+Q160)</f>
        <v>904.6875</v>
      </c>
      <c r="S160" s="3900">
        <f t="shared" si="147"/>
        <v>100.52083333333333</v>
      </c>
      <c r="T160" s="3900">
        <f t="shared" si="148"/>
        <v>100.52083333333333</v>
      </c>
      <c r="U160" s="3900">
        <f t="shared" si="149"/>
        <v>100.52083333333333</v>
      </c>
      <c r="V160" s="3803">
        <f t="shared" ref="V160" si="162">SUM(S160+T160+U160)</f>
        <v>301.5625</v>
      </c>
      <c r="W160" s="3814">
        <f t="shared" si="118"/>
        <v>1206.25</v>
      </c>
    </row>
    <row r="161" spans="1:23" ht="18.75">
      <c r="A161" s="3815" t="s">
        <v>1745</v>
      </c>
      <c r="B161" s="3794">
        <f>SUM('Выпадающ15-16'!K13)</f>
        <v>301.77999999999997</v>
      </c>
      <c r="C161" s="3794">
        <f t="shared" si="151"/>
        <v>301.77999999999997</v>
      </c>
      <c r="D161" s="3794">
        <v>0</v>
      </c>
      <c r="E161" s="3802">
        <f t="shared" si="138"/>
        <v>25.14833333333333</v>
      </c>
      <c r="F161" s="3802">
        <f t="shared" ref="F161" si="163">SUM(E161)</f>
        <v>25.14833333333333</v>
      </c>
      <c r="G161" s="3802">
        <f t="shared" ref="G161" si="164">SUM(F161)</f>
        <v>25.14833333333333</v>
      </c>
      <c r="H161" s="3803">
        <f t="shared" ref="H161" si="165">SUM(E161+F161+G161)</f>
        <v>75.444999999999993</v>
      </c>
      <c r="I161" s="3900">
        <f t="shared" ref="I161" si="166">SUM(E161)</f>
        <v>25.14833333333333</v>
      </c>
      <c r="J161" s="3900">
        <f t="shared" ref="J161" si="167">SUM(E161)</f>
        <v>25.14833333333333</v>
      </c>
      <c r="K161" s="3900">
        <f t="shared" ref="K161" si="168">SUM(E161)</f>
        <v>25.14833333333333</v>
      </c>
      <c r="L161" s="3803">
        <f t="shared" ref="L161" si="169">SUM(I161+J161+K161)</f>
        <v>75.444999999999993</v>
      </c>
      <c r="M161" s="3803">
        <f t="shared" ref="M161" si="170">SUM(H161+L161)</f>
        <v>150.88999999999999</v>
      </c>
      <c r="N161" s="3802">
        <f t="shared" si="143"/>
        <v>25.14833333333333</v>
      </c>
      <c r="O161" s="3802">
        <f t="shared" si="144"/>
        <v>25.14833333333333</v>
      </c>
      <c r="P161" s="3802">
        <f t="shared" si="145"/>
        <v>25.14833333333333</v>
      </c>
      <c r="Q161" s="3803">
        <f t="shared" ref="Q161" si="171">SUM(N161+O161+P161)</f>
        <v>75.444999999999993</v>
      </c>
      <c r="R161" s="3803">
        <f t="shared" ref="R161" si="172">SUM(M161+Q161)</f>
        <v>226.33499999999998</v>
      </c>
      <c r="S161" s="3900">
        <f t="shared" si="147"/>
        <v>25.14833333333333</v>
      </c>
      <c r="T161" s="3900">
        <f t="shared" si="148"/>
        <v>25.14833333333333</v>
      </c>
      <c r="U161" s="3900">
        <f t="shared" si="149"/>
        <v>25.14833333333333</v>
      </c>
      <c r="V161" s="3803">
        <f t="shared" ref="V161" si="173">SUM(S161+T161+U161)</f>
        <v>75.444999999999993</v>
      </c>
      <c r="W161" s="3814">
        <f t="shared" si="118"/>
        <v>301.77999999999997</v>
      </c>
    </row>
    <row r="162" spans="1:23" ht="18.75">
      <c r="A162" s="3785" t="s">
        <v>1751</v>
      </c>
      <c r="B162" s="3787">
        <f>SUM(вода!BY49)</f>
        <v>397.28</v>
      </c>
      <c r="C162" s="3787">
        <f>SUM(вода!CA49)</f>
        <v>397.28</v>
      </c>
      <c r="D162" s="3787">
        <f>SUM(вода!CB49)</f>
        <v>0</v>
      </c>
      <c r="E162" s="3808">
        <f t="shared" si="138"/>
        <v>33.106666666666662</v>
      </c>
      <c r="F162" s="3808">
        <f t="shared" si="139"/>
        <v>33.106666666666662</v>
      </c>
      <c r="G162" s="3808">
        <f t="shared" si="140"/>
        <v>33.106666666666662</v>
      </c>
      <c r="H162" s="3797">
        <f t="shared" si="141"/>
        <v>99.32</v>
      </c>
      <c r="I162" s="3823">
        <f t="shared" si="135"/>
        <v>33.106666666666662</v>
      </c>
      <c r="J162" s="3823">
        <f t="shared" si="136"/>
        <v>33.106666666666662</v>
      </c>
      <c r="K162" s="3823">
        <f t="shared" si="137"/>
        <v>33.106666666666662</v>
      </c>
      <c r="L162" s="3797">
        <f t="shared" si="142"/>
        <v>99.32</v>
      </c>
      <c r="M162" s="3797">
        <f t="shared" si="123"/>
        <v>198.64</v>
      </c>
      <c r="N162" s="3808">
        <f t="shared" si="143"/>
        <v>33.106666666666662</v>
      </c>
      <c r="O162" s="3808">
        <f t="shared" si="144"/>
        <v>33.106666666666662</v>
      </c>
      <c r="P162" s="3808">
        <f t="shared" si="145"/>
        <v>33.106666666666662</v>
      </c>
      <c r="Q162" s="3797">
        <f t="shared" si="146"/>
        <v>99.32</v>
      </c>
      <c r="R162" s="3797">
        <f t="shared" si="125"/>
        <v>297.95999999999998</v>
      </c>
      <c r="S162" s="3823">
        <f t="shared" si="147"/>
        <v>33.106666666666662</v>
      </c>
      <c r="T162" s="3823">
        <f t="shared" si="148"/>
        <v>33.106666666666662</v>
      </c>
      <c r="U162" s="3823">
        <f t="shared" si="149"/>
        <v>33.106666666666662</v>
      </c>
      <c r="V162" s="3797">
        <f t="shared" si="150"/>
        <v>99.32</v>
      </c>
      <c r="W162" s="3814">
        <f t="shared" si="118"/>
        <v>397.28000000000003</v>
      </c>
    </row>
    <row r="163" spans="1:23" ht="18.75">
      <c r="A163" s="3817" t="s">
        <v>12</v>
      </c>
      <c r="B163" s="3787">
        <f>SUM(вода!BY51)</f>
        <v>126864.26461703914</v>
      </c>
      <c r="C163" s="3787">
        <f>SUM(вода!CA51)</f>
        <v>126518.39756640363</v>
      </c>
      <c r="D163" s="3787">
        <f>SUM(вода!CB51)</f>
        <v>345.87220272417039</v>
      </c>
      <c r="E163" s="3808">
        <f>SUM(E44+E68+E104+E128+E149+E154+E158+E162)</f>
        <v>10388.943328519104</v>
      </c>
      <c r="F163" s="3808">
        <f t="shared" ref="F163:G163" si="174">SUM(F44+F68+F104+F128+F149+F154+F158+F162)</f>
        <v>10293.16779910797</v>
      </c>
      <c r="G163" s="3808">
        <f t="shared" si="174"/>
        <v>11159.65375582767</v>
      </c>
      <c r="H163" s="3797">
        <f t="shared" si="141"/>
        <v>31841.764883454744</v>
      </c>
      <c r="I163" s="3823">
        <f t="shared" ref="I163:K163" si="175">SUM(I44+I68+I104+I128+I149+I154+I158+I162)</f>
        <v>10096.90299007019</v>
      </c>
      <c r="J163" s="3823">
        <f t="shared" si="175"/>
        <v>9789.7189061356603</v>
      </c>
      <c r="K163" s="3823">
        <f t="shared" si="175"/>
        <v>10580.561090419236</v>
      </c>
      <c r="L163" s="3797">
        <f t="shared" si="142"/>
        <v>30467.182986625085</v>
      </c>
      <c r="M163" s="3797">
        <f t="shared" si="123"/>
        <v>62308.947870079828</v>
      </c>
      <c r="N163" s="3808">
        <f t="shared" ref="N163:P163" si="176">SUM(N44+N68+N104+N128+N149+N154+N158+N162)</f>
        <v>10118.426311213148</v>
      </c>
      <c r="O163" s="3808">
        <f t="shared" si="176"/>
        <v>10144.716467556069</v>
      </c>
      <c r="P163" s="3808">
        <f t="shared" si="176"/>
        <v>11247.481611751649</v>
      </c>
      <c r="Q163" s="3797">
        <f t="shared" si="146"/>
        <v>31510.624390520865</v>
      </c>
      <c r="R163" s="3797">
        <f t="shared" si="125"/>
        <v>93819.572260600689</v>
      </c>
      <c r="S163" s="3823">
        <f t="shared" ref="S163:U163" si="177">SUM(S44+S68+S104+S128+S149+S154+S158+S162)</f>
        <v>10598.50854568425</v>
      </c>
      <c r="T163" s="3823">
        <f t="shared" si="177"/>
        <v>10704.337126557302</v>
      </c>
      <c r="U163" s="3823">
        <f t="shared" si="177"/>
        <v>11741.838549566855</v>
      </c>
      <c r="V163" s="3797">
        <f t="shared" si="150"/>
        <v>33044.684221808406</v>
      </c>
      <c r="W163" s="3812">
        <f t="shared" si="118"/>
        <v>126864.25648240911</v>
      </c>
    </row>
    <row r="164" spans="1:23" ht="18.75">
      <c r="A164" s="3831" t="s">
        <v>13</v>
      </c>
      <c r="B164" s="3787">
        <f>SUM(B17)</f>
        <v>3791.3490000000002</v>
      </c>
      <c r="C164" s="3787">
        <f>SUM(C17)</f>
        <v>3771</v>
      </c>
      <c r="D164" s="3787">
        <f>SUM(D17)</f>
        <v>20.349</v>
      </c>
      <c r="E164" s="3804">
        <f>SUM(E17)</f>
        <v>322.29552269999999</v>
      </c>
      <c r="F164" s="3804">
        <f t="shared" ref="F164:K164" si="178">SUM(F17)</f>
        <v>322.77283950000003</v>
      </c>
      <c r="G164" s="3804">
        <f t="shared" si="178"/>
        <v>323.98447440000001</v>
      </c>
      <c r="H164" s="3797">
        <f t="shared" si="141"/>
        <v>969.05283660000009</v>
      </c>
      <c r="I164" s="3832">
        <f t="shared" si="178"/>
        <v>319.50908579999998</v>
      </c>
      <c r="J164" s="3832">
        <f t="shared" si="178"/>
        <v>313.22822069999995</v>
      </c>
      <c r="K164" s="3832">
        <f t="shared" si="178"/>
        <v>302.08484820000001</v>
      </c>
      <c r="L164" s="3797">
        <f t="shared" si="142"/>
        <v>934.82215469999994</v>
      </c>
      <c r="M164" s="3797">
        <f t="shared" si="123"/>
        <v>1903.8749913000001</v>
      </c>
      <c r="N164" s="3804">
        <f t="shared" ref="N164:P164" si="179">SUM(N17)</f>
        <v>293.92319850000001</v>
      </c>
      <c r="O164" s="3804">
        <f t="shared" si="179"/>
        <v>304.32772199999994</v>
      </c>
      <c r="P164" s="3804">
        <f t="shared" si="179"/>
        <v>317.26966499999997</v>
      </c>
      <c r="Q164" s="3797">
        <f t="shared" si="146"/>
        <v>915.52058549999992</v>
      </c>
      <c r="R164" s="3797">
        <f t="shared" si="125"/>
        <v>2819.3955768000001</v>
      </c>
      <c r="S164" s="3832">
        <f t="shared" ref="S164:U164" si="180">SUM(S17)</f>
        <v>323.98447440000001</v>
      </c>
      <c r="T164" s="3832">
        <f t="shared" si="180"/>
        <v>323.98447440000001</v>
      </c>
      <c r="U164" s="3832">
        <f t="shared" si="180"/>
        <v>323.98447440000001</v>
      </c>
      <c r="V164" s="3797">
        <f t="shared" si="150"/>
        <v>971.95342320000009</v>
      </c>
      <c r="W164" s="3812">
        <f t="shared" si="118"/>
        <v>3791.3490000000006</v>
      </c>
    </row>
    <row r="165" spans="1:23" ht="18.75">
      <c r="A165" s="3831" t="s">
        <v>14</v>
      </c>
      <c r="B165" s="3787">
        <f>SUM(вода!BY53)</f>
        <v>33.46151056445585</v>
      </c>
      <c r="C165" s="3787">
        <f>SUM(вода!CA53)</f>
        <v>33.550357349881629</v>
      </c>
      <c r="D165" s="3787">
        <f>SUM(вода!CB53)</f>
        <v>16.997012272061053</v>
      </c>
      <c r="E165" s="3808">
        <f>SUM(E163/E164)</f>
        <v>32.234215484865331</v>
      </c>
      <c r="F165" s="3808">
        <f t="shared" ref="F165:W165" si="181">SUM(F163/F164)</f>
        <v>31.889820144262693</v>
      </c>
      <c r="G165" s="3808">
        <f t="shared" si="181"/>
        <v>34.445026344224324</v>
      </c>
      <c r="H165" s="3797">
        <f t="shared" si="181"/>
        <v>32.85864679492002</v>
      </c>
      <c r="I165" s="3823">
        <f t="shared" si="181"/>
        <v>31.60130161804053</v>
      </c>
      <c r="J165" s="3823">
        <f t="shared" si="181"/>
        <v>31.2542684827621</v>
      </c>
      <c r="K165" s="3823">
        <f t="shared" si="181"/>
        <v>35.025130037022613</v>
      </c>
      <c r="L165" s="3797">
        <f t="shared" si="181"/>
        <v>32.591421623295304</v>
      </c>
      <c r="M165" s="3797">
        <f t="shared" si="181"/>
        <v>32.727436493891943</v>
      </c>
      <c r="N165" s="3808">
        <f t="shared" si="181"/>
        <v>34.425408960065965</v>
      </c>
      <c r="O165" s="3808">
        <f t="shared" si="181"/>
        <v>33.334841797803982</v>
      </c>
      <c r="P165" s="3808">
        <f t="shared" si="181"/>
        <v>35.450857275471485</v>
      </c>
      <c r="Q165" s="3797">
        <f t="shared" si="181"/>
        <v>34.418258736707422</v>
      </c>
      <c r="R165" s="3797">
        <f t="shared" si="181"/>
        <v>33.276484162994052</v>
      </c>
      <c r="S165" s="3823">
        <f t="shared" si="181"/>
        <v>32.713013687807283</v>
      </c>
      <c r="T165" s="3823">
        <f t="shared" si="181"/>
        <v>33.039660762698887</v>
      </c>
      <c r="U165" s="3823">
        <f t="shared" si="181"/>
        <v>36.241979098881338</v>
      </c>
      <c r="V165" s="3797">
        <f t="shared" si="181"/>
        <v>33.998217849795836</v>
      </c>
      <c r="W165" s="3833">
        <f t="shared" si="181"/>
        <v>33.461508418879163</v>
      </c>
    </row>
    <row r="166" spans="1:23" ht="18.75">
      <c r="A166" s="3834" t="s">
        <v>437</v>
      </c>
      <c r="B166" s="3787">
        <f>SUM(вода!BY54)</f>
        <v>6213.1949999999997</v>
      </c>
      <c r="C166" s="3787">
        <f>SUM(вода!CA54)</f>
        <v>6213.1949999999997</v>
      </c>
      <c r="D166" s="3787">
        <f>SUM(вода!CB54)</f>
        <v>0</v>
      </c>
      <c r="E166" s="3808">
        <f>SUM(E163*(B166/B163))</f>
        <v>508.79994408897352</v>
      </c>
      <c r="F166" s="3808">
        <f>SUM(F163*(B166/B163))</f>
        <v>504.10932421854795</v>
      </c>
      <c r="G166" s="3808">
        <f>SUM(G163*(B166/B163))</f>
        <v>546.54559443311541</v>
      </c>
      <c r="H166" s="3797">
        <f>SUM(E166+F166+G166)</f>
        <v>1559.4548627406368</v>
      </c>
      <c r="I166" s="3823">
        <f>SUM(I163*(B166/B163))</f>
        <v>494.49722790544865</v>
      </c>
      <c r="J166" s="3823">
        <f>SUM(J163*(B166/B163))</f>
        <v>479.45284468103944</v>
      </c>
      <c r="K166" s="3823">
        <f>SUM(K163*(B166/B163))</f>
        <v>518.18445062233809</v>
      </c>
      <c r="L166" s="3797">
        <f>SUM(I166+J166+K166)</f>
        <v>1492.1345232088261</v>
      </c>
      <c r="M166" s="3797">
        <f>SUM(H166+L166)</f>
        <v>3051.5893859494627</v>
      </c>
      <c r="N166" s="3808">
        <f>SUM(N163*(B166/B163))</f>
        <v>495.55133555122666</v>
      </c>
      <c r="O166" s="3808">
        <f>SUM(O163*(B166/B163))</f>
        <v>496.83889961374769</v>
      </c>
      <c r="P166" s="3808">
        <f>SUM(P163*(B166/B163))</f>
        <v>550.84697588938946</v>
      </c>
      <c r="Q166" s="3797">
        <f>SUM(N166+O166+P166)</f>
        <v>1543.2372110543638</v>
      </c>
      <c r="R166" s="3797">
        <f>SUM(M166+Q166)</f>
        <v>4594.8265970038265</v>
      </c>
      <c r="S166" s="3823">
        <f>SUM(S163*(B166/B163))</f>
        <v>519.06342973952223</v>
      </c>
      <c r="T166" s="3823">
        <f>SUM(T163*(B166/B163))</f>
        <v>524.24639920316451</v>
      </c>
      <c r="U166" s="3823">
        <f>SUM(U163*(B166/B163))</f>
        <v>575.05817565884934</v>
      </c>
      <c r="V166" s="3797">
        <f>SUM(S166+T166+U166)</f>
        <v>1618.3680046015361</v>
      </c>
      <c r="W166" s="3812">
        <f t="shared" ref="W166:W167" si="182">SUM(E166+F166+G166+I166+J166+K166+N166+O166+P166+S166+T166+U166)</f>
        <v>6213.1946016053625</v>
      </c>
    </row>
    <row r="167" spans="1:23" ht="18.75">
      <c r="A167" s="3834" t="s">
        <v>548</v>
      </c>
      <c r="B167" s="3787">
        <f>SUM(вода!BY55)</f>
        <v>133077.45961703913</v>
      </c>
      <c r="C167" s="3787">
        <f>SUM(вода!CA55)</f>
        <v>132731.59256640362</v>
      </c>
      <c r="D167" s="3787">
        <f>SUM(вода!CB55)</f>
        <v>345.87220272417039</v>
      </c>
      <c r="E167" s="3808">
        <f>SUM(E163+E166)</f>
        <v>10897.743272608079</v>
      </c>
      <c r="F167" s="3808">
        <f>SUM(F163+F166)</f>
        <v>10797.277123326519</v>
      </c>
      <c r="G167" s="3808">
        <f>SUM(G163+G166)</f>
        <v>11706.199350260786</v>
      </c>
      <c r="H167" s="3797">
        <f>SUM(E167+F167+G167)</f>
        <v>33401.219746195384</v>
      </c>
      <c r="I167" s="3823">
        <f>SUM(I163+I166)</f>
        <v>10591.400217975639</v>
      </c>
      <c r="J167" s="3823">
        <f>SUM(J163+J166)</f>
        <v>10269.1717508167</v>
      </c>
      <c r="K167" s="3823">
        <f>SUM(K163+K166)</f>
        <v>11098.745541041575</v>
      </c>
      <c r="L167" s="3797">
        <f>SUM(I167+J167+K167)</f>
        <v>31959.317509833916</v>
      </c>
      <c r="M167" s="3797">
        <f>SUM(H167+L167)</f>
        <v>65360.537256029304</v>
      </c>
      <c r="N167" s="3808">
        <f>SUM(N163+N166)</f>
        <v>10613.977646764375</v>
      </c>
      <c r="O167" s="3808">
        <f>SUM(O163+O166)</f>
        <v>10641.555367169816</v>
      </c>
      <c r="P167" s="3808">
        <f>SUM(P163+P166)</f>
        <v>11798.328587641039</v>
      </c>
      <c r="Q167" s="3797">
        <f>SUM(N167+O167+P167)</f>
        <v>33053.861601575227</v>
      </c>
      <c r="R167" s="3797">
        <f>SUM(M167+Q167)</f>
        <v>98414.398857604538</v>
      </c>
      <c r="S167" s="3823">
        <f>SUM(S163+S166)</f>
        <v>11117.571975423773</v>
      </c>
      <c r="T167" s="3823">
        <f>SUM(T163+T166)</f>
        <v>11228.583525760467</v>
      </c>
      <c r="U167" s="3823">
        <f>SUM(U163+U166)</f>
        <v>12316.896725225704</v>
      </c>
      <c r="V167" s="3797">
        <f>SUM(S167+T167+U167)</f>
        <v>34663.052226409942</v>
      </c>
      <c r="W167" s="3812">
        <f t="shared" si="182"/>
        <v>133077.45108401449</v>
      </c>
    </row>
    <row r="168" spans="1:23" ht="18.75">
      <c r="A168" s="3831" t="s">
        <v>70</v>
      </c>
      <c r="B168" s="3787">
        <f>SUM(вода!BY56)</f>
        <v>35.100292697147935</v>
      </c>
      <c r="C168" s="3787">
        <f>SUM(вода!CA56)</f>
        <v>35.197982648210981</v>
      </c>
      <c r="D168" s="3787">
        <f>SUM(вода!CB56)</f>
        <v>16.997012272061053</v>
      </c>
      <c r="E168" s="3808">
        <f t="shared" ref="E168:W168" si="183">SUM(E167/E164)</f>
        <v>33.812890670380014</v>
      </c>
      <c r="F168" s="3808">
        <f t="shared" si="183"/>
        <v>33.451628520083453</v>
      </c>
      <c r="G168" s="3808">
        <f t="shared" si="183"/>
        <v>36.131976298987695</v>
      </c>
      <c r="H168" s="3797">
        <f t="shared" si="183"/>
        <v>34.467903590671334</v>
      </c>
      <c r="I168" s="3823">
        <f t="shared" si="183"/>
        <v>33.148979758921271</v>
      </c>
      <c r="J168" s="3823">
        <f t="shared" si="183"/>
        <v>32.784950627587889</v>
      </c>
      <c r="K168" s="3823">
        <f t="shared" si="183"/>
        <v>36.740490650803764</v>
      </c>
      <c r="L168" s="3797">
        <f t="shared" si="183"/>
        <v>34.187591029108845</v>
      </c>
      <c r="M168" s="3797">
        <f t="shared" si="183"/>
        <v>34.33026724690572</v>
      </c>
      <c r="N168" s="3808">
        <f t="shared" si="183"/>
        <v>36.111398150712404</v>
      </c>
      <c r="O168" s="3808">
        <f t="shared" si="183"/>
        <v>34.967420310036097</v>
      </c>
      <c r="P168" s="3808">
        <f t="shared" si="183"/>
        <v>37.187067939952719</v>
      </c>
      <c r="Q168" s="3797">
        <f t="shared" si="183"/>
        <v>36.103897744170638</v>
      </c>
      <c r="R168" s="3797">
        <f t="shared" si="183"/>
        <v>34.906204601946776</v>
      </c>
      <c r="S168" s="3823">
        <f t="shared" si="183"/>
        <v>34.315138081887582</v>
      </c>
      <c r="T168" s="3823">
        <f t="shared" si="183"/>
        <v>34.657782742692028</v>
      </c>
      <c r="U168" s="3823">
        <f t="shared" si="183"/>
        <v>38.016935064668964</v>
      </c>
      <c r="V168" s="3797">
        <f t="shared" si="183"/>
        <v>35.663285296416184</v>
      </c>
      <c r="W168" s="3833">
        <f t="shared" si="183"/>
        <v>35.100290446491336</v>
      </c>
    </row>
    <row r="169" spans="1:23" ht="18.75">
      <c r="A169" s="3831" t="s">
        <v>327</v>
      </c>
      <c r="B169" s="3787">
        <f>SUM(вода!BY57)</f>
        <v>-1205.4349999999999</v>
      </c>
      <c r="C169" s="3787">
        <f>SUM(вода!CA57)</f>
        <v>-1205.4349999999999</v>
      </c>
      <c r="D169" s="3787">
        <f>SUM(вода!CB57)</f>
        <v>0</v>
      </c>
      <c r="E169" s="3808">
        <f>SUM(B169/12)</f>
        <v>-100.45291666666667</v>
      </c>
      <c r="F169" s="3808">
        <f t="shared" ref="F169" si="184">SUM(E169)</f>
        <v>-100.45291666666667</v>
      </c>
      <c r="G169" s="3808">
        <f t="shared" ref="G169" si="185">SUM(F169)</f>
        <v>-100.45291666666667</v>
      </c>
      <c r="H169" s="3797">
        <f>SUM(E169+F169+G169)</f>
        <v>-301.35874999999999</v>
      </c>
      <c r="I169" s="3823">
        <f>SUM(E169)</f>
        <v>-100.45291666666667</v>
      </c>
      <c r="J169" s="3823">
        <f>SUM(E169)</f>
        <v>-100.45291666666667</v>
      </c>
      <c r="K169" s="3823">
        <f>SUM(E169)</f>
        <v>-100.45291666666667</v>
      </c>
      <c r="L169" s="3797">
        <f>SUM(I169+J169+K169)</f>
        <v>-301.35874999999999</v>
      </c>
      <c r="M169" s="3797">
        <f>SUM(H169+L169)</f>
        <v>-602.71749999999997</v>
      </c>
      <c r="N169" s="3808">
        <f>SUM(E169)</f>
        <v>-100.45291666666667</v>
      </c>
      <c r="O169" s="3808">
        <f>SUM(E169)</f>
        <v>-100.45291666666667</v>
      </c>
      <c r="P169" s="3808">
        <f>E169</f>
        <v>-100.45291666666667</v>
      </c>
      <c r="Q169" s="3797">
        <f>SUM(N169+O169+P169)</f>
        <v>-301.35874999999999</v>
      </c>
      <c r="R169" s="3797">
        <f>SUM(M169+Q169)</f>
        <v>-904.07624999999996</v>
      </c>
      <c r="S169" s="3823">
        <f>E169</f>
        <v>-100.45291666666667</v>
      </c>
      <c r="T169" s="3823">
        <f>E169</f>
        <v>-100.45291666666667</v>
      </c>
      <c r="U169" s="3823">
        <f>E169</f>
        <v>-100.45291666666667</v>
      </c>
      <c r="V169" s="3797">
        <f>SUM(S169+T169+U169)</f>
        <v>-301.35874999999999</v>
      </c>
      <c r="W169" s="3812">
        <f t="shared" ref="W169:W170" si="186">SUM(E169+F169+G169+I169+J169+K169+N169+O169+P169+S169+T169+U169)</f>
        <v>-1205.4349999999997</v>
      </c>
    </row>
    <row r="170" spans="1:23" ht="18.75" customHeight="1">
      <c r="A170" s="3834" t="s">
        <v>549</v>
      </c>
      <c r="B170" s="3787">
        <f>SUM(вода!BY58)</f>
        <v>131872.02461703913</v>
      </c>
      <c r="C170" s="3787">
        <f>SUM(вода!CA58)</f>
        <v>131526.15756640362</v>
      </c>
      <c r="D170" s="3787">
        <f>SUM(вода!CB58)</f>
        <v>345.87220272417039</v>
      </c>
      <c r="E170" s="3808">
        <f>SUM(E169+E167)</f>
        <v>10797.290355941412</v>
      </c>
      <c r="F170" s="3808">
        <f t="shared" ref="F170:G170" si="187">SUM(F169+F167)</f>
        <v>10696.824206659852</v>
      </c>
      <c r="G170" s="3808">
        <f t="shared" si="187"/>
        <v>11605.746433594119</v>
      </c>
      <c r="H170" s="3797">
        <f>SUM(E170+F170+G170)</f>
        <v>33099.860996195384</v>
      </c>
      <c r="I170" s="3823">
        <f t="shared" ref="I170:K170" si="188">SUM(I169+I167)</f>
        <v>10490.947301308972</v>
      </c>
      <c r="J170" s="3823">
        <f t="shared" si="188"/>
        <v>10168.718834150033</v>
      </c>
      <c r="K170" s="3823">
        <f t="shared" si="188"/>
        <v>10998.292624374908</v>
      </c>
      <c r="L170" s="3797">
        <f>SUM(I170+J170+K170)</f>
        <v>31657.958759833913</v>
      </c>
      <c r="M170" s="3797">
        <f>SUM(H170+L170)</f>
        <v>64757.819756029297</v>
      </c>
      <c r="N170" s="3808">
        <f t="shared" ref="N170:P170" si="189">SUM(N169+N167)</f>
        <v>10513.524730097708</v>
      </c>
      <c r="O170" s="3808">
        <f t="shared" si="189"/>
        <v>10541.102450503149</v>
      </c>
      <c r="P170" s="3808">
        <f t="shared" si="189"/>
        <v>11697.875670974372</v>
      </c>
      <c r="Q170" s="3797">
        <f>SUM(N170+O170+P170)</f>
        <v>32752.502851575231</v>
      </c>
      <c r="R170" s="3797">
        <f>SUM(M170+Q170)</f>
        <v>97510.322607604525</v>
      </c>
      <c r="S170" s="3823">
        <f t="shared" ref="S170:U170" si="190">SUM(S169+S167)</f>
        <v>11017.119058757105</v>
      </c>
      <c r="T170" s="3823">
        <f t="shared" si="190"/>
        <v>11128.1306090938</v>
      </c>
      <c r="U170" s="3823">
        <f t="shared" si="190"/>
        <v>12216.443808559037</v>
      </c>
      <c r="V170" s="3797">
        <f>SUM(S170+T170+U170)</f>
        <v>34361.693476409942</v>
      </c>
      <c r="W170" s="3812">
        <f t="shared" si="186"/>
        <v>131872.0160840145</v>
      </c>
    </row>
    <row r="171" spans="1:23" ht="18.75" customHeight="1">
      <c r="A171" s="3834" t="s">
        <v>328</v>
      </c>
      <c r="B171" s="3787">
        <f>SUM(вода!BY59)</f>
        <v>34.782349136689639</v>
      </c>
      <c r="C171" s="3787">
        <f>SUM(вода!CA59)</f>
        <v>34.8783234066305</v>
      </c>
      <c r="D171" s="3787">
        <f>SUM(вода!CB59)</f>
        <v>16.997012272061053</v>
      </c>
      <c r="E171" s="3808">
        <f t="shared" ref="E171:W171" si="191">SUM(E170/E164)</f>
        <v>33.501211141526703</v>
      </c>
      <c r="F171" s="3808">
        <f t="shared" si="191"/>
        <v>33.140409903231188</v>
      </c>
      <c r="G171" s="3808">
        <f t="shared" si="191"/>
        <v>35.821921575369537</v>
      </c>
      <c r="H171" s="3797">
        <f t="shared" si="191"/>
        <v>34.156920805607371</v>
      </c>
      <c r="I171" s="3808">
        <f t="shared" si="191"/>
        <v>32.834582074689074</v>
      </c>
      <c r="J171" s="3808">
        <f t="shared" si="191"/>
        <v>32.464248628125077</v>
      </c>
      <c r="K171" s="3808">
        <f t="shared" si="191"/>
        <v>36.407958525259488</v>
      </c>
      <c r="L171" s="3797">
        <f t="shared" si="191"/>
        <v>33.865220887916891</v>
      </c>
      <c r="M171" s="3797">
        <f t="shared" si="191"/>
        <v>34.013693153147358</v>
      </c>
      <c r="N171" s="3808">
        <f t="shared" si="191"/>
        <v>35.76963228405296</v>
      </c>
      <c r="O171" s="3808">
        <f t="shared" si="191"/>
        <v>34.637338922752335</v>
      </c>
      <c r="P171" s="3808">
        <f t="shared" si="191"/>
        <v>36.87045110655118</v>
      </c>
      <c r="Q171" s="3797">
        <f t="shared" si="191"/>
        <v>35.774731196992001</v>
      </c>
      <c r="R171" s="3797">
        <f t="shared" si="191"/>
        <v>34.585541457888738</v>
      </c>
      <c r="S171" s="3808">
        <f t="shared" si="191"/>
        <v>34.005083358269424</v>
      </c>
      <c r="T171" s="3808">
        <f t="shared" si="191"/>
        <v>34.347728019073863</v>
      </c>
      <c r="U171" s="3808">
        <f t="shared" si="191"/>
        <v>37.706880341050805</v>
      </c>
      <c r="V171" s="3797">
        <f t="shared" si="191"/>
        <v>35.353230572798026</v>
      </c>
      <c r="W171" s="3833">
        <f t="shared" si="191"/>
        <v>34.782346886033039</v>
      </c>
    </row>
    <row r="172" spans="1:23" ht="18.75" customHeight="1">
      <c r="A172" s="4410" t="s">
        <v>1752</v>
      </c>
      <c r="B172" s="4405"/>
      <c r="C172" s="4405"/>
      <c r="D172" s="4405"/>
      <c r="E172" s="4405"/>
      <c r="F172" s="4405"/>
      <c r="G172" s="4405"/>
      <c r="H172" s="4405"/>
      <c r="I172" s="4405"/>
      <c r="J172" s="4405"/>
      <c r="K172" s="4405"/>
      <c r="L172" s="4405"/>
      <c r="M172" s="4405"/>
      <c r="N172" s="4405"/>
      <c r="O172" s="4405"/>
      <c r="P172" s="4405"/>
      <c r="Q172" s="4405"/>
      <c r="R172" s="4405"/>
      <c r="S172" s="4405"/>
      <c r="T172" s="4405"/>
      <c r="U172" s="4405"/>
      <c r="V172" s="4405"/>
      <c r="W172" s="3835"/>
    </row>
    <row r="173" spans="1:23" ht="18.75" customHeight="1">
      <c r="A173" s="4396" t="s">
        <v>546</v>
      </c>
      <c r="B173" s="4389" t="s">
        <v>1782</v>
      </c>
      <c r="C173" s="4389" t="s">
        <v>576</v>
      </c>
      <c r="D173" s="4389"/>
      <c r="E173" s="4383" t="s">
        <v>587</v>
      </c>
      <c r="F173" s="4383" t="s">
        <v>588</v>
      </c>
      <c r="G173" s="4383" t="s">
        <v>589</v>
      </c>
      <c r="H173" s="4384" t="s">
        <v>601</v>
      </c>
      <c r="I173" s="4383" t="s">
        <v>590</v>
      </c>
      <c r="J173" s="4383" t="s">
        <v>591</v>
      </c>
      <c r="K173" s="4383" t="s">
        <v>592</v>
      </c>
      <c r="L173" s="4384" t="s">
        <v>600</v>
      </c>
      <c r="M173" s="4384" t="s">
        <v>599</v>
      </c>
      <c r="N173" s="4383" t="s">
        <v>593</v>
      </c>
      <c r="O173" s="4383" t="s">
        <v>594</v>
      </c>
      <c r="P173" s="4383" t="s">
        <v>595</v>
      </c>
      <c r="Q173" s="4384" t="s">
        <v>225</v>
      </c>
      <c r="R173" s="4384" t="s">
        <v>229</v>
      </c>
      <c r="S173" s="4383" t="s">
        <v>596</v>
      </c>
      <c r="T173" s="4383" t="s">
        <v>597</v>
      </c>
      <c r="U173" s="4383" t="s">
        <v>598</v>
      </c>
      <c r="V173" s="4384" t="s">
        <v>135</v>
      </c>
      <c r="W173" s="4385" t="s">
        <v>602</v>
      </c>
    </row>
    <row r="174" spans="1:23" ht="37.5" customHeight="1">
      <c r="A174" s="4397"/>
      <c r="B174" s="4389"/>
      <c r="C174" s="3784" t="s">
        <v>1554</v>
      </c>
      <c r="D174" s="3784" t="s">
        <v>1555</v>
      </c>
      <c r="E174" s="4383"/>
      <c r="F174" s="4383"/>
      <c r="G174" s="4383"/>
      <c r="H174" s="4384"/>
      <c r="I174" s="4383"/>
      <c r="J174" s="4383"/>
      <c r="K174" s="4383"/>
      <c r="L174" s="4384"/>
      <c r="M174" s="4384"/>
      <c r="N174" s="4383"/>
      <c r="O174" s="4383"/>
      <c r="P174" s="4383"/>
      <c r="Q174" s="4384"/>
      <c r="R174" s="4384"/>
      <c r="S174" s="4383"/>
      <c r="T174" s="4383"/>
      <c r="U174" s="4383"/>
      <c r="V174" s="4384"/>
      <c r="W174" s="4385"/>
    </row>
    <row r="175" spans="1:23" ht="18.75">
      <c r="A175" s="3822" t="s">
        <v>1753</v>
      </c>
      <c r="B175" s="3787">
        <f>SUM(B167)</f>
        <v>133077.45961703913</v>
      </c>
      <c r="C175" s="3787">
        <f>SUM(C167)</f>
        <v>132731.59256640362</v>
      </c>
      <c r="D175" s="3787">
        <f>SUM(D167)</f>
        <v>345.87220272417039</v>
      </c>
      <c r="E175" s="3808">
        <f>SUM(E167)</f>
        <v>10897.743272608079</v>
      </c>
      <c r="F175" s="3808">
        <f t="shared" ref="F175:K175" si="192">SUM(F167)</f>
        <v>10797.277123326519</v>
      </c>
      <c r="G175" s="3808">
        <f t="shared" si="192"/>
        <v>11706.199350260786</v>
      </c>
      <c r="H175" s="3797">
        <f t="shared" ref="H175:H177" si="193">SUM(E175+F175+G175)</f>
        <v>33401.219746195384</v>
      </c>
      <c r="I175" s="3808">
        <f t="shared" si="192"/>
        <v>10591.400217975639</v>
      </c>
      <c r="J175" s="3808">
        <f t="shared" si="192"/>
        <v>10269.1717508167</v>
      </c>
      <c r="K175" s="3808">
        <f t="shared" si="192"/>
        <v>11098.745541041575</v>
      </c>
      <c r="L175" s="3797">
        <f t="shared" ref="L175:L177" si="194">SUM(I175+J175+K175)</f>
        <v>31959.317509833916</v>
      </c>
      <c r="M175" s="3797">
        <f t="shared" ref="M175:M177" si="195">SUM(H175+L175)</f>
        <v>65360.537256029304</v>
      </c>
      <c r="N175" s="3808">
        <f t="shared" ref="N175:P175" si="196">SUM(N167)</f>
        <v>10613.977646764375</v>
      </c>
      <c r="O175" s="3808">
        <f t="shared" si="196"/>
        <v>10641.555367169816</v>
      </c>
      <c r="P175" s="3808">
        <f t="shared" si="196"/>
        <v>11798.328587641039</v>
      </c>
      <c r="Q175" s="3797">
        <f t="shared" ref="Q175:Q177" si="197">SUM(N175+O175+P175)</f>
        <v>33053.861601575227</v>
      </c>
      <c r="R175" s="3797">
        <f t="shared" ref="R175:R177" si="198">SUM(M175+Q175)</f>
        <v>98414.398857604538</v>
      </c>
      <c r="S175" s="3808">
        <f t="shared" ref="S175:U175" si="199">SUM(S167)</f>
        <v>11117.571975423773</v>
      </c>
      <c r="T175" s="3808">
        <f t="shared" si="199"/>
        <v>11228.583525760467</v>
      </c>
      <c r="U175" s="3808">
        <f t="shared" si="199"/>
        <v>12316.896725225704</v>
      </c>
      <c r="V175" s="3797">
        <f t="shared" ref="V175:V177" si="200">SUM(S175+T175+U175)</f>
        <v>34663.052226409942</v>
      </c>
      <c r="W175" s="3812">
        <f t="shared" ref="W175:W183" si="201">SUM(E175+F175+G175+I175+J175+K175+N175+O175+P175+S175+T175+U175)</f>
        <v>133077.45108401449</v>
      </c>
    </row>
    <row r="176" spans="1:23" ht="18.75">
      <c r="A176" s="3786" t="s">
        <v>391</v>
      </c>
      <c r="B176" s="3799">
        <f>SUM(C176:D176)</f>
        <v>63746.511492933671</v>
      </c>
      <c r="C176" s="3799">
        <f>SUM(C179*C185)</f>
        <v>63583.129613057143</v>
      </c>
      <c r="D176" s="3799">
        <f>SUM(D179*D185)</f>
        <v>163.38187987652836</v>
      </c>
      <c r="E176" s="3801">
        <f>SUM(E179*E185)</f>
        <v>5418.9723082513938</v>
      </c>
      <c r="F176" s="3801">
        <f t="shared" ref="F176:K176" si="202">SUM(F179*F185)</f>
        <v>5426.9977579994838</v>
      </c>
      <c r="G176" s="3801">
        <f t="shared" si="202"/>
        <v>5447.3697939365838</v>
      </c>
      <c r="H176" s="3799">
        <f t="shared" si="193"/>
        <v>16293.339860187461</v>
      </c>
      <c r="I176" s="3801">
        <f t="shared" si="202"/>
        <v>5372.1220626342838</v>
      </c>
      <c r="J176" s="3801">
        <f t="shared" si="202"/>
        <v>5266.5176354811201</v>
      </c>
      <c r="K176" s="3801">
        <f t="shared" si="202"/>
        <v>5079.1565871731736</v>
      </c>
      <c r="L176" s="3799">
        <f t="shared" si="194"/>
        <v>15717.796285288576</v>
      </c>
      <c r="M176" s="3799">
        <f t="shared" si="195"/>
        <v>32011.136145476037</v>
      </c>
      <c r="N176" s="3801">
        <f t="shared" ref="N176:P176" si="203">SUM(N179*N185)</f>
        <v>4941.929258219192</v>
      </c>
      <c r="O176" s="3801">
        <f t="shared" si="203"/>
        <v>5116.8675392561645</v>
      </c>
      <c r="P176" s="3801">
        <f t="shared" si="203"/>
        <v>5334.4691681725189</v>
      </c>
      <c r="Q176" s="3799">
        <f t="shared" si="197"/>
        <v>15393.265965647875</v>
      </c>
      <c r="R176" s="3799">
        <f t="shared" si="198"/>
        <v>47404.402111123913</v>
      </c>
      <c r="S176" s="3801">
        <f t="shared" ref="S176:U176" si="204">SUM(S179*S185)</f>
        <v>5447.3697939365838</v>
      </c>
      <c r="T176" s="3801">
        <f t="shared" si="204"/>
        <v>5447.3697939365838</v>
      </c>
      <c r="U176" s="3801">
        <f t="shared" si="204"/>
        <v>5447.3697939365838</v>
      </c>
      <c r="V176" s="3797">
        <f t="shared" si="200"/>
        <v>16342.109381809751</v>
      </c>
      <c r="W176" s="3814">
        <f t="shared" si="201"/>
        <v>63746.511492933656</v>
      </c>
    </row>
    <row r="177" spans="1:23" ht="18.75">
      <c r="A177" s="3786" t="s">
        <v>1754</v>
      </c>
      <c r="B177" s="3799">
        <f>SUM(B175-B176)</f>
        <v>69330.94812410546</v>
      </c>
      <c r="C177" s="3799">
        <f>SUM(C175-C176)</f>
        <v>69148.462953346476</v>
      </c>
      <c r="D177" s="3799">
        <f>SUM(D175-D176)</f>
        <v>182.49032284764203</v>
      </c>
      <c r="E177" s="3801">
        <f>SUM(E175-E176)</f>
        <v>5478.770964356685</v>
      </c>
      <c r="F177" s="3801">
        <f t="shared" ref="F177:G177" si="205">SUM(F175-F176)</f>
        <v>5370.2793653270355</v>
      </c>
      <c r="G177" s="3801">
        <f t="shared" si="205"/>
        <v>6258.8295563242018</v>
      </c>
      <c r="H177" s="3799">
        <f t="shared" si="193"/>
        <v>17107.879886007922</v>
      </c>
      <c r="I177" s="3801">
        <f t="shared" ref="I177:K177" si="206">SUM(I175-I176)</f>
        <v>5219.2781553413552</v>
      </c>
      <c r="J177" s="3801">
        <f t="shared" si="206"/>
        <v>5002.6541153355802</v>
      </c>
      <c r="K177" s="3801">
        <f t="shared" si="206"/>
        <v>6019.5889538684014</v>
      </c>
      <c r="L177" s="3799">
        <f t="shared" si="194"/>
        <v>16241.521224545337</v>
      </c>
      <c r="M177" s="3799">
        <f t="shared" si="195"/>
        <v>33349.401110553255</v>
      </c>
      <c r="N177" s="3801">
        <f t="shared" ref="N177:P177" si="207">SUM(N175-N176)</f>
        <v>5672.0483885451831</v>
      </c>
      <c r="O177" s="3801">
        <f t="shared" si="207"/>
        <v>5524.6878279136517</v>
      </c>
      <c r="P177" s="3801">
        <f t="shared" si="207"/>
        <v>6463.8594194685202</v>
      </c>
      <c r="Q177" s="3799">
        <f t="shared" si="197"/>
        <v>17660.595635927355</v>
      </c>
      <c r="R177" s="3799">
        <f t="shared" si="198"/>
        <v>51009.99674648061</v>
      </c>
      <c r="S177" s="3801">
        <f t="shared" ref="S177:U177" si="208">SUM(S175-S176)</f>
        <v>5670.2021814871887</v>
      </c>
      <c r="T177" s="3801">
        <f t="shared" si="208"/>
        <v>5781.2137318238829</v>
      </c>
      <c r="U177" s="3801">
        <f t="shared" si="208"/>
        <v>6869.5269312891205</v>
      </c>
      <c r="V177" s="3797">
        <f t="shared" si="200"/>
        <v>18320.942844600191</v>
      </c>
      <c r="W177" s="3814">
        <f t="shared" si="201"/>
        <v>69330.939591080809</v>
      </c>
    </row>
    <row r="178" spans="1:23" ht="18.75">
      <c r="A178" s="3822" t="s">
        <v>1755</v>
      </c>
      <c r="B178" s="3787">
        <f>SUM(B164)</f>
        <v>3791.3490000000002</v>
      </c>
      <c r="C178" s="3787">
        <f>SUM(C164)</f>
        <v>3771</v>
      </c>
      <c r="D178" s="3787">
        <f>SUM(D164)</f>
        <v>20.349</v>
      </c>
      <c r="E178" s="3804">
        <f>SUM(E164)</f>
        <v>322.29552269999999</v>
      </c>
      <c r="F178" s="3804">
        <f t="shared" ref="F178:K178" si="209">SUM(F164)</f>
        <v>322.77283950000003</v>
      </c>
      <c r="G178" s="3804">
        <f t="shared" si="209"/>
        <v>323.98447440000001</v>
      </c>
      <c r="H178" s="3797">
        <f>SUM(E178+F178+G178)</f>
        <v>969.05283660000009</v>
      </c>
      <c r="I178" s="3804">
        <f t="shared" si="209"/>
        <v>319.50908579999998</v>
      </c>
      <c r="J178" s="3804">
        <f t="shared" si="209"/>
        <v>313.22822069999995</v>
      </c>
      <c r="K178" s="3804">
        <f t="shared" si="209"/>
        <v>302.08484820000001</v>
      </c>
      <c r="L178" s="3797">
        <f>SUM(I178+J178+K178)</f>
        <v>934.82215469999994</v>
      </c>
      <c r="M178" s="3797">
        <f>SUM(H178+L178)</f>
        <v>1903.8749913000001</v>
      </c>
      <c r="N178" s="3804">
        <f t="shared" ref="N178:P178" si="210">SUM(N164)</f>
        <v>293.92319850000001</v>
      </c>
      <c r="O178" s="3804">
        <f t="shared" si="210"/>
        <v>304.32772199999994</v>
      </c>
      <c r="P178" s="3804">
        <f t="shared" si="210"/>
        <v>317.26966499999997</v>
      </c>
      <c r="Q178" s="3797">
        <f>SUM(N178+O178+P178)</f>
        <v>915.52058549999992</v>
      </c>
      <c r="R178" s="3797">
        <f>SUM(M178+Q178)</f>
        <v>2819.3955768000001</v>
      </c>
      <c r="S178" s="3804">
        <f t="shared" ref="S178:U178" si="211">SUM(S164)</f>
        <v>323.98447440000001</v>
      </c>
      <c r="T178" s="3804">
        <f t="shared" si="211"/>
        <v>323.98447440000001</v>
      </c>
      <c r="U178" s="3804">
        <f t="shared" si="211"/>
        <v>323.98447440000001</v>
      </c>
      <c r="V178" s="3797">
        <f>SUM(S178+T178+U178)</f>
        <v>971.95342320000009</v>
      </c>
      <c r="W178" s="3812">
        <f t="shared" si="201"/>
        <v>3791.3490000000006</v>
      </c>
    </row>
    <row r="179" spans="1:23" ht="18.75">
      <c r="A179" s="3786" t="s">
        <v>391</v>
      </c>
      <c r="B179" s="3799">
        <f>SUM(B178/2)</f>
        <v>1895.6745000000001</v>
      </c>
      <c r="C179" s="3799">
        <f>SUM(C178/2)</f>
        <v>1885.5</v>
      </c>
      <c r="D179" s="3799">
        <f>SUM(D178/2)</f>
        <v>10.1745</v>
      </c>
      <c r="E179" s="3801">
        <f>SUM(E178/2)</f>
        <v>161.14776135</v>
      </c>
      <c r="F179" s="3801">
        <f t="shared" ref="F179:G179" si="212">SUM(F178/2)</f>
        <v>161.38641975000002</v>
      </c>
      <c r="G179" s="3801">
        <f t="shared" si="212"/>
        <v>161.99223720000001</v>
      </c>
      <c r="H179" s="3799">
        <f t="shared" ref="H179:H183" si="213">SUM(E179+F179+G179)</f>
        <v>484.52641830000005</v>
      </c>
      <c r="I179" s="3801">
        <f t="shared" ref="I179" si="214">SUM(I178/2)</f>
        <v>159.75454289999999</v>
      </c>
      <c r="J179" s="3801">
        <f t="shared" ref="J179:K179" si="215">SUM(J178/2)</f>
        <v>156.61411034999998</v>
      </c>
      <c r="K179" s="3801">
        <f t="shared" si="215"/>
        <v>151.04242410000001</v>
      </c>
      <c r="L179" s="3799">
        <f t="shared" ref="L179:L183" si="216">SUM(I179+J179+K179)</f>
        <v>467.41107734999997</v>
      </c>
      <c r="M179" s="3799">
        <f t="shared" ref="M179:M183" si="217">SUM(H179+L179)</f>
        <v>951.93749565000007</v>
      </c>
      <c r="N179" s="3801">
        <f t="shared" ref="N179" si="218">SUM(N178/2)</f>
        <v>146.96159925000001</v>
      </c>
      <c r="O179" s="3801">
        <f t="shared" ref="O179:P179" si="219">SUM(O178/2)</f>
        <v>152.16386099999997</v>
      </c>
      <c r="P179" s="3801">
        <f t="shared" si="219"/>
        <v>158.63483249999999</v>
      </c>
      <c r="Q179" s="3799">
        <f t="shared" ref="Q179:Q183" si="220">SUM(N179+O179+P179)</f>
        <v>457.76029274999996</v>
      </c>
      <c r="R179" s="3799">
        <f t="shared" ref="R179:R183" si="221">SUM(M179+Q179)</f>
        <v>1409.6977884</v>
      </c>
      <c r="S179" s="3801">
        <f t="shared" ref="S179" si="222">SUM(S178/2)</f>
        <v>161.99223720000001</v>
      </c>
      <c r="T179" s="3801">
        <f t="shared" ref="T179:U179" si="223">SUM(T178/2)</f>
        <v>161.99223720000001</v>
      </c>
      <c r="U179" s="3801">
        <f t="shared" si="223"/>
        <v>161.99223720000001</v>
      </c>
      <c r="V179" s="3799">
        <f t="shared" ref="V179:V183" si="224">SUM(S179+T179+U179)</f>
        <v>485.97671160000004</v>
      </c>
      <c r="W179" s="3814">
        <f t="shared" si="201"/>
        <v>1895.6745000000003</v>
      </c>
    </row>
    <row r="180" spans="1:23" ht="18.75">
      <c r="A180" s="3786" t="s">
        <v>1754</v>
      </c>
      <c r="B180" s="3799">
        <f>SUM(B178-B179)</f>
        <v>1895.6745000000001</v>
      </c>
      <c r="C180" s="3799">
        <f>SUM(C178-C179)</f>
        <v>1885.5</v>
      </c>
      <c r="D180" s="3799">
        <f>SUM(D178-D179)</f>
        <v>10.1745</v>
      </c>
      <c r="E180" s="3801">
        <f>SUM(E178-E179)</f>
        <v>161.14776135</v>
      </c>
      <c r="F180" s="3801">
        <f t="shared" ref="F180:G180" si="225">SUM(F178-F179)</f>
        <v>161.38641975000002</v>
      </c>
      <c r="G180" s="3801">
        <f t="shared" si="225"/>
        <v>161.99223720000001</v>
      </c>
      <c r="H180" s="3799">
        <f t="shared" si="213"/>
        <v>484.52641830000005</v>
      </c>
      <c r="I180" s="3801">
        <f t="shared" ref="I180:K180" si="226">SUM(I178-I179)</f>
        <v>159.75454289999999</v>
      </c>
      <c r="J180" s="3801">
        <f t="shared" si="226"/>
        <v>156.61411034999998</v>
      </c>
      <c r="K180" s="3801">
        <f t="shared" si="226"/>
        <v>151.04242410000001</v>
      </c>
      <c r="L180" s="3799">
        <f t="shared" si="216"/>
        <v>467.41107734999997</v>
      </c>
      <c r="M180" s="3799">
        <f t="shared" si="217"/>
        <v>951.93749565000007</v>
      </c>
      <c r="N180" s="3801">
        <f t="shared" ref="N180:P180" si="227">SUM(N178-N179)</f>
        <v>146.96159925000001</v>
      </c>
      <c r="O180" s="3801">
        <f t="shared" si="227"/>
        <v>152.16386099999997</v>
      </c>
      <c r="P180" s="3801">
        <f t="shared" si="227"/>
        <v>158.63483249999999</v>
      </c>
      <c r="Q180" s="3799">
        <f t="shared" si="220"/>
        <v>457.76029274999996</v>
      </c>
      <c r="R180" s="3799">
        <f t="shared" si="221"/>
        <v>1409.6977884</v>
      </c>
      <c r="S180" s="3801">
        <f t="shared" ref="S180:U180" si="228">SUM(S178-S179)</f>
        <v>161.99223720000001</v>
      </c>
      <c r="T180" s="3801">
        <f t="shared" si="228"/>
        <v>161.99223720000001</v>
      </c>
      <c r="U180" s="3801">
        <f t="shared" si="228"/>
        <v>161.99223720000001</v>
      </c>
      <c r="V180" s="3799">
        <f t="shared" si="224"/>
        <v>485.97671160000004</v>
      </c>
      <c r="W180" s="3814">
        <f t="shared" si="201"/>
        <v>1895.6745000000003</v>
      </c>
    </row>
    <row r="181" spans="1:23" ht="18.75">
      <c r="A181" s="3822" t="s">
        <v>1756</v>
      </c>
      <c r="B181" s="3787">
        <f>SUM(B18)</f>
        <v>2380</v>
      </c>
      <c r="C181" s="3787">
        <f>SUM(C18)</f>
        <v>2380</v>
      </c>
      <c r="D181" s="3787">
        <f>SUM(D18)</f>
        <v>0</v>
      </c>
      <c r="E181" s="3804">
        <f>SUM(E18)</f>
        <v>204.67999999999998</v>
      </c>
      <c r="F181" s="3804">
        <f t="shared" ref="F181:K181" si="229">SUM(F18)</f>
        <v>202.3</v>
      </c>
      <c r="G181" s="3804">
        <f t="shared" si="229"/>
        <v>203.25199999999998</v>
      </c>
      <c r="H181" s="3797">
        <f t="shared" si="213"/>
        <v>610.23199999999997</v>
      </c>
      <c r="I181" s="3804">
        <f t="shared" si="229"/>
        <v>200.63399999999999</v>
      </c>
      <c r="J181" s="3804">
        <f t="shared" si="229"/>
        <v>195.15999999999997</v>
      </c>
      <c r="K181" s="3804">
        <f t="shared" si="229"/>
        <v>187.78199999999998</v>
      </c>
      <c r="L181" s="3797">
        <f t="shared" si="216"/>
        <v>583.57600000000002</v>
      </c>
      <c r="M181" s="3797">
        <f t="shared" si="217"/>
        <v>1193.808</v>
      </c>
      <c r="N181" s="3804">
        <f t="shared" ref="N181:P181" si="230">SUM(N18)</f>
        <v>185.40199999999999</v>
      </c>
      <c r="O181" s="3804">
        <f t="shared" si="230"/>
        <v>193.01799999999997</v>
      </c>
      <c r="P181" s="3804">
        <f t="shared" si="230"/>
        <v>198.01599999999999</v>
      </c>
      <c r="Q181" s="3797">
        <f t="shared" si="220"/>
        <v>576.43599999999992</v>
      </c>
      <c r="R181" s="3797">
        <f t="shared" si="221"/>
        <v>1770.2439999999999</v>
      </c>
      <c r="S181" s="3804">
        <f t="shared" ref="S181:U181" si="231">SUM(S18)</f>
        <v>203.25199999999998</v>
      </c>
      <c r="T181" s="3804">
        <f t="shared" si="231"/>
        <v>203.25199999999998</v>
      </c>
      <c r="U181" s="3804">
        <f t="shared" si="231"/>
        <v>203.25199999999998</v>
      </c>
      <c r="V181" s="3797">
        <f t="shared" si="224"/>
        <v>609.75599999999997</v>
      </c>
      <c r="W181" s="3812">
        <f t="shared" si="201"/>
        <v>2380</v>
      </c>
    </row>
    <row r="182" spans="1:23" ht="18.75">
      <c r="A182" s="3786" t="s">
        <v>391</v>
      </c>
      <c r="B182" s="3799">
        <f t="shared" ref="B182:C182" si="232">SUM(B181/2)</f>
        <v>1190</v>
      </c>
      <c r="C182" s="3799">
        <f t="shared" si="232"/>
        <v>1190</v>
      </c>
      <c r="D182" s="3790">
        <f>SUM([20]вода!AL119)</f>
        <v>0</v>
      </c>
      <c r="E182" s="3801">
        <f>SUM(E181/2)</f>
        <v>102.33999999999999</v>
      </c>
      <c r="F182" s="3801">
        <f t="shared" ref="F182:G182" si="233">SUM(F181/2)</f>
        <v>101.15</v>
      </c>
      <c r="G182" s="3801">
        <f t="shared" si="233"/>
        <v>101.62599999999999</v>
      </c>
      <c r="H182" s="3799">
        <f t="shared" si="213"/>
        <v>305.11599999999999</v>
      </c>
      <c r="I182" s="3801">
        <f t="shared" ref="I182:K182" si="234">SUM(I181/2)</f>
        <v>100.31699999999999</v>
      </c>
      <c r="J182" s="3801">
        <f t="shared" si="234"/>
        <v>97.579999999999984</v>
      </c>
      <c r="K182" s="3801">
        <f t="shared" si="234"/>
        <v>93.890999999999991</v>
      </c>
      <c r="L182" s="3799">
        <f t="shared" si="216"/>
        <v>291.78800000000001</v>
      </c>
      <c r="M182" s="3799">
        <f t="shared" si="217"/>
        <v>596.904</v>
      </c>
      <c r="N182" s="3801">
        <f t="shared" ref="N182:P182" si="235">SUM(N181/2)</f>
        <v>92.700999999999993</v>
      </c>
      <c r="O182" s="3801">
        <f t="shared" si="235"/>
        <v>96.508999999999986</v>
      </c>
      <c r="P182" s="3801">
        <f t="shared" si="235"/>
        <v>99.007999999999996</v>
      </c>
      <c r="Q182" s="3799">
        <f t="shared" si="220"/>
        <v>288.21799999999996</v>
      </c>
      <c r="R182" s="3799">
        <f t="shared" si="221"/>
        <v>885.12199999999996</v>
      </c>
      <c r="S182" s="3801">
        <f t="shared" ref="S182:U182" si="236">SUM(S181/2)</f>
        <v>101.62599999999999</v>
      </c>
      <c r="T182" s="3801">
        <f t="shared" si="236"/>
        <v>101.62599999999999</v>
      </c>
      <c r="U182" s="3801">
        <f t="shared" si="236"/>
        <v>101.62599999999999</v>
      </c>
      <c r="V182" s="3799">
        <f t="shared" si="224"/>
        <v>304.87799999999999</v>
      </c>
      <c r="W182" s="3814">
        <f t="shared" si="201"/>
        <v>1190</v>
      </c>
    </row>
    <row r="183" spans="1:23" ht="18.75">
      <c r="A183" s="3786" t="s">
        <v>1754</v>
      </c>
      <c r="B183" s="3799">
        <f t="shared" ref="B183:C183" si="237">SUM(B181-B182)</f>
        <v>1190</v>
      </c>
      <c r="C183" s="3799">
        <f t="shared" si="237"/>
        <v>1190</v>
      </c>
      <c r="D183" s="3790">
        <f>SUM([20]вода!AL120)</f>
        <v>0</v>
      </c>
      <c r="E183" s="3801">
        <f>SUM(E181-E182)</f>
        <v>102.33999999999999</v>
      </c>
      <c r="F183" s="3801">
        <f t="shared" ref="F183:G183" si="238">SUM(F181-F182)</f>
        <v>101.15</v>
      </c>
      <c r="G183" s="3801">
        <f t="shared" si="238"/>
        <v>101.62599999999999</v>
      </c>
      <c r="H183" s="3799">
        <f t="shared" si="213"/>
        <v>305.11599999999999</v>
      </c>
      <c r="I183" s="3801">
        <f t="shared" ref="I183:K183" si="239">SUM(I181-I182)</f>
        <v>100.31699999999999</v>
      </c>
      <c r="J183" s="3801">
        <f t="shared" si="239"/>
        <v>97.579999999999984</v>
      </c>
      <c r="K183" s="3801">
        <f t="shared" si="239"/>
        <v>93.890999999999991</v>
      </c>
      <c r="L183" s="3799">
        <f t="shared" si="216"/>
        <v>291.78800000000001</v>
      </c>
      <c r="M183" s="3799">
        <f t="shared" si="217"/>
        <v>596.904</v>
      </c>
      <c r="N183" s="3801">
        <f t="shared" ref="N183:P183" si="240">SUM(N181-N182)</f>
        <v>92.700999999999993</v>
      </c>
      <c r="O183" s="3801">
        <f t="shared" si="240"/>
        <v>96.508999999999986</v>
      </c>
      <c r="P183" s="3801">
        <f t="shared" si="240"/>
        <v>99.007999999999996</v>
      </c>
      <c r="Q183" s="3799">
        <f t="shared" si="220"/>
        <v>288.21799999999996</v>
      </c>
      <c r="R183" s="3799">
        <f t="shared" si="221"/>
        <v>885.12199999999996</v>
      </c>
      <c r="S183" s="3801">
        <f t="shared" ref="S183:U183" si="241">SUM(S181-S182)</f>
        <v>101.62599999999999</v>
      </c>
      <c r="T183" s="3801">
        <f t="shared" si="241"/>
        <v>101.62599999999999</v>
      </c>
      <c r="U183" s="3801">
        <f t="shared" si="241"/>
        <v>101.62599999999999</v>
      </c>
      <c r="V183" s="3799">
        <f t="shared" si="224"/>
        <v>304.87799999999999</v>
      </c>
      <c r="W183" s="3814">
        <f t="shared" si="201"/>
        <v>1190</v>
      </c>
    </row>
    <row r="184" spans="1:23" ht="18.75">
      <c r="A184" s="3822" t="s">
        <v>1757</v>
      </c>
      <c r="B184" s="3787">
        <f>SUM(B168)</f>
        <v>35.100292697147935</v>
      </c>
      <c r="C184" s="3787">
        <f>SUM(C168)</f>
        <v>35.197982648210981</v>
      </c>
      <c r="D184" s="3787">
        <f>SUM(D168)</f>
        <v>16.997012272061053</v>
      </c>
      <c r="E184" s="3808">
        <f>SUM(E168)</f>
        <v>33.812890670380014</v>
      </c>
      <c r="F184" s="3808">
        <f t="shared" ref="F184:W184" si="242">SUM(F168)</f>
        <v>33.451628520083453</v>
      </c>
      <c r="G184" s="3808">
        <f t="shared" si="242"/>
        <v>36.131976298987695</v>
      </c>
      <c r="H184" s="3797">
        <f t="shared" si="242"/>
        <v>34.467903590671334</v>
      </c>
      <c r="I184" s="3808">
        <f t="shared" si="242"/>
        <v>33.148979758921271</v>
      </c>
      <c r="J184" s="3808">
        <f t="shared" si="242"/>
        <v>32.784950627587889</v>
      </c>
      <c r="K184" s="3808">
        <f t="shared" si="242"/>
        <v>36.740490650803764</v>
      </c>
      <c r="L184" s="3797">
        <f t="shared" si="242"/>
        <v>34.187591029108845</v>
      </c>
      <c r="M184" s="3797">
        <f t="shared" si="242"/>
        <v>34.33026724690572</v>
      </c>
      <c r="N184" s="3808">
        <f t="shared" si="242"/>
        <v>36.111398150712404</v>
      </c>
      <c r="O184" s="3808">
        <f t="shared" si="242"/>
        <v>34.967420310036097</v>
      </c>
      <c r="P184" s="3808">
        <f t="shared" si="242"/>
        <v>37.187067939952719</v>
      </c>
      <c r="Q184" s="3797">
        <f t="shared" si="242"/>
        <v>36.103897744170638</v>
      </c>
      <c r="R184" s="3797">
        <f t="shared" si="242"/>
        <v>34.906204601946776</v>
      </c>
      <c r="S184" s="3808">
        <f t="shared" si="242"/>
        <v>34.315138081887582</v>
      </c>
      <c r="T184" s="3808">
        <f t="shared" si="242"/>
        <v>34.657782742692028</v>
      </c>
      <c r="U184" s="3808">
        <f t="shared" si="242"/>
        <v>38.016935064668964</v>
      </c>
      <c r="V184" s="3797">
        <f t="shared" si="242"/>
        <v>35.663285296416184</v>
      </c>
      <c r="W184" s="3833">
        <f t="shared" si="242"/>
        <v>35.100290446491336</v>
      </c>
    </row>
    <row r="185" spans="1:23" ht="18.75">
      <c r="A185" s="3786" t="s">
        <v>391</v>
      </c>
      <c r="B185" s="3790">
        <f>SUM(B176/B179)</f>
        <v>33.627350841578377</v>
      </c>
      <c r="C185" s="3790">
        <f>SUM('Тариф вода 2016-2017 ПЛАН'!J31)</f>
        <v>33.722158373406067</v>
      </c>
      <c r="D185" s="3790">
        <f>SUM('Тариф тех.вода 2016-2017 ПЛАН'!J31)</f>
        <v>16.057976301196948</v>
      </c>
      <c r="E185" s="3791">
        <f>SUM(B185)</f>
        <v>33.627350841578377</v>
      </c>
      <c r="F185" s="3791">
        <f>SUM(E185)</f>
        <v>33.627350841578377</v>
      </c>
      <c r="G185" s="3791">
        <f>SUM(E185)</f>
        <v>33.627350841578377</v>
      </c>
      <c r="H185" s="3790">
        <f>SUM(E185)</f>
        <v>33.627350841578377</v>
      </c>
      <c r="I185" s="3791">
        <f>SUM(E185)</f>
        <v>33.627350841578377</v>
      </c>
      <c r="J185" s="3791">
        <f>SUM(E185)</f>
        <v>33.627350841578377</v>
      </c>
      <c r="K185" s="3791">
        <f>SUM(E185)</f>
        <v>33.627350841578377</v>
      </c>
      <c r="L185" s="3790">
        <f>SUM(E185)</f>
        <v>33.627350841578377</v>
      </c>
      <c r="M185" s="3790">
        <f>SUM(E185)</f>
        <v>33.627350841578377</v>
      </c>
      <c r="N185" s="3791">
        <f>SUM(E185)</f>
        <v>33.627350841578377</v>
      </c>
      <c r="O185" s="3791">
        <f>SUM(E185)</f>
        <v>33.627350841578377</v>
      </c>
      <c r="P185" s="3791">
        <f>SUM(E185)</f>
        <v>33.627350841578377</v>
      </c>
      <c r="Q185" s="3790">
        <f>SUM(E185)</f>
        <v>33.627350841578377</v>
      </c>
      <c r="R185" s="3790">
        <f>SUM(E185)</f>
        <v>33.627350841578377</v>
      </c>
      <c r="S185" s="3791">
        <f>SUM(E185)</f>
        <v>33.627350841578377</v>
      </c>
      <c r="T185" s="3791">
        <f>SUM(E185)</f>
        <v>33.627350841578377</v>
      </c>
      <c r="U185" s="3791">
        <f>SUM(E185)</f>
        <v>33.627350841578377</v>
      </c>
      <c r="V185" s="3790">
        <f>SUM(E185)</f>
        <v>33.627350841578377</v>
      </c>
      <c r="W185" s="3836">
        <f>SUM(E185)</f>
        <v>33.627350841578377</v>
      </c>
    </row>
    <row r="186" spans="1:23" ht="18.75">
      <c r="A186" s="3786" t="s">
        <v>1754</v>
      </c>
      <c r="B186" s="3799">
        <f>SUM(B177/B180)</f>
        <v>36.573234552717494</v>
      </c>
      <c r="C186" s="3799">
        <f>SUM(C177/C180)</f>
        <v>36.673806923015896</v>
      </c>
      <c r="D186" s="3799">
        <f>SUM(D177/D180)</f>
        <v>17.93604824292516</v>
      </c>
      <c r="E186" s="3801">
        <f>SUM(E177/E180)</f>
        <v>33.998430499181644</v>
      </c>
      <c r="F186" s="3801">
        <f t="shared" ref="F186:W186" si="243">SUM(F177/F180)</f>
        <v>33.27590619858853</v>
      </c>
      <c r="G186" s="3801">
        <f t="shared" si="243"/>
        <v>38.636601756397013</v>
      </c>
      <c r="H186" s="3799">
        <f t="shared" si="243"/>
        <v>35.308456339764291</v>
      </c>
      <c r="I186" s="3801">
        <f t="shared" si="243"/>
        <v>32.670608676264166</v>
      </c>
      <c r="J186" s="3801">
        <f t="shared" si="243"/>
        <v>31.942550413597399</v>
      </c>
      <c r="K186" s="3801">
        <f t="shared" si="243"/>
        <v>39.853630460029152</v>
      </c>
      <c r="L186" s="3799">
        <f t="shared" si="243"/>
        <v>34.747831216639305</v>
      </c>
      <c r="M186" s="3799">
        <f t="shared" si="243"/>
        <v>35.033183652233056</v>
      </c>
      <c r="N186" s="3801">
        <f t="shared" si="243"/>
        <v>38.595445459846431</v>
      </c>
      <c r="O186" s="3801">
        <f t="shared" si="243"/>
        <v>36.30748977849381</v>
      </c>
      <c r="P186" s="3801">
        <f t="shared" si="243"/>
        <v>40.746785038327069</v>
      </c>
      <c r="Q186" s="3799">
        <f t="shared" si="243"/>
        <v>38.580444646762899</v>
      </c>
      <c r="R186" s="3799">
        <f t="shared" si="243"/>
        <v>36.185058362315161</v>
      </c>
      <c r="S186" s="3801">
        <f t="shared" si="243"/>
        <v>35.002925322196788</v>
      </c>
      <c r="T186" s="3801">
        <f t="shared" si="243"/>
        <v>35.688214643805679</v>
      </c>
      <c r="U186" s="3801">
        <f t="shared" si="243"/>
        <v>42.406519287759551</v>
      </c>
      <c r="V186" s="3799">
        <f t="shared" si="243"/>
        <v>37.699219751253999</v>
      </c>
      <c r="W186" s="669">
        <f t="shared" si="243"/>
        <v>36.573230051404288</v>
      </c>
    </row>
    <row r="187" spans="1:23" ht="18.75">
      <c r="A187" s="3826" t="s">
        <v>1758</v>
      </c>
      <c r="B187" s="3795">
        <f>SUM(B186/B185)</f>
        <v>1.0876037998062189</v>
      </c>
      <c r="C187" s="3795">
        <f t="shared" ref="C187:W187" si="244">SUM(C186/C185)</f>
        <v>1.0875284587933598</v>
      </c>
      <c r="D187" s="3795">
        <f t="shared" si="244"/>
        <v>1.1169557051587018</v>
      </c>
      <c r="E187" s="3824">
        <f t="shared" si="244"/>
        <v>1.0110350547490778</v>
      </c>
      <c r="F187" s="3824">
        <f t="shared" si="244"/>
        <v>0.98954884538346377</v>
      </c>
      <c r="G187" s="3824">
        <f t="shared" si="244"/>
        <v>1.1489635903350726</v>
      </c>
      <c r="H187" s="3795">
        <f t="shared" si="244"/>
        <v>1.0499922074178771</v>
      </c>
      <c r="I187" s="3824">
        <f t="shared" si="244"/>
        <v>0.97154869053403836</v>
      </c>
      <c r="J187" s="3824">
        <f t="shared" si="244"/>
        <v>0.94989791387617084</v>
      </c>
      <c r="K187" s="3824">
        <f t="shared" si="244"/>
        <v>1.1851552222410671</v>
      </c>
      <c r="L187" s="3795">
        <f t="shared" si="244"/>
        <v>1.0333205068796414</v>
      </c>
      <c r="M187" s="3795">
        <f t="shared" si="244"/>
        <v>1.0418062314000793</v>
      </c>
      <c r="N187" s="3824">
        <f t="shared" si="244"/>
        <v>1.1477396968221856</v>
      </c>
      <c r="O187" s="3824">
        <f t="shared" si="244"/>
        <v>1.0797011619958354</v>
      </c>
      <c r="P187" s="3824">
        <f t="shared" si="244"/>
        <v>1.2117155832551014</v>
      </c>
      <c r="Q187" s="3795">
        <f t="shared" si="244"/>
        <v>1.147293607174678</v>
      </c>
      <c r="R187" s="3795">
        <f t="shared" si="244"/>
        <v>1.0760603335298813</v>
      </c>
      <c r="S187" s="3824">
        <f t="shared" si="244"/>
        <v>1.0409064183229559</v>
      </c>
      <c r="T187" s="3824">
        <f t="shared" si="244"/>
        <v>1.0612853451327828</v>
      </c>
      <c r="U187" s="3824">
        <f t="shared" si="244"/>
        <v>1.2610722589341237</v>
      </c>
      <c r="V187" s="3795">
        <f t="shared" si="244"/>
        <v>1.1210880074632872</v>
      </c>
      <c r="W187" s="3816">
        <f t="shared" si="244"/>
        <v>1.0876036659475266</v>
      </c>
    </row>
    <row r="188" spans="1:23" ht="18.75">
      <c r="A188" s="3822" t="s">
        <v>1759</v>
      </c>
      <c r="B188" s="3797">
        <f>SUM((B189*B182)+(B190*B183))/B181</f>
        <v>28.380355084745766</v>
      </c>
      <c r="C188" s="3797">
        <f>SUM((C189*C182)+(C190*C183))/C181</f>
        <v>28.380355084745766</v>
      </c>
      <c r="D188" s="3787">
        <f>SUM([20]вода!AL125)</f>
        <v>0</v>
      </c>
      <c r="E188" s="3808">
        <f>SUM((E189*E182)+(E190*E183))/E181</f>
        <v>28.380355084745766</v>
      </c>
      <c r="F188" s="3808">
        <f>SUM((F189*F182)+(F190*F183))/F181</f>
        <v>28.380355084745762</v>
      </c>
      <c r="G188" s="3808">
        <f>SUM((G189*G182)+(G190*G183))/G181</f>
        <v>28.380355084745766</v>
      </c>
      <c r="H188" s="3797">
        <f>SUM((H189*H182)+(H190*H183))/H181</f>
        <v>28.380355084745762</v>
      </c>
      <c r="I188" s="3808">
        <f t="shared" ref="I188:W188" si="245">SUM((I189*I182)+(I190*I183))/I181</f>
        <v>28.380355084745762</v>
      </c>
      <c r="J188" s="3808">
        <f t="shared" si="245"/>
        <v>28.380355084745762</v>
      </c>
      <c r="K188" s="3808">
        <f t="shared" si="245"/>
        <v>28.380355084745762</v>
      </c>
      <c r="L188" s="3797">
        <f t="shared" si="245"/>
        <v>28.380355084745766</v>
      </c>
      <c r="M188" s="3797">
        <f t="shared" si="245"/>
        <v>28.380355084745762</v>
      </c>
      <c r="N188" s="3808">
        <f t="shared" si="245"/>
        <v>28.380355084745759</v>
      </c>
      <c r="O188" s="3808">
        <f t="shared" si="245"/>
        <v>28.380355084745762</v>
      </c>
      <c r="P188" s="3808">
        <f t="shared" si="245"/>
        <v>28.380355084745762</v>
      </c>
      <c r="Q188" s="3797">
        <f t="shared" si="245"/>
        <v>28.380355084745762</v>
      </c>
      <c r="R188" s="3797">
        <f t="shared" si="245"/>
        <v>28.380355084745759</v>
      </c>
      <c r="S188" s="3808">
        <f t="shared" si="245"/>
        <v>28.380355084745766</v>
      </c>
      <c r="T188" s="3808">
        <f t="shared" si="245"/>
        <v>28.380355084745766</v>
      </c>
      <c r="U188" s="3808">
        <f t="shared" si="245"/>
        <v>28.380355084745766</v>
      </c>
      <c r="V188" s="3797">
        <f t="shared" si="245"/>
        <v>28.380355084745762</v>
      </c>
      <c r="W188" s="3833">
        <f t="shared" si="245"/>
        <v>28.380355084745766</v>
      </c>
    </row>
    <row r="189" spans="1:23" ht="18.75">
      <c r="A189" s="3786" t="s">
        <v>391</v>
      </c>
      <c r="B189" s="3790">
        <f>SUM(C189)</f>
        <v>27.796610169491526</v>
      </c>
      <c r="C189" s="3790">
        <f>SUM('Тариф вода 2016-2017 ПЛАН'!J38)</f>
        <v>27.796610169491526</v>
      </c>
      <c r="D189" s="3790">
        <f>SUM([20]вода!AL126)</f>
        <v>0</v>
      </c>
      <c r="E189" s="3791">
        <f>SUM(B189)</f>
        <v>27.796610169491526</v>
      </c>
      <c r="F189" s="3791">
        <f>SUM(E189)</f>
        <v>27.796610169491526</v>
      </c>
      <c r="G189" s="3791">
        <f>SUM(E189)</f>
        <v>27.796610169491526</v>
      </c>
      <c r="H189" s="3790">
        <f>SUM(E189)</f>
        <v>27.796610169491526</v>
      </c>
      <c r="I189" s="3791">
        <f>SUM(E189)</f>
        <v>27.796610169491526</v>
      </c>
      <c r="J189" s="3791">
        <f>SUM(E189)</f>
        <v>27.796610169491526</v>
      </c>
      <c r="K189" s="3791">
        <f>SUM(E189)</f>
        <v>27.796610169491526</v>
      </c>
      <c r="L189" s="3790">
        <f>SUM(E189)</f>
        <v>27.796610169491526</v>
      </c>
      <c r="M189" s="3790">
        <f>SUM(E189)</f>
        <v>27.796610169491526</v>
      </c>
      <c r="N189" s="3791">
        <f>SUM(E189)</f>
        <v>27.796610169491526</v>
      </c>
      <c r="O189" s="3791">
        <f>SUM(E189)</f>
        <v>27.796610169491526</v>
      </c>
      <c r="P189" s="3791">
        <f>SUM(E189)</f>
        <v>27.796610169491526</v>
      </c>
      <c r="Q189" s="3790">
        <f>SUM(E189)</f>
        <v>27.796610169491526</v>
      </c>
      <c r="R189" s="3790">
        <f>SUM(E189)</f>
        <v>27.796610169491526</v>
      </c>
      <c r="S189" s="3791">
        <f>SUM(E189)</f>
        <v>27.796610169491526</v>
      </c>
      <c r="T189" s="3791">
        <f>SUM(E189)</f>
        <v>27.796610169491526</v>
      </c>
      <c r="U189" s="3791">
        <f>SUM(E189)</f>
        <v>27.796610169491526</v>
      </c>
      <c r="V189" s="3790">
        <f>SUM(E189)</f>
        <v>27.796610169491526</v>
      </c>
      <c r="W189" s="3836">
        <f>SUM(E189)</f>
        <v>27.796610169491526</v>
      </c>
    </row>
    <row r="190" spans="1:23" ht="18.75">
      <c r="A190" s="3786" t="s">
        <v>1754</v>
      </c>
      <c r="B190" s="3790">
        <f>SUM(C190)</f>
        <v>28.964099999999998</v>
      </c>
      <c r="C190" s="3790">
        <f>SUM('Тариф вода 2016-2017 ПЛАН'!J39)</f>
        <v>28.964099999999998</v>
      </c>
      <c r="D190" s="3790">
        <f>SUM([20]вода!AL127)</f>
        <v>0</v>
      </c>
      <c r="E190" s="3791">
        <f>SUM(B190)</f>
        <v>28.964099999999998</v>
      </c>
      <c r="F190" s="3791">
        <f>SUM(E190)</f>
        <v>28.964099999999998</v>
      </c>
      <c r="G190" s="3791">
        <f>SUM(E190)</f>
        <v>28.964099999999998</v>
      </c>
      <c r="H190" s="3790">
        <f>SUM(E190)</f>
        <v>28.964099999999998</v>
      </c>
      <c r="I190" s="3791">
        <f>SUM(E190)</f>
        <v>28.964099999999998</v>
      </c>
      <c r="J190" s="3791">
        <f>SUM(E190)</f>
        <v>28.964099999999998</v>
      </c>
      <c r="K190" s="3791">
        <f>SUM(E190)</f>
        <v>28.964099999999998</v>
      </c>
      <c r="L190" s="3790">
        <f>SUM(E190)</f>
        <v>28.964099999999998</v>
      </c>
      <c r="M190" s="3790">
        <f>SUM(E190)</f>
        <v>28.964099999999998</v>
      </c>
      <c r="N190" s="3791">
        <f>SUM(E190)</f>
        <v>28.964099999999998</v>
      </c>
      <c r="O190" s="3791">
        <f>SUM(E190)</f>
        <v>28.964099999999998</v>
      </c>
      <c r="P190" s="3791">
        <f>SUM(E190)</f>
        <v>28.964099999999998</v>
      </c>
      <c r="Q190" s="3790">
        <f>SUM(E190)</f>
        <v>28.964099999999998</v>
      </c>
      <c r="R190" s="3790">
        <f>SUM(E190)</f>
        <v>28.964099999999998</v>
      </c>
      <c r="S190" s="3791">
        <f>SUM(E190)</f>
        <v>28.964099999999998</v>
      </c>
      <c r="T190" s="3791">
        <f>SUM(E190)</f>
        <v>28.964099999999998</v>
      </c>
      <c r="U190" s="3791">
        <f>SUM(E190)</f>
        <v>28.964099999999998</v>
      </c>
      <c r="V190" s="3790">
        <f>SUM(E190)</f>
        <v>28.964099999999998</v>
      </c>
      <c r="W190" s="3836">
        <f>SUM(E190)</f>
        <v>28.964099999999998</v>
      </c>
    </row>
    <row r="191" spans="1:23" ht="18.75">
      <c r="A191" s="3826" t="s">
        <v>1760</v>
      </c>
      <c r="B191" s="3795">
        <f t="shared" ref="B191:C191" si="246">SUM(B190/B189)</f>
        <v>1.0420011585365854</v>
      </c>
      <c r="C191" s="3795">
        <f t="shared" si="246"/>
        <v>1.0420011585365854</v>
      </c>
      <c r="D191" s="3795">
        <v>0</v>
      </c>
      <c r="E191" s="3796">
        <f>SUM(E190/E189)</f>
        <v>1.0420011585365854</v>
      </c>
      <c r="F191" s="3796">
        <f t="shared" ref="F191:W191" si="247">SUM(F190/F189)</f>
        <v>1.0420011585365854</v>
      </c>
      <c r="G191" s="3796">
        <f t="shared" si="247"/>
        <v>1.0420011585365854</v>
      </c>
      <c r="H191" s="3795">
        <f t="shared" si="247"/>
        <v>1.0420011585365854</v>
      </c>
      <c r="I191" s="3796">
        <f t="shared" si="247"/>
        <v>1.0420011585365854</v>
      </c>
      <c r="J191" s="3796">
        <f t="shared" si="247"/>
        <v>1.0420011585365854</v>
      </c>
      <c r="K191" s="3796">
        <f t="shared" si="247"/>
        <v>1.0420011585365854</v>
      </c>
      <c r="L191" s="3795">
        <f t="shared" si="247"/>
        <v>1.0420011585365854</v>
      </c>
      <c r="M191" s="3795">
        <f t="shared" si="247"/>
        <v>1.0420011585365854</v>
      </c>
      <c r="N191" s="3796">
        <f t="shared" si="247"/>
        <v>1.0420011585365854</v>
      </c>
      <c r="O191" s="3796">
        <f t="shared" si="247"/>
        <v>1.0420011585365854</v>
      </c>
      <c r="P191" s="3796">
        <f t="shared" si="247"/>
        <v>1.0420011585365854</v>
      </c>
      <c r="Q191" s="3795">
        <f t="shared" si="247"/>
        <v>1.0420011585365854</v>
      </c>
      <c r="R191" s="3795">
        <f t="shared" si="247"/>
        <v>1.0420011585365854</v>
      </c>
      <c r="S191" s="3796">
        <f t="shared" si="247"/>
        <v>1.0420011585365854</v>
      </c>
      <c r="T191" s="3796">
        <f t="shared" si="247"/>
        <v>1.0420011585365854</v>
      </c>
      <c r="U191" s="3796">
        <f t="shared" si="247"/>
        <v>1.0420011585365854</v>
      </c>
      <c r="V191" s="3795">
        <f t="shared" si="247"/>
        <v>1.0420011585365854</v>
      </c>
      <c r="W191" s="3816">
        <f t="shared" si="247"/>
        <v>1.0420011585365854</v>
      </c>
    </row>
    <row r="192" spans="1:23" ht="18.75">
      <c r="A192" s="3822" t="s">
        <v>1761</v>
      </c>
      <c r="B192" s="3787">
        <f>SUM(B193:B194)</f>
        <v>16225.953601047222</v>
      </c>
      <c r="C192" s="3787">
        <f t="shared" ref="C192:D192" si="248">SUM(C193:C194)</f>
        <v>16225.953601047222</v>
      </c>
      <c r="D192" s="3787">
        <f t="shared" si="248"/>
        <v>0</v>
      </c>
      <c r="E192" s="3808">
        <f>SUM(E193:E194)</f>
        <v>1395.432009690061</v>
      </c>
      <c r="F192" s="3808">
        <f t="shared" ref="F192:G192" si="249">SUM(F193:F194)</f>
        <v>1379.2060560890141</v>
      </c>
      <c r="G192" s="3808">
        <f t="shared" si="249"/>
        <v>1385.6964375294326</v>
      </c>
      <c r="H192" s="3797">
        <f t="shared" ref="H192:H194" si="250">SUM(E192+F192+G192)</f>
        <v>4160.3345033085079</v>
      </c>
      <c r="I192" s="3808">
        <f t="shared" ref="I192:K192" si="251">SUM(I193:I194)</f>
        <v>1367.8478885682807</v>
      </c>
      <c r="J192" s="3808">
        <f t="shared" si="251"/>
        <v>1330.528195285872</v>
      </c>
      <c r="K192" s="3808">
        <f t="shared" si="251"/>
        <v>1280.2277391226257</v>
      </c>
      <c r="L192" s="3797">
        <f t="shared" ref="L192:L194" si="252">SUM(I192+J192+K192)</f>
        <v>3978.6038229767787</v>
      </c>
      <c r="M192" s="3797">
        <f t="shared" ref="M192:M194" si="253">SUM(H192+L192)</f>
        <v>8138.9383262852862</v>
      </c>
      <c r="N192" s="3808">
        <f t="shared" ref="N192" si="254">SUM(N193:N194)</f>
        <v>1264.0017855215783</v>
      </c>
      <c r="O192" s="3808">
        <f t="shared" ref="O192:P192" si="255">SUM(O193:O194)</f>
        <v>1315.9248370449295</v>
      </c>
      <c r="P192" s="3808">
        <f t="shared" si="255"/>
        <v>1349.9993396071288</v>
      </c>
      <c r="Q192" s="3797">
        <f t="shared" ref="Q192:Q194" si="256">SUM(N192+O192+P192)</f>
        <v>3929.9259621736364</v>
      </c>
      <c r="R192" s="3797">
        <f t="shared" ref="R192:R194" si="257">SUM(M192+Q192)</f>
        <v>12068.864288458923</v>
      </c>
      <c r="S192" s="3808">
        <f t="shared" ref="S192" si="258">SUM(S193:S194)</f>
        <v>1385.6964375294326</v>
      </c>
      <c r="T192" s="3808">
        <f t="shared" ref="T192:U192" si="259">SUM(T193:T194)</f>
        <v>1385.6964375294326</v>
      </c>
      <c r="U192" s="3808">
        <f t="shared" si="259"/>
        <v>1385.6964375294326</v>
      </c>
      <c r="V192" s="3797">
        <f t="shared" ref="V192:V194" si="260">SUM(S192+T192+U192)</f>
        <v>4157.0893125882976</v>
      </c>
      <c r="W192" s="3812">
        <f t="shared" ref="W192:W194" si="261">SUM(E192+F192+G192+I192+J192+K192+N192+O192+P192+S192+T192+U192)</f>
        <v>16225.953601047218</v>
      </c>
    </row>
    <row r="193" spans="1:23" ht="18.75">
      <c r="A193" s="3786" t="s">
        <v>391</v>
      </c>
      <c r="B193" s="3799">
        <f>SUM(C185-C189)*C182</f>
        <v>7051.4023626583039</v>
      </c>
      <c r="C193" s="3799">
        <f>SUM(C185-C189)*C182</f>
        <v>7051.4023626583039</v>
      </c>
      <c r="D193" s="3799">
        <f>SUM(D185-D189)*D182</f>
        <v>0</v>
      </c>
      <c r="E193" s="3801">
        <f>SUM(C185-E189)*E182</f>
        <v>606.42060318861411</v>
      </c>
      <c r="F193" s="3801">
        <f>SUM(C185-F189)*F182</f>
        <v>599.36920082595589</v>
      </c>
      <c r="G193" s="3801">
        <f>SUM(C185-G189)*G182</f>
        <v>602.18976177101911</v>
      </c>
      <c r="H193" s="3799">
        <f t="shared" si="250"/>
        <v>1807.9795657855893</v>
      </c>
      <c r="I193" s="3801">
        <f>SUM(C185-I189)*I182</f>
        <v>594.43321917209505</v>
      </c>
      <c r="J193" s="3801">
        <f>SUM(C185-J189)*J182</f>
        <v>578.21499373798088</v>
      </c>
      <c r="K193" s="3801">
        <f>SUM(C185-K189)*K182</f>
        <v>556.35564641374015</v>
      </c>
      <c r="L193" s="3799">
        <f t="shared" si="252"/>
        <v>1729.003859323816</v>
      </c>
      <c r="M193" s="3799">
        <f t="shared" si="253"/>
        <v>3536.9834251094053</v>
      </c>
      <c r="N193" s="3801">
        <f>SUM(C185-N189)*N182</f>
        <v>549.30424405108181</v>
      </c>
      <c r="O193" s="3801">
        <f>SUM(C185-O189)*O182</f>
        <v>571.86873161158837</v>
      </c>
      <c r="P193" s="3801">
        <f>SUM(C185-P189)*P182</f>
        <v>586.67667657317088</v>
      </c>
      <c r="Q193" s="3799">
        <f t="shared" si="256"/>
        <v>1707.8496522358409</v>
      </c>
      <c r="R193" s="3799">
        <f t="shared" si="257"/>
        <v>5244.8330773452462</v>
      </c>
      <c r="S193" s="3801">
        <f>SUM(C185-S189)*S182</f>
        <v>602.18976177101911</v>
      </c>
      <c r="T193" s="3801">
        <f>SUM(C185-T189)*T182</f>
        <v>602.18976177101911</v>
      </c>
      <c r="U193" s="3801">
        <f>SUM(C185-U189)*U182</f>
        <v>602.18976177101911</v>
      </c>
      <c r="V193" s="3799">
        <f t="shared" si="260"/>
        <v>1806.5692853130572</v>
      </c>
      <c r="W193" s="3814">
        <f t="shared" si="261"/>
        <v>7051.4023626583039</v>
      </c>
    </row>
    <row r="194" spans="1:23" ht="18.75">
      <c r="A194" s="3786" t="s">
        <v>1754</v>
      </c>
      <c r="B194" s="3799">
        <f>SUM(C186-C190)*C183</f>
        <v>9174.5512383889181</v>
      </c>
      <c r="C194" s="3799">
        <f>SUM(C186-C190)*C183</f>
        <v>9174.5512383889181</v>
      </c>
      <c r="D194" s="3799">
        <f>SUM(D186-D190)*D183</f>
        <v>0</v>
      </c>
      <c r="E194" s="3801">
        <f>SUM(C186-E190)*E183</f>
        <v>789.0114065014468</v>
      </c>
      <c r="F194" s="3801">
        <f>SUM(C186-F190)*F183</f>
        <v>779.83685526305806</v>
      </c>
      <c r="G194" s="3801">
        <f>SUM(C186-G190)*G183</f>
        <v>783.50667575841351</v>
      </c>
      <c r="H194" s="3799">
        <f t="shared" si="250"/>
        <v>2352.3549375229186</v>
      </c>
      <c r="I194" s="3801">
        <f>SUM(C186-I190)*I183</f>
        <v>773.41466939618567</v>
      </c>
      <c r="J194" s="3801">
        <f>SUM(C186-J190)*J183</f>
        <v>752.31320154789114</v>
      </c>
      <c r="K194" s="3801">
        <f>SUM(C186-K190)*K183</f>
        <v>723.87209270888559</v>
      </c>
      <c r="L194" s="3799">
        <f t="shared" si="252"/>
        <v>2249.5999636529623</v>
      </c>
      <c r="M194" s="3799">
        <f t="shared" si="253"/>
        <v>4601.9549011758809</v>
      </c>
      <c r="N194" s="3801">
        <f>SUM(C186-N190)*N183</f>
        <v>714.69754147049662</v>
      </c>
      <c r="O194" s="3801">
        <f>SUM(C186-O190)*O183</f>
        <v>744.05610543334114</v>
      </c>
      <c r="P194" s="3801">
        <f>SUM(C186-P190)*P183</f>
        <v>763.32266303395795</v>
      </c>
      <c r="Q194" s="3799">
        <f t="shared" si="256"/>
        <v>2222.0763099377955</v>
      </c>
      <c r="R194" s="3799">
        <f t="shared" si="257"/>
        <v>6824.0312111136764</v>
      </c>
      <c r="S194" s="3801">
        <f>SUM(C186-S190)*S183</f>
        <v>783.50667575841351</v>
      </c>
      <c r="T194" s="3801">
        <f>SUM(C186-T190)*T183</f>
        <v>783.50667575841351</v>
      </c>
      <c r="U194" s="3801">
        <f>SUM(C186-U190)*U183</f>
        <v>783.50667575841351</v>
      </c>
      <c r="V194" s="3799">
        <f t="shared" si="260"/>
        <v>2350.5200272752404</v>
      </c>
      <c r="W194" s="3814">
        <f t="shared" si="261"/>
        <v>9174.5512383889163</v>
      </c>
    </row>
    <row r="195" spans="1:23" ht="18.75" customHeight="1">
      <c r="A195" s="4410" t="s">
        <v>1762</v>
      </c>
      <c r="B195" s="4405"/>
      <c r="C195" s="4405"/>
      <c r="D195" s="4405"/>
      <c r="E195" s="4405"/>
      <c r="F195" s="4405"/>
      <c r="G195" s="4405"/>
      <c r="H195" s="4405"/>
      <c r="I195" s="4405"/>
      <c r="J195" s="4405"/>
      <c r="K195" s="4405"/>
      <c r="L195" s="4405"/>
      <c r="M195" s="4405"/>
      <c r="N195" s="4405"/>
      <c r="O195" s="4405"/>
      <c r="P195" s="4405"/>
      <c r="Q195" s="4405"/>
      <c r="R195" s="4405"/>
      <c r="S195" s="4405"/>
      <c r="T195" s="4405"/>
      <c r="U195" s="4405"/>
      <c r="V195" s="4405"/>
      <c r="W195" s="3837"/>
    </row>
    <row r="196" spans="1:23" ht="18.75" customHeight="1">
      <c r="A196" s="4396" t="s">
        <v>546</v>
      </c>
      <c r="B196" s="4389" t="s">
        <v>1782</v>
      </c>
      <c r="C196" s="4389" t="s">
        <v>576</v>
      </c>
      <c r="D196" s="4389"/>
      <c r="E196" s="4383" t="s">
        <v>587</v>
      </c>
      <c r="F196" s="4383" t="s">
        <v>588</v>
      </c>
      <c r="G196" s="4383" t="s">
        <v>589</v>
      </c>
      <c r="H196" s="4384" t="s">
        <v>601</v>
      </c>
      <c r="I196" s="4383" t="s">
        <v>590</v>
      </c>
      <c r="J196" s="4383" t="s">
        <v>591</v>
      </c>
      <c r="K196" s="4383" t="s">
        <v>592</v>
      </c>
      <c r="L196" s="4384" t="s">
        <v>600</v>
      </c>
      <c r="M196" s="4384" t="s">
        <v>599</v>
      </c>
      <c r="N196" s="4383" t="s">
        <v>593</v>
      </c>
      <c r="O196" s="4383" t="s">
        <v>594</v>
      </c>
      <c r="P196" s="4383" t="s">
        <v>595</v>
      </c>
      <c r="Q196" s="4384" t="s">
        <v>225</v>
      </c>
      <c r="R196" s="4384" t="s">
        <v>229</v>
      </c>
      <c r="S196" s="4383" t="s">
        <v>596</v>
      </c>
      <c r="T196" s="4383" t="s">
        <v>597</v>
      </c>
      <c r="U196" s="4383" t="s">
        <v>598</v>
      </c>
      <c r="V196" s="4384" t="s">
        <v>135</v>
      </c>
      <c r="W196" s="3837"/>
    </row>
    <row r="197" spans="1:23" ht="37.5" customHeight="1">
      <c r="A197" s="4397"/>
      <c r="B197" s="4389"/>
      <c r="C197" s="3784" t="s">
        <v>1554</v>
      </c>
      <c r="D197" s="3784" t="s">
        <v>1555</v>
      </c>
      <c r="E197" s="4383"/>
      <c r="F197" s="4383"/>
      <c r="G197" s="4383"/>
      <c r="H197" s="4384"/>
      <c r="I197" s="4383"/>
      <c r="J197" s="4383"/>
      <c r="K197" s="4383"/>
      <c r="L197" s="4384"/>
      <c r="M197" s="4384"/>
      <c r="N197" s="4383"/>
      <c r="O197" s="4383"/>
      <c r="P197" s="4383"/>
      <c r="Q197" s="4384"/>
      <c r="R197" s="4384"/>
      <c r="S197" s="4383"/>
      <c r="T197" s="4383"/>
      <c r="U197" s="4383"/>
      <c r="V197" s="4384"/>
      <c r="W197" s="3837"/>
    </row>
    <row r="198" spans="1:23" ht="18.75">
      <c r="A198" s="3822" t="s">
        <v>1753</v>
      </c>
      <c r="B198" s="3787">
        <f>SUM(B170)</f>
        <v>131872.02461703913</v>
      </c>
      <c r="C198" s="3787">
        <f>SUM(C170)</f>
        <v>131526.15756640362</v>
      </c>
      <c r="D198" s="3787">
        <f>SUM(D170)</f>
        <v>345.87220272417039</v>
      </c>
      <c r="E198" s="3808">
        <f>SUM(E170)</f>
        <v>10797.290355941412</v>
      </c>
      <c r="F198" s="3808">
        <f t="shared" ref="F198:K198" si="262">SUM(F170)</f>
        <v>10696.824206659852</v>
      </c>
      <c r="G198" s="3808">
        <f t="shared" si="262"/>
        <v>11605.746433594119</v>
      </c>
      <c r="H198" s="3797">
        <f t="shared" ref="H198:H200" si="263">SUM(E198+F198+G198)</f>
        <v>33099.860996195384</v>
      </c>
      <c r="I198" s="3808">
        <f t="shared" si="262"/>
        <v>10490.947301308972</v>
      </c>
      <c r="J198" s="3808">
        <f t="shared" si="262"/>
        <v>10168.718834150033</v>
      </c>
      <c r="K198" s="3808">
        <f t="shared" si="262"/>
        <v>10998.292624374908</v>
      </c>
      <c r="L198" s="3797">
        <f t="shared" ref="L198:L200" si="264">SUM(I198+J198+K198)</f>
        <v>31657.958759833913</v>
      </c>
      <c r="M198" s="3797">
        <f t="shared" ref="M198:M200" si="265">SUM(H198+L198)</f>
        <v>64757.819756029297</v>
      </c>
      <c r="N198" s="3808">
        <f t="shared" ref="N198:P198" si="266">SUM(N170)</f>
        <v>10513.524730097708</v>
      </c>
      <c r="O198" s="3808">
        <f t="shared" si="266"/>
        <v>10541.102450503149</v>
      </c>
      <c r="P198" s="3808">
        <f t="shared" si="266"/>
        <v>11697.875670974372</v>
      </c>
      <c r="Q198" s="3797">
        <f t="shared" ref="Q198:Q200" si="267">SUM(N198+O198+P198)</f>
        <v>32752.502851575231</v>
      </c>
      <c r="R198" s="3797">
        <f t="shared" ref="R198:R200" si="268">SUM(M198+Q198)</f>
        <v>97510.322607604525</v>
      </c>
      <c r="S198" s="3808">
        <f t="shared" ref="S198:U198" si="269">SUM(S170)</f>
        <v>11017.119058757105</v>
      </c>
      <c r="T198" s="3808">
        <f t="shared" si="269"/>
        <v>11128.1306090938</v>
      </c>
      <c r="U198" s="3808">
        <f t="shared" si="269"/>
        <v>12216.443808559037</v>
      </c>
      <c r="V198" s="3797">
        <f t="shared" ref="V198:V200" si="270">SUM(S198+T198+U198)</f>
        <v>34361.693476409942</v>
      </c>
      <c r="W198" s="3812">
        <f t="shared" ref="W198:W206" si="271">SUM(E198+F198+G198+I198+J198+K198+N198+O198+P198+S198+T198+U198)</f>
        <v>131872.0160840145</v>
      </c>
    </row>
    <row r="199" spans="1:23" ht="18.75">
      <c r="A199" s="3786" t="s">
        <v>391</v>
      </c>
      <c r="B199" s="3799">
        <f>SUM(C199:D199)</f>
        <v>63746.511492933671</v>
      </c>
      <c r="C199" s="3799">
        <f>SUM(C202*C208)</f>
        <v>63583.129613057143</v>
      </c>
      <c r="D199" s="3799">
        <f>SUM(D202*D208)</f>
        <v>163.38187987652836</v>
      </c>
      <c r="E199" s="3801">
        <f>SUM(E202*E208)</f>
        <v>5418.9723082513938</v>
      </c>
      <c r="F199" s="3801">
        <f t="shared" ref="F199:G199" si="272">SUM(F202*F208)</f>
        <v>5426.9977579994838</v>
      </c>
      <c r="G199" s="3801">
        <f t="shared" si="272"/>
        <v>5447.3697939365838</v>
      </c>
      <c r="H199" s="3799">
        <f t="shared" si="263"/>
        <v>16293.339860187461</v>
      </c>
      <c r="I199" s="3801">
        <f t="shared" ref="I199:K199" si="273">SUM(I202*I208)</f>
        <v>5372.1220626342838</v>
      </c>
      <c r="J199" s="3801">
        <f t="shared" si="273"/>
        <v>5266.5176354811201</v>
      </c>
      <c r="K199" s="3801">
        <f t="shared" si="273"/>
        <v>5079.1565871731736</v>
      </c>
      <c r="L199" s="3799">
        <f t="shared" si="264"/>
        <v>15717.796285288576</v>
      </c>
      <c r="M199" s="3799">
        <f t="shared" si="265"/>
        <v>32011.136145476037</v>
      </c>
      <c r="N199" s="3801">
        <f t="shared" ref="N199:P199" si="274">SUM(N202*N208)</f>
        <v>4941.929258219192</v>
      </c>
      <c r="O199" s="3801">
        <f t="shared" si="274"/>
        <v>5116.8675392561645</v>
      </c>
      <c r="P199" s="3801">
        <f t="shared" si="274"/>
        <v>5334.4691681725189</v>
      </c>
      <c r="Q199" s="3799">
        <f t="shared" si="267"/>
        <v>15393.265965647875</v>
      </c>
      <c r="R199" s="3799">
        <f t="shared" si="268"/>
        <v>47404.402111123913</v>
      </c>
      <c r="S199" s="3801">
        <f t="shared" ref="S199:U199" si="275">SUM(S202*S208)</f>
        <v>5447.3697939365838</v>
      </c>
      <c r="T199" s="3801">
        <f t="shared" si="275"/>
        <v>5447.3697939365838</v>
      </c>
      <c r="U199" s="3801">
        <f t="shared" si="275"/>
        <v>5447.3697939365838</v>
      </c>
      <c r="V199" s="3799">
        <f t="shared" si="270"/>
        <v>16342.109381809751</v>
      </c>
      <c r="W199" s="3814">
        <f t="shared" si="271"/>
        <v>63746.511492933656</v>
      </c>
    </row>
    <row r="200" spans="1:23" ht="18.75">
      <c r="A200" s="3786" t="s">
        <v>1754</v>
      </c>
      <c r="B200" s="3799">
        <f>SUM(B198-B199)</f>
        <v>68125.513124105462</v>
      </c>
      <c r="C200" s="3799">
        <f>SUM(C198-C199)</f>
        <v>67943.027953346478</v>
      </c>
      <c r="D200" s="3799">
        <f>SUM(D198-D199)</f>
        <v>182.49032284764203</v>
      </c>
      <c r="E200" s="3801">
        <f>SUM(E198-E199)</f>
        <v>5378.3180476900179</v>
      </c>
      <c r="F200" s="3801">
        <f t="shared" ref="F200:G200" si="276">SUM(F198-F199)</f>
        <v>5269.8264486603684</v>
      </c>
      <c r="G200" s="3801">
        <f t="shared" si="276"/>
        <v>6158.3766396575347</v>
      </c>
      <c r="H200" s="3799">
        <f t="shared" si="263"/>
        <v>16806.521136007919</v>
      </c>
      <c r="I200" s="3801">
        <f t="shared" ref="I200:K200" si="277">SUM(I198-I199)</f>
        <v>5118.8252386746881</v>
      </c>
      <c r="J200" s="3801">
        <f t="shared" si="277"/>
        <v>4902.2011986689131</v>
      </c>
      <c r="K200" s="3801">
        <f t="shared" si="277"/>
        <v>5919.1360372017343</v>
      </c>
      <c r="L200" s="3799">
        <f t="shared" si="264"/>
        <v>15940.162474545334</v>
      </c>
      <c r="M200" s="3799">
        <f t="shared" si="265"/>
        <v>32746.683610553253</v>
      </c>
      <c r="N200" s="3801">
        <f t="shared" ref="N200:P200" si="278">SUM(N198-N199)</f>
        <v>5571.595471878516</v>
      </c>
      <c r="O200" s="3801">
        <f t="shared" si="278"/>
        <v>5424.2349112469847</v>
      </c>
      <c r="P200" s="3801">
        <f t="shared" si="278"/>
        <v>6363.4065028018531</v>
      </c>
      <c r="Q200" s="3799">
        <f t="shared" si="267"/>
        <v>17359.236885927352</v>
      </c>
      <c r="R200" s="3799">
        <f t="shared" si="268"/>
        <v>50105.920496480605</v>
      </c>
      <c r="S200" s="3801">
        <f t="shared" ref="S200:U200" si="279">SUM(S198-S199)</f>
        <v>5569.7492648205216</v>
      </c>
      <c r="T200" s="3801">
        <f t="shared" si="279"/>
        <v>5680.7608151572158</v>
      </c>
      <c r="U200" s="3801">
        <f t="shared" si="279"/>
        <v>6769.0740146224534</v>
      </c>
      <c r="V200" s="3799">
        <f t="shared" si="270"/>
        <v>18019.584094600192</v>
      </c>
      <c r="W200" s="3814">
        <f t="shared" si="271"/>
        <v>68125.504591080797</v>
      </c>
    </row>
    <row r="201" spans="1:23" ht="18.75">
      <c r="A201" s="3822" t="s">
        <v>1755</v>
      </c>
      <c r="B201" s="3787">
        <f>SUM(B164)</f>
        <v>3791.3490000000002</v>
      </c>
      <c r="C201" s="3787">
        <f>SUM(C164)</f>
        <v>3771</v>
      </c>
      <c r="D201" s="3787">
        <f>SUM(D164)</f>
        <v>20.349</v>
      </c>
      <c r="E201" s="3804">
        <f>SUM(E164)</f>
        <v>322.29552269999999</v>
      </c>
      <c r="F201" s="3804">
        <f t="shared" ref="F201:K201" si="280">SUM(F164)</f>
        <v>322.77283950000003</v>
      </c>
      <c r="G201" s="3804">
        <f t="shared" si="280"/>
        <v>323.98447440000001</v>
      </c>
      <c r="H201" s="3797">
        <f>SUM(E201+F201+G201)</f>
        <v>969.05283660000009</v>
      </c>
      <c r="I201" s="3804">
        <f t="shared" si="280"/>
        <v>319.50908579999998</v>
      </c>
      <c r="J201" s="3804">
        <f t="shared" si="280"/>
        <v>313.22822069999995</v>
      </c>
      <c r="K201" s="3804">
        <f t="shared" si="280"/>
        <v>302.08484820000001</v>
      </c>
      <c r="L201" s="3797">
        <f>SUM(I201+J201+K201)</f>
        <v>934.82215469999994</v>
      </c>
      <c r="M201" s="3797">
        <f>SUM(H201+L201)</f>
        <v>1903.8749913000001</v>
      </c>
      <c r="N201" s="3804">
        <f t="shared" ref="N201:P201" si="281">SUM(N164)</f>
        <v>293.92319850000001</v>
      </c>
      <c r="O201" s="3804">
        <f t="shared" si="281"/>
        <v>304.32772199999994</v>
      </c>
      <c r="P201" s="3804">
        <f t="shared" si="281"/>
        <v>317.26966499999997</v>
      </c>
      <c r="Q201" s="3797">
        <f>SUM(N201+O201+P201)</f>
        <v>915.52058549999992</v>
      </c>
      <c r="R201" s="3797">
        <f>SUM(M201+Q201)</f>
        <v>2819.3955768000001</v>
      </c>
      <c r="S201" s="3804">
        <f t="shared" ref="S201:U201" si="282">SUM(S164)</f>
        <v>323.98447440000001</v>
      </c>
      <c r="T201" s="3804">
        <f t="shared" si="282"/>
        <v>323.98447440000001</v>
      </c>
      <c r="U201" s="3804">
        <f t="shared" si="282"/>
        <v>323.98447440000001</v>
      </c>
      <c r="V201" s="3797">
        <f>SUM(S201+T201+U201)</f>
        <v>971.95342320000009</v>
      </c>
      <c r="W201" s="3812">
        <f t="shared" si="271"/>
        <v>3791.3490000000006</v>
      </c>
    </row>
    <row r="202" spans="1:23" ht="18.75">
      <c r="A202" s="3786" t="s">
        <v>391</v>
      </c>
      <c r="B202" s="3799">
        <f>SUM(B201/2)</f>
        <v>1895.6745000000001</v>
      </c>
      <c r="C202" s="3799">
        <f>SUM(C201/2)</f>
        <v>1885.5</v>
      </c>
      <c r="D202" s="3799">
        <f>SUM(D201/2)</f>
        <v>10.1745</v>
      </c>
      <c r="E202" s="3801">
        <f>SUM(E201/2)</f>
        <v>161.14776135</v>
      </c>
      <c r="F202" s="3801">
        <f t="shared" ref="F202:G202" si="283">SUM(F201/2)</f>
        <v>161.38641975000002</v>
      </c>
      <c r="G202" s="3801">
        <f t="shared" si="283"/>
        <v>161.99223720000001</v>
      </c>
      <c r="H202" s="3799">
        <f t="shared" ref="H202:H206" si="284">SUM(E202+F202+G202)</f>
        <v>484.52641830000005</v>
      </c>
      <c r="I202" s="3801">
        <f t="shared" ref="I202" si="285">SUM(I201/2)</f>
        <v>159.75454289999999</v>
      </c>
      <c r="J202" s="3801">
        <f t="shared" ref="J202:K202" si="286">SUM(J201/2)</f>
        <v>156.61411034999998</v>
      </c>
      <c r="K202" s="3801">
        <f t="shared" si="286"/>
        <v>151.04242410000001</v>
      </c>
      <c r="L202" s="3799">
        <f t="shared" ref="L202:L206" si="287">SUM(I202+J202+K202)</f>
        <v>467.41107734999997</v>
      </c>
      <c r="M202" s="3799">
        <f t="shared" ref="M202:M206" si="288">SUM(H202+L202)</f>
        <v>951.93749565000007</v>
      </c>
      <c r="N202" s="3801">
        <f t="shared" ref="N202" si="289">SUM(N201/2)</f>
        <v>146.96159925000001</v>
      </c>
      <c r="O202" s="3801">
        <f t="shared" ref="O202:P202" si="290">SUM(O201/2)</f>
        <v>152.16386099999997</v>
      </c>
      <c r="P202" s="3801">
        <f t="shared" si="290"/>
        <v>158.63483249999999</v>
      </c>
      <c r="Q202" s="3799">
        <f t="shared" ref="Q202:Q206" si="291">SUM(N202+O202+P202)</f>
        <v>457.76029274999996</v>
      </c>
      <c r="R202" s="3799">
        <f t="shared" ref="R202:R206" si="292">SUM(M202+Q202)</f>
        <v>1409.6977884</v>
      </c>
      <c r="S202" s="3801">
        <f t="shared" ref="S202" si="293">SUM(S201/2)</f>
        <v>161.99223720000001</v>
      </c>
      <c r="T202" s="3801">
        <f t="shared" ref="T202:U202" si="294">SUM(T201/2)</f>
        <v>161.99223720000001</v>
      </c>
      <c r="U202" s="3801">
        <f t="shared" si="294"/>
        <v>161.99223720000001</v>
      </c>
      <c r="V202" s="3799">
        <f t="shared" ref="V202:V206" si="295">SUM(S202+T202+U202)</f>
        <v>485.97671160000004</v>
      </c>
      <c r="W202" s="3814">
        <f t="shared" si="271"/>
        <v>1895.6745000000003</v>
      </c>
    </row>
    <row r="203" spans="1:23" ht="18.75">
      <c r="A203" s="3786" t="s">
        <v>1754</v>
      </c>
      <c r="B203" s="3799">
        <f>SUM(B201-B202)</f>
        <v>1895.6745000000001</v>
      </c>
      <c r="C203" s="3799">
        <f>SUM(C201-C202)</f>
        <v>1885.5</v>
      </c>
      <c r="D203" s="3799">
        <f>SUM(D201-D202)</f>
        <v>10.1745</v>
      </c>
      <c r="E203" s="3801">
        <f>SUM(E201-E202)</f>
        <v>161.14776135</v>
      </c>
      <c r="F203" s="3801">
        <f t="shared" ref="F203:G203" si="296">SUM(F201-F202)</f>
        <v>161.38641975000002</v>
      </c>
      <c r="G203" s="3801">
        <f t="shared" si="296"/>
        <v>161.99223720000001</v>
      </c>
      <c r="H203" s="3799">
        <f t="shared" si="284"/>
        <v>484.52641830000005</v>
      </c>
      <c r="I203" s="3801">
        <f t="shared" ref="I203:K203" si="297">SUM(I201-I202)</f>
        <v>159.75454289999999</v>
      </c>
      <c r="J203" s="3801">
        <f t="shared" si="297"/>
        <v>156.61411034999998</v>
      </c>
      <c r="K203" s="3801">
        <f t="shared" si="297"/>
        <v>151.04242410000001</v>
      </c>
      <c r="L203" s="3799">
        <f t="shared" si="287"/>
        <v>467.41107734999997</v>
      </c>
      <c r="M203" s="3799">
        <f t="shared" si="288"/>
        <v>951.93749565000007</v>
      </c>
      <c r="N203" s="3801">
        <f t="shared" ref="N203:P203" si="298">SUM(N201-N202)</f>
        <v>146.96159925000001</v>
      </c>
      <c r="O203" s="3801">
        <f t="shared" si="298"/>
        <v>152.16386099999997</v>
      </c>
      <c r="P203" s="3801">
        <f t="shared" si="298"/>
        <v>158.63483249999999</v>
      </c>
      <c r="Q203" s="3799">
        <f t="shared" si="291"/>
        <v>457.76029274999996</v>
      </c>
      <c r="R203" s="3799">
        <f t="shared" si="292"/>
        <v>1409.6977884</v>
      </c>
      <c r="S203" s="3801">
        <f t="shared" ref="S203:U203" si="299">SUM(S201-S202)</f>
        <v>161.99223720000001</v>
      </c>
      <c r="T203" s="3801">
        <f t="shared" si="299"/>
        <v>161.99223720000001</v>
      </c>
      <c r="U203" s="3801">
        <f t="shared" si="299"/>
        <v>161.99223720000001</v>
      </c>
      <c r="V203" s="3799">
        <f t="shared" si="295"/>
        <v>485.97671160000004</v>
      </c>
      <c r="W203" s="3814">
        <f t="shared" si="271"/>
        <v>1895.6745000000003</v>
      </c>
    </row>
    <row r="204" spans="1:23" ht="18.75">
      <c r="A204" s="3822" t="s">
        <v>1756</v>
      </c>
      <c r="B204" s="3787">
        <f>SUM(B18)</f>
        <v>2380</v>
      </c>
      <c r="C204" s="3787">
        <f>SUM(C18)</f>
        <v>2380</v>
      </c>
      <c r="D204" s="3787">
        <f>SUM(D18)</f>
        <v>0</v>
      </c>
      <c r="E204" s="3804">
        <f>SUM(E18)</f>
        <v>204.67999999999998</v>
      </c>
      <c r="F204" s="3804">
        <f t="shared" ref="F204:K204" si="300">SUM(F18)</f>
        <v>202.3</v>
      </c>
      <c r="G204" s="3804">
        <f t="shared" si="300"/>
        <v>203.25199999999998</v>
      </c>
      <c r="H204" s="3797">
        <f t="shared" si="284"/>
        <v>610.23199999999997</v>
      </c>
      <c r="I204" s="3804">
        <f t="shared" si="300"/>
        <v>200.63399999999999</v>
      </c>
      <c r="J204" s="3804">
        <f t="shared" si="300"/>
        <v>195.15999999999997</v>
      </c>
      <c r="K204" s="3804">
        <f t="shared" si="300"/>
        <v>187.78199999999998</v>
      </c>
      <c r="L204" s="3797">
        <f t="shared" si="287"/>
        <v>583.57600000000002</v>
      </c>
      <c r="M204" s="3797">
        <f t="shared" si="288"/>
        <v>1193.808</v>
      </c>
      <c r="N204" s="3804">
        <f t="shared" ref="N204:P204" si="301">SUM(N18)</f>
        <v>185.40199999999999</v>
      </c>
      <c r="O204" s="3804">
        <f t="shared" si="301"/>
        <v>193.01799999999997</v>
      </c>
      <c r="P204" s="3804">
        <f t="shared" si="301"/>
        <v>198.01599999999999</v>
      </c>
      <c r="Q204" s="3797">
        <f t="shared" si="291"/>
        <v>576.43599999999992</v>
      </c>
      <c r="R204" s="3797">
        <f t="shared" si="292"/>
        <v>1770.2439999999999</v>
      </c>
      <c r="S204" s="3804">
        <f t="shared" ref="S204:U204" si="302">SUM(S18)</f>
        <v>203.25199999999998</v>
      </c>
      <c r="T204" s="3804">
        <f t="shared" si="302"/>
        <v>203.25199999999998</v>
      </c>
      <c r="U204" s="3804">
        <f t="shared" si="302"/>
        <v>203.25199999999998</v>
      </c>
      <c r="V204" s="3797">
        <f t="shared" si="295"/>
        <v>609.75599999999997</v>
      </c>
      <c r="W204" s="3812">
        <f t="shared" si="271"/>
        <v>2380</v>
      </c>
    </row>
    <row r="205" spans="1:23" ht="18.75">
      <c r="A205" s="3786" t="s">
        <v>391</v>
      </c>
      <c r="B205" s="3799">
        <f>SUM(B204/2)</f>
        <v>1190</v>
      </c>
      <c r="C205" s="3799">
        <f>SUM(C204/2)</f>
        <v>1190</v>
      </c>
      <c r="D205" s="3799">
        <f>SUM(D204/2)</f>
        <v>0</v>
      </c>
      <c r="E205" s="3801">
        <f>SUM(E204/2)</f>
        <v>102.33999999999999</v>
      </c>
      <c r="F205" s="3801">
        <f t="shared" ref="F205:G205" si="303">SUM(F204/2)</f>
        <v>101.15</v>
      </c>
      <c r="G205" s="3801">
        <f t="shared" si="303"/>
        <v>101.62599999999999</v>
      </c>
      <c r="H205" s="3799">
        <f t="shared" si="284"/>
        <v>305.11599999999999</v>
      </c>
      <c r="I205" s="3801">
        <f t="shared" ref="I205:K205" si="304">SUM(I204/2)</f>
        <v>100.31699999999999</v>
      </c>
      <c r="J205" s="3801">
        <f t="shared" si="304"/>
        <v>97.579999999999984</v>
      </c>
      <c r="K205" s="3801">
        <f t="shared" si="304"/>
        <v>93.890999999999991</v>
      </c>
      <c r="L205" s="3799">
        <f t="shared" si="287"/>
        <v>291.78800000000001</v>
      </c>
      <c r="M205" s="3799">
        <f t="shared" si="288"/>
        <v>596.904</v>
      </c>
      <c r="N205" s="3801">
        <f t="shared" ref="N205:P205" si="305">SUM(N204/2)</f>
        <v>92.700999999999993</v>
      </c>
      <c r="O205" s="3801">
        <f t="shared" si="305"/>
        <v>96.508999999999986</v>
      </c>
      <c r="P205" s="3801">
        <f t="shared" si="305"/>
        <v>99.007999999999996</v>
      </c>
      <c r="Q205" s="3799">
        <f t="shared" si="291"/>
        <v>288.21799999999996</v>
      </c>
      <c r="R205" s="3799">
        <f t="shared" si="292"/>
        <v>885.12199999999996</v>
      </c>
      <c r="S205" s="3801">
        <f t="shared" ref="S205:U205" si="306">SUM(S204/2)</f>
        <v>101.62599999999999</v>
      </c>
      <c r="T205" s="3801">
        <f t="shared" si="306"/>
        <v>101.62599999999999</v>
      </c>
      <c r="U205" s="3801">
        <f t="shared" si="306"/>
        <v>101.62599999999999</v>
      </c>
      <c r="V205" s="3799">
        <f t="shared" si="295"/>
        <v>304.87799999999999</v>
      </c>
      <c r="W205" s="3814">
        <f t="shared" si="271"/>
        <v>1190</v>
      </c>
    </row>
    <row r="206" spans="1:23" ht="18.75">
      <c r="A206" s="3786" t="s">
        <v>1754</v>
      </c>
      <c r="B206" s="3799">
        <f>SUM(B204-B205)</f>
        <v>1190</v>
      </c>
      <c r="C206" s="3799">
        <f>SUM(C204-C205)</f>
        <v>1190</v>
      </c>
      <c r="D206" s="3799">
        <f>SUM(D204-D205)</f>
        <v>0</v>
      </c>
      <c r="E206" s="3801">
        <f>SUM(E204-E205)</f>
        <v>102.33999999999999</v>
      </c>
      <c r="F206" s="3801">
        <f t="shared" ref="F206:G206" si="307">SUM(F204-F205)</f>
        <v>101.15</v>
      </c>
      <c r="G206" s="3801">
        <f t="shared" si="307"/>
        <v>101.62599999999999</v>
      </c>
      <c r="H206" s="3799">
        <f t="shared" si="284"/>
        <v>305.11599999999999</v>
      </c>
      <c r="I206" s="3801">
        <f t="shared" ref="I206:K206" si="308">SUM(I204-I205)</f>
        <v>100.31699999999999</v>
      </c>
      <c r="J206" s="3801">
        <f t="shared" si="308"/>
        <v>97.579999999999984</v>
      </c>
      <c r="K206" s="3801">
        <f t="shared" si="308"/>
        <v>93.890999999999991</v>
      </c>
      <c r="L206" s="3799">
        <f t="shared" si="287"/>
        <v>291.78800000000001</v>
      </c>
      <c r="M206" s="3799">
        <f t="shared" si="288"/>
        <v>596.904</v>
      </c>
      <c r="N206" s="3801">
        <f t="shared" ref="N206:P206" si="309">SUM(N204-N205)</f>
        <v>92.700999999999993</v>
      </c>
      <c r="O206" s="3801">
        <f t="shared" si="309"/>
        <v>96.508999999999986</v>
      </c>
      <c r="P206" s="3801">
        <f t="shared" si="309"/>
        <v>99.007999999999996</v>
      </c>
      <c r="Q206" s="3799">
        <f t="shared" si="291"/>
        <v>288.21799999999996</v>
      </c>
      <c r="R206" s="3799">
        <f t="shared" si="292"/>
        <v>885.12199999999996</v>
      </c>
      <c r="S206" s="3801">
        <f t="shared" ref="S206:U206" si="310">SUM(S204-S205)</f>
        <v>101.62599999999999</v>
      </c>
      <c r="T206" s="3801">
        <f t="shared" si="310"/>
        <v>101.62599999999999</v>
      </c>
      <c r="U206" s="3801">
        <f t="shared" si="310"/>
        <v>101.62599999999999</v>
      </c>
      <c r="V206" s="3799">
        <f t="shared" si="295"/>
        <v>304.87799999999999</v>
      </c>
      <c r="W206" s="3814">
        <f t="shared" si="271"/>
        <v>1190</v>
      </c>
    </row>
    <row r="207" spans="1:23" ht="18.75">
      <c r="A207" s="3822" t="s">
        <v>1757</v>
      </c>
      <c r="B207" s="3787">
        <f>SUM(B171)</f>
        <v>34.782349136689639</v>
      </c>
      <c r="C207" s="3787">
        <f>SUM(C171)</f>
        <v>34.8783234066305</v>
      </c>
      <c r="D207" s="3787">
        <f>SUM(D171)</f>
        <v>16.997012272061053</v>
      </c>
      <c r="E207" s="3808">
        <f>SUM(E171)</f>
        <v>33.501211141526703</v>
      </c>
      <c r="F207" s="3808">
        <f t="shared" ref="F207:W207" si="311">SUM(F171)</f>
        <v>33.140409903231188</v>
      </c>
      <c r="G207" s="3808">
        <f t="shared" si="311"/>
        <v>35.821921575369537</v>
      </c>
      <c r="H207" s="3797">
        <f t="shared" si="311"/>
        <v>34.156920805607371</v>
      </c>
      <c r="I207" s="3808">
        <f t="shared" si="311"/>
        <v>32.834582074689074</v>
      </c>
      <c r="J207" s="3808">
        <f t="shared" si="311"/>
        <v>32.464248628125077</v>
      </c>
      <c r="K207" s="3808">
        <f t="shared" si="311"/>
        <v>36.407958525259488</v>
      </c>
      <c r="L207" s="3797">
        <f t="shared" si="311"/>
        <v>33.865220887916891</v>
      </c>
      <c r="M207" s="3797">
        <f t="shared" si="311"/>
        <v>34.013693153147358</v>
      </c>
      <c r="N207" s="3808">
        <f t="shared" si="311"/>
        <v>35.76963228405296</v>
      </c>
      <c r="O207" s="3808">
        <f t="shared" si="311"/>
        <v>34.637338922752335</v>
      </c>
      <c r="P207" s="3808">
        <f t="shared" si="311"/>
        <v>36.87045110655118</v>
      </c>
      <c r="Q207" s="3797">
        <f t="shared" si="311"/>
        <v>35.774731196992001</v>
      </c>
      <c r="R207" s="3797">
        <f t="shared" si="311"/>
        <v>34.585541457888738</v>
      </c>
      <c r="S207" s="3808">
        <f t="shared" si="311"/>
        <v>34.005083358269424</v>
      </c>
      <c r="T207" s="3808">
        <f t="shared" si="311"/>
        <v>34.347728019073863</v>
      </c>
      <c r="U207" s="3808">
        <f t="shared" si="311"/>
        <v>37.706880341050805</v>
      </c>
      <c r="V207" s="3797">
        <f t="shared" si="311"/>
        <v>35.353230572798026</v>
      </c>
      <c r="W207" s="3838">
        <f t="shared" si="311"/>
        <v>34.782346886033039</v>
      </c>
    </row>
    <row r="208" spans="1:23" ht="18.75">
      <c r="A208" s="3786" t="s">
        <v>391</v>
      </c>
      <c r="B208" s="3790">
        <f>SUM(B199/B202)</f>
        <v>33.627350841578377</v>
      </c>
      <c r="C208" s="3790">
        <f>SUM('Тариф вода 2016-2017 ПЛАН'!J31)</f>
        <v>33.722158373406067</v>
      </c>
      <c r="D208" s="3790">
        <f>SUM('Тариф тех.вода 2016-2017 ПЛАН'!J31)</f>
        <v>16.057976301196948</v>
      </c>
      <c r="E208" s="3791">
        <f>SUM(B208)</f>
        <v>33.627350841578377</v>
      </c>
      <c r="F208" s="3791">
        <f>SUM(E208)</f>
        <v>33.627350841578377</v>
      </c>
      <c r="G208" s="3791">
        <f>SUM(E208)</f>
        <v>33.627350841578377</v>
      </c>
      <c r="H208" s="3790">
        <f>SUM(E208)</f>
        <v>33.627350841578377</v>
      </c>
      <c r="I208" s="3791">
        <f>SUM(E208)</f>
        <v>33.627350841578377</v>
      </c>
      <c r="J208" s="3791">
        <f>SUM(E208)</f>
        <v>33.627350841578377</v>
      </c>
      <c r="K208" s="3791">
        <f>SUM(E208)</f>
        <v>33.627350841578377</v>
      </c>
      <c r="L208" s="3790">
        <f>SUM(E208)</f>
        <v>33.627350841578377</v>
      </c>
      <c r="M208" s="3790">
        <f>SUM(E208)</f>
        <v>33.627350841578377</v>
      </c>
      <c r="N208" s="3791">
        <f>SUM(E208)</f>
        <v>33.627350841578377</v>
      </c>
      <c r="O208" s="3791">
        <f>SUM(E208)</f>
        <v>33.627350841578377</v>
      </c>
      <c r="P208" s="3791">
        <f>SUM(E208)</f>
        <v>33.627350841578377</v>
      </c>
      <c r="Q208" s="3790">
        <f>SUM(E208)</f>
        <v>33.627350841578377</v>
      </c>
      <c r="R208" s="3790">
        <f>SUM(E208)</f>
        <v>33.627350841578377</v>
      </c>
      <c r="S208" s="3791">
        <f>SUM(E208)</f>
        <v>33.627350841578377</v>
      </c>
      <c r="T208" s="3791">
        <f>SUM(E208)</f>
        <v>33.627350841578377</v>
      </c>
      <c r="U208" s="3791">
        <f>SUM(E208)</f>
        <v>33.627350841578377</v>
      </c>
      <c r="V208" s="3790">
        <f>SUM(E208)</f>
        <v>33.627350841578377</v>
      </c>
      <c r="W208" s="3836">
        <f>SUM(E208)</f>
        <v>33.627350841578377</v>
      </c>
    </row>
    <row r="209" spans="1:23" ht="18.75">
      <c r="A209" s="3786" t="s">
        <v>1754</v>
      </c>
      <c r="B209" s="3799">
        <f>SUM(B200/B203)</f>
        <v>35.937347431800902</v>
      </c>
      <c r="C209" s="3799">
        <f>SUM(C200/C203)</f>
        <v>36.034488439854933</v>
      </c>
      <c r="D209" s="3799">
        <f>SUM(D200/D203)</f>
        <v>17.93604824292516</v>
      </c>
      <c r="E209" s="3801">
        <f>SUM(E200/E203)</f>
        <v>33.375071441475029</v>
      </c>
      <c r="F209" s="3801">
        <f t="shared" ref="F209:W209" si="312">SUM(F200/F203)</f>
        <v>32.653468964884006</v>
      </c>
      <c r="G209" s="3801">
        <f t="shared" si="312"/>
        <v>38.016492309160689</v>
      </c>
      <c r="H209" s="3799">
        <f t="shared" si="312"/>
        <v>34.686490769636364</v>
      </c>
      <c r="I209" s="3801">
        <f t="shared" si="312"/>
        <v>32.041813307799764</v>
      </c>
      <c r="J209" s="3801">
        <f t="shared" si="312"/>
        <v>31.301146414671784</v>
      </c>
      <c r="K209" s="3801">
        <f t="shared" si="312"/>
        <v>39.188566208940593</v>
      </c>
      <c r="L209" s="3799">
        <f t="shared" si="312"/>
        <v>34.103090934255398</v>
      </c>
      <c r="M209" s="3799">
        <f t="shared" si="312"/>
        <v>34.400035464716332</v>
      </c>
      <c r="N209" s="3801">
        <f t="shared" si="312"/>
        <v>37.911913726527551</v>
      </c>
      <c r="O209" s="3801">
        <f t="shared" si="312"/>
        <v>35.647327003926286</v>
      </c>
      <c r="P209" s="3801">
        <f t="shared" si="312"/>
        <v>40.11355137152399</v>
      </c>
      <c r="Q209" s="3799">
        <f t="shared" si="312"/>
        <v>37.922111552405617</v>
      </c>
      <c r="R209" s="3799">
        <f t="shared" si="312"/>
        <v>35.543732074199092</v>
      </c>
      <c r="S209" s="3801">
        <f t="shared" si="312"/>
        <v>34.382815874960464</v>
      </c>
      <c r="T209" s="3801">
        <f t="shared" si="312"/>
        <v>35.068105196569356</v>
      </c>
      <c r="U209" s="3801">
        <f t="shared" si="312"/>
        <v>41.786409840523227</v>
      </c>
      <c r="V209" s="3799">
        <f t="shared" si="312"/>
        <v>37.079110304017682</v>
      </c>
      <c r="W209" s="669">
        <f t="shared" si="312"/>
        <v>35.937342930487688</v>
      </c>
    </row>
    <row r="210" spans="1:23" ht="18.75">
      <c r="A210" s="3826" t="s">
        <v>1758</v>
      </c>
      <c r="B210" s="3795">
        <f>SUM(B209/B208)</f>
        <v>1.0686939807154343</v>
      </c>
      <c r="C210" s="3795">
        <f t="shared" ref="C210:W210" si="313">SUM(C209/C208)</f>
        <v>1.068570049426979</v>
      </c>
      <c r="D210" s="3795">
        <f t="shared" si="313"/>
        <v>1.1169557051587018</v>
      </c>
      <c r="E210" s="3824">
        <f t="shared" si="313"/>
        <v>0.9924977914171158</v>
      </c>
      <c r="F210" s="3824">
        <f t="shared" si="313"/>
        <v>0.97103899497517898</v>
      </c>
      <c r="G210" s="3824">
        <f t="shared" si="313"/>
        <v>1.13052296293752</v>
      </c>
      <c r="H210" s="3795">
        <f t="shared" si="313"/>
        <v>1.0314963831985366</v>
      </c>
      <c r="I210" s="3824">
        <f t="shared" si="313"/>
        <v>0.95284976383515219</v>
      </c>
      <c r="J210" s="3824">
        <f t="shared" si="313"/>
        <v>0.93082403553388549</v>
      </c>
      <c r="K210" s="3824">
        <f t="shared" si="313"/>
        <v>1.1653777424680769</v>
      </c>
      <c r="L210" s="3795">
        <f t="shared" si="313"/>
        <v>1.0141474151478147</v>
      </c>
      <c r="M210" s="3795">
        <f t="shared" si="313"/>
        <v>1.0229778618832672</v>
      </c>
      <c r="N210" s="3824">
        <f t="shared" si="313"/>
        <v>1.1274130366419333</v>
      </c>
      <c r="O210" s="3824">
        <f t="shared" si="313"/>
        <v>1.0600694408508184</v>
      </c>
      <c r="P210" s="3824">
        <f t="shared" si="313"/>
        <v>1.1928846717810961</v>
      </c>
      <c r="Q210" s="3795">
        <f t="shared" si="313"/>
        <v>1.1277162965069791</v>
      </c>
      <c r="R210" s="3795">
        <f t="shared" si="313"/>
        <v>1.0569887661281725</v>
      </c>
      <c r="S210" s="3824">
        <f t="shared" si="313"/>
        <v>1.0224657909254034</v>
      </c>
      <c r="T210" s="3824">
        <f t="shared" si="313"/>
        <v>1.04284471773523</v>
      </c>
      <c r="U210" s="3824">
        <f t="shared" si="313"/>
        <v>1.2426316315365711</v>
      </c>
      <c r="V210" s="3795">
        <f t="shared" si="313"/>
        <v>1.1026473800657348</v>
      </c>
      <c r="W210" s="3816">
        <f t="shared" si="313"/>
        <v>1.0686938468567417</v>
      </c>
    </row>
    <row r="211" spans="1:23" ht="18.75">
      <c r="A211" s="3822" t="s">
        <v>1759</v>
      </c>
      <c r="B211" s="3797">
        <f>SUM((B212*B205)+(B213*B206))/B204</f>
        <v>28.380355084745766</v>
      </c>
      <c r="C211" s="3797">
        <f>SUM((C212*C205)+(C213*C206))/C204</f>
        <v>28.380355084745766</v>
      </c>
      <c r="D211" s="3787">
        <v>0</v>
      </c>
      <c r="E211" s="3808">
        <f>SUM((E212*E205)+(E213*E206))/E204</f>
        <v>28.380355084745766</v>
      </c>
      <c r="F211" s="3808">
        <f>SUM((F212*F205)+(F213*F206))/F204</f>
        <v>28.380355084745762</v>
      </c>
      <c r="G211" s="3808">
        <f>SUM((G212*G205)+(G213*G206))/G204</f>
        <v>28.380355084745766</v>
      </c>
      <c r="H211" s="3797">
        <f>SUM((H212*H205)+(H213*H206))/H204</f>
        <v>28.380355084745762</v>
      </c>
      <c r="I211" s="3808">
        <f t="shared" ref="I211" si="314">SUM((I212*I205)+(I213*I206))/I204</f>
        <v>28.380355084745762</v>
      </c>
      <c r="J211" s="3808">
        <f t="shared" ref="J211" si="315">SUM((J212*J205)+(J213*J206))/J204</f>
        <v>28.380355084745762</v>
      </c>
      <c r="K211" s="3808">
        <f t="shared" ref="K211:W211" si="316">SUM((K212*K205)+(K213*K206))/K204</f>
        <v>28.380355084745762</v>
      </c>
      <c r="L211" s="3797">
        <f t="shared" si="316"/>
        <v>28.380355084745766</v>
      </c>
      <c r="M211" s="3797">
        <f t="shared" si="316"/>
        <v>28.380355084745762</v>
      </c>
      <c r="N211" s="3808">
        <f t="shared" si="316"/>
        <v>28.380355084745759</v>
      </c>
      <c r="O211" s="3808">
        <f t="shared" si="316"/>
        <v>28.380355084745762</v>
      </c>
      <c r="P211" s="3808">
        <f t="shared" si="316"/>
        <v>28.380355084745762</v>
      </c>
      <c r="Q211" s="3797">
        <f t="shared" si="316"/>
        <v>28.380355084745762</v>
      </c>
      <c r="R211" s="3797">
        <f t="shared" si="316"/>
        <v>28.380355084745759</v>
      </c>
      <c r="S211" s="3808">
        <f t="shared" si="316"/>
        <v>28.380355084745766</v>
      </c>
      <c r="T211" s="3808">
        <f t="shared" si="316"/>
        <v>28.380355084745766</v>
      </c>
      <c r="U211" s="3808">
        <f t="shared" si="316"/>
        <v>28.380355084745766</v>
      </c>
      <c r="V211" s="3797">
        <f t="shared" si="316"/>
        <v>28.380355084745762</v>
      </c>
      <c r="W211" s="3833">
        <f t="shared" si="316"/>
        <v>28.380355084745766</v>
      </c>
    </row>
    <row r="212" spans="1:23" ht="18.75">
      <c r="A212" s="3786" t="s">
        <v>391</v>
      </c>
      <c r="B212" s="3790">
        <f>SUM(C212)</f>
        <v>27.796610169491526</v>
      </c>
      <c r="C212" s="3790">
        <f>SUM('Тариф вода 2016-2017 ПЛАН'!J38)</f>
        <v>27.796610169491526</v>
      </c>
      <c r="D212" s="3790">
        <v>0</v>
      </c>
      <c r="E212" s="3791">
        <f>SUM(B212)</f>
        <v>27.796610169491526</v>
      </c>
      <c r="F212" s="3791">
        <f>SUM(E212)</f>
        <v>27.796610169491526</v>
      </c>
      <c r="G212" s="3791">
        <f>SUM(E212)</f>
        <v>27.796610169491526</v>
      </c>
      <c r="H212" s="3790">
        <f>SUM(E212)</f>
        <v>27.796610169491526</v>
      </c>
      <c r="I212" s="3791">
        <f>SUM(E212)</f>
        <v>27.796610169491526</v>
      </c>
      <c r="J212" s="3791">
        <f>SUM(E212)</f>
        <v>27.796610169491526</v>
      </c>
      <c r="K212" s="3791">
        <f>SUM(E212)</f>
        <v>27.796610169491526</v>
      </c>
      <c r="L212" s="3790">
        <f>SUM(E212)</f>
        <v>27.796610169491526</v>
      </c>
      <c r="M212" s="3790">
        <f>SUM(E212)</f>
        <v>27.796610169491526</v>
      </c>
      <c r="N212" s="3791">
        <f>SUM(E212)</f>
        <v>27.796610169491526</v>
      </c>
      <c r="O212" s="3791">
        <f>SUM(E212)</f>
        <v>27.796610169491526</v>
      </c>
      <c r="P212" s="3791">
        <f>SUM(E212)</f>
        <v>27.796610169491526</v>
      </c>
      <c r="Q212" s="3790">
        <f>SUM(E212)</f>
        <v>27.796610169491526</v>
      </c>
      <c r="R212" s="3790">
        <f>SUM(E212)</f>
        <v>27.796610169491526</v>
      </c>
      <c r="S212" s="3791">
        <f>SUM(E212)</f>
        <v>27.796610169491526</v>
      </c>
      <c r="T212" s="3791">
        <f>SUM(E212)</f>
        <v>27.796610169491526</v>
      </c>
      <c r="U212" s="3791">
        <f>SUM(E212)</f>
        <v>27.796610169491526</v>
      </c>
      <c r="V212" s="3790">
        <f>SUM(E212)</f>
        <v>27.796610169491526</v>
      </c>
      <c r="W212" s="3836">
        <f>SUM(E212)</f>
        <v>27.796610169491526</v>
      </c>
    </row>
    <row r="213" spans="1:23" ht="18.75">
      <c r="A213" s="3786" t="s">
        <v>1754</v>
      </c>
      <c r="B213" s="3790">
        <f>SUM(C213)</f>
        <v>28.964099999999998</v>
      </c>
      <c r="C213" s="3790">
        <f>SUM('Тариф вода 2016-2017 ПЛАН'!J39)</f>
        <v>28.964099999999998</v>
      </c>
      <c r="D213" s="3790">
        <v>0</v>
      </c>
      <c r="E213" s="3791">
        <f>SUM(B213)</f>
        <v>28.964099999999998</v>
      </c>
      <c r="F213" s="3791">
        <f>SUM(E213)</f>
        <v>28.964099999999998</v>
      </c>
      <c r="G213" s="3791">
        <f>SUM(E213)</f>
        <v>28.964099999999998</v>
      </c>
      <c r="H213" s="3790">
        <f>SUM(E213)</f>
        <v>28.964099999999998</v>
      </c>
      <c r="I213" s="3791">
        <f>SUM(E213)</f>
        <v>28.964099999999998</v>
      </c>
      <c r="J213" s="3791">
        <f>SUM(E213)</f>
        <v>28.964099999999998</v>
      </c>
      <c r="K213" s="3791">
        <f>SUM(E213)</f>
        <v>28.964099999999998</v>
      </c>
      <c r="L213" s="3790">
        <f>SUM(E213)</f>
        <v>28.964099999999998</v>
      </c>
      <c r="M213" s="3790">
        <f>SUM(E213)</f>
        <v>28.964099999999998</v>
      </c>
      <c r="N213" s="3791">
        <f>SUM(E213)</f>
        <v>28.964099999999998</v>
      </c>
      <c r="O213" s="3791">
        <f>SUM(E213)</f>
        <v>28.964099999999998</v>
      </c>
      <c r="P213" s="3791">
        <f>SUM(E213)</f>
        <v>28.964099999999998</v>
      </c>
      <c r="Q213" s="3790">
        <f>SUM(E213)</f>
        <v>28.964099999999998</v>
      </c>
      <c r="R213" s="3790">
        <f>SUM(E213)</f>
        <v>28.964099999999998</v>
      </c>
      <c r="S213" s="3791">
        <f>SUM(E213)</f>
        <v>28.964099999999998</v>
      </c>
      <c r="T213" s="3791">
        <f>SUM(E213)</f>
        <v>28.964099999999998</v>
      </c>
      <c r="U213" s="3791">
        <f>SUM(E213)</f>
        <v>28.964099999999998</v>
      </c>
      <c r="V213" s="3790">
        <f>SUM(E213)</f>
        <v>28.964099999999998</v>
      </c>
      <c r="W213" s="3836">
        <f>SUM(E213)</f>
        <v>28.964099999999998</v>
      </c>
    </row>
    <row r="214" spans="1:23" ht="18.75">
      <c r="A214" s="3826" t="s">
        <v>1760</v>
      </c>
      <c r="B214" s="3795">
        <f t="shared" ref="B214:C214" si="317">SUM(B213/B212)</f>
        <v>1.0420011585365854</v>
      </c>
      <c r="C214" s="3795">
        <f t="shared" si="317"/>
        <v>1.0420011585365854</v>
      </c>
      <c r="D214" s="3795">
        <v>0</v>
      </c>
      <c r="E214" s="3796">
        <f>SUM(E213/E212)</f>
        <v>1.0420011585365854</v>
      </c>
      <c r="F214" s="3796">
        <f t="shared" ref="F214:W214" si="318">SUM(F213/F212)</f>
        <v>1.0420011585365854</v>
      </c>
      <c r="G214" s="3796">
        <f t="shared" si="318"/>
        <v>1.0420011585365854</v>
      </c>
      <c r="H214" s="3795">
        <f t="shared" si="318"/>
        <v>1.0420011585365854</v>
      </c>
      <c r="I214" s="3796">
        <f t="shared" si="318"/>
        <v>1.0420011585365854</v>
      </c>
      <c r="J214" s="3796">
        <f t="shared" si="318"/>
        <v>1.0420011585365854</v>
      </c>
      <c r="K214" s="3796">
        <f t="shared" si="318"/>
        <v>1.0420011585365854</v>
      </c>
      <c r="L214" s="3795">
        <f t="shared" si="318"/>
        <v>1.0420011585365854</v>
      </c>
      <c r="M214" s="3795">
        <f t="shared" si="318"/>
        <v>1.0420011585365854</v>
      </c>
      <c r="N214" s="3796">
        <f t="shared" si="318"/>
        <v>1.0420011585365854</v>
      </c>
      <c r="O214" s="3796">
        <f t="shared" si="318"/>
        <v>1.0420011585365854</v>
      </c>
      <c r="P214" s="3796">
        <f t="shared" si="318"/>
        <v>1.0420011585365854</v>
      </c>
      <c r="Q214" s="3795">
        <f t="shared" si="318"/>
        <v>1.0420011585365854</v>
      </c>
      <c r="R214" s="3795">
        <f t="shared" si="318"/>
        <v>1.0420011585365854</v>
      </c>
      <c r="S214" s="3796">
        <f t="shared" si="318"/>
        <v>1.0420011585365854</v>
      </c>
      <c r="T214" s="3796">
        <f t="shared" si="318"/>
        <v>1.0420011585365854</v>
      </c>
      <c r="U214" s="3796">
        <f t="shared" si="318"/>
        <v>1.0420011585365854</v>
      </c>
      <c r="V214" s="3795">
        <f t="shared" si="318"/>
        <v>1.0420011585365854</v>
      </c>
      <c r="W214" s="3816">
        <f t="shared" si="318"/>
        <v>1.0420011585365854</v>
      </c>
    </row>
    <row r="215" spans="1:23" ht="18.75">
      <c r="A215" s="3822" t="s">
        <v>1761</v>
      </c>
      <c r="B215" s="3787">
        <f>SUM(B216:B217)</f>
        <v>15465.164606085675</v>
      </c>
      <c r="C215" s="3787">
        <f t="shared" ref="C215:D215" si="319">SUM(C216:C217)</f>
        <v>15465.164606085675</v>
      </c>
      <c r="D215" s="3787">
        <f t="shared" si="319"/>
        <v>0</v>
      </c>
      <c r="E215" s="3808">
        <f>SUM(E216:E217)</f>
        <v>1330.0041561233679</v>
      </c>
      <c r="F215" s="3808">
        <f t="shared" ref="F215:G215" si="320">SUM(F216:F217)</f>
        <v>1314.5389915172825</v>
      </c>
      <c r="G215" s="3808">
        <f t="shared" si="320"/>
        <v>1320.7250573597166</v>
      </c>
      <c r="H215" s="3797">
        <f t="shared" ref="H215:H217" si="321">SUM(E215+F215+G215)</f>
        <v>3965.2682050003668</v>
      </c>
      <c r="I215" s="3808">
        <f t="shared" ref="I215:K215" si="322">SUM(I216:I217)</f>
        <v>1303.7133762930225</v>
      </c>
      <c r="J215" s="3808">
        <f t="shared" si="322"/>
        <v>1268.1434976990254</v>
      </c>
      <c r="K215" s="3808">
        <f t="shared" si="322"/>
        <v>1220.2014874201595</v>
      </c>
      <c r="L215" s="3797">
        <f t="shared" ref="L215:L217" si="323">SUM(I215+J215+K215)</f>
        <v>3792.0583614122074</v>
      </c>
      <c r="M215" s="3797">
        <f t="shared" ref="M215:M217" si="324">SUM(H215+L215)</f>
        <v>7757.3265664125738</v>
      </c>
      <c r="N215" s="3808">
        <f t="shared" ref="N215" si="325">SUM(N216:N217)</f>
        <v>1204.7363228140739</v>
      </c>
      <c r="O215" s="3808">
        <f t="shared" ref="O215:P215" si="326">SUM(O216:O217)</f>
        <v>1254.2248495535482</v>
      </c>
      <c r="P215" s="3808">
        <f t="shared" si="326"/>
        <v>1286.7016952263282</v>
      </c>
      <c r="Q215" s="3797">
        <f t="shared" ref="Q215:Q217" si="327">SUM(N215+O215+P215)</f>
        <v>3745.6628675939501</v>
      </c>
      <c r="R215" s="3797">
        <f t="shared" ref="R215:R217" si="328">SUM(M215+Q215)</f>
        <v>11502.989434006524</v>
      </c>
      <c r="S215" s="3808">
        <f t="shared" ref="S215" si="329">SUM(S216:S217)</f>
        <v>1320.7250573597166</v>
      </c>
      <c r="T215" s="3808">
        <f t="shared" ref="T215:U215" si="330">SUM(T216:T217)</f>
        <v>1320.7250573597166</v>
      </c>
      <c r="U215" s="3808">
        <f t="shared" si="330"/>
        <v>1320.7250573597166</v>
      </c>
      <c r="V215" s="3797">
        <f t="shared" ref="V215:V217" si="331">SUM(S215+T215+U215)</f>
        <v>3962.1751720791499</v>
      </c>
      <c r="W215" s="3812">
        <f t="shared" ref="W215:W217" si="332">SUM(E215+F215+G215+I215+J215+K215+N215+O215+P215+S215+T215+U215)</f>
        <v>15465.164606085669</v>
      </c>
    </row>
    <row r="216" spans="1:23" ht="18.75">
      <c r="A216" s="3786" t="s">
        <v>391</v>
      </c>
      <c r="B216" s="3799">
        <f>SUM(C208-C212)*C205</f>
        <v>7051.4023626583039</v>
      </c>
      <c r="C216" s="3799">
        <f>SUM(C208-C212)*C205</f>
        <v>7051.4023626583039</v>
      </c>
      <c r="D216" s="3799">
        <f>SUM(D208-D212)*D205</f>
        <v>0</v>
      </c>
      <c r="E216" s="3801">
        <f>SUM(C208-E212)*E205</f>
        <v>606.42060318861411</v>
      </c>
      <c r="F216" s="3801">
        <f>SUM(C208-F212)*F205</f>
        <v>599.36920082595589</v>
      </c>
      <c r="G216" s="3801">
        <f>SUM(C208-G212)*G205</f>
        <v>602.18976177101911</v>
      </c>
      <c r="H216" s="3799">
        <f t="shared" si="321"/>
        <v>1807.9795657855893</v>
      </c>
      <c r="I216" s="3801">
        <f>SUM(C208-I212)*I205</f>
        <v>594.43321917209505</v>
      </c>
      <c r="J216" s="3801">
        <f>SUM(C208-J212)*J205</f>
        <v>578.21499373798088</v>
      </c>
      <c r="K216" s="3801">
        <f>SUM(C208-K212)*K205</f>
        <v>556.35564641374015</v>
      </c>
      <c r="L216" s="3799">
        <f t="shared" si="323"/>
        <v>1729.003859323816</v>
      </c>
      <c r="M216" s="3799">
        <f t="shared" si="324"/>
        <v>3536.9834251094053</v>
      </c>
      <c r="N216" s="3801">
        <f>SUM(C208-N212)*N205</f>
        <v>549.30424405108181</v>
      </c>
      <c r="O216" s="3801">
        <f>SUM(C208-O212)*O205</f>
        <v>571.86873161158837</v>
      </c>
      <c r="P216" s="3801">
        <f>SUM(C208-P212)*P205</f>
        <v>586.67667657317088</v>
      </c>
      <c r="Q216" s="3799">
        <f t="shared" si="327"/>
        <v>1707.8496522358409</v>
      </c>
      <c r="R216" s="3799">
        <f t="shared" si="328"/>
        <v>5244.8330773452462</v>
      </c>
      <c r="S216" s="3801">
        <f>SUM(C208-S212)*S205</f>
        <v>602.18976177101911</v>
      </c>
      <c r="T216" s="3801">
        <f>SUM(C208-T212)*T205</f>
        <v>602.18976177101911</v>
      </c>
      <c r="U216" s="3801">
        <f>SUM(C208-U212)*U205</f>
        <v>602.18976177101911</v>
      </c>
      <c r="V216" s="3799">
        <f t="shared" si="331"/>
        <v>1806.5692853130572</v>
      </c>
      <c r="W216" s="3814">
        <f t="shared" si="332"/>
        <v>7051.4023626583039</v>
      </c>
    </row>
    <row r="217" spans="1:23" ht="18.75">
      <c r="A217" s="3786" t="s">
        <v>1754</v>
      </c>
      <c r="B217" s="3799">
        <f>SUM(C209-C213)*C206</f>
        <v>8413.7622434273708</v>
      </c>
      <c r="C217" s="3799">
        <f>SUM(C209-C213)*C206</f>
        <v>8413.7622434273708</v>
      </c>
      <c r="D217" s="3799">
        <f>SUM(D209-D213)*D206</f>
        <v>0</v>
      </c>
      <c r="E217" s="3801">
        <f>SUM(C209-E213)*E206</f>
        <v>723.58355293475393</v>
      </c>
      <c r="F217" s="3801">
        <f>SUM(C209-F213)*F206</f>
        <v>715.16979069132663</v>
      </c>
      <c r="G217" s="3801">
        <f>SUM(C209-G213)*G206</f>
        <v>718.53529558869752</v>
      </c>
      <c r="H217" s="3799">
        <f t="shared" si="321"/>
        <v>2157.288639214778</v>
      </c>
      <c r="I217" s="3801">
        <f>SUM(C209-I213)*I206</f>
        <v>709.28015712092736</v>
      </c>
      <c r="J217" s="3801">
        <f>SUM(C209-J213)*J206</f>
        <v>689.92850396104438</v>
      </c>
      <c r="K217" s="3801">
        <f>SUM(C209-K213)*K206</f>
        <v>663.8458410064195</v>
      </c>
      <c r="L217" s="3799">
        <f t="shared" si="323"/>
        <v>2063.054502088391</v>
      </c>
      <c r="M217" s="3799">
        <f t="shared" si="324"/>
        <v>4220.3431413031685</v>
      </c>
      <c r="N217" s="3801">
        <f>SUM(C209-N213)*N206</f>
        <v>655.43207876299221</v>
      </c>
      <c r="O217" s="3801">
        <f>SUM(C209-O213)*O206</f>
        <v>682.35611794195972</v>
      </c>
      <c r="P217" s="3801">
        <f>SUM(C209-P213)*P206</f>
        <v>700.0250186531573</v>
      </c>
      <c r="Q217" s="3799">
        <f t="shared" si="327"/>
        <v>2037.8132153581093</v>
      </c>
      <c r="R217" s="3799">
        <f t="shared" si="328"/>
        <v>6258.1563566612776</v>
      </c>
      <c r="S217" s="3801">
        <f>SUM(C209-S213)*S206</f>
        <v>718.53529558869752</v>
      </c>
      <c r="T217" s="3801">
        <f>SUM(C209-T213)*T206</f>
        <v>718.53529558869752</v>
      </c>
      <c r="U217" s="3801">
        <f>SUM(C209-U213)*U206</f>
        <v>718.53529558869752</v>
      </c>
      <c r="V217" s="3799">
        <f t="shared" si="331"/>
        <v>2155.6058867660927</v>
      </c>
      <c r="W217" s="3814">
        <f t="shared" si="332"/>
        <v>8413.7622434273708</v>
      </c>
    </row>
    <row r="218" spans="1:23">
      <c r="A218" s="684"/>
      <c r="B218" s="684"/>
      <c r="C218" s="684"/>
      <c r="D218" s="684"/>
      <c r="E218" s="684"/>
      <c r="F218" s="684"/>
      <c r="G218" s="684"/>
      <c r="H218" s="684"/>
      <c r="I218" s="684"/>
      <c r="J218" s="684"/>
      <c r="K218" s="684"/>
      <c r="L218" s="684"/>
      <c r="M218" s="684"/>
      <c r="N218" s="684"/>
      <c r="O218" s="684"/>
      <c r="P218" s="684"/>
      <c r="Q218" s="684"/>
      <c r="R218" s="684"/>
      <c r="S218" s="684"/>
      <c r="T218" s="684"/>
      <c r="U218" s="684"/>
      <c r="V218" s="684"/>
    </row>
    <row r="219" spans="1:23">
      <c r="A219" s="684"/>
      <c r="B219" s="684"/>
      <c r="C219" s="684"/>
      <c r="D219" s="684"/>
      <c r="E219" s="684"/>
      <c r="F219" s="684"/>
      <c r="G219" s="684"/>
      <c r="H219" s="684"/>
      <c r="I219" s="684"/>
      <c r="J219" s="684"/>
      <c r="K219" s="684"/>
      <c r="L219" s="684"/>
      <c r="M219" s="684"/>
      <c r="N219" s="684"/>
      <c r="O219" s="684"/>
      <c r="P219" s="684"/>
      <c r="Q219" s="684"/>
      <c r="R219" s="684"/>
      <c r="S219" s="684"/>
      <c r="T219" s="684"/>
      <c r="U219" s="684"/>
      <c r="V219" s="684"/>
    </row>
    <row r="220" spans="1:23" ht="18.75">
      <c r="A220" s="435" t="s">
        <v>1763</v>
      </c>
      <c r="B220" s="435"/>
      <c r="C220" s="435" t="s">
        <v>1764</v>
      </c>
      <c r="D220" s="684"/>
      <c r="E220" s="684"/>
      <c r="F220" s="684"/>
      <c r="G220" s="684"/>
      <c r="H220" s="684"/>
      <c r="I220" s="684"/>
      <c r="J220" s="684"/>
      <c r="K220" s="684"/>
      <c r="L220" s="684"/>
      <c r="M220" s="684"/>
      <c r="N220" s="684"/>
      <c r="O220" s="684"/>
      <c r="P220" s="684"/>
      <c r="Q220" s="684"/>
      <c r="R220" s="684"/>
      <c r="S220" s="684"/>
      <c r="T220" s="684"/>
      <c r="U220" s="684"/>
      <c r="V220" s="684"/>
    </row>
    <row r="221" spans="1:23">
      <c r="A221" s="684"/>
      <c r="B221" s="684"/>
      <c r="C221" s="684"/>
      <c r="D221" s="684"/>
      <c r="E221" s="684"/>
      <c r="F221" s="684"/>
      <c r="G221" s="684"/>
      <c r="H221" s="684"/>
      <c r="I221" s="684"/>
      <c r="J221" s="684"/>
      <c r="K221" s="684"/>
      <c r="L221" s="684"/>
      <c r="M221" s="684"/>
      <c r="N221" s="684"/>
      <c r="O221" s="684"/>
      <c r="P221" s="684"/>
      <c r="Q221" s="684"/>
      <c r="R221" s="684"/>
      <c r="S221" s="684"/>
      <c r="T221" s="684"/>
      <c r="U221" s="684"/>
      <c r="V221" s="684"/>
    </row>
    <row r="222" spans="1:23">
      <c r="A222" s="684"/>
      <c r="B222" s="684"/>
      <c r="C222" s="684"/>
      <c r="D222" s="684"/>
      <c r="E222" s="684"/>
      <c r="F222" s="684"/>
      <c r="G222" s="684"/>
      <c r="H222" s="684"/>
      <c r="I222" s="684"/>
      <c r="J222" s="684"/>
      <c r="K222" s="684"/>
      <c r="L222" s="684"/>
      <c r="M222" s="684"/>
      <c r="N222" s="684"/>
      <c r="O222" s="684"/>
      <c r="P222" s="684"/>
      <c r="Q222" s="684"/>
      <c r="R222" s="684"/>
      <c r="S222" s="684"/>
      <c r="T222" s="684"/>
      <c r="U222" s="684"/>
      <c r="V222" s="684"/>
    </row>
    <row r="223" spans="1:23">
      <c r="A223" s="684"/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</row>
    <row r="224" spans="1:23">
      <c r="A224" s="684"/>
      <c r="B224" s="684"/>
      <c r="C224" s="684"/>
      <c r="D224" s="684"/>
      <c r="E224" s="684"/>
      <c r="F224" s="684"/>
      <c r="G224" s="684"/>
      <c r="H224" s="684"/>
      <c r="I224" s="684"/>
      <c r="J224" s="684"/>
      <c r="K224" s="684"/>
      <c r="L224" s="684"/>
      <c r="M224" s="684"/>
      <c r="N224" s="684"/>
      <c r="O224" s="684"/>
      <c r="P224" s="684"/>
      <c r="Q224" s="684"/>
      <c r="R224" s="684"/>
      <c r="S224" s="684"/>
      <c r="T224" s="684"/>
      <c r="U224" s="684"/>
      <c r="V224" s="684"/>
    </row>
    <row r="225" spans="1:22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</row>
    <row r="226" spans="1:22">
      <c r="A226" s="684"/>
      <c r="B226" s="684"/>
      <c r="C226" s="684"/>
      <c r="D226" s="684"/>
      <c r="E226" s="684"/>
      <c r="F226" s="684"/>
      <c r="G226" s="684"/>
      <c r="H226" s="684"/>
      <c r="I226" s="684"/>
      <c r="J226" s="684"/>
      <c r="K226" s="684"/>
      <c r="L226" s="684"/>
      <c r="M226" s="684"/>
      <c r="N226" s="684"/>
      <c r="O226" s="684"/>
      <c r="P226" s="684"/>
      <c r="Q226" s="684"/>
      <c r="R226" s="684"/>
      <c r="S226" s="684"/>
      <c r="T226" s="684"/>
      <c r="U226" s="684"/>
      <c r="V226" s="684"/>
    </row>
    <row r="227" spans="1:22">
      <c r="A227" s="684"/>
      <c r="B227" s="684"/>
      <c r="C227" s="684"/>
      <c r="D227" s="684"/>
      <c r="E227" s="684"/>
      <c r="F227" s="684"/>
      <c r="G227" s="684"/>
      <c r="H227" s="684"/>
      <c r="I227" s="684"/>
      <c r="J227" s="684"/>
      <c r="K227" s="684"/>
      <c r="L227" s="684"/>
      <c r="M227" s="684"/>
      <c r="N227" s="684"/>
      <c r="O227" s="684"/>
      <c r="P227" s="684"/>
      <c r="Q227" s="684"/>
      <c r="R227" s="684"/>
      <c r="S227" s="684"/>
      <c r="T227" s="684"/>
      <c r="U227" s="684"/>
      <c r="V227" s="684"/>
    </row>
    <row r="228" spans="1:22">
      <c r="A228" s="684"/>
      <c r="B228" s="684"/>
      <c r="C228" s="684"/>
      <c r="D228" s="684"/>
      <c r="E228" s="684"/>
      <c r="F228" s="684"/>
      <c r="G228" s="684"/>
      <c r="H228" s="684"/>
      <c r="I228" s="684"/>
      <c r="J228" s="684"/>
      <c r="K228" s="684"/>
      <c r="L228" s="684"/>
      <c r="M228" s="684"/>
      <c r="N228" s="684"/>
      <c r="O228" s="684"/>
      <c r="P228" s="684"/>
      <c r="Q228" s="684"/>
      <c r="R228" s="684"/>
      <c r="S228" s="684"/>
      <c r="T228" s="684"/>
      <c r="U228" s="684"/>
      <c r="V228" s="684"/>
    </row>
    <row r="229" spans="1:22">
      <c r="A229" s="684"/>
      <c r="B229" s="684"/>
      <c r="C229" s="684"/>
      <c r="D229" s="684"/>
      <c r="E229" s="684"/>
      <c r="F229" s="684"/>
      <c r="G229" s="684"/>
      <c r="H229" s="684"/>
      <c r="I229" s="684"/>
      <c r="J229" s="684"/>
      <c r="K229" s="684"/>
      <c r="L229" s="684"/>
      <c r="M229" s="684"/>
      <c r="N229" s="684"/>
      <c r="O229" s="684"/>
      <c r="P229" s="684"/>
      <c r="Q229" s="684"/>
      <c r="R229" s="684"/>
      <c r="S229" s="684"/>
      <c r="T229" s="684"/>
      <c r="U229" s="684"/>
      <c r="V229" s="684"/>
    </row>
    <row r="230" spans="1:22">
      <c r="A230" s="684"/>
      <c r="B230" s="684"/>
      <c r="C230" s="684"/>
      <c r="D230" s="684"/>
      <c r="E230" s="684"/>
      <c r="F230" s="684"/>
      <c r="G230" s="684"/>
      <c r="H230" s="684"/>
      <c r="I230" s="684"/>
      <c r="J230" s="684"/>
      <c r="K230" s="684"/>
      <c r="L230" s="684"/>
      <c r="M230" s="684"/>
      <c r="N230" s="684"/>
      <c r="O230" s="684"/>
      <c r="P230" s="684"/>
      <c r="Q230" s="684"/>
      <c r="R230" s="684"/>
      <c r="S230" s="684"/>
      <c r="T230" s="684"/>
      <c r="U230" s="684"/>
      <c r="V230" s="684"/>
    </row>
  </sheetData>
  <mergeCells count="115">
    <mergeCell ref="A6:V6"/>
    <mergeCell ref="A8:V8"/>
    <mergeCell ref="A9:A10"/>
    <mergeCell ref="B9:B10"/>
    <mergeCell ref="C9:D9"/>
    <mergeCell ref="E9:E10"/>
    <mergeCell ref="F9:F10"/>
    <mergeCell ref="G9:G10"/>
    <mergeCell ref="H9:H10"/>
    <mergeCell ref="I9:I10"/>
    <mergeCell ref="V9:V10"/>
    <mergeCell ref="W9:W10"/>
    <mergeCell ref="A24:V24"/>
    <mergeCell ref="A25:A26"/>
    <mergeCell ref="B25:B26"/>
    <mergeCell ref="C25:D25"/>
    <mergeCell ref="E25:E26"/>
    <mergeCell ref="F25:F26"/>
    <mergeCell ref="G25:G26"/>
    <mergeCell ref="H25:H26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U25:U26"/>
    <mergeCell ref="V25:V26"/>
    <mergeCell ref="W25:W26"/>
    <mergeCell ref="A41:V41"/>
    <mergeCell ref="A42:A43"/>
    <mergeCell ref="B42:B43"/>
    <mergeCell ref="C42:D42"/>
    <mergeCell ref="E42:E43"/>
    <mergeCell ref="F42:F43"/>
    <mergeCell ref="G42:G43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T42:T43"/>
    <mergeCell ref="U42:U43"/>
    <mergeCell ref="V42:V43"/>
    <mergeCell ref="W42:W43"/>
    <mergeCell ref="A172:V172"/>
    <mergeCell ref="A173:A174"/>
    <mergeCell ref="B173:B174"/>
    <mergeCell ref="C173:D173"/>
    <mergeCell ref="E173:E174"/>
    <mergeCell ref="F173:F174"/>
    <mergeCell ref="N42:N43"/>
    <mergeCell ref="O42:O43"/>
    <mergeCell ref="P42:P43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173:S174"/>
    <mergeCell ref="T173:T174"/>
    <mergeCell ref="U173:U174"/>
    <mergeCell ref="V173:V174"/>
    <mergeCell ref="W173:W174"/>
    <mergeCell ref="A195:V195"/>
    <mergeCell ref="M173:M174"/>
    <mergeCell ref="N173:N174"/>
    <mergeCell ref="O173:O174"/>
    <mergeCell ref="P173:P174"/>
    <mergeCell ref="Q173:Q174"/>
    <mergeCell ref="R173:R174"/>
    <mergeCell ref="G173:G174"/>
    <mergeCell ref="H173:H174"/>
    <mergeCell ref="I173:I174"/>
    <mergeCell ref="J173:J174"/>
    <mergeCell ref="K173:K174"/>
    <mergeCell ref="L173:L174"/>
    <mergeCell ref="H196:H197"/>
    <mergeCell ref="I196:I197"/>
    <mergeCell ref="J196:J197"/>
    <mergeCell ref="K196:K197"/>
    <mergeCell ref="L196:L197"/>
    <mergeCell ref="M196:M197"/>
    <mergeCell ref="A196:A197"/>
    <mergeCell ref="B196:B197"/>
    <mergeCell ref="C196:D196"/>
    <mergeCell ref="E196:E197"/>
    <mergeCell ref="F196:F197"/>
    <mergeCell ref="G196:G197"/>
    <mergeCell ref="T196:T197"/>
    <mergeCell ref="U196:U197"/>
    <mergeCell ref="V196:V197"/>
    <mergeCell ref="N196:N197"/>
    <mergeCell ref="O196:O197"/>
    <mergeCell ref="P196:P197"/>
    <mergeCell ref="Q196:Q197"/>
    <mergeCell ref="R196:R197"/>
    <mergeCell ref="S196:S197"/>
  </mergeCells>
  <printOptions horizontalCentered="1"/>
  <pageMargins left="0.35433070866141736" right="0.35433070866141736" top="0.70866141732283472" bottom="0.70866141732283472" header="0" footer="0"/>
  <pageSetup paperSize="9" scale="45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1"/>
  <sheetViews>
    <sheetView zoomScale="98" zoomScaleNormal="98" workbookViewId="0">
      <pane xSplit="2" ySplit="5" topLeftCell="E26" activePane="bottomRight" state="frozen"/>
      <selection pane="topRight" activeCell="C1" sqref="C1"/>
      <selection pane="bottomLeft" activeCell="A6" sqref="A6"/>
      <selection pane="bottomRight" activeCell="K12" sqref="K12"/>
    </sheetView>
  </sheetViews>
  <sheetFormatPr defaultRowHeight="12.75"/>
  <cols>
    <col min="1" max="1" width="9.85546875" customWidth="1"/>
    <col min="2" max="2" width="81.85546875" customWidth="1"/>
    <col min="3" max="3" width="12.7109375" customWidth="1"/>
    <col min="4" max="4" width="13.28515625" customWidth="1"/>
    <col min="5" max="11" width="12.7109375" customWidth="1"/>
    <col min="12" max="13" width="14" customWidth="1"/>
    <col min="14" max="14" width="38.140625" customWidth="1"/>
  </cols>
  <sheetData>
    <row r="1" spans="1:14" ht="15">
      <c r="A1" s="4425" t="s">
        <v>1527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4" ht="18.75">
      <c r="A2" s="4427" t="s">
        <v>1002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4" ht="15">
      <c r="A3" s="2693"/>
      <c r="B3" s="2694"/>
      <c r="C3" s="2693"/>
      <c r="D3" s="2693"/>
      <c r="E3" s="2693"/>
      <c r="F3" s="3532"/>
      <c r="G3" s="3532"/>
      <c r="H3" s="3532"/>
      <c r="I3" s="2693"/>
      <c r="J3" s="2693"/>
      <c r="K3" s="2693"/>
      <c r="L3" s="2693"/>
      <c r="M3" s="2693"/>
      <c r="N3" s="2693"/>
    </row>
    <row r="4" spans="1:14" ht="31.5" customHeight="1">
      <c r="A4" s="4428" t="s">
        <v>909</v>
      </c>
      <c r="B4" s="4428" t="s">
        <v>374</v>
      </c>
      <c r="C4" s="4428" t="s">
        <v>910</v>
      </c>
      <c r="D4" s="4422" t="s">
        <v>1612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3" t="s">
        <v>283</v>
      </c>
      <c r="M4" s="4434"/>
      <c r="N4" s="4424" t="s">
        <v>911</v>
      </c>
    </row>
    <row r="5" spans="1:14" ht="31.5" customHeight="1">
      <c r="A5" s="4428"/>
      <c r="B5" s="4428"/>
      <c r="C5" s="4428"/>
      <c r="D5" s="4312"/>
      <c r="E5" s="4312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M9" si="0">D10+D21+D23+D27</f>
        <v>868.73192603721509</v>
      </c>
      <c r="E9" s="2645">
        <f t="shared" si="0"/>
        <v>307.75915660165811</v>
      </c>
      <c r="F9" s="2645">
        <f t="shared" si="0"/>
        <v>24.619096326047917</v>
      </c>
      <c r="G9" s="2645">
        <f t="shared" si="0"/>
        <v>33.969368956207575</v>
      </c>
      <c r="H9" s="2645">
        <f t="shared" si="0"/>
        <v>46.328622213487293</v>
      </c>
      <c r="I9" s="2645">
        <f t="shared" si="0"/>
        <v>343.9835261858193</v>
      </c>
      <c r="J9" s="2645">
        <f t="shared" si="0"/>
        <v>345.87291343504398</v>
      </c>
      <c r="K9" s="2645">
        <f t="shared" si="0"/>
        <v>363.9346147890513</v>
      </c>
      <c r="L9" s="2645">
        <f t="shared" si="0"/>
        <v>383.20809063087108</v>
      </c>
      <c r="M9" s="2645">
        <f t="shared" si="0"/>
        <v>416.35933192448732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M10" si="1">D11+D12+D13</f>
        <v>692.48265693773646</v>
      </c>
      <c r="E10" s="2649">
        <f t="shared" si="1"/>
        <v>275.29689256750316</v>
      </c>
      <c r="F10" s="2649">
        <f t="shared" si="1"/>
        <v>21.733184092705706</v>
      </c>
      <c r="G10" s="2649">
        <f t="shared" si="1"/>
        <v>30.053636850320274</v>
      </c>
      <c r="H10" s="2649">
        <f t="shared" si="1"/>
        <v>41.097369148132699</v>
      </c>
      <c r="I10" s="2649">
        <f t="shared" si="1"/>
        <v>308.73219768114552</v>
      </c>
      <c r="J10" s="2649">
        <f t="shared" si="1"/>
        <v>326.4337053431484</v>
      </c>
      <c r="K10" s="2649">
        <f t="shared" si="1"/>
        <v>344.49540669715572</v>
      </c>
      <c r="L10" s="2649">
        <f t="shared" si="1"/>
        <v>332.96241410608764</v>
      </c>
      <c r="M10" s="2649">
        <f t="shared" si="1"/>
        <v>364.53502486191343</v>
      </c>
      <c r="N10" s="2650"/>
    </row>
    <row r="11" spans="1:14" ht="21.75" customHeight="1">
      <c r="A11" s="2651" t="s">
        <v>922</v>
      </c>
      <c r="B11" s="2652" t="s">
        <v>923</v>
      </c>
      <c r="C11" s="2651" t="s">
        <v>919</v>
      </c>
      <c r="D11" s="2727">
        <f>SUM('ВОДА (СВОД) 2016-2017'!D13-'Тариф вода 2016-2017 ПЛАН'!D11)</f>
        <v>586.06817377332482</v>
      </c>
      <c r="E11" s="2727">
        <f>SUM('ВОДА (СВОД) 2016-2017'!E13-'Тариф вода 2016-2017 ПЛАН'!E11)</f>
        <v>237.59252649177506</v>
      </c>
      <c r="F11" s="2653">
        <f>вода!BN111+вода!BN112+вода!BN113+вода!BN114+вода!BN115+вода!BN117</f>
        <v>19.328665887543593</v>
      </c>
      <c r="G11" s="2653">
        <f>вода!BQ111+вода!BQ112+вода!BQ113+вода!BQ114+вода!BQ115+вода!BQ117</f>
        <v>26.898754646908174</v>
      </c>
      <c r="H11" s="2653">
        <f>вода!BT111+вода!BT112+вода!BT113+вода!BT114+вода!BT115+вода!BT117</f>
        <v>36.899388028539761</v>
      </c>
      <c r="I11" s="2653">
        <f>вода!BJ111+вода!BJ112+вода!BJ113+вода!BJ114+вода!BJ115+вода!BJ117</f>
        <v>270.46955781056386</v>
      </c>
      <c r="J11" s="2653">
        <f>I11*(1-J6)*(1+J7)*(1+J8)</f>
        <v>286.7761674509627</v>
      </c>
      <c r="K11" s="2653">
        <f>J11*(1-K6)*(1+K7)*(1+K8)</f>
        <v>300.37509331148738</v>
      </c>
      <c r="L11" s="2727">
        <f>SUM('ВОДА (СВОД) 2016-2017'!L13-'Тариф вода 2016-2017 ПЛАН'!L11)</f>
        <v>295.67139953319565</v>
      </c>
      <c r="M11" s="3462">
        <f>SUM(L11*1.1)</f>
        <v>325.23853948651526</v>
      </c>
      <c r="N11" s="2759" t="s">
        <v>1641</v>
      </c>
    </row>
    <row r="12" spans="1:14" ht="30.75" customHeight="1">
      <c r="A12" s="2651" t="s">
        <v>924</v>
      </c>
      <c r="B12" s="2652" t="s">
        <v>925</v>
      </c>
      <c r="C12" s="2651" t="s">
        <v>919</v>
      </c>
      <c r="D12" s="2727">
        <f>SUM('ВОДА (СВОД) 2016-2017'!D14-'Тариф вода 2016-2017 ПЛАН'!D12)</f>
        <v>52.316099762778322</v>
      </c>
      <c r="E12" s="2727">
        <f>SUM('ВОДА (СВОД) 2016-2017'!E14-'Тариф вода 2016-2017 ПЛАН'!E12)</f>
        <v>18.378997624604381</v>
      </c>
      <c r="F12" s="2653">
        <f>вода!BN109</f>
        <v>0.8037187253095226</v>
      </c>
      <c r="G12" s="2653">
        <f>вода!BQ109</f>
        <v>0.98672790167461244</v>
      </c>
      <c r="H12" s="2653">
        <f>вода!BT109</f>
        <v>1.3014159108863623</v>
      </c>
      <c r="I12" s="2653">
        <f>вода!BJ109</f>
        <v>20.640199168723029</v>
      </c>
      <c r="J12" s="2653">
        <f>SUM(вода!CB109)</f>
        <v>20.927537892185683</v>
      </c>
      <c r="K12" s="2653">
        <f>J12*1.079</f>
        <v>22.58081338566835</v>
      </c>
      <c r="L12" s="2727">
        <f>SUM('ВОДА (СВОД) 2016-2017'!L14-'Тариф вода 2016-2017 ПЛАН'!L12)</f>
        <v>20.0547080250617</v>
      </c>
      <c r="M12" s="3462">
        <f>SUM(L12*1.1)</f>
        <v>22.060178827567871</v>
      </c>
      <c r="N12" s="2759" t="s">
        <v>1642</v>
      </c>
    </row>
    <row r="13" spans="1:14" ht="21.75" customHeight="1">
      <c r="A13" s="2651" t="s">
        <v>926</v>
      </c>
      <c r="B13" s="2652" t="s">
        <v>927</v>
      </c>
      <c r="C13" s="2651" t="s">
        <v>919</v>
      </c>
      <c r="D13" s="2653">
        <f t="shared" ref="D13:I13" si="2">D14+D15+D16+D17+D20</f>
        <v>54.098383401633328</v>
      </c>
      <c r="E13" s="2653">
        <f t="shared" si="2"/>
        <v>19.325368451123722</v>
      </c>
      <c r="F13" s="2653">
        <f t="shared" si="2"/>
        <v>1.60079947985259</v>
      </c>
      <c r="G13" s="2653">
        <f t="shared" si="2"/>
        <v>2.1681543017374878</v>
      </c>
      <c r="H13" s="2653">
        <f t="shared" si="2"/>
        <v>2.8965652087065763</v>
      </c>
      <c r="I13" s="2653">
        <f t="shared" si="2"/>
        <v>17.622440701858665</v>
      </c>
      <c r="J13" s="2653">
        <f t="shared" ref="J13:K13" si="3">J14+J15+J16+J17+J20</f>
        <v>18.73</v>
      </c>
      <c r="K13" s="2653">
        <f t="shared" si="3"/>
        <v>21.5395</v>
      </c>
      <c r="L13" s="2653">
        <f>L14+L15+L16+L17+L20</f>
        <v>17.236306547830281</v>
      </c>
      <c r="M13" s="2653">
        <f>M14+M15+M16+M17+M20</f>
        <v>17.236306547830281</v>
      </c>
      <c r="N13" s="2759"/>
    </row>
    <row r="14" spans="1:14" ht="30.75" customHeight="1">
      <c r="A14" s="2654" t="s">
        <v>928</v>
      </c>
      <c r="B14" s="2655" t="s">
        <v>929</v>
      </c>
      <c r="C14" s="2654" t="s">
        <v>919</v>
      </c>
      <c r="D14" s="2706">
        <v>0</v>
      </c>
      <c r="E14" s="2706">
        <v>0</v>
      </c>
      <c r="F14" s="2656">
        <v>0</v>
      </c>
      <c r="G14" s="2656">
        <v>0</v>
      </c>
      <c r="H14" s="2656">
        <v>0</v>
      </c>
      <c r="I14" s="2656">
        <v>0</v>
      </c>
      <c r="J14" s="2656">
        <v>0</v>
      </c>
      <c r="K14" s="2656">
        <f>J14*1.079</f>
        <v>0</v>
      </c>
      <c r="L14" s="2706">
        <v>0</v>
      </c>
      <c r="M14" s="3463">
        <v>0</v>
      </c>
      <c r="N14" s="2760" t="s">
        <v>1643</v>
      </c>
    </row>
    <row r="15" spans="1:14" ht="41.25" customHeight="1">
      <c r="A15" s="2654" t="s">
        <v>930</v>
      </c>
      <c r="B15" s="2655" t="s">
        <v>931</v>
      </c>
      <c r="C15" s="2654" t="s">
        <v>919</v>
      </c>
      <c r="D15" s="2731">
        <f>SUM('ВОДА (СВОД) 2016-2017'!D17-'Тариф вода 2016-2017 ПЛАН'!D15)</f>
        <v>36.598383401633328</v>
      </c>
      <c r="E15" s="2731">
        <f>SUM('ВОДА (СВОД) 2016-2017'!E17-'Тариф вода 2016-2017 ПЛАН'!E15)</f>
        <v>19.325368451123722</v>
      </c>
      <c r="F15" s="2656">
        <f>вода!BN116</f>
        <v>1.60079947985259</v>
      </c>
      <c r="G15" s="2656">
        <f>вода!BQ116</f>
        <v>2.1681543017374878</v>
      </c>
      <c r="H15" s="2656">
        <f>вода!BT116</f>
        <v>2.8965652087065763</v>
      </c>
      <c r="I15" s="2656">
        <f>вода!BJ116</f>
        <v>17.622440701858665</v>
      </c>
      <c r="J15" s="2656">
        <f>SUM(вода!CB116)</f>
        <v>18.73</v>
      </c>
      <c r="K15" s="2656">
        <f>J15*1.15</f>
        <v>21.5395</v>
      </c>
      <c r="L15" s="2731">
        <f>SUM('ВОДА (СВОД) 2016-2017'!L17-'Тариф вода 2016-2017 ПЛАН'!L15)</f>
        <v>17.236306547830281</v>
      </c>
      <c r="M15" s="3463">
        <f>SUM(L15)</f>
        <v>17.236306547830281</v>
      </c>
      <c r="N15" s="2760" t="s">
        <v>10</v>
      </c>
    </row>
    <row r="16" spans="1:14" ht="22.5" customHeight="1">
      <c r="A16" s="2654" t="s">
        <v>932</v>
      </c>
      <c r="B16" s="2655" t="s">
        <v>933</v>
      </c>
      <c r="C16" s="2654" t="s">
        <v>919</v>
      </c>
      <c r="D16" s="2706">
        <v>0</v>
      </c>
      <c r="E16" s="2706">
        <v>0</v>
      </c>
      <c r="F16" s="2656">
        <v>0</v>
      </c>
      <c r="G16" s="2656">
        <v>0</v>
      </c>
      <c r="H16" s="2656">
        <v>0</v>
      </c>
      <c r="I16" s="2656">
        <v>0</v>
      </c>
      <c r="J16" s="2656">
        <f>I16</f>
        <v>0</v>
      </c>
      <c r="K16" s="2656">
        <f>J16</f>
        <v>0</v>
      </c>
      <c r="L16" s="2706">
        <v>0</v>
      </c>
      <c r="M16" s="3463">
        <v>0</v>
      </c>
      <c r="N16" s="2760" t="s">
        <v>1644</v>
      </c>
    </row>
    <row r="17" spans="1:14" ht="30" customHeight="1">
      <c r="A17" s="2654" t="s">
        <v>934</v>
      </c>
      <c r="B17" s="2655" t="s">
        <v>935</v>
      </c>
      <c r="C17" s="2654" t="s">
        <v>919</v>
      </c>
      <c r="D17" s="2706">
        <v>0</v>
      </c>
      <c r="E17" s="2706">
        <v>0</v>
      </c>
      <c r="F17" s="2656">
        <v>0</v>
      </c>
      <c r="G17" s="2656">
        <v>0</v>
      </c>
      <c r="H17" s="2656">
        <v>0</v>
      </c>
      <c r="I17" s="2656">
        <v>0</v>
      </c>
      <c r="J17" s="2656">
        <v>0</v>
      </c>
      <c r="K17" s="2656">
        <v>0</v>
      </c>
      <c r="L17" s="2706">
        <v>0</v>
      </c>
      <c r="M17" s="3463">
        <v>0</v>
      </c>
      <c r="N17" s="2760" t="s">
        <v>908</v>
      </c>
    </row>
    <row r="18" spans="1:14" ht="22.5" customHeight="1">
      <c r="A18" s="2654" t="s">
        <v>936</v>
      </c>
      <c r="B18" s="2655" t="s">
        <v>937</v>
      </c>
      <c r="C18" s="2654" t="s">
        <v>919</v>
      </c>
      <c r="D18" s="2706"/>
      <c r="E18" s="2706"/>
      <c r="F18" s="2656"/>
      <c r="G18" s="2656"/>
      <c r="H18" s="2656"/>
      <c r="I18" s="2656"/>
      <c r="J18" s="2656"/>
      <c r="K18" s="2656"/>
      <c r="L18" s="2706"/>
      <c r="M18" s="3463"/>
      <c r="N18" s="2760"/>
    </row>
    <row r="19" spans="1:14" ht="21.75" customHeight="1">
      <c r="A19" s="2654" t="s">
        <v>938</v>
      </c>
      <c r="B19" s="2655" t="s">
        <v>939</v>
      </c>
      <c r="C19" s="2654" t="s">
        <v>919</v>
      </c>
      <c r="D19" s="2706"/>
      <c r="E19" s="2706"/>
      <c r="F19" s="2656"/>
      <c r="G19" s="2656"/>
      <c r="H19" s="2656"/>
      <c r="I19" s="2656"/>
      <c r="J19" s="2656"/>
      <c r="K19" s="2656"/>
      <c r="L19" s="2706"/>
      <c r="M19" s="3463"/>
      <c r="N19" s="2760"/>
    </row>
    <row r="20" spans="1:14" ht="30.75" customHeight="1">
      <c r="A20" s="2654" t="s">
        <v>940</v>
      </c>
      <c r="B20" s="2655" t="s">
        <v>941</v>
      </c>
      <c r="C20" s="2654" t="s">
        <v>919</v>
      </c>
      <c r="D20" s="2731">
        <f>SUM('ВОДА (СВОД) 2016-2017'!D22-'Тариф вода 2016-2017 ПЛАН'!D20)</f>
        <v>17.5</v>
      </c>
      <c r="E20" s="2731">
        <f>SUM('ВОДА (СВОД) 2016-2017'!E22-'Тариф вода 2016-2017 ПЛАН'!E20)</f>
        <v>0</v>
      </c>
      <c r="F20" s="2656">
        <v>0</v>
      </c>
      <c r="G20" s="2656">
        <v>0</v>
      </c>
      <c r="H20" s="2656">
        <v>0</v>
      </c>
      <c r="I20" s="2656">
        <v>0</v>
      </c>
      <c r="J20" s="2656">
        <v>0</v>
      </c>
      <c r="K20" s="2656">
        <v>0</v>
      </c>
      <c r="L20" s="2731">
        <f>SUM('ВОДА (СВОД) 2016-2017'!L22-'Тариф вода 2016-2017 ПЛАН'!L20)</f>
        <v>0</v>
      </c>
      <c r="M20" s="3463">
        <v>0</v>
      </c>
      <c r="N20" s="2760" t="s">
        <v>1645</v>
      </c>
    </row>
    <row r="21" spans="1:14" ht="22.5" customHeight="1">
      <c r="A21" s="2647" t="s">
        <v>942</v>
      </c>
      <c r="B21" s="2648" t="s">
        <v>2</v>
      </c>
      <c r="C21" s="2647" t="s">
        <v>919</v>
      </c>
      <c r="D21" s="2729">
        <f>SUM('ВОДА (СВОД) 2016-2017'!D23-'Тариф вода 2016-2017 ПЛАН'!D21)</f>
        <v>77.738225002468425</v>
      </c>
      <c r="E21" s="2729">
        <f>SUM('ВОДА (СВОД) 2016-2017'!E23-'Тариф вода 2016-2017 ПЛАН'!E21)</f>
        <v>32.462264034154941</v>
      </c>
      <c r="F21" s="2649">
        <f>вода!BN110</f>
        <v>2.8859122333422107</v>
      </c>
      <c r="G21" s="2649">
        <f>вода!BQ110</f>
        <v>3.9157321058873009</v>
      </c>
      <c r="H21" s="2649">
        <f>вода!BT110</f>
        <v>5.2312530653545934</v>
      </c>
      <c r="I21" s="2649">
        <f>вода!BJ110</f>
        <v>35.251328504673751</v>
      </c>
      <c r="J21" s="2649">
        <f>SUM(вода!CB110)</f>
        <v>19.43920809189558</v>
      </c>
      <c r="K21" s="2649">
        <f>J21</f>
        <v>19.43920809189558</v>
      </c>
      <c r="L21" s="2729">
        <f>SUM('ВОДА (СВОД) 2016-2017'!L23-'Тариф вода 2016-2017 ПЛАН'!L21)</f>
        <v>31.997672209026859</v>
      </c>
      <c r="M21" s="3461">
        <f>SUM(L21)</f>
        <v>31.997672209026859</v>
      </c>
      <c r="N21" s="2761" t="s">
        <v>1646</v>
      </c>
    </row>
    <row r="22" spans="1:14" ht="22.5" customHeight="1">
      <c r="A22" s="2657" t="s">
        <v>202</v>
      </c>
      <c r="B22" s="2658" t="s">
        <v>943</v>
      </c>
      <c r="C22" s="2680" t="s">
        <v>44</v>
      </c>
      <c r="D22" s="2682">
        <f t="shared" ref="D22:I22" si="4">D23/(D10+D21)*100</f>
        <v>0</v>
      </c>
      <c r="E22" s="2682">
        <f t="shared" si="4"/>
        <v>0</v>
      </c>
      <c r="F22" s="2682">
        <f t="shared" si="4"/>
        <v>0</v>
      </c>
      <c r="G22" s="2682">
        <f t="shared" si="4"/>
        <v>0</v>
      </c>
      <c r="H22" s="2682">
        <f t="shared" si="4"/>
        <v>0</v>
      </c>
      <c r="I22" s="2682">
        <f t="shared" si="4"/>
        <v>0</v>
      </c>
      <c r="J22" s="2682">
        <f t="shared" ref="J22:K22" si="5">J23/(J10+J21)*100</f>
        <v>0</v>
      </c>
      <c r="K22" s="2682">
        <f t="shared" si="5"/>
        <v>0</v>
      </c>
      <c r="L22" s="2682">
        <f>L23/(L10+L21)*100</f>
        <v>0</v>
      </c>
      <c r="M22" s="3464"/>
      <c r="N22" s="2762"/>
    </row>
    <row r="23" spans="1:14" ht="22.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0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0</v>
      </c>
      <c r="M23" s="3461">
        <v>0</v>
      </c>
      <c r="N23" s="2761"/>
    </row>
    <row r="24" spans="1:14" ht="22.5" customHeight="1">
      <c r="A24" s="2651" t="s">
        <v>946</v>
      </c>
      <c r="B24" s="2652" t="s">
        <v>947</v>
      </c>
      <c r="C24" s="2651" t="s">
        <v>919</v>
      </c>
      <c r="D24" s="2705"/>
      <c r="E24" s="2705"/>
      <c r="F24" s="2653">
        <v>0</v>
      </c>
      <c r="G24" s="2653">
        <v>0</v>
      </c>
      <c r="H24" s="2653">
        <v>0</v>
      </c>
      <c r="I24" s="2653">
        <v>0</v>
      </c>
      <c r="J24" s="2653">
        <v>0</v>
      </c>
      <c r="K24" s="2653">
        <v>0</v>
      </c>
      <c r="L24" s="2705">
        <v>0</v>
      </c>
      <c r="M24" s="3462">
        <v>0</v>
      </c>
      <c r="N24" s="2759" t="s">
        <v>1598</v>
      </c>
    </row>
    <row r="25" spans="1:14" ht="50.25" customHeight="1">
      <c r="A25" s="2651" t="s">
        <v>948</v>
      </c>
      <c r="B25" s="2652" t="s">
        <v>949</v>
      </c>
      <c r="C25" s="2651" t="s">
        <v>919</v>
      </c>
      <c r="D25" s="2705"/>
      <c r="E25" s="2705"/>
      <c r="F25" s="2653"/>
      <c r="G25" s="2653"/>
      <c r="H25" s="2653"/>
      <c r="I25" s="2653"/>
      <c r="J25" s="2653"/>
      <c r="K25" s="2653"/>
      <c r="L25" s="2705"/>
      <c r="M25" s="3462"/>
      <c r="N25" s="2759"/>
    </row>
    <row r="26" spans="1:14" ht="30.75" customHeight="1">
      <c r="A26" s="2651" t="s">
        <v>950</v>
      </c>
      <c r="B26" s="2652" t="s">
        <v>951</v>
      </c>
      <c r="C26" s="2651" t="s">
        <v>919</v>
      </c>
      <c r="D26" s="2705"/>
      <c r="E26" s="2705"/>
      <c r="F26" s="2653"/>
      <c r="G26" s="2653"/>
      <c r="H26" s="2653"/>
      <c r="I26" s="2653"/>
      <c r="J26" s="2653"/>
      <c r="K26" s="2653"/>
      <c r="L26" s="2705"/>
      <c r="M26" s="3462"/>
      <c r="N26" s="2759"/>
    </row>
    <row r="27" spans="1:14" ht="31.5" customHeight="1">
      <c r="A27" s="2647" t="s">
        <v>203</v>
      </c>
      <c r="B27" s="2648" t="s">
        <v>952</v>
      </c>
      <c r="C27" s="2647" t="s">
        <v>919</v>
      </c>
      <c r="D27" s="2729">
        <f>SUM('ВОДА (СВОД) 2016-2017'!D29-'Тариф вода 2016-2017 ПЛАН'!D27)</f>
        <v>98.511044097010199</v>
      </c>
      <c r="E27" s="2729">
        <f>SUM('ВОДА (СВОД) 2016-2017'!E29-'Тариф вода 2016-2017 ПЛАН'!E27)</f>
        <v>0</v>
      </c>
      <c r="F27" s="2649">
        <v>0</v>
      </c>
      <c r="G27" s="2649">
        <v>0</v>
      </c>
      <c r="H27" s="2649">
        <v>0</v>
      </c>
      <c r="I27" s="2649">
        <v>0</v>
      </c>
      <c r="J27" s="2649">
        <v>0</v>
      </c>
      <c r="K27" s="2649">
        <v>0</v>
      </c>
      <c r="L27" s="2729">
        <f>SUM('ВОДА (СВОД) 2016-2017'!L29-'Тариф вода 2016-2017 ПЛАН'!L27)</f>
        <v>18.248004315756589</v>
      </c>
      <c r="M27" s="3461">
        <f>SUM(M10+M21)*5%</f>
        <v>19.826634853547016</v>
      </c>
      <c r="N27" s="2761" t="s">
        <v>1647</v>
      </c>
    </row>
    <row r="28" spans="1:14" ht="21.75" customHeight="1">
      <c r="A28" s="2643">
        <v>2</v>
      </c>
      <c r="B28" s="2644" t="s">
        <v>953</v>
      </c>
      <c r="C28" s="2643" t="s">
        <v>954</v>
      </c>
      <c r="D28" s="2736">
        <f>SUM(объемы!K45)</f>
        <v>46.13</v>
      </c>
      <c r="E28" s="2736">
        <f>SUM(объемы!S45)</f>
        <v>18.22</v>
      </c>
      <c r="F28" s="2645">
        <f>SUM(объемы!AB40)</f>
        <v>1.47</v>
      </c>
      <c r="G28" s="2645">
        <f>SUM(объемы!AC40)</f>
        <v>1.95</v>
      </c>
      <c r="H28" s="2645">
        <f>SUM(объемы!AD40)</f>
        <v>2.6</v>
      </c>
      <c r="I28" s="2645">
        <f>объемы!V38</f>
        <v>21.419999999999998</v>
      </c>
      <c r="J28" s="2645">
        <f>SUM(объемы!AF50)</f>
        <v>20.349</v>
      </c>
      <c r="K28" s="2645">
        <f>J28</f>
        <v>20.349</v>
      </c>
      <c r="L28" s="2736">
        <f>SUM(объемы!AE50)</f>
        <v>18</v>
      </c>
      <c r="M28" s="3459">
        <f>SUM(L28)</f>
        <v>18</v>
      </c>
      <c r="N28" s="2646"/>
    </row>
    <row r="29" spans="1:14" ht="22.5" customHeight="1">
      <c r="A29" s="2643" t="s">
        <v>196</v>
      </c>
      <c r="B29" s="2662" t="s">
        <v>955</v>
      </c>
      <c r="C29" s="2643" t="s">
        <v>954</v>
      </c>
      <c r="D29" s="2789">
        <v>0</v>
      </c>
      <c r="E29" s="2789">
        <v>0</v>
      </c>
      <c r="F29" s="2645">
        <v>0</v>
      </c>
      <c r="G29" s="2645">
        <v>0</v>
      </c>
      <c r="H29" s="2645">
        <v>0</v>
      </c>
      <c r="I29" s="2645">
        <v>0</v>
      </c>
      <c r="J29" s="2645">
        <v>0</v>
      </c>
      <c r="K29" s="2645">
        <f>J29</f>
        <v>0</v>
      </c>
      <c r="L29" s="2789">
        <v>0</v>
      </c>
      <c r="M29" s="3459">
        <v>0</v>
      </c>
      <c r="N29" s="2646"/>
    </row>
    <row r="30" spans="1:14" ht="22.5" customHeight="1">
      <c r="A30" s="2663" t="s">
        <v>956</v>
      </c>
      <c r="B30" s="2664" t="s">
        <v>1639</v>
      </c>
      <c r="C30" s="2663" t="s">
        <v>958</v>
      </c>
      <c r="D30" s="2665">
        <f t="shared" ref="D30:M30" si="8">D9/D28</f>
        <v>18.832255062588665</v>
      </c>
      <c r="E30" s="2665">
        <f t="shared" si="8"/>
        <v>16.891281921056976</v>
      </c>
      <c r="F30" s="2665">
        <f t="shared" si="8"/>
        <v>16.747684575542802</v>
      </c>
      <c r="G30" s="2665">
        <f t="shared" si="8"/>
        <v>17.420189208311577</v>
      </c>
      <c r="H30" s="2665">
        <f t="shared" si="8"/>
        <v>17.818700851341266</v>
      </c>
      <c r="I30" s="2665">
        <f t="shared" si="8"/>
        <v>16.058988150598474</v>
      </c>
      <c r="J30" s="2665">
        <f>J9/J28-0.001</f>
        <v>16.996047198144574</v>
      </c>
      <c r="K30" s="2665">
        <f t="shared" si="8"/>
        <v>17.884643706769438</v>
      </c>
      <c r="L30" s="2665">
        <f t="shared" si="8"/>
        <v>21.289338368381728</v>
      </c>
      <c r="M30" s="2665">
        <f t="shared" si="8"/>
        <v>23.131073995804851</v>
      </c>
      <c r="N30" s="2640"/>
    </row>
    <row r="31" spans="1:14" ht="21.75" customHeight="1">
      <c r="A31" s="2663"/>
      <c r="B31" s="2666" t="s">
        <v>959</v>
      </c>
      <c r="C31" s="2663" t="s">
        <v>958</v>
      </c>
      <c r="D31" s="2732">
        <f>SUM('расчет тарифов '!F9)</f>
        <v>18.420000000000002</v>
      </c>
      <c r="E31" s="2732"/>
      <c r="F31" s="2665"/>
      <c r="G31" s="2665"/>
      <c r="H31" s="2665"/>
      <c r="I31" s="2665">
        <v>16.059999999999999</v>
      </c>
      <c r="J31" s="2665">
        <f>I32</f>
        <v>16.057976301196948</v>
      </c>
      <c r="K31" s="2665">
        <f>J32</f>
        <v>17.934118095092199</v>
      </c>
      <c r="L31" s="2732">
        <f>SUM(I32)</f>
        <v>16.057976301196948</v>
      </c>
      <c r="M31" s="3465">
        <f>SUM(L32)</f>
        <v>26.520700435566507</v>
      </c>
      <c r="N31" s="2640"/>
    </row>
    <row r="32" spans="1:14" ht="21.75" customHeight="1">
      <c r="A32" s="2663"/>
      <c r="B32" s="2666" t="s">
        <v>960</v>
      </c>
      <c r="C32" s="2663" t="s">
        <v>958</v>
      </c>
      <c r="D32" s="2732">
        <f>SUM('расчет тарифов '!K9)</f>
        <v>20.11</v>
      </c>
      <c r="E32" s="2732"/>
      <c r="F32" s="2665"/>
      <c r="G32" s="2665"/>
      <c r="H32" s="2665"/>
      <c r="I32" s="2665">
        <f>I30*2-I31</f>
        <v>16.057976301196948</v>
      </c>
      <c r="J32" s="2665">
        <f>J30*2-J31</f>
        <v>17.934118095092199</v>
      </c>
      <c r="K32" s="2665">
        <f>K30*2-K31</f>
        <v>17.835169318446678</v>
      </c>
      <c r="L32" s="2665">
        <f>L30*2-L31</f>
        <v>26.520700435566507</v>
      </c>
      <c r="M32" s="2665">
        <f>M30*2-M31</f>
        <v>19.741447556043195</v>
      </c>
      <c r="N32" s="2640"/>
    </row>
    <row r="33" spans="1:14" ht="21.75" customHeight="1">
      <c r="A33" s="2663"/>
      <c r="B33" s="2664" t="s">
        <v>961</v>
      </c>
      <c r="C33" s="2663"/>
      <c r="D33" s="2695"/>
      <c r="E33" s="2695"/>
      <c r="F33" s="2665"/>
      <c r="G33" s="2665"/>
      <c r="H33" s="2665"/>
      <c r="I33" s="2665"/>
      <c r="J33" s="2665"/>
      <c r="K33" s="2665"/>
      <c r="L33" s="2695"/>
      <c r="M33" s="3465"/>
      <c r="N33" s="2640"/>
    </row>
    <row r="34" spans="1:14" ht="21.75" customHeight="1">
      <c r="A34" s="2663"/>
      <c r="B34" s="2666" t="s">
        <v>959</v>
      </c>
      <c r="C34" s="2663" t="s">
        <v>44</v>
      </c>
      <c r="D34" s="2734">
        <v>100</v>
      </c>
      <c r="E34" s="2734"/>
      <c r="F34" s="2665"/>
      <c r="G34" s="2665"/>
      <c r="H34" s="2665"/>
      <c r="I34" s="2665">
        <f>SUM(I31/D32)*100</f>
        <v>79.860765788165082</v>
      </c>
      <c r="J34" s="2665">
        <f>J31/I32*100</f>
        <v>100</v>
      </c>
      <c r="K34" s="2665">
        <f>K31/J32*100</f>
        <v>100</v>
      </c>
      <c r="L34" s="2665">
        <f>L31/I32*100</f>
        <v>100</v>
      </c>
      <c r="M34" s="2665">
        <f>M31/L32*100</f>
        <v>100</v>
      </c>
      <c r="N34" s="2640"/>
    </row>
    <row r="35" spans="1:14" ht="21.75" customHeight="1">
      <c r="A35" s="2663"/>
      <c r="B35" s="2666" t="s">
        <v>960</v>
      </c>
      <c r="C35" s="2663" t="s">
        <v>44</v>
      </c>
      <c r="D35" s="2665">
        <f>D32/D31*100</f>
        <v>109.17480998914222</v>
      </c>
      <c r="E35" s="2665"/>
      <c r="F35" s="2665"/>
      <c r="G35" s="2665"/>
      <c r="H35" s="2665"/>
      <c r="I35" s="2665">
        <f>I32/I31*100</f>
        <v>99.987399135721972</v>
      </c>
      <c r="J35" s="2665">
        <f>J32/J31*100</f>
        <v>111.68355064613841</v>
      </c>
      <c r="K35" s="2665">
        <f>K32/K31*100</f>
        <v>99.448265166311131</v>
      </c>
      <c r="L35" s="2665">
        <f>L32/L31*100</f>
        <v>165.15593209332161</v>
      </c>
      <c r="M35" s="2665">
        <f>M32/M31*100</f>
        <v>74.437881473025655</v>
      </c>
      <c r="N35" s="2640"/>
    </row>
    <row r="36" spans="1:14" ht="15">
      <c r="A36" s="2667"/>
      <c r="B36" s="2668"/>
      <c r="C36" s="2669"/>
      <c r="D36" s="2669"/>
      <c r="E36" s="2669"/>
      <c r="F36" s="2669"/>
      <c r="G36" s="2669"/>
      <c r="H36" s="2669"/>
      <c r="I36" s="2669"/>
      <c r="J36" s="2669"/>
      <c r="K36" s="2669"/>
      <c r="L36" s="2669"/>
      <c r="M36" s="2669"/>
      <c r="N36" s="2670"/>
    </row>
    <row r="37" spans="1:14" ht="21.75" customHeight="1">
      <c r="A37" s="2671" t="s">
        <v>962</v>
      </c>
      <c r="B37" s="2672" t="s">
        <v>963</v>
      </c>
      <c r="C37" s="2673"/>
      <c r="D37" s="2707"/>
      <c r="E37" s="2707"/>
      <c r="F37" s="2673"/>
      <c r="G37" s="2673"/>
      <c r="H37" s="2673"/>
      <c r="I37" s="2673"/>
      <c r="J37" s="2673"/>
      <c r="K37" s="2673"/>
      <c r="L37" s="2673"/>
      <c r="M37" s="3469"/>
      <c r="N37" s="2673"/>
    </row>
    <row r="38" spans="1:14" ht="21.75" customHeight="1">
      <c r="A38" s="2673"/>
      <c r="B38" s="2674" t="s">
        <v>959</v>
      </c>
      <c r="C38" s="2675" t="s">
        <v>964</v>
      </c>
      <c r="D38" s="2708"/>
      <c r="E38" s="2708"/>
      <c r="F38" s="2673"/>
      <c r="G38" s="2673"/>
      <c r="H38" s="2673"/>
      <c r="I38" s="2673"/>
      <c r="J38" s="2677"/>
      <c r="K38" s="2677"/>
      <c r="L38" s="2677"/>
      <c r="M38" s="3470"/>
      <c r="N38" s="2673"/>
    </row>
    <row r="39" spans="1:14" ht="21.75" customHeight="1">
      <c r="A39" s="2673"/>
      <c r="B39" s="2674" t="s">
        <v>960</v>
      </c>
      <c r="C39" s="2675" t="s">
        <v>964</v>
      </c>
      <c r="D39" s="2708"/>
      <c r="E39" s="2708"/>
      <c r="F39" s="2673"/>
      <c r="G39" s="2673"/>
      <c r="H39" s="2673"/>
      <c r="I39" s="2673"/>
      <c r="J39" s="2673"/>
      <c r="K39" s="2673"/>
      <c r="L39" s="2673"/>
      <c r="M39" s="3469"/>
      <c r="N39" s="2673"/>
    </row>
    <row r="40" spans="1:14" ht="21.75" customHeight="1">
      <c r="A40" s="2673"/>
      <c r="B40" s="2674" t="s">
        <v>364</v>
      </c>
      <c r="C40" s="2675" t="s">
        <v>44</v>
      </c>
      <c r="D40" s="2708"/>
      <c r="E40" s="2708"/>
      <c r="F40" s="2673"/>
      <c r="G40" s="2673"/>
      <c r="H40" s="2673"/>
      <c r="I40" s="2673"/>
      <c r="J40" s="2673"/>
      <c r="K40" s="2673"/>
      <c r="L40" s="2673"/>
      <c r="M40" s="3469"/>
      <c r="N40" s="2673"/>
    </row>
    <row r="41" spans="1:14" ht="21.75" customHeight="1">
      <c r="A41" s="2673"/>
      <c r="B41" s="2672" t="s">
        <v>965</v>
      </c>
      <c r="C41" s="2675" t="s">
        <v>919</v>
      </c>
      <c r="D41" s="2708"/>
      <c r="E41" s="2708"/>
      <c r="F41" s="2673"/>
      <c r="G41" s="2673"/>
      <c r="H41" s="2673"/>
      <c r="I41" s="2673"/>
      <c r="J41" s="2673"/>
      <c r="K41" s="2673"/>
      <c r="L41" s="2673"/>
      <c r="M41" s="3469"/>
      <c r="N41" s="2673"/>
    </row>
  </sheetData>
  <mergeCells count="18">
    <mergeCell ref="A1:N1"/>
    <mergeCell ref="A2:N2"/>
    <mergeCell ref="A4:A5"/>
    <mergeCell ref="B4:B5"/>
    <mergeCell ref="C4:C5"/>
    <mergeCell ref="I4:K4"/>
    <mergeCell ref="N4:N5"/>
    <mergeCell ref="L4:M4"/>
    <mergeCell ref="H6:H8"/>
    <mergeCell ref="C6:C8"/>
    <mergeCell ref="I6:I8"/>
    <mergeCell ref="E4:E5"/>
    <mergeCell ref="F4:H4"/>
    <mergeCell ref="E6:E8"/>
    <mergeCell ref="F6:F8"/>
    <mergeCell ref="G6:G8"/>
    <mergeCell ref="D4:D5"/>
    <mergeCell ref="D6:D8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5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90" zoomScaleNormal="90" zoomScaleSheetLayoutView="75" workbookViewId="0">
      <pane xSplit="2" ySplit="5" topLeftCell="G26" activePane="bottomRight" state="frozen"/>
      <selection pane="topRight" activeCell="C1" sqref="C1"/>
      <selection pane="bottomLeft" activeCell="A6" sqref="A6"/>
      <selection pane="bottomRight" activeCell="J9" sqref="J9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8" width="12.7109375" style="1940" customWidth="1"/>
    <col min="9" max="9" width="12.42578125" style="1940" customWidth="1"/>
    <col min="10" max="10" width="14.5703125" style="1940" customWidth="1"/>
    <col min="11" max="11" width="12.28515625" style="1940" customWidth="1"/>
    <col min="12" max="13" width="14" style="1940" customWidth="1"/>
    <col min="14" max="14" width="38.140625" style="1940" customWidth="1"/>
    <col min="15" max="15" width="46.85546875" style="1940" customWidth="1"/>
    <col min="16" max="18" width="12.7109375" style="1940" customWidth="1"/>
    <col min="19" max="19" width="9.28515625" style="1940" customWidth="1"/>
    <col min="20" max="20" width="13.5703125" style="1940" customWidth="1"/>
    <col min="21" max="21" width="10.28515625" style="1940" customWidth="1"/>
    <col min="22" max="22" width="12.85546875" style="1940" customWidth="1"/>
    <col min="23" max="23" width="9.140625" style="1940" customWidth="1"/>
    <col min="24" max="24" width="9.7109375" style="1940" customWidth="1"/>
    <col min="25" max="25" width="9.28515625" style="1940" customWidth="1"/>
    <col min="26" max="26" width="9.42578125" style="1940" customWidth="1"/>
    <col min="27" max="27" width="10.5703125" style="1940" customWidth="1"/>
    <col min="28" max="28" width="12.42578125" style="1940" customWidth="1"/>
    <col min="29" max="29" width="14.5703125" style="1940" customWidth="1"/>
    <col min="30" max="30" width="12.28515625" style="1940" customWidth="1"/>
    <col min="31" max="31" width="25.85546875" style="1940" customWidth="1"/>
    <col min="32" max="263" width="0.85546875" style="1940"/>
    <col min="264" max="264" width="9.85546875" style="1940" customWidth="1"/>
    <col min="265" max="265" width="81.85546875" style="1940" customWidth="1"/>
    <col min="266" max="266" width="12.7109375" style="1940" customWidth="1"/>
    <col min="267" max="267" width="12.42578125" style="1940" customWidth="1"/>
    <col min="268" max="268" width="14.5703125" style="1940" customWidth="1"/>
    <col min="269" max="269" width="12.28515625" style="1940" customWidth="1"/>
    <col min="270" max="270" width="38.140625" style="1940" customWidth="1"/>
    <col min="271" max="271" width="46.85546875" style="1940" customWidth="1"/>
    <col min="272" max="274" width="12.7109375" style="1940" customWidth="1"/>
    <col min="275" max="275" width="9.28515625" style="1940" customWidth="1"/>
    <col min="276" max="276" width="13.5703125" style="1940" customWidth="1"/>
    <col min="277" max="277" width="10.28515625" style="1940" customWidth="1"/>
    <col min="278" max="278" width="12.85546875" style="1940" customWidth="1"/>
    <col min="279" max="279" width="9.140625" style="1940" customWidth="1"/>
    <col min="280" max="280" width="9.7109375" style="1940" customWidth="1"/>
    <col min="281" max="281" width="9.28515625" style="1940" customWidth="1"/>
    <col min="282" max="282" width="9.42578125" style="1940" customWidth="1"/>
    <col min="283" max="283" width="10.5703125" style="1940" customWidth="1"/>
    <col min="284" max="284" width="12.42578125" style="1940" customWidth="1"/>
    <col min="285" max="285" width="14.5703125" style="1940" customWidth="1"/>
    <col min="286" max="286" width="12.28515625" style="1940" customWidth="1"/>
    <col min="287" max="287" width="25.85546875" style="1940" customWidth="1"/>
    <col min="288" max="519" width="0.85546875" style="1940"/>
    <col min="520" max="520" width="9.85546875" style="1940" customWidth="1"/>
    <col min="521" max="521" width="81.85546875" style="1940" customWidth="1"/>
    <col min="522" max="522" width="12.7109375" style="1940" customWidth="1"/>
    <col min="523" max="523" width="12.42578125" style="1940" customWidth="1"/>
    <col min="524" max="524" width="14.5703125" style="1940" customWidth="1"/>
    <col min="525" max="525" width="12.28515625" style="1940" customWidth="1"/>
    <col min="526" max="526" width="38.140625" style="1940" customWidth="1"/>
    <col min="527" max="527" width="46.85546875" style="1940" customWidth="1"/>
    <col min="528" max="530" width="12.7109375" style="1940" customWidth="1"/>
    <col min="531" max="531" width="9.28515625" style="1940" customWidth="1"/>
    <col min="532" max="532" width="13.5703125" style="1940" customWidth="1"/>
    <col min="533" max="533" width="10.28515625" style="1940" customWidth="1"/>
    <col min="534" max="534" width="12.85546875" style="1940" customWidth="1"/>
    <col min="535" max="535" width="9.140625" style="1940" customWidth="1"/>
    <col min="536" max="536" width="9.7109375" style="1940" customWidth="1"/>
    <col min="537" max="537" width="9.28515625" style="1940" customWidth="1"/>
    <col min="538" max="538" width="9.42578125" style="1940" customWidth="1"/>
    <col min="539" max="539" width="10.5703125" style="1940" customWidth="1"/>
    <col min="540" max="540" width="12.42578125" style="1940" customWidth="1"/>
    <col min="541" max="541" width="14.5703125" style="1940" customWidth="1"/>
    <col min="542" max="542" width="12.28515625" style="1940" customWidth="1"/>
    <col min="543" max="543" width="25.85546875" style="1940" customWidth="1"/>
    <col min="544" max="775" width="0.85546875" style="1940"/>
    <col min="776" max="776" width="9.85546875" style="1940" customWidth="1"/>
    <col min="777" max="777" width="81.85546875" style="1940" customWidth="1"/>
    <col min="778" max="778" width="12.7109375" style="1940" customWidth="1"/>
    <col min="779" max="779" width="12.42578125" style="1940" customWidth="1"/>
    <col min="780" max="780" width="14.5703125" style="1940" customWidth="1"/>
    <col min="781" max="781" width="12.28515625" style="1940" customWidth="1"/>
    <col min="782" max="782" width="38.140625" style="1940" customWidth="1"/>
    <col min="783" max="783" width="46.85546875" style="1940" customWidth="1"/>
    <col min="784" max="786" width="12.7109375" style="1940" customWidth="1"/>
    <col min="787" max="787" width="9.28515625" style="1940" customWidth="1"/>
    <col min="788" max="788" width="13.5703125" style="1940" customWidth="1"/>
    <col min="789" max="789" width="10.28515625" style="1940" customWidth="1"/>
    <col min="790" max="790" width="12.85546875" style="1940" customWidth="1"/>
    <col min="791" max="791" width="9.140625" style="1940" customWidth="1"/>
    <col min="792" max="792" width="9.7109375" style="1940" customWidth="1"/>
    <col min="793" max="793" width="9.28515625" style="1940" customWidth="1"/>
    <col min="794" max="794" width="9.42578125" style="1940" customWidth="1"/>
    <col min="795" max="795" width="10.5703125" style="1940" customWidth="1"/>
    <col min="796" max="796" width="12.42578125" style="1940" customWidth="1"/>
    <col min="797" max="797" width="14.5703125" style="1940" customWidth="1"/>
    <col min="798" max="798" width="12.28515625" style="1940" customWidth="1"/>
    <col min="799" max="799" width="25.85546875" style="1940" customWidth="1"/>
    <col min="800" max="1031" width="0.85546875" style="1940"/>
    <col min="1032" max="1032" width="9.85546875" style="1940" customWidth="1"/>
    <col min="1033" max="1033" width="81.85546875" style="1940" customWidth="1"/>
    <col min="1034" max="1034" width="12.7109375" style="1940" customWidth="1"/>
    <col min="1035" max="1035" width="12.42578125" style="1940" customWidth="1"/>
    <col min="1036" max="1036" width="14.5703125" style="1940" customWidth="1"/>
    <col min="1037" max="1037" width="12.28515625" style="1940" customWidth="1"/>
    <col min="1038" max="1038" width="38.140625" style="1940" customWidth="1"/>
    <col min="1039" max="1039" width="46.85546875" style="1940" customWidth="1"/>
    <col min="1040" max="1042" width="12.7109375" style="1940" customWidth="1"/>
    <col min="1043" max="1043" width="9.28515625" style="1940" customWidth="1"/>
    <col min="1044" max="1044" width="13.5703125" style="1940" customWidth="1"/>
    <col min="1045" max="1045" width="10.28515625" style="1940" customWidth="1"/>
    <col min="1046" max="1046" width="12.85546875" style="1940" customWidth="1"/>
    <col min="1047" max="1047" width="9.140625" style="1940" customWidth="1"/>
    <col min="1048" max="1048" width="9.7109375" style="1940" customWidth="1"/>
    <col min="1049" max="1049" width="9.28515625" style="1940" customWidth="1"/>
    <col min="1050" max="1050" width="9.42578125" style="1940" customWidth="1"/>
    <col min="1051" max="1051" width="10.5703125" style="1940" customWidth="1"/>
    <col min="1052" max="1052" width="12.42578125" style="1940" customWidth="1"/>
    <col min="1053" max="1053" width="14.5703125" style="1940" customWidth="1"/>
    <col min="1054" max="1054" width="12.28515625" style="1940" customWidth="1"/>
    <col min="1055" max="1055" width="25.85546875" style="1940" customWidth="1"/>
    <col min="1056" max="1287" width="0.85546875" style="1940"/>
    <col min="1288" max="1288" width="9.85546875" style="1940" customWidth="1"/>
    <col min="1289" max="1289" width="81.85546875" style="1940" customWidth="1"/>
    <col min="1290" max="1290" width="12.7109375" style="1940" customWidth="1"/>
    <col min="1291" max="1291" width="12.42578125" style="1940" customWidth="1"/>
    <col min="1292" max="1292" width="14.5703125" style="1940" customWidth="1"/>
    <col min="1293" max="1293" width="12.28515625" style="1940" customWidth="1"/>
    <col min="1294" max="1294" width="38.140625" style="1940" customWidth="1"/>
    <col min="1295" max="1295" width="46.85546875" style="1940" customWidth="1"/>
    <col min="1296" max="1298" width="12.7109375" style="1940" customWidth="1"/>
    <col min="1299" max="1299" width="9.28515625" style="1940" customWidth="1"/>
    <col min="1300" max="1300" width="13.5703125" style="1940" customWidth="1"/>
    <col min="1301" max="1301" width="10.28515625" style="1940" customWidth="1"/>
    <col min="1302" max="1302" width="12.85546875" style="1940" customWidth="1"/>
    <col min="1303" max="1303" width="9.140625" style="1940" customWidth="1"/>
    <col min="1304" max="1304" width="9.7109375" style="1940" customWidth="1"/>
    <col min="1305" max="1305" width="9.28515625" style="1940" customWidth="1"/>
    <col min="1306" max="1306" width="9.42578125" style="1940" customWidth="1"/>
    <col min="1307" max="1307" width="10.5703125" style="1940" customWidth="1"/>
    <col min="1308" max="1308" width="12.42578125" style="1940" customWidth="1"/>
    <col min="1309" max="1309" width="14.5703125" style="1940" customWidth="1"/>
    <col min="1310" max="1310" width="12.28515625" style="1940" customWidth="1"/>
    <col min="1311" max="1311" width="25.85546875" style="1940" customWidth="1"/>
    <col min="1312" max="1543" width="0.85546875" style="1940"/>
    <col min="1544" max="1544" width="9.85546875" style="1940" customWidth="1"/>
    <col min="1545" max="1545" width="81.85546875" style="1940" customWidth="1"/>
    <col min="1546" max="1546" width="12.7109375" style="1940" customWidth="1"/>
    <col min="1547" max="1547" width="12.42578125" style="1940" customWidth="1"/>
    <col min="1548" max="1548" width="14.5703125" style="1940" customWidth="1"/>
    <col min="1549" max="1549" width="12.28515625" style="1940" customWidth="1"/>
    <col min="1550" max="1550" width="38.140625" style="1940" customWidth="1"/>
    <col min="1551" max="1551" width="46.85546875" style="1940" customWidth="1"/>
    <col min="1552" max="1554" width="12.7109375" style="1940" customWidth="1"/>
    <col min="1555" max="1555" width="9.28515625" style="1940" customWidth="1"/>
    <col min="1556" max="1556" width="13.5703125" style="1940" customWidth="1"/>
    <col min="1557" max="1557" width="10.28515625" style="1940" customWidth="1"/>
    <col min="1558" max="1558" width="12.85546875" style="1940" customWidth="1"/>
    <col min="1559" max="1559" width="9.140625" style="1940" customWidth="1"/>
    <col min="1560" max="1560" width="9.7109375" style="1940" customWidth="1"/>
    <col min="1561" max="1561" width="9.28515625" style="1940" customWidth="1"/>
    <col min="1562" max="1562" width="9.42578125" style="1940" customWidth="1"/>
    <col min="1563" max="1563" width="10.5703125" style="1940" customWidth="1"/>
    <col min="1564" max="1564" width="12.42578125" style="1940" customWidth="1"/>
    <col min="1565" max="1565" width="14.5703125" style="1940" customWidth="1"/>
    <col min="1566" max="1566" width="12.28515625" style="1940" customWidth="1"/>
    <col min="1567" max="1567" width="25.85546875" style="1940" customWidth="1"/>
    <col min="1568" max="1799" width="0.85546875" style="1940"/>
    <col min="1800" max="1800" width="9.85546875" style="1940" customWidth="1"/>
    <col min="1801" max="1801" width="81.85546875" style="1940" customWidth="1"/>
    <col min="1802" max="1802" width="12.7109375" style="1940" customWidth="1"/>
    <col min="1803" max="1803" width="12.42578125" style="1940" customWidth="1"/>
    <col min="1804" max="1804" width="14.5703125" style="1940" customWidth="1"/>
    <col min="1805" max="1805" width="12.28515625" style="1940" customWidth="1"/>
    <col min="1806" max="1806" width="38.140625" style="1940" customWidth="1"/>
    <col min="1807" max="1807" width="46.85546875" style="1940" customWidth="1"/>
    <col min="1808" max="1810" width="12.7109375" style="1940" customWidth="1"/>
    <col min="1811" max="1811" width="9.28515625" style="1940" customWidth="1"/>
    <col min="1812" max="1812" width="13.5703125" style="1940" customWidth="1"/>
    <col min="1813" max="1813" width="10.28515625" style="1940" customWidth="1"/>
    <col min="1814" max="1814" width="12.85546875" style="1940" customWidth="1"/>
    <col min="1815" max="1815" width="9.140625" style="1940" customWidth="1"/>
    <col min="1816" max="1816" width="9.7109375" style="1940" customWidth="1"/>
    <col min="1817" max="1817" width="9.28515625" style="1940" customWidth="1"/>
    <col min="1818" max="1818" width="9.42578125" style="1940" customWidth="1"/>
    <col min="1819" max="1819" width="10.5703125" style="1940" customWidth="1"/>
    <col min="1820" max="1820" width="12.42578125" style="1940" customWidth="1"/>
    <col min="1821" max="1821" width="14.5703125" style="1940" customWidth="1"/>
    <col min="1822" max="1822" width="12.28515625" style="1940" customWidth="1"/>
    <col min="1823" max="1823" width="25.85546875" style="1940" customWidth="1"/>
    <col min="1824" max="2055" width="0.85546875" style="1940"/>
    <col min="2056" max="2056" width="9.85546875" style="1940" customWidth="1"/>
    <col min="2057" max="2057" width="81.85546875" style="1940" customWidth="1"/>
    <col min="2058" max="2058" width="12.7109375" style="1940" customWidth="1"/>
    <col min="2059" max="2059" width="12.42578125" style="1940" customWidth="1"/>
    <col min="2060" max="2060" width="14.5703125" style="1940" customWidth="1"/>
    <col min="2061" max="2061" width="12.28515625" style="1940" customWidth="1"/>
    <col min="2062" max="2062" width="38.140625" style="1940" customWidth="1"/>
    <col min="2063" max="2063" width="46.85546875" style="1940" customWidth="1"/>
    <col min="2064" max="2066" width="12.7109375" style="1940" customWidth="1"/>
    <col min="2067" max="2067" width="9.28515625" style="1940" customWidth="1"/>
    <col min="2068" max="2068" width="13.5703125" style="1940" customWidth="1"/>
    <col min="2069" max="2069" width="10.28515625" style="1940" customWidth="1"/>
    <col min="2070" max="2070" width="12.85546875" style="1940" customWidth="1"/>
    <col min="2071" max="2071" width="9.140625" style="1940" customWidth="1"/>
    <col min="2072" max="2072" width="9.7109375" style="1940" customWidth="1"/>
    <col min="2073" max="2073" width="9.28515625" style="1940" customWidth="1"/>
    <col min="2074" max="2074" width="9.42578125" style="1940" customWidth="1"/>
    <col min="2075" max="2075" width="10.5703125" style="1940" customWidth="1"/>
    <col min="2076" max="2076" width="12.42578125" style="1940" customWidth="1"/>
    <col min="2077" max="2077" width="14.5703125" style="1940" customWidth="1"/>
    <col min="2078" max="2078" width="12.28515625" style="1940" customWidth="1"/>
    <col min="2079" max="2079" width="25.85546875" style="1940" customWidth="1"/>
    <col min="2080" max="2311" width="0.85546875" style="1940"/>
    <col min="2312" max="2312" width="9.85546875" style="1940" customWidth="1"/>
    <col min="2313" max="2313" width="81.85546875" style="1940" customWidth="1"/>
    <col min="2314" max="2314" width="12.7109375" style="1940" customWidth="1"/>
    <col min="2315" max="2315" width="12.42578125" style="1940" customWidth="1"/>
    <col min="2316" max="2316" width="14.5703125" style="1940" customWidth="1"/>
    <col min="2317" max="2317" width="12.28515625" style="1940" customWidth="1"/>
    <col min="2318" max="2318" width="38.140625" style="1940" customWidth="1"/>
    <col min="2319" max="2319" width="46.85546875" style="1940" customWidth="1"/>
    <col min="2320" max="2322" width="12.7109375" style="1940" customWidth="1"/>
    <col min="2323" max="2323" width="9.28515625" style="1940" customWidth="1"/>
    <col min="2324" max="2324" width="13.5703125" style="1940" customWidth="1"/>
    <col min="2325" max="2325" width="10.28515625" style="1940" customWidth="1"/>
    <col min="2326" max="2326" width="12.85546875" style="1940" customWidth="1"/>
    <col min="2327" max="2327" width="9.140625" style="1940" customWidth="1"/>
    <col min="2328" max="2328" width="9.7109375" style="1940" customWidth="1"/>
    <col min="2329" max="2329" width="9.28515625" style="1940" customWidth="1"/>
    <col min="2330" max="2330" width="9.42578125" style="1940" customWidth="1"/>
    <col min="2331" max="2331" width="10.5703125" style="1940" customWidth="1"/>
    <col min="2332" max="2332" width="12.42578125" style="1940" customWidth="1"/>
    <col min="2333" max="2333" width="14.5703125" style="1940" customWidth="1"/>
    <col min="2334" max="2334" width="12.28515625" style="1940" customWidth="1"/>
    <col min="2335" max="2335" width="25.85546875" style="1940" customWidth="1"/>
    <col min="2336" max="2567" width="0.85546875" style="1940"/>
    <col min="2568" max="2568" width="9.85546875" style="1940" customWidth="1"/>
    <col min="2569" max="2569" width="81.85546875" style="1940" customWidth="1"/>
    <col min="2570" max="2570" width="12.7109375" style="1940" customWidth="1"/>
    <col min="2571" max="2571" width="12.42578125" style="1940" customWidth="1"/>
    <col min="2572" max="2572" width="14.5703125" style="1940" customWidth="1"/>
    <col min="2573" max="2573" width="12.28515625" style="1940" customWidth="1"/>
    <col min="2574" max="2574" width="38.140625" style="1940" customWidth="1"/>
    <col min="2575" max="2575" width="46.85546875" style="1940" customWidth="1"/>
    <col min="2576" max="2578" width="12.7109375" style="1940" customWidth="1"/>
    <col min="2579" max="2579" width="9.28515625" style="1940" customWidth="1"/>
    <col min="2580" max="2580" width="13.5703125" style="1940" customWidth="1"/>
    <col min="2581" max="2581" width="10.28515625" style="1940" customWidth="1"/>
    <col min="2582" max="2582" width="12.85546875" style="1940" customWidth="1"/>
    <col min="2583" max="2583" width="9.140625" style="1940" customWidth="1"/>
    <col min="2584" max="2584" width="9.7109375" style="1940" customWidth="1"/>
    <col min="2585" max="2585" width="9.28515625" style="1940" customWidth="1"/>
    <col min="2586" max="2586" width="9.42578125" style="1940" customWidth="1"/>
    <col min="2587" max="2587" width="10.5703125" style="1940" customWidth="1"/>
    <col min="2588" max="2588" width="12.42578125" style="1940" customWidth="1"/>
    <col min="2589" max="2589" width="14.5703125" style="1940" customWidth="1"/>
    <col min="2590" max="2590" width="12.28515625" style="1940" customWidth="1"/>
    <col min="2591" max="2591" width="25.85546875" style="1940" customWidth="1"/>
    <col min="2592" max="2823" width="0.85546875" style="1940"/>
    <col min="2824" max="2824" width="9.85546875" style="1940" customWidth="1"/>
    <col min="2825" max="2825" width="81.85546875" style="1940" customWidth="1"/>
    <col min="2826" max="2826" width="12.7109375" style="1940" customWidth="1"/>
    <col min="2827" max="2827" width="12.42578125" style="1940" customWidth="1"/>
    <col min="2828" max="2828" width="14.5703125" style="1940" customWidth="1"/>
    <col min="2829" max="2829" width="12.28515625" style="1940" customWidth="1"/>
    <col min="2830" max="2830" width="38.140625" style="1940" customWidth="1"/>
    <col min="2831" max="2831" width="46.85546875" style="1940" customWidth="1"/>
    <col min="2832" max="2834" width="12.7109375" style="1940" customWidth="1"/>
    <col min="2835" max="2835" width="9.28515625" style="1940" customWidth="1"/>
    <col min="2836" max="2836" width="13.5703125" style="1940" customWidth="1"/>
    <col min="2837" max="2837" width="10.28515625" style="1940" customWidth="1"/>
    <col min="2838" max="2838" width="12.85546875" style="1940" customWidth="1"/>
    <col min="2839" max="2839" width="9.140625" style="1940" customWidth="1"/>
    <col min="2840" max="2840" width="9.7109375" style="1940" customWidth="1"/>
    <col min="2841" max="2841" width="9.28515625" style="1940" customWidth="1"/>
    <col min="2842" max="2842" width="9.42578125" style="1940" customWidth="1"/>
    <col min="2843" max="2843" width="10.5703125" style="1940" customWidth="1"/>
    <col min="2844" max="2844" width="12.42578125" style="1940" customWidth="1"/>
    <col min="2845" max="2845" width="14.5703125" style="1940" customWidth="1"/>
    <col min="2846" max="2846" width="12.28515625" style="1940" customWidth="1"/>
    <col min="2847" max="2847" width="25.85546875" style="1940" customWidth="1"/>
    <col min="2848" max="3079" width="0.85546875" style="1940"/>
    <col min="3080" max="3080" width="9.85546875" style="1940" customWidth="1"/>
    <col min="3081" max="3081" width="81.85546875" style="1940" customWidth="1"/>
    <col min="3082" max="3082" width="12.7109375" style="1940" customWidth="1"/>
    <col min="3083" max="3083" width="12.42578125" style="1940" customWidth="1"/>
    <col min="3084" max="3084" width="14.5703125" style="1940" customWidth="1"/>
    <col min="3085" max="3085" width="12.28515625" style="1940" customWidth="1"/>
    <col min="3086" max="3086" width="38.140625" style="1940" customWidth="1"/>
    <col min="3087" max="3087" width="46.85546875" style="1940" customWidth="1"/>
    <col min="3088" max="3090" width="12.7109375" style="1940" customWidth="1"/>
    <col min="3091" max="3091" width="9.28515625" style="1940" customWidth="1"/>
    <col min="3092" max="3092" width="13.5703125" style="1940" customWidth="1"/>
    <col min="3093" max="3093" width="10.28515625" style="1940" customWidth="1"/>
    <col min="3094" max="3094" width="12.85546875" style="1940" customWidth="1"/>
    <col min="3095" max="3095" width="9.140625" style="1940" customWidth="1"/>
    <col min="3096" max="3096" width="9.7109375" style="1940" customWidth="1"/>
    <col min="3097" max="3097" width="9.28515625" style="1940" customWidth="1"/>
    <col min="3098" max="3098" width="9.42578125" style="1940" customWidth="1"/>
    <col min="3099" max="3099" width="10.5703125" style="1940" customWidth="1"/>
    <col min="3100" max="3100" width="12.42578125" style="1940" customWidth="1"/>
    <col min="3101" max="3101" width="14.5703125" style="1940" customWidth="1"/>
    <col min="3102" max="3102" width="12.28515625" style="1940" customWidth="1"/>
    <col min="3103" max="3103" width="25.85546875" style="1940" customWidth="1"/>
    <col min="3104" max="3335" width="0.85546875" style="1940"/>
    <col min="3336" max="3336" width="9.85546875" style="1940" customWidth="1"/>
    <col min="3337" max="3337" width="81.85546875" style="1940" customWidth="1"/>
    <col min="3338" max="3338" width="12.7109375" style="1940" customWidth="1"/>
    <col min="3339" max="3339" width="12.42578125" style="1940" customWidth="1"/>
    <col min="3340" max="3340" width="14.5703125" style="1940" customWidth="1"/>
    <col min="3341" max="3341" width="12.28515625" style="1940" customWidth="1"/>
    <col min="3342" max="3342" width="38.140625" style="1940" customWidth="1"/>
    <col min="3343" max="3343" width="46.85546875" style="1940" customWidth="1"/>
    <col min="3344" max="3346" width="12.7109375" style="1940" customWidth="1"/>
    <col min="3347" max="3347" width="9.28515625" style="1940" customWidth="1"/>
    <col min="3348" max="3348" width="13.5703125" style="1940" customWidth="1"/>
    <col min="3349" max="3349" width="10.28515625" style="1940" customWidth="1"/>
    <col min="3350" max="3350" width="12.85546875" style="1940" customWidth="1"/>
    <col min="3351" max="3351" width="9.140625" style="1940" customWidth="1"/>
    <col min="3352" max="3352" width="9.7109375" style="1940" customWidth="1"/>
    <col min="3353" max="3353" width="9.28515625" style="1940" customWidth="1"/>
    <col min="3354" max="3354" width="9.42578125" style="1940" customWidth="1"/>
    <col min="3355" max="3355" width="10.5703125" style="1940" customWidth="1"/>
    <col min="3356" max="3356" width="12.42578125" style="1940" customWidth="1"/>
    <col min="3357" max="3357" width="14.5703125" style="1940" customWidth="1"/>
    <col min="3358" max="3358" width="12.28515625" style="1940" customWidth="1"/>
    <col min="3359" max="3359" width="25.85546875" style="1940" customWidth="1"/>
    <col min="3360" max="3591" width="0.85546875" style="1940"/>
    <col min="3592" max="3592" width="9.85546875" style="1940" customWidth="1"/>
    <col min="3593" max="3593" width="81.85546875" style="1940" customWidth="1"/>
    <col min="3594" max="3594" width="12.7109375" style="1940" customWidth="1"/>
    <col min="3595" max="3595" width="12.42578125" style="1940" customWidth="1"/>
    <col min="3596" max="3596" width="14.5703125" style="1940" customWidth="1"/>
    <col min="3597" max="3597" width="12.28515625" style="1940" customWidth="1"/>
    <col min="3598" max="3598" width="38.140625" style="1940" customWidth="1"/>
    <col min="3599" max="3599" width="46.85546875" style="1940" customWidth="1"/>
    <col min="3600" max="3602" width="12.7109375" style="1940" customWidth="1"/>
    <col min="3603" max="3603" width="9.28515625" style="1940" customWidth="1"/>
    <col min="3604" max="3604" width="13.5703125" style="1940" customWidth="1"/>
    <col min="3605" max="3605" width="10.28515625" style="1940" customWidth="1"/>
    <col min="3606" max="3606" width="12.85546875" style="1940" customWidth="1"/>
    <col min="3607" max="3607" width="9.140625" style="1940" customWidth="1"/>
    <col min="3608" max="3608" width="9.7109375" style="1940" customWidth="1"/>
    <col min="3609" max="3609" width="9.28515625" style="1940" customWidth="1"/>
    <col min="3610" max="3610" width="9.42578125" style="1940" customWidth="1"/>
    <col min="3611" max="3611" width="10.5703125" style="1940" customWidth="1"/>
    <col min="3612" max="3612" width="12.42578125" style="1940" customWidth="1"/>
    <col min="3613" max="3613" width="14.5703125" style="1940" customWidth="1"/>
    <col min="3614" max="3614" width="12.28515625" style="1940" customWidth="1"/>
    <col min="3615" max="3615" width="25.85546875" style="1940" customWidth="1"/>
    <col min="3616" max="3847" width="0.85546875" style="1940"/>
    <col min="3848" max="3848" width="9.85546875" style="1940" customWidth="1"/>
    <col min="3849" max="3849" width="81.85546875" style="1940" customWidth="1"/>
    <col min="3850" max="3850" width="12.7109375" style="1940" customWidth="1"/>
    <col min="3851" max="3851" width="12.42578125" style="1940" customWidth="1"/>
    <col min="3852" max="3852" width="14.5703125" style="1940" customWidth="1"/>
    <col min="3853" max="3853" width="12.28515625" style="1940" customWidth="1"/>
    <col min="3854" max="3854" width="38.140625" style="1940" customWidth="1"/>
    <col min="3855" max="3855" width="46.85546875" style="1940" customWidth="1"/>
    <col min="3856" max="3858" width="12.7109375" style="1940" customWidth="1"/>
    <col min="3859" max="3859" width="9.28515625" style="1940" customWidth="1"/>
    <col min="3860" max="3860" width="13.5703125" style="1940" customWidth="1"/>
    <col min="3861" max="3861" width="10.28515625" style="1940" customWidth="1"/>
    <col min="3862" max="3862" width="12.85546875" style="1940" customWidth="1"/>
    <col min="3863" max="3863" width="9.140625" style="1940" customWidth="1"/>
    <col min="3864" max="3864" width="9.7109375" style="1940" customWidth="1"/>
    <col min="3865" max="3865" width="9.28515625" style="1940" customWidth="1"/>
    <col min="3866" max="3866" width="9.42578125" style="1940" customWidth="1"/>
    <col min="3867" max="3867" width="10.5703125" style="1940" customWidth="1"/>
    <col min="3868" max="3868" width="12.42578125" style="1940" customWidth="1"/>
    <col min="3869" max="3869" width="14.5703125" style="1940" customWidth="1"/>
    <col min="3870" max="3870" width="12.28515625" style="1940" customWidth="1"/>
    <col min="3871" max="3871" width="25.85546875" style="1940" customWidth="1"/>
    <col min="3872" max="4103" width="0.85546875" style="1940"/>
    <col min="4104" max="4104" width="9.85546875" style="1940" customWidth="1"/>
    <col min="4105" max="4105" width="81.85546875" style="1940" customWidth="1"/>
    <col min="4106" max="4106" width="12.7109375" style="1940" customWidth="1"/>
    <col min="4107" max="4107" width="12.42578125" style="1940" customWidth="1"/>
    <col min="4108" max="4108" width="14.5703125" style="1940" customWidth="1"/>
    <col min="4109" max="4109" width="12.28515625" style="1940" customWidth="1"/>
    <col min="4110" max="4110" width="38.140625" style="1940" customWidth="1"/>
    <col min="4111" max="4111" width="46.85546875" style="1940" customWidth="1"/>
    <col min="4112" max="4114" width="12.7109375" style="1940" customWidth="1"/>
    <col min="4115" max="4115" width="9.28515625" style="1940" customWidth="1"/>
    <col min="4116" max="4116" width="13.5703125" style="1940" customWidth="1"/>
    <col min="4117" max="4117" width="10.28515625" style="1940" customWidth="1"/>
    <col min="4118" max="4118" width="12.85546875" style="1940" customWidth="1"/>
    <col min="4119" max="4119" width="9.140625" style="1940" customWidth="1"/>
    <col min="4120" max="4120" width="9.7109375" style="1940" customWidth="1"/>
    <col min="4121" max="4121" width="9.28515625" style="1940" customWidth="1"/>
    <col min="4122" max="4122" width="9.42578125" style="1940" customWidth="1"/>
    <col min="4123" max="4123" width="10.5703125" style="1940" customWidth="1"/>
    <col min="4124" max="4124" width="12.42578125" style="1940" customWidth="1"/>
    <col min="4125" max="4125" width="14.5703125" style="1940" customWidth="1"/>
    <col min="4126" max="4126" width="12.28515625" style="1940" customWidth="1"/>
    <col min="4127" max="4127" width="25.85546875" style="1940" customWidth="1"/>
    <col min="4128" max="4359" width="0.85546875" style="1940"/>
    <col min="4360" max="4360" width="9.85546875" style="1940" customWidth="1"/>
    <col min="4361" max="4361" width="81.85546875" style="1940" customWidth="1"/>
    <col min="4362" max="4362" width="12.7109375" style="1940" customWidth="1"/>
    <col min="4363" max="4363" width="12.42578125" style="1940" customWidth="1"/>
    <col min="4364" max="4364" width="14.5703125" style="1940" customWidth="1"/>
    <col min="4365" max="4365" width="12.28515625" style="1940" customWidth="1"/>
    <col min="4366" max="4366" width="38.140625" style="1940" customWidth="1"/>
    <col min="4367" max="4367" width="46.85546875" style="1940" customWidth="1"/>
    <col min="4368" max="4370" width="12.7109375" style="1940" customWidth="1"/>
    <col min="4371" max="4371" width="9.28515625" style="1940" customWidth="1"/>
    <col min="4372" max="4372" width="13.5703125" style="1940" customWidth="1"/>
    <col min="4373" max="4373" width="10.28515625" style="1940" customWidth="1"/>
    <col min="4374" max="4374" width="12.85546875" style="1940" customWidth="1"/>
    <col min="4375" max="4375" width="9.140625" style="1940" customWidth="1"/>
    <col min="4376" max="4376" width="9.7109375" style="1940" customWidth="1"/>
    <col min="4377" max="4377" width="9.28515625" style="1940" customWidth="1"/>
    <col min="4378" max="4378" width="9.42578125" style="1940" customWidth="1"/>
    <col min="4379" max="4379" width="10.5703125" style="1940" customWidth="1"/>
    <col min="4380" max="4380" width="12.42578125" style="1940" customWidth="1"/>
    <col min="4381" max="4381" width="14.5703125" style="1940" customWidth="1"/>
    <col min="4382" max="4382" width="12.28515625" style="1940" customWidth="1"/>
    <col min="4383" max="4383" width="25.85546875" style="1940" customWidth="1"/>
    <col min="4384" max="4615" width="0.85546875" style="1940"/>
    <col min="4616" max="4616" width="9.85546875" style="1940" customWidth="1"/>
    <col min="4617" max="4617" width="81.85546875" style="1940" customWidth="1"/>
    <col min="4618" max="4618" width="12.7109375" style="1940" customWidth="1"/>
    <col min="4619" max="4619" width="12.42578125" style="1940" customWidth="1"/>
    <col min="4620" max="4620" width="14.5703125" style="1940" customWidth="1"/>
    <col min="4621" max="4621" width="12.28515625" style="1940" customWidth="1"/>
    <col min="4622" max="4622" width="38.140625" style="1940" customWidth="1"/>
    <col min="4623" max="4623" width="46.85546875" style="1940" customWidth="1"/>
    <col min="4624" max="4626" width="12.7109375" style="1940" customWidth="1"/>
    <col min="4627" max="4627" width="9.28515625" style="1940" customWidth="1"/>
    <col min="4628" max="4628" width="13.5703125" style="1940" customWidth="1"/>
    <col min="4629" max="4629" width="10.28515625" style="1940" customWidth="1"/>
    <col min="4630" max="4630" width="12.85546875" style="1940" customWidth="1"/>
    <col min="4631" max="4631" width="9.140625" style="1940" customWidth="1"/>
    <col min="4632" max="4632" width="9.7109375" style="1940" customWidth="1"/>
    <col min="4633" max="4633" width="9.28515625" style="1940" customWidth="1"/>
    <col min="4634" max="4634" width="9.42578125" style="1940" customWidth="1"/>
    <col min="4635" max="4635" width="10.5703125" style="1940" customWidth="1"/>
    <col min="4636" max="4636" width="12.42578125" style="1940" customWidth="1"/>
    <col min="4637" max="4637" width="14.5703125" style="1940" customWidth="1"/>
    <col min="4638" max="4638" width="12.28515625" style="1940" customWidth="1"/>
    <col min="4639" max="4639" width="25.85546875" style="1940" customWidth="1"/>
    <col min="4640" max="4871" width="0.85546875" style="1940"/>
    <col min="4872" max="4872" width="9.85546875" style="1940" customWidth="1"/>
    <col min="4873" max="4873" width="81.85546875" style="1940" customWidth="1"/>
    <col min="4874" max="4874" width="12.7109375" style="1940" customWidth="1"/>
    <col min="4875" max="4875" width="12.42578125" style="1940" customWidth="1"/>
    <col min="4876" max="4876" width="14.5703125" style="1940" customWidth="1"/>
    <col min="4877" max="4877" width="12.28515625" style="1940" customWidth="1"/>
    <col min="4878" max="4878" width="38.140625" style="1940" customWidth="1"/>
    <col min="4879" max="4879" width="46.85546875" style="1940" customWidth="1"/>
    <col min="4880" max="4882" width="12.7109375" style="1940" customWidth="1"/>
    <col min="4883" max="4883" width="9.28515625" style="1940" customWidth="1"/>
    <col min="4884" max="4884" width="13.5703125" style="1940" customWidth="1"/>
    <col min="4885" max="4885" width="10.28515625" style="1940" customWidth="1"/>
    <col min="4886" max="4886" width="12.85546875" style="1940" customWidth="1"/>
    <col min="4887" max="4887" width="9.140625" style="1940" customWidth="1"/>
    <col min="4888" max="4888" width="9.7109375" style="1940" customWidth="1"/>
    <col min="4889" max="4889" width="9.28515625" style="1940" customWidth="1"/>
    <col min="4890" max="4890" width="9.42578125" style="1940" customWidth="1"/>
    <col min="4891" max="4891" width="10.5703125" style="1940" customWidth="1"/>
    <col min="4892" max="4892" width="12.42578125" style="1940" customWidth="1"/>
    <col min="4893" max="4893" width="14.5703125" style="1940" customWidth="1"/>
    <col min="4894" max="4894" width="12.28515625" style="1940" customWidth="1"/>
    <col min="4895" max="4895" width="25.85546875" style="1940" customWidth="1"/>
    <col min="4896" max="5127" width="0.85546875" style="1940"/>
    <col min="5128" max="5128" width="9.85546875" style="1940" customWidth="1"/>
    <col min="5129" max="5129" width="81.85546875" style="1940" customWidth="1"/>
    <col min="5130" max="5130" width="12.7109375" style="1940" customWidth="1"/>
    <col min="5131" max="5131" width="12.42578125" style="1940" customWidth="1"/>
    <col min="5132" max="5132" width="14.5703125" style="1940" customWidth="1"/>
    <col min="5133" max="5133" width="12.28515625" style="1940" customWidth="1"/>
    <col min="5134" max="5134" width="38.140625" style="1940" customWidth="1"/>
    <col min="5135" max="5135" width="46.85546875" style="1940" customWidth="1"/>
    <col min="5136" max="5138" width="12.7109375" style="1940" customWidth="1"/>
    <col min="5139" max="5139" width="9.28515625" style="1940" customWidth="1"/>
    <col min="5140" max="5140" width="13.5703125" style="1940" customWidth="1"/>
    <col min="5141" max="5141" width="10.28515625" style="1940" customWidth="1"/>
    <col min="5142" max="5142" width="12.85546875" style="1940" customWidth="1"/>
    <col min="5143" max="5143" width="9.140625" style="1940" customWidth="1"/>
    <col min="5144" max="5144" width="9.7109375" style="1940" customWidth="1"/>
    <col min="5145" max="5145" width="9.28515625" style="1940" customWidth="1"/>
    <col min="5146" max="5146" width="9.42578125" style="1940" customWidth="1"/>
    <col min="5147" max="5147" width="10.5703125" style="1940" customWidth="1"/>
    <col min="5148" max="5148" width="12.42578125" style="1940" customWidth="1"/>
    <col min="5149" max="5149" width="14.5703125" style="1940" customWidth="1"/>
    <col min="5150" max="5150" width="12.28515625" style="1940" customWidth="1"/>
    <col min="5151" max="5151" width="25.85546875" style="1940" customWidth="1"/>
    <col min="5152" max="5383" width="0.85546875" style="1940"/>
    <col min="5384" max="5384" width="9.85546875" style="1940" customWidth="1"/>
    <col min="5385" max="5385" width="81.85546875" style="1940" customWidth="1"/>
    <col min="5386" max="5386" width="12.7109375" style="1940" customWidth="1"/>
    <col min="5387" max="5387" width="12.42578125" style="1940" customWidth="1"/>
    <col min="5388" max="5388" width="14.5703125" style="1940" customWidth="1"/>
    <col min="5389" max="5389" width="12.28515625" style="1940" customWidth="1"/>
    <col min="5390" max="5390" width="38.140625" style="1940" customWidth="1"/>
    <col min="5391" max="5391" width="46.85546875" style="1940" customWidth="1"/>
    <col min="5392" max="5394" width="12.7109375" style="1940" customWidth="1"/>
    <col min="5395" max="5395" width="9.28515625" style="1940" customWidth="1"/>
    <col min="5396" max="5396" width="13.5703125" style="1940" customWidth="1"/>
    <col min="5397" max="5397" width="10.28515625" style="1940" customWidth="1"/>
    <col min="5398" max="5398" width="12.85546875" style="1940" customWidth="1"/>
    <col min="5399" max="5399" width="9.140625" style="1940" customWidth="1"/>
    <col min="5400" max="5400" width="9.7109375" style="1940" customWidth="1"/>
    <col min="5401" max="5401" width="9.28515625" style="1940" customWidth="1"/>
    <col min="5402" max="5402" width="9.42578125" style="1940" customWidth="1"/>
    <col min="5403" max="5403" width="10.5703125" style="1940" customWidth="1"/>
    <col min="5404" max="5404" width="12.42578125" style="1940" customWidth="1"/>
    <col min="5405" max="5405" width="14.5703125" style="1940" customWidth="1"/>
    <col min="5406" max="5406" width="12.28515625" style="1940" customWidth="1"/>
    <col min="5407" max="5407" width="25.85546875" style="1940" customWidth="1"/>
    <col min="5408" max="5639" width="0.85546875" style="1940"/>
    <col min="5640" max="5640" width="9.85546875" style="1940" customWidth="1"/>
    <col min="5641" max="5641" width="81.85546875" style="1940" customWidth="1"/>
    <col min="5642" max="5642" width="12.7109375" style="1940" customWidth="1"/>
    <col min="5643" max="5643" width="12.42578125" style="1940" customWidth="1"/>
    <col min="5644" max="5644" width="14.5703125" style="1940" customWidth="1"/>
    <col min="5645" max="5645" width="12.28515625" style="1940" customWidth="1"/>
    <col min="5646" max="5646" width="38.140625" style="1940" customWidth="1"/>
    <col min="5647" max="5647" width="46.85546875" style="1940" customWidth="1"/>
    <col min="5648" max="5650" width="12.7109375" style="1940" customWidth="1"/>
    <col min="5651" max="5651" width="9.28515625" style="1940" customWidth="1"/>
    <col min="5652" max="5652" width="13.5703125" style="1940" customWidth="1"/>
    <col min="5653" max="5653" width="10.28515625" style="1940" customWidth="1"/>
    <col min="5654" max="5654" width="12.85546875" style="1940" customWidth="1"/>
    <col min="5655" max="5655" width="9.140625" style="1940" customWidth="1"/>
    <col min="5656" max="5656" width="9.7109375" style="1940" customWidth="1"/>
    <col min="5657" max="5657" width="9.28515625" style="1940" customWidth="1"/>
    <col min="5658" max="5658" width="9.42578125" style="1940" customWidth="1"/>
    <col min="5659" max="5659" width="10.5703125" style="1940" customWidth="1"/>
    <col min="5660" max="5660" width="12.42578125" style="1940" customWidth="1"/>
    <col min="5661" max="5661" width="14.5703125" style="1940" customWidth="1"/>
    <col min="5662" max="5662" width="12.28515625" style="1940" customWidth="1"/>
    <col min="5663" max="5663" width="25.85546875" style="1940" customWidth="1"/>
    <col min="5664" max="5895" width="0.85546875" style="1940"/>
    <col min="5896" max="5896" width="9.85546875" style="1940" customWidth="1"/>
    <col min="5897" max="5897" width="81.85546875" style="1940" customWidth="1"/>
    <col min="5898" max="5898" width="12.7109375" style="1940" customWidth="1"/>
    <col min="5899" max="5899" width="12.42578125" style="1940" customWidth="1"/>
    <col min="5900" max="5900" width="14.5703125" style="1940" customWidth="1"/>
    <col min="5901" max="5901" width="12.28515625" style="1940" customWidth="1"/>
    <col min="5902" max="5902" width="38.140625" style="1940" customWidth="1"/>
    <col min="5903" max="5903" width="46.85546875" style="1940" customWidth="1"/>
    <col min="5904" max="5906" width="12.7109375" style="1940" customWidth="1"/>
    <col min="5907" max="5907" width="9.28515625" style="1940" customWidth="1"/>
    <col min="5908" max="5908" width="13.5703125" style="1940" customWidth="1"/>
    <col min="5909" max="5909" width="10.28515625" style="1940" customWidth="1"/>
    <col min="5910" max="5910" width="12.85546875" style="1940" customWidth="1"/>
    <col min="5911" max="5911" width="9.140625" style="1940" customWidth="1"/>
    <col min="5912" max="5912" width="9.7109375" style="1940" customWidth="1"/>
    <col min="5913" max="5913" width="9.28515625" style="1940" customWidth="1"/>
    <col min="5914" max="5914" width="9.42578125" style="1940" customWidth="1"/>
    <col min="5915" max="5915" width="10.5703125" style="1940" customWidth="1"/>
    <col min="5916" max="5916" width="12.42578125" style="1940" customWidth="1"/>
    <col min="5917" max="5917" width="14.5703125" style="1940" customWidth="1"/>
    <col min="5918" max="5918" width="12.28515625" style="1940" customWidth="1"/>
    <col min="5919" max="5919" width="25.85546875" style="1940" customWidth="1"/>
    <col min="5920" max="6151" width="0.85546875" style="1940"/>
    <col min="6152" max="6152" width="9.85546875" style="1940" customWidth="1"/>
    <col min="6153" max="6153" width="81.85546875" style="1940" customWidth="1"/>
    <col min="6154" max="6154" width="12.7109375" style="1940" customWidth="1"/>
    <col min="6155" max="6155" width="12.42578125" style="1940" customWidth="1"/>
    <col min="6156" max="6156" width="14.5703125" style="1940" customWidth="1"/>
    <col min="6157" max="6157" width="12.28515625" style="1940" customWidth="1"/>
    <col min="6158" max="6158" width="38.140625" style="1940" customWidth="1"/>
    <col min="6159" max="6159" width="46.85546875" style="1940" customWidth="1"/>
    <col min="6160" max="6162" width="12.7109375" style="1940" customWidth="1"/>
    <col min="6163" max="6163" width="9.28515625" style="1940" customWidth="1"/>
    <col min="6164" max="6164" width="13.5703125" style="1940" customWidth="1"/>
    <col min="6165" max="6165" width="10.28515625" style="1940" customWidth="1"/>
    <col min="6166" max="6166" width="12.85546875" style="1940" customWidth="1"/>
    <col min="6167" max="6167" width="9.140625" style="1940" customWidth="1"/>
    <col min="6168" max="6168" width="9.7109375" style="1940" customWidth="1"/>
    <col min="6169" max="6169" width="9.28515625" style="1940" customWidth="1"/>
    <col min="6170" max="6170" width="9.42578125" style="1940" customWidth="1"/>
    <col min="6171" max="6171" width="10.5703125" style="1940" customWidth="1"/>
    <col min="6172" max="6172" width="12.42578125" style="1940" customWidth="1"/>
    <col min="6173" max="6173" width="14.5703125" style="1940" customWidth="1"/>
    <col min="6174" max="6174" width="12.28515625" style="1940" customWidth="1"/>
    <col min="6175" max="6175" width="25.85546875" style="1940" customWidth="1"/>
    <col min="6176" max="6407" width="0.85546875" style="1940"/>
    <col min="6408" max="6408" width="9.85546875" style="1940" customWidth="1"/>
    <col min="6409" max="6409" width="81.85546875" style="1940" customWidth="1"/>
    <col min="6410" max="6410" width="12.7109375" style="1940" customWidth="1"/>
    <col min="6411" max="6411" width="12.42578125" style="1940" customWidth="1"/>
    <col min="6412" max="6412" width="14.5703125" style="1940" customWidth="1"/>
    <col min="6413" max="6413" width="12.28515625" style="1940" customWidth="1"/>
    <col min="6414" max="6414" width="38.140625" style="1940" customWidth="1"/>
    <col min="6415" max="6415" width="46.85546875" style="1940" customWidth="1"/>
    <col min="6416" max="6418" width="12.7109375" style="1940" customWidth="1"/>
    <col min="6419" max="6419" width="9.28515625" style="1940" customWidth="1"/>
    <col min="6420" max="6420" width="13.5703125" style="1940" customWidth="1"/>
    <col min="6421" max="6421" width="10.28515625" style="1940" customWidth="1"/>
    <col min="6422" max="6422" width="12.85546875" style="1940" customWidth="1"/>
    <col min="6423" max="6423" width="9.140625" style="1940" customWidth="1"/>
    <col min="6424" max="6424" width="9.7109375" style="1940" customWidth="1"/>
    <col min="6425" max="6425" width="9.28515625" style="1940" customWidth="1"/>
    <col min="6426" max="6426" width="9.42578125" style="1940" customWidth="1"/>
    <col min="6427" max="6427" width="10.5703125" style="1940" customWidth="1"/>
    <col min="6428" max="6428" width="12.42578125" style="1940" customWidth="1"/>
    <col min="6429" max="6429" width="14.5703125" style="1940" customWidth="1"/>
    <col min="6430" max="6430" width="12.28515625" style="1940" customWidth="1"/>
    <col min="6431" max="6431" width="25.85546875" style="1940" customWidth="1"/>
    <col min="6432" max="6663" width="0.85546875" style="1940"/>
    <col min="6664" max="6664" width="9.85546875" style="1940" customWidth="1"/>
    <col min="6665" max="6665" width="81.85546875" style="1940" customWidth="1"/>
    <col min="6666" max="6666" width="12.7109375" style="1940" customWidth="1"/>
    <col min="6667" max="6667" width="12.42578125" style="1940" customWidth="1"/>
    <col min="6668" max="6668" width="14.5703125" style="1940" customWidth="1"/>
    <col min="6669" max="6669" width="12.28515625" style="1940" customWidth="1"/>
    <col min="6670" max="6670" width="38.140625" style="1940" customWidth="1"/>
    <col min="6671" max="6671" width="46.85546875" style="1940" customWidth="1"/>
    <col min="6672" max="6674" width="12.7109375" style="1940" customWidth="1"/>
    <col min="6675" max="6675" width="9.28515625" style="1940" customWidth="1"/>
    <col min="6676" max="6676" width="13.5703125" style="1940" customWidth="1"/>
    <col min="6677" max="6677" width="10.28515625" style="1940" customWidth="1"/>
    <col min="6678" max="6678" width="12.85546875" style="1940" customWidth="1"/>
    <col min="6679" max="6679" width="9.140625" style="1940" customWidth="1"/>
    <col min="6680" max="6680" width="9.7109375" style="1940" customWidth="1"/>
    <col min="6681" max="6681" width="9.28515625" style="1940" customWidth="1"/>
    <col min="6682" max="6682" width="9.42578125" style="1940" customWidth="1"/>
    <col min="6683" max="6683" width="10.5703125" style="1940" customWidth="1"/>
    <col min="6684" max="6684" width="12.42578125" style="1940" customWidth="1"/>
    <col min="6685" max="6685" width="14.5703125" style="1940" customWidth="1"/>
    <col min="6686" max="6686" width="12.28515625" style="1940" customWidth="1"/>
    <col min="6687" max="6687" width="25.85546875" style="1940" customWidth="1"/>
    <col min="6688" max="6919" width="0.85546875" style="1940"/>
    <col min="6920" max="6920" width="9.85546875" style="1940" customWidth="1"/>
    <col min="6921" max="6921" width="81.85546875" style="1940" customWidth="1"/>
    <col min="6922" max="6922" width="12.7109375" style="1940" customWidth="1"/>
    <col min="6923" max="6923" width="12.42578125" style="1940" customWidth="1"/>
    <col min="6924" max="6924" width="14.5703125" style="1940" customWidth="1"/>
    <col min="6925" max="6925" width="12.28515625" style="1940" customWidth="1"/>
    <col min="6926" max="6926" width="38.140625" style="1940" customWidth="1"/>
    <col min="6927" max="6927" width="46.85546875" style="1940" customWidth="1"/>
    <col min="6928" max="6930" width="12.7109375" style="1940" customWidth="1"/>
    <col min="6931" max="6931" width="9.28515625" style="1940" customWidth="1"/>
    <col min="6932" max="6932" width="13.5703125" style="1940" customWidth="1"/>
    <col min="6933" max="6933" width="10.28515625" style="1940" customWidth="1"/>
    <col min="6934" max="6934" width="12.85546875" style="1940" customWidth="1"/>
    <col min="6935" max="6935" width="9.140625" style="1940" customWidth="1"/>
    <col min="6936" max="6936" width="9.7109375" style="1940" customWidth="1"/>
    <col min="6937" max="6937" width="9.28515625" style="1940" customWidth="1"/>
    <col min="6938" max="6938" width="9.42578125" style="1940" customWidth="1"/>
    <col min="6939" max="6939" width="10.5703125" style="1940" customWidth="1"/>
    <col min="6940" max="6940" width="12.42578125" style="1940" customWidth="1"/>
    <col min="6941" max="6941" width="14.5703125" style="1940" customWidth="1"/>
    <col min="6942" max="6942" width="12.28515625" style="1940" customWidth="1"/>
    <col min="6943" max="6943" width="25.85546875" style="1940" customWidth="1"/>
    <col min="6944" max="7175" width="0.85546875" style="1940"/>
    <col min="7176" max="7176" width="9.85546875" style="1940" customWidth="1"/>
    <col min="7177" max="7177" width="81.85546875" style="1940" customWidth="1"/>
    <col min="7178" max="7178" width="12.7109375" style="1940" customWidth="1"/>
    <col min="7179" max="7179" width="12.42578125" style="1940" customWidth="1"/>
    <col min="7180" max="7180" width="14.5703125" style="1940" customWidth="1"/>
    <col min="7181" max="7181" width="12.28515625" style="1940" customWidth="1"/>
    <col min="7182" max="7182" width="38.140625" style="1940" customWidth="1"/>
    <col min="7183" max="7183" width="46.85546875" style="1940" customWidth="1"/>
    <col min="7184" max="7186" width="12.7109375" style="1940" customWidth="1"/>
    <col min="7187" max="7187" width="9.28515625" style="1940" customWidth="1"/>
    <col min="7188" max="7188" width="13.5703125" style="1940" customWidth="1"/>
    <col min="7189" max="7189" width="10.28515625" style="1940" customWidth="1"/>
    <col min="7190" max="7190" width="12.85546875" style="1940" customWidth="1"/>
    <col min="7191" max="7191" width="9.140625" style="1940" customWidth="1"/>
    <col min="7192" max="7192" width="9.7109375" style="1940" customWidth="1"/>
    <col min="7193" max="7193" width="9.28515625" style="1940" customWidth="1"/>
    <col min="7194" max="7194" width="9.42578125" style="1940" customWidth="1"/>
    <col min="7195" max="7195" width="10.5703125" style="1940" customWidth="1"/>
    <col min="7196" max="7196" width="12.42578125" style="1940" customWidth="1"/>
    <col min="7197" max="7197" width="14.5703125" style="1940" customWidth="1"/>
    <col min="7198" max="7198" width="12.28515625" style="1940" customWidth="1"/>
    <col min="7199" max="7199" width="25.85546875" style="1940" customWidth="1"/>
    <col min="7200" max="7431" width="0.85546875" style="1940"/>
    <col min="7432" max="7432" width="9.85546875" style="1940" customWidth="1"/>
    <col min="7433" max="7433" width="81.85546875" style="1940" customWidth="1"/>
    <col min="7434" max="7434" width="12.7109375" style="1940" customWidth="1"/>
    <col min="7435" max="7435" width="12.42578125" style="1940" customWidth="1"/>
    <col min="7436" max="7436" width="14.5703125" style="1940" customWidth="1"/>
    <col min="7437" max="7437" width="12.28515625" style="1940" customWidth="1"/>
    <col min="7438" max="7438" width="38.140625" style="1940" customWidth="1"/>
    <col min="7439" max="7439" width="46.85546875" style="1940" customWidth="1"/>
    <col min="7440" max="7442" width="12.7109375" style="1940" customWidth="1"/>
    <col min="7443" max="7443" width="9.28515625" style="1940" customWidth="1"/>
    <col min="7444" max="7444" width="13.5703125" style="1940" customWidth="1"/>
    <col min="7445" max="7445" width="10.28515625" style="1940" customWidth="1"/>
    <col min="7446" max="7446" width="12.85546875" style="1940" customWidth="1"/>
    <col min="7447" max="7447" width="9.140625" style="1940" customWidth="1"/>
    <col min="7448" max="7448" width="9.7109375" style="1940" customWidth="1"/>
    <col min="7449" max="7449" width="9.28515625" style="1940" customWidth="1"/>
    <col min="7450" max="7450" width="9.42578125" style="1940" customWidth="1"/>
    <col min="7451" max="7451" width="10.5703125" style="1940" customWidth="1"/>
    <col min="7452" max="7452" width="12.42578125" style="1940" customWidth="1"/>
    <col min="7453" max="7453" width="14.5703125" style="1940" customWidth="1"/>
    <col min="7454" max="7454" width="12.28515625" style="1940" customWidth="1"/>
    <col min="7455" max="7455" width="25.85546875" style="1940" customWidth="1"/>
    <col min="7456" max="7687" width="0.85546875" style="1940"/>
    <col min="7688" max="7688" width="9.85546875" style="1940" customWidth="1"/>
    <col min="7689" max="7689" width="81.85546875" style="1940" customWidth="1"/>
    <col min="7690" max="7690" width="12.7109375" style="1940" customWidth="1"/>
    <col min="7691" max="7691" width="12.42578125" style="1940" customWidth="1"/>
    <col min="7692" max="7692" width="14.5703125" style="1940" customWidth="1"/>
    <col min="7693" max="7693" width="12.28515625" style="1940" customWidth="1"/>
    <col min="7694" max="7694" width="38.140625" style="1940" customWidth="1"/>
    <col min="7695" max="7695" width="46.85546875" style="1940" customWidth="1"/>
    <col min="7696" max="7698" width="12.7109375" style="1940" customWidth="1"/>
    <col min="7699" max="7699" width="9.28515625" style="1940" customWidth="1"/>
    <col min="7700" max="7700" width="13.5703125" style="1940" customWidth="1"/>
    <col min="7701" max="7701" width="10.28515625" style="1940" customWidth="1"/>
    <col min="7702" max="7702" width="12.85546875" style="1940" customWidth="1"/>
    <col min="7703" max="7703" width="9.140625" style="1940" customWidth="1"/>
    <col min="7704" max="7704" width="9.7109375" style="1940" customWidth="1"/>
    <col min="7705" max="7705" width="9.28515625" style="1940" customWidth="1"/>
    <col min="7706" max="7706" width="9.42578125" style="1940" customWidth="1"/>
    <col min="7707" max="7707" width="10.5703125" style="1940" customWidth="1"/>
    <col min="7708" max="7708" width="12.42578125" style="1940" customWidth="1"/>
    <col min="7709" max="7709" width="14.5703125" style="1940" customWidth="1"/>
    <col min="7710" max="7710" width="12.28515625" style="1940" customWidth="1"/>
    <col min="7711" max="7711" width="25.85546875" style="1940" customWidth="1"/>
    <col min="7712" max="7943" width="0.85546875" style="1940"/>
    <col min="7944" max="7944" width="9.85546875" style="1940" customWidth="1"/>
    <col min="7945" max="7945" width="81.85546875" style="1940" customWidth="1"/>
    <col min="7946" max="7946" width="12.7109375" style="1940" customWidth="1"/>
    <col min="7947" max="7947" width="12.42578125" style="1940" customWidth="1"/>
    <col min="7948" max="7948" width="14.5703125" style="1940" customWidth="1"/>
    <col min="7949" max="7949" width="12.28515625" style="1940" customWidth="1"/>
    <col min="7950" max="7950" width="38.140625" style="1940" customWidth="1"/>
    <col min="7951" max="7951" width="46.85546875" style="1940" customWidth="1"/>
    <col min="7952" max="7954" width="12.7109375" style="1940" customWidth="1"/>
    <col min="7955" max="7955" width="9.28515625" style="1940" customWidth="1"/>
    <col min="7956" max="7956" width="13.5703125" style="1940" customWidth="1"/>
    <col min="7957" max="7957" width="10.28515625" style="1940" customWidth="1"/>
    <col min="7958" max="7958" width="12.85546875" style="1940" customWidth="1"/>
    <col min="7959" max="7959" width="9.140625" style="1940" customWidth="1"/>
    <col min="7960" max="7960" width="9.7109375" style="1940" customWidth="1"/>
    <col min="7961" max="7961" width="9.28515625" style="1940" customWidth="1"/>
    <col min="7962" max="7962" width="9.42578125" style="1940" customWidth="1"/>
    <col min="7963" max="7963" width="10.5703125" style="1940" customWidth="1"/>
    <col min="7964" max="7964" width="12.42578125" style="1940" customWidth="1"/>
    <col min="7965" max="7965" width="14.5703125" style="1940" customWidth="1"/>
    <col min="7966" max="7966" width="12.28515625" style="1940" customWidth="1"/>
    <col min="7967" max="7967" width="25.85546875" style="1940" customWidth="1"/>
    <col min="7968" max="8199" width="0.85546875" style="1940"/>
    <col min="8200" max="8200" width="9.85546875" style="1940" customWidth="1"/>
    <col min="8201" max="8201" width="81.85546875" style="1940" customWidth="1"/>
    <col min="8202" max="8202" width="12.7109375" style="1940" customWidth="1"/>
    <col min="8203" max="8203" width="12.42578125" style="1940" customWidth="1"/>
    <col min="8204" max="8204" width="14.5703125" style="1940" customWidth="1"/>
    <col min="8205" max="8205" width="12.28515625" style="1940" customWidth="1"/>
    <col min="8206" max="8206" width="38.140625" style="1940" customWidth="1"/>
    <col min="8207" max="8207" width="46.85546875" style="1940" customWidth="1"/>
    <col min="8208" max="8210" width="12.7109375" style="1940" customWidth="1"/>
    <col min="8211" max="8211" width="9.28515625" style="1940" customWidth="1"/>
    <col min="8212" max="8212" width="13.5703125" style="1940" customWidth="1"/>
    <col min="8213" max="8213" width="10.28515625" style="1940" customWidth="1"/>
    <col min="8214" max="8214" width="12.85546875" style="1940" customWidth="1"/>
    <col min="8215" max="8215" width="9.140625" style="1940" customWidth="1"/>
    <col min="8216" max="8216" width="9.7109375" style="1940" customWidth="1"/>
    <col min="8217" max="8217" width="9.28515625" style="1940" customWidth="1"/>
    <col min="8218" max="8218" width="9.42578125" style="1940" customWidth="1"/>
    <col min="8219" max="8219" width="10.5703125" style="1940" customWidth="1"/>
    <col min="8220" max="8220" width="12.42578125" style="1940" customWidth="1"/>
    <col min="8221" max="8221" width="14.5703125" style="1940" customWidth="1"/>
    <col min="8222" max="8222" width="12.28515625" style="1940" customWidth="1"/>
    <col min="8223" max="8223" width="25.85546875" style="1940" customWidth="1"/>
    <col min="8224" max="8455" width="0.85546875" style="1940"/>
    <col min="8456" max="8456" width="9.85546875" style="1940" customWidth="1"/>
    <col min="8457" max="8457" width="81.85546875" style="1940" customWidth="1"/>
    <col min="8458" max="8458" width="12.7109375" style="1940" customWidth="1"/>
    <col min="8459" max="8459" width="12.42578125" style="1940" customWidth="1"/>
    <col min="8460" max="8460" width="14.5703125" style="1940" customWidth="1"/>
    <col min="8461" max="8461" width="12.28515625" style="1940" customWidth="1"/>
    <col min="8462" max="8462" width="38.140625" style="1940" customWidth="1"/>
    <col min="8463" max="8463" width="46.85546875" style="1940" customWidth="1"/>
    <col min="8464" max="8466" width="12.7109375" style="1940" customWidth="1"/>
    <col min="8467" max="8467" width="9.28515625" style="1940" customWidth="1"/>
    <col min="8468" max="8468" width="13.5703125" style="1940" customWidth="1"/>
    <col min="8469" max="8469" width="10.28515625" style="1940" customWidth="1"/>
    <col min="8470" max="8470" width="12.85546875" style="1940" customWidth="1"/>
    <col min="8471" max="8471" width="9.140625" style="1940" customWidth="1"/>
    <col min="8472" max="8472" width="9.7109375" style="1940" customWidth="1"/>
    <col min="8473" max="8473" width="9.28515625" style="1940" customWidth="1"/>
    <col min="8474" max="8474" width="9.42578125" style="1940" customWidth="1"/>
    <col min="8475" max="8475" width="10.5703125" style="1940" customWidth="1"/>
    <col min="8476" max="8476" width="12.42578125" style="1940" customWidth="1"/>
    <col min="8477" max="8477" width="14.5703125" style="1940" customWidth="1"/>
    <col min="8478" max="8478" width="12.28515625" style="1940" customWidth="1"/>
    <col min="8479" max="8479" width="25.85546875" style="1940" customWidth="1"/>
    <col min="8480" max="8711" width="0.85546875" style="1940"/>
    <col min="8712" max="8712" width="9.85546875" style="1940" customWidth="1"/>
    <col min="8713" max="8713" width="81.85546875" style="1940" customWidth="1"/>
    <col min="8714" max="8714" width="12.7109375" style="1940" customWidth="1"/>
    <col min="8715" max="8715" width="12.42578125" style="1940" customWidth="1"/>
    <col min="8716" max="8716" width="14.5703125" style="1940" customWidth="1"/>
    <col min="8717" max="8717" width="12.28515625" style="1940" customWidth="1"/>
    <col min="8718" max="8718" width="38.140625" style="1940" customWidth="1"/>
    <col min="8719" max="8719" width="46.85546875" style="1940" customWidth="1"/>
    <col min="8720" max="8722" width="12.7109375" style="1940" customWidth="1"/>
    <col min="8723" max="8723" width="9.28515625" style="1940" customWidth="1"/>
    <col min="8724" max="8724" width="13.5703125" style="1940" customWidth="1"/>
    <col min="8725" max="8725" width="10.28515625" style="1940" customWidth="1"/>
    <col min="8726" max="8726" width="12.85546875" style="1940" customWidth="1"/>
    <col min="8727" max="8727" width="9.140625" style="1940" customWidth="1"/>
    <col min="8728" max="8728" width="9.7109375" style="1940" customWidth="1"/>
    <col min="8729" max="8729" width="9.28515625" style="1940" customWidth="1"/>
    <col min="8730" max="8730" width="9.42578125" style="1940" customWidth="1"/>
    <col min="8731" max="8731" width="10.5703125" style="1940" customWidth="1"/>
    <col min="8732" max="8732" width="12.42578125" style="1940" customWidth="1"/>
    <col min="8733" max="8733" width="14.5703125" style="1940" customWidth="1"/>
    <col min="8734" max="8734" width="12.28515625" style="1940" customWidth="1"/>
    <col min="8735" max="8735" width="25.85546875" style="1940" customWidth="1"/>
    <col min="8736" max="8967" width="0.85546875" style="1940"/>
    <col min="8968" max="8968" width="9.85546875" style="1940" customWidth="1"/>
    <col min="8969" max="8969" width="81.85546875" style="1940" customWidth="1"/>
    <col min="8970" max="8970" width="12.7109375" style="1940" customWidth="1"/>
    <col min="8971" max="8971" width="12.42578125" style="1940" customWidth="1"/>
    <col min="8972" max="8972" width="14.5703125" style="1940" customWidth="1"/>
    <col min="8973" max="8973" width="12.28515625" style="1940" customWidth="1"/>
    <col min="8974" max="8974" width="38.140625" style="1940" customWidth="1"/>
    <col min="8975" max="8975" width="46.85546875" style="1940" customWidth="1"/>
    <col min="8976" max="8978" width="12.7109375" style="1940" customWidth="1"/>
    <col min="8979" max="8979" width="9.28515625" style="1940" customWidth="1"/>
    <col min="8980" max="8980" width="13.5703125" style="1940" customWidth="1"/>
    <col min="8981" max="8981" width="10.28515625" style="1940" customWidth="1"/>
    <col min="8982" max="8982" width="12.85546875" style="1940" customWidth="1"/>
    <col min="8983" max="8983" width="9.140625" style="1940" customWidth="1"/>
    <col min="8984" max="8984" width="9.7109375" style="1940" customWidth="1"/>
    <col min="8985" max="8985" width="9.28515625" style="1940" customWidth="1"/>
    <col min="8986" max="8986" width="9.42578125" style="1940" customWidth="1"/>
    <col min="8987" max="8987" width="10.5703125" style="1940" customWidth="1"/>
    <col min="8988" max="8988" width="12.42578125" style="1940" customWidth="1"/>
    <col min="8989" max="8989" width="14.5703125" style="1940" customWidth="1"/>
    <col min="8990" max="8990" width="12.28515625" style="1940" customWidth="1"/>
    <col min="8991" max="8991" width="25.85546875" style="1940" customWidth="1"/>
    <col min="8992" max="9223" width="0.85546875" style="1940"/>
    <col min="9224" max="9224" width="9.85546875" style="1940" customWidth="1"/>
    <col min="9225" max="9225" width="81.85546875" style="1940" customWidth="1"/>
    <col min="9226" max="9226" width="12.7109375" style="1940" customWidth="1"/>
    <col min="9227" max="9227" width="12.42578125" style="1940" customWidth="1"/>
    <col min="9228" max="9228" width="14.5703125" style="1940" customWidth="1"/>
    <col min="9229" max="9229" width="12.28515625" style="1940" customWidth="1"/>
    <col min="9230" max="9230" width="38.140625" style="1940" customWidth="1"/>
    <col min="9231" max="9231" width="46.85546875" style="1940" customWidth="1"/>
    <col min="9232" max="9234" width="12.7109375" style="1940" customWidth="1"/>
    <col min="9235" max="9235" width="9.28515625" style="1940" customWidth="1"/>
    <col min="9236" max="9236" width="13.5703125" style="1940" customWidth="1"/>
    <col min="9237" max="9237" width="10.28515625" style="1940" customWidth="1"/>
    <col min="9238" max="9238" width="12.85546875" style="1940" customWidth="1"/>
    <col min="9239" max="9239" width="9.140625" style="1940" customWidth="1"/>
    <col min="9240" max="9240" width="9.7109375" style="1940" customWidth="1"/>
    <col min="9241" max="9241" width="9.28515625" style="1940" customWidth="1"/>
    <col min="9242" max="9242" width="9.42578125" style="1940" customWidth="1"/>
    <col min="9243" max="9243" width="10.5703125" style="1940" customWidth="1"/>
    <col min="9244" max="9244" width="12.42578125" style="1940" customWidth="1"/>
    <col min="9245" max="9245" width="14.5703125" style="1940" customWidth="1"/>
    <col min="9246" max="9246" width="12.28515625" style="1940" customWidth="1"/>
    <col min="9247" max="9247" width="25.85546875" style="1940" customWidth="1"/>
    <col min="9248" max="9479" width="0.85546875" style="1940"/>
    <col min="9480" max="9480" width="9.85546875" style="1940" customWidth="1"/>
    <col min="9481" max="9481" width="81.85546875" style="1940" customWidth="1"/>
    <col min="9482" max="9482" width="12.7109375" style="1940" customWidth="1"/>
    <col min="9483" max="9483" width="12.42578125" style="1940" customWidth="1"/>
    <col min="9484" max="9484" width="14.5703125" style="1940" customWidth="1"/>
    <col min="9485" max="9485" width="12.28515625" style="1940" customWidth="1"/>
    <col min="9486" max="9486" width="38.140625" style="1940" customWidth="1"/>
    <col min="9487" max="9487" width="46.85546875" style="1940" customWidth="1"/>
    <col min="9488" max="9490" width="12.7109375" style="1940" customWidth="1"/>
    <col min="9491" max="9491" width="9.28515625" style="1940" customWidth="1"/>
    <col min="9492" max="9492" width="13.5703125" style="1940" customWidth="1"/>
    <col min="9493" max="9493" width="10.28515625" style="1940" customWidth="1"/>
    <col min="9494" max="9494" width="12.85546875" style="1940" customWidth="1"/>
    <col min="9495" max="9495" width="9.140625" style="1940" customWidth="1"/>
    <col min="9496" max="9496" width="9.7109375" style="1940" customWidth="1"/>
    <col min="9497" max="9497" width="9.28515625" style="1940" customWidth="1"/>
    <col min="9498" max="9498" width="9.42578125" style="1940" customWidth="1"/>
    <col min="9499" max="9499" width="10.5703125" style="1940" customWidth="1"/>
    <col min="9500" max="9500" width="12.42578125" style="1940" customWidth="1"/>
    <col min="9501" max="9501" width="14.5703125" style="1940" customWidth="1"/>
    <col min="9502" max="9502" width="12.28515625" style="1940" customWidth="1"/>
    <col min="9503" max="9503" width="25.85546875" style="1940" customWidth="1"/>
    <col min="9504" max="9735" width="0.85546875" style="1940"/>
    <col min="9736" max="9736" width="9.85546875" style="1940" customWidth="1"/>
    <col min="9737" max="9737" width="81.85546875" style="1940" customWidth="1"/>
    <col min="9738" max="9738" width="12.7109375" style="1940" customWidth="1"/>
    <col min="9739" max="9739" width="12.42578125" style="1940" customWidth="1"/>
    <col min="9740" max="9740" width="14.5703125" style="1940" customWidth="1"/>
    <col min="9741" max="9741" width="12.28515625" style="1940" customWidth="1"/>
    <col min="9742" max="9742" width="38.140625" style="1940" customWidth="1"/>
    <col min="9743" max="9743" width="46.85546875" style="1940" customWidth="1"/>
    <col min="9744" max="9746" width="12.7109375" style="1940" customWidth="1"/>
    <col min="9747" max="9747" width="9.28515625" style="1940" customWidth="1"/>
    <col min="9748" max="9748" width="13.5703125" style="1940" customWidth="1"/>
    <col min="9749" max="9749" width="10.28515625" style="1940" customWidth="1"/>
    <col min="9750" max="9750" width="12.85546875" style="1940" customWidth="1"/>
    <col min="9751" max="9751" width="9.140625" style="1940" customWidth="1"/>
    <col min="9752" max="9752" width="9.7109375" style="1940" customWidth="1"/>
    <col min="9753" max="9753" width="9.28515625" style="1940" customWidth="1"/>
    <col min="9754" max="9754" width="9.42578125" style="1940" customWidth="1"/>
    <col min="9755" max="9755" width="10.5703125" style="1940" customWidth="1"/>
    <col min="9756" max="9756" width="12.42578125" style="1940" customWidth="1"/>
    <col min="9757" max="9757" width="14.5703125" style="1940" customWidth="1"/>
    <col min="9758" max="9758" width="12.28515625" style="1940" customWidth="1"/>
    <col min="9759" max="9759" width="25.85546875" style="1940" customWidth="1"/>
    <col min="9760" max="9991" width="0.85546875" style="1940"/>
    <col min="9992" max="9992" width="9.85546875" style="1940" customWidth="1"/>
    <col min="9993" max="9993" width="81.85546875" style="1940" customWidth="1"/>
    <col min="9994" max="9994" width="12.7109375" style="1940" customWidth="1"/>
    <col min="9995" max="9995" width="12.42578125" style="1940" customWidth="1"/>
    <col min="9996" max="9996" width="14.5703125" style="1940" customWidth="1"/>
    <col min="9997" max="9997" width="12.28515625" style="1940" customWidth="1"/>
    <col min="9998" max="9998" width="38.140625" style="1940" customWidth="1"/>
    <col min="9999" max="9999" width="46.85546875" style="1940" customWidth="1"/>
    <col min="10000" max="10002" width="12.7109375" style="1940" customWidth="1"/>
    <col min="10003" max="10003" width="9.28515625" style="1940" customWidth="1"/>
    <col min="10004" max="10004" width="13.5703125" style="1940" customWidth="1"/>
    <col min="10005" max="10005" width="10.28515625" style="1940" customWidth="1"/>
    <col min="10006" max="10006" width="12.85546875" style="1940" customWidth="1"/>
    <col min="10007" max="10007" width="9.140625" style="1940" customWidth="1"/>
    <col min="10008" max="10008" width="9.7109375" style="1940" customWidth="1"/>
    <col min="10009" max="10009" width="9.28515625" style="1940" customWidth="1"/>
    <col min="10010" max="10010" width="9.42578125" style="1940" customWidth="1"/>
    <col min="10011" max="10011" width="10.5703125" style="1940" customWidth="1"/>
    <col min="10012" max="10012" width="12.42578125" style="1940" customWidth="1"/>
    <col min="10013" max="10013" width="14.5703125" style="1940" customWidth="1"/>
    <col min="10014" max="10014" width="12.28515625" style="1940" customWidth="1"/>
    <col min="10015" max="10015" width="25.85546875" style="1940" customWidth="1"/>
    <col min="10016" max="10247" width="0.85546875" style="1940"/>
    <col min="10248" max="10248" width="9.85546875" style="1940" customWidth="1"/>
    <col min="10249" max="10249" width="81.85546875" style="1940" customWidth="1"/>
    <col min="10250" max="10250" width="12.7109375" style="1940" customWidth="1"/>
    <col min="10251" max="10251" width="12.42578125" style="1940" customWidth="1"/>
    <col min="10252" max="10252" width="14.5703125" style="1940" customWidth="1"/>
    <col min="10253" max="10253" width="12.28515625" style="1940" customWidth="1"/>
    <col min="10254" max="10254" width="38.140625" style="1940" customWidth="1"/>
    <col min="10255" max="10255" width="46.85546875" style="1940" customWidth="1"/>
    <col min="10256" max="10258" width="12.7109375" style="1940" customWidth="1"/>
    <col min="10259" max="10259" width="9.28515625" style="1940" customWidth="1"/>
    <col min="10260" max="10260" width="13.5703125" style="1940" customWidth="1"/>
    <col min="10261" max="10261" width="10.28515625" style="1940" customWidth="1"/>
    <col min="10262" max="10262" width="12.85546875" style="1940" customWidth="1"/>
    <col min="10263" max="10263" width="9.140625" style="1940" customWidth="1"/>
    <col min="10264" max="10264" width="9.7109375" style="1940" customWidth="1"/>
    <col min="10265" max="10265" width="9.28515625" style="1940" customWidth="1"/>
    <col min="10266" max="10266" width="9.42578125" style="1940" customWidth="1"/>
    <col min="10267" max="10267" width="10.5703125" style="1940" customWidth="1"/>
    <col min="10268" max="10268" width="12.42578125" style="1940" customWidth="1"/>
    <col min="10269" max="10269" width="14.5703125" style="1940" customWidth="1"/>
    <col min="10270" max="10270" width="12.28515625" style="1940" customWidth="1"/>
    <col min="10271" max="10271" width="25.85546875" style="1940" customWidth="1"/>
    <col min="10272" max="10503" width="0.85546875" style="1940"/>
    <col min="10504" max="10504" width="9.85546875" style="1940" customWidth="1"/>
    <col min="10505" max="10505" width="81.85546875" style="1940" customWidth="1"/>
    <col min="10506" max="10506" width="12.7109375" style="1940" customWidth="1"/>
    <col min="10507" max="10507" width="12.42578125" style="1940" customWidth="1"/>
    <col min="10508" max="10508" width="14.5703125" style="1940" customWidth="1"/>
    <col min="10509" max="10509" width="12.28515625" style="1940" customWidth="1"/>
    <col min="10510" max="10510" width="38.140625" style="1940" customWidth="1"/>
    <col min="10511" max="10511" width="46.85546875" style="1940" customWidth="1"/>
    <col min="10512" max="10514" width="12.7109375" style="1940" customWidth="1"/>
    <col min="10515" max="10515" width="9.28515625" style="1940" customWidth="1"/>
    <col min="10516" max="10516" width="13.5703125" style="1940" customWidth="1"/>
    <col min="10517" max="10517" width="10.28515625" style="1940" customWidth="1"/>
    <col min="10518" max="10518" width="12.85546875" style="1940" customWidth="1"/>
    <col min="10519" max="10519" width="9.140625" style="1940" customWidth="1"/>
    <col min="10520" max="10520" width="9.7109375" style="1940" customWidth="1"/>
    <col min="10521" max="10521" width="9.28515625" style="1940" customWidth="1"/>
    <col min="10522" max="10522" width="9.42578125" style="1940" customWidth="1"/>
    <col min="10523" max="10523" width="10.5703125" style="1940" customWidth="1"/>
    <col min="10524" max="10524" width="12.42578125" style="1940" customWidth="1"/>
    <col min="10525" max="10525" width="14.5703125" style="1940" customWidth="1"/>
    <col min="10526" max="10526" width="12.28515625" style="1940" customWidth="1"/>
    <col min="10527" max="10527" width="25.85546875" style="1940" customWidth="1"/>
    <col min="10528" max="10759" width="0.85546875" style="1940"/>
    <col min="10760" max="10760" width="9.85546875" style="1940" customWidth="1"/>
    <col min="10761" max="10761" width="81.85546875" style="1940" customWidth="1"/>
    <col min="10762" max="10762" width="12.7109375" style="1940" customWidth="1"/>
    <col min="10763" max="10763" width="12.42578125" style="1940" customWidth="1"/>
    <col min="10764" max="10764" width="14.5703125" style="1940" customWidth="1"/>
    <col min="10765" max="10765" width="12.28515625" style="1940" customWidth="1"/>
    <col min="10766" max="10766" width="38.140625" style="1940" customWidth="1"/>
    <col min="10767" max="10767" width="46.85546875" style="1940" customWidth="1"/>
    <col min="10768" max="10770" width="12.7109375" style="1940" customWidth="1"/>
    <col min="10771" max="10771" width="9.28515625" style="1940" customWidth="1"/>
    <col min="10772" max="10772" width="13.5703125" style="1940" customWidth="1"/>
    <col min="10773" max="10773" width="10.28515625" style="1940" customWidth="1"/>
    <col min="10774" max="10774" width="12.85546875" style="1940" customWidth="1"/>
    <col min="10775" max="10775" width="9.140625" style="1940" customWidth="1"/>
    <col min="10776" max="10776" width="9.7109375" style="1940" customWidth="1"/>
    <col min="10777" max="10777" width="9.28515625" style="1940" customWidth="1"/>
    <col min="10778" max="10778" width="9.42578125" style="1940" customWidth="1"/>
    <col min="10779" max="10779" width="10.5703125" style="1940" customWidth="1"/>
    <col min="10780" max="10780" width="12.42578125" style="1940" customWidth="1"/>
    <col min="10781" max="10781" width="14.5703125" style="1940" customWidth="1"/>
    <col min="10782" max="10782" width="12.28515625" style="1940" customWidth="1"/>
    <col min="10783" max="10783" width="25.85546875" style="1940" customWidth="1"/>
    <col min="10784" max="11015" width="0.85546875" style="1940"/>
    <col min="11016" max="11016" width="9.85546875" style="1940" customWidth="1"/>
    <col min="11017" max="11017" width="81.85546875" style="1940" customWidth="1"/>
    <col min="11018" max="11018" width="12.7109375" style="1940" customWidth="1"/>
    <col min="11019" max="11019" width="12.42578125" style="1940" customWidth="1"/>
    <col min="11020" max="11020" width="14.5703125" style="1940" customWidth="1"/>
    <col min="11021" max="11021" width="12.28515625" style="1940" customWidth="1"/>
    <col min="11022" max="11022" width="38.140625" style="1940" customWidth="1"/>
    <col min="11023" max="11023" width="46.85546875" style="1940" customWidth="1"/>
    <col min="11024" max="11026" width="12.7109375" style="1940" customWidth="1"/>
    <col min="11027" max="11027" width="9.28515625" style="1940" customWidth="1"/>
    <col min="11028" max="11028" width="13.5703125" style="1940" customWidth="1"/>
    <col min="11029" max="11029" width="10.28515625" style="1940" customWidth="1"/>
    <col min="11030" max="11030" width="12.85546875" style="1940" customWidth="1"/>
    <col min="11031" max="11031" width="9.140625" style="1940" customWidth="1"/>
    <col min="11032" max="11032" width="9.7109375" style="1940" customWidth="1"/>
    <col min="11033" max="11033" width="9.28515625" style="1940" customWidth="1"/>
    <col min="11034" max="11034" width="9.42578125" style="1940" customWidth="1"/>
    <col min="11035" max="11035" width="10.5703125" style="1940" customWidth="1"/>
    <col min="11036" max="11036" width="12.42578125" style="1940" customWidth="1"/>
    <col min="11037" max="11037" width="14.5703125" style="1940" customWidth="1"/>
    <col min="11038" max="11038" width="12.28515625" style="1940" customWidth="1"/>
    <col min="11039" max="11039" width="25.85546875" style="1940" customWidth="1"/>
    <col min="11040" max="11271" width="0.85546875" style="1940"/>
    <col min="11272" max="11272" width="9.85546875" style="1940" customWidth="1"/>
    <col min="11273" max="11273" width="81.85546875" style="1940" customWidth="1"/>
    <col min="11274" max="11274" width="12.7109375" style="1940" customWidth="1"/>
    <col min="11275" max="11275" width="12.42578125" style="1940" customWidth="1"/>
    <col min="11276" max="11276" width="14.5703125" style="1940" customWidth="1"/>
    <col min="11277" max="11277" width="12.28515625" style="1940" customWidth="1"/>
    <col min="11278" max="11278" width="38.140625" style="1940" customWidth="1"/>
    <col min="11279" max="11279" width="46.85546875" style="1940" customWidth="1"/>
    <col min="11280" max="11282" width="12.7109375" style="1940" customWidth="1"/>
    <col min="11283" max="11283" width="9.28515625" style="1940" customWidth="1"/>
    <col min="11284" max="11284" width="13.5703125" style="1940" customWidth="1"/>
    <col min="11285" max="11285" width="10.28515625" style="1940" customWidth="1"/>
    <col min="11286" max="11286" width="12.85546875" style="1940" customWidth="1"/>
    <col min="11287" max="11287" width="9.140625" style="1940" customWidth="1"/>
    <col min="11288" max="11288" width="9.7109375" style="1940" customWidth="1"/>
    <col min="11289" max="11289" width="9.28515625" style="1940" customWidth="1"/>
    <col min="11290" max="11290" width="9.42578125" style="1940" customWidth="1"/>
    <col min="11291" max="11291" width="10.5703125" style="1940" customWidth="1"/>
    <col min="11292" max="11292" width="12.42578125" style="1940" customWidth="1"/>
    <col min="11293" max="11293" width="14.5703125" style="1940" customWidth="1"/>
    <col min="11294" max="11294" width="12.28515625" style="1940" customWidth="1"/>
    <col min="11295" max="11295" width="25.85546875" style="1940" customWidth="1"/>
    <col min="11296" max="11527" width="0.85546875" style="1940"/>
    <col min="11528" max="11528" width="9.85546875" style="1940" customWidth="1"/>
    <col min="11529" max="11529" width="81.85546875" style="1940" customWidth="1"/>
    <col min="11530" max="11530" width="12.7109375" style="1940" customWidth="1"/>
    <col min="11531" max="11531" width="12.42578125" style="1940" customWidth="1"/>
    <col min="11532" max="11532" width="14.5703125" style="1940" customWidth="1"/>
    <col min="11533" max="11533" width="12.28515625" style="1940" customWidth="1"/>
    <col min="11534" max="11534" width="38.140625" style="1940" customWidth="1"/>
    <col min="11535" max="11535" width="46.85546875" style="1940" customWidth="1"/>
    <col min="11536" max="11538" width="12.7109375" style="1940" customWidth="1"/>
    <col min="11539" max="11539" width="9.28515625" style="1940" customWidth="1"/>
    <col min="11540" max="11540" width="13.5703125" style="1940" customWidth="1"/>
    <col min="11541" max="11541" width="10.28515625" style="1940" customWidth="1"/>
    <col min="11542" max="11542" width="12.85546875" style="1940" customWidth="1"/>
    <col min="11543" max="11543" width="9.140625" style="1940" customWidth="1"/>
    <col min="11544" max="11544" width="9.7109375" style="1940" customWidth="1"/>
    <col min="11545" max="11545" width="9.28515625" style="1940" customWidth="1"/>
    <col min="11546" max="11546" width="9.42578125" style="1940" customWidth="1"/>
    <col min="11547" max="11547" width="10.5703125" style="1940" customWidth="1"/>
    <col min="11548" max="11548" width="12.42578125" style="1940" customWidth="1"/>
    <col min="11549" max="11549" width="14.5703125" style="1940" customWidth="1"/>
    <col min="11550" max="11550" width="12.28515625" style="1940" customWidth="1"/>
    <col min="11551" max="11551" width="25.85546875" style="1940" customWidth="1"/>
    <col min="11552" max="11783" width="0.85546875" style="1940"/>
    <col min="11784" max="11784" width="9.85546875" style="1940" customWidth="1"/>
    <col min="11785" max="11785" width="81.85546875" style="1940" customWidth="1"/>
    <col min="11786" max="11786" width="12.7109375" style="1940" customWidth="1"/>
    <col min="11787" max="11787" width="12.42578125" style="1940" customWidth="1"/>
    <col min="11788" max="11788" width="14.5703125" style="1940" customWidth="1"/>
    <col min="11789" max="11789" width="12.28515625" style="1940" customWidth="1"/>
    <col min="11790" max="11790" width="38.140625" style="1940" customWidth="1"/>
    <col min="11791" max="11791" width="46.85546875" style="1940" customWidth="1"/>
    <col min="11792" max="11794" width="12.7109375" style="1940" customWidth="1"/>
    <col min="11795" max="11795" width="9.28515625" style="1940" customWidth="1"/>
    <col min="11796" max="11796" width="13.5703125" style="1940" customWidth="1"/>
    <col min="11797" max="11797" width="10.28515625" style="1940" customWidth="1"/>
    <col min="11798" max="11798" width="12.85546875" style="1940" customWidth="1"/>
    <col min="11799" max="11799" width="9.140625" style="1940" customWidth="1"/>
    <col min="11800" max="11800" width="9.7109375" style="1940" customWidth="1"/>
    <col min="11801" max="11801" width="9.28515625" style="1940" customWidth="1"/>
    <col min="11802" max="11802" width="9.42578125" style="1940" customWidth="1"/>
    <col min="11803" max="11803" width="10.5703125" style="1940" customWidth="1"/>
    <col min="11804" max="11804" width="12.42578125" style="1940" customWidth="1"/>
    <col min="11805" max="11805" width="14.5703125" style="1940" customWidth="1"/>
    <col min="11806" max="11806" width="12.28515625" style="1940" customWidth="1"/>
    <col min="11807" max="11807" width="25.85546875" style="1940" customWidth="1"/>
    <col min="11808" max="12039" width="0.85546875" style="1940"/>
    <col min="12040" max="12040" width="9.85546875" style="1940" customWidth="1"/>
    <col min="12041" max="12041" width="81.85546875" style="1940" customWidth="1"/>
    <col min="12042" max="12042" width="12.7109375" style="1940" customWidth="1"/>
    <col min="12043" max="12043" width="12.42578125" style="1940" customWidth="1"/>
    <col min="12044" max="12044" width="14.5703125" style="1940" customWidth="1"/>
    <col min="12045" max="12045" width="12.28515625" style="1940" customWidth="1"/>
    <col min="12046" max="12046" width="38.140625" style="1940" customWidth="1"/>
    <col min="12047" max="12047" width="46.85546875" style="1940" customWidth="1"/>
    <col min="12048" max="12050" width="12.7109375" style="1940" customWidth="1"/>
    <col min="12051" max="12051" width="9.28515625" style="1940" customWidth="1"/>
    <col min="12052" max="12052" width="13.5703125" style="1940" customWidth="1"/>
    <col min="12053" max="12053" width="10.28515625" style="1940" customWidth="1"/>
    <col min="12054" max="12054" width="12.85546875" style="1940" customWidth="1"/>
    <col min="12055" max="12055" width="9.140625" style="1940" customWidth="1"/>
    <col min="12056" max="12056" width="9.7109375" style="1940" customWidth="1"/>
    <col min="12057" max="12057" width="9.28515625" style="1940" customWidth="1"/>
    <col min="12058" max="12058" width="9.42578125" style="1940" customWidth="1"/>
    <col min="12059" max="12059" width="10.5703125" style="1940" customWidth="1"/>
    <col min="12060" max="12060" width="12.42578125" style="1940" customWidth="1"/>
    <col min="12061" max="12061" width="14.5703125" style="1940" customWidth="1"/>
    <col min="12062" max="12062" width="12.28515625" style="1940" customWidth="1"/>
    <col min="12063" max="12063" width="25.85546875" style="1940" customWidth="1"/>
    <col min="12064" max="12295" width="0.85546875" style="1940"/>
    <col min="12296" max="12296" width="9.85546875" style="1940" customWidth="1"/>
    <col min="12297" max="12297" width="81.85546875" style="1940" customWidth="1"/>
    <col min="12298" max="12298" width="12.7109375" style="1940" customWidth="1"/>
    <col min="12299" max="12299" width="12.42578125" style="1940" customWidth="1"/>
    <col min="12300" max="12300" width="14.5703125" style="1940" customWidth="1"/>
    <col min="12301" max="12301" width="12.28515625" style="1940" customWidth="1"/>
    <col min="12302" max="12302" width="38.140625" style="1940" customWidth="1"/>
    <col min="12303" max="12303" width="46.85546875" style="1940" customWidth="1"/>
    <col min="12304" max="12306" width="12.7109375" style="1940" customWidth="1"/>
    <col min="12307" max="12307" width="9.28515625" style="1940" customWidth="1"/>
    <col min="12308" max="12308" width="13.5703125" style="1940" customWidth="1"/>
    <col min="12309" max="12309" width="10.28515625" style="1940" customWidth="1"/>
    <col min="12310" max="12310" width="12.85546875" style="1940" customWidth="1"/>
    <col min="12311" max="12311" width="9.140625" style="1940" customWidth="1"/>
    <col min="12312" max="12312" width="9.7109375" style="1940" customWidth="1"/>
    <col min="12313" max="12313" width="9.28515625" style="1940" customWidth="1"/>
    <col min="12314" max="12314" width="9.42578125" style="1940" customWidth="1"/>
    <col min="12315" max="12315" width="10.5703125" style="1940" customWidth="1"/>
    <col min="12316" max="12316" width="12.42578125" style="1940" customWidth="1"/>
    <col min="12317" max="12317" width="14.5703125" style="1940" customWidth="1"/>
    <col min="12318" max="12318" width="12.28515625" style="1940" customWidth="1"/>
    <col min="12319" max="12319" width="25.85546875" style="1940" customWidth="1"/>
    <col min="12320" max="12551" width="0.85546875" style="1940"/>
    <col min="12552" max="12552" width="9.85546875" style="1940" customWidth="1"/>
    <col min="12553" max="12553" width="81.85546875" style="1940" customWidth="1"/>
    <col min="12554" max="12554" width="12.7109375" style="1940" customWidth="1"/>
    <col min="12555" max="12555" width="12.42578125" style="1940" customWidth="1"/>
    <col min="12556" max="12556" width="14.5703125" style="1940" customWidth="1"/>
    <col min="12557" max="12557" width="12.28515625" style="1940" customWidth="1"/>
    <col min="12558" max="12558" width="38.140625" style="1940" customWidth="1"/>
    <col min="12559" max="12559" width="46.85546875" style="1940" customWidth="1"/>
    <col min="12560" max="12562" width="12.7109375" style="1940" customWidth="1"/>
    <col min="12563" max="12563" width="9.28515625" style="1940" customWidth="1"/>
    <col min="12564" max="12564" width="13.5703125" style="1940" customWidth="1"/>
    <col min="12565" max="12565" width="10.28515625" style="1940" customWidth="1"/>
    <col min="12566" max="12566" width="12.85546875" style="1940" customWidth="1"/>
    <col min="12567" max="12567" width="9.140625" style="1940" customWidth="1"/>
    <col min="12568" max="12568" width="9.7109375" style="1940" customWidth="1"/>
    <col min="12569" max="12569" width="9.28515625" style="1940" customWidth="1"/>
    <col min="12570" max="12570" width="9.42578125" style="1940" customWidth="1"/>
    <col min="12571" max="12571" width="10.5703125" style="1940" customWidth="1"/>
    <col min="12572" max="12572" width="12.42578125" style="1940" customWidth="1"/>
    <col min="12573" max="12573" width="14.5703125" style="1940" customWidth="1"/>
    <col min="12574" max="12574" width="12.28515625" style="1940" customWidth="1"/>
    <col min="12575" max="12575" width="25.85546875" style="1940" customWidth="1"/>
    <col min="12576" max="12807" width="0.85546875" style="1940"/>
    <col min="12808" max="12808" width="9.85546875" style="1940" customWidth="1"/>
    <col min="12809" max="12809" width="81.85546875" style="1940" customWidth="1"/>
    <col min="12810" max="12810" width="12.7109375" style="1940" customWidth="1"/>
    <col min="12811" max="12811" width="12.42578125" style="1940" customWidth="1"/>
    <col min="12812" max="12812" width="14.5703125" style="1940" customWidth="1"/>
    <col min="12813" max="12813" width="12.28515625" style="1940" customWidth="1"/>
    <col min="12814" max="12814" width="38.140625" style="1940" customWidth="1"/>
    <col min="12815" max="12815" width="46.85546875" style="1940" customWidth="1"/>
    <col min="12816" max="12818" width="12.7109375" style="1940" customWidth="1"/>
    <col min="12819" max="12819" width="9.28515625" style="1940" customWidth="1"/>
    <col min="12820" max="12820" width="13.5703125" style="1940" customWidth="1"/>
    <col min="12821" max="12821" width="10.28515625" style="1940" customWidth="1"/>
    <col min="12822" max="12822" width="12.85546875" style="1940" customWidth="1"/>
    <col min="12823" max="12823" width="9.140625" style="1940" customWidth="1"/>
    <col min="12824" max="12824" width="9.7109375" style="1940" customWidth="1"/>
    <col min="12825" max="12825" width="9.28515625" style="1940" customWidth="1"/>
    <col min="12826" max="12826" width="9.42578125" style="1940" customWidth="1"/>
    <col min="12827" max="12827" width="10.5703125" style="1940" customWidth="1"/>
    <col min="12828" max="12828" width="12.42578125" style="1940" customWidth="1"/>
    <col min="12829" max="12829" width="14.5703125" style="1940" customWidth="1"/>
    <col min="12830" max="12830" width="12.28515625" style="1940" customWidth="1"/>
    <col min="12831" max="12831" width="25.85546875" style="1940" customWidth="1"/>
    <col min="12832" max="13063" width="0.85546875" style="1940"/>
    <col min="13064" max="13064" width="9.85546875" style="1940" customWidth="1"/>
    <col min="13065" max="13065" width="81.85546875" style="1940" customWidth="1"/>
    <col min="13066" max="13066" width="12.7109375" style="1940" customWidth="1"/>
    <col min="13067" max="13067" width="12.42578125" style="1940" customWidth="1"/>
    <col min="13068" max="13068" width="14.5703125" style="1940" customWidth="1"/>
    <col min="13069" max="13069" width="12.28515625" style="1940" customWidth="1"/>
    <col min="13070" max="13070" width="38.140625" style="1940" customWidth="1"/>
    <col min="13071" max="13071" width="46.85546875" style="1940" customWidth="1"/>
    <col min="13072" max="13074" width="12.7109375" style="1940" customWidth="1"/>
    <col min="13075" max="13075" width="9.28515625" style="1940" customWidth="1"/>
    <col min="13076" max="13076" width="13.5703125" style="1940" customWidth="1"/>
    <col min="13077" max="13077" width="10.28515625" style="1940" customWidth="1"/>
    <col min="13078" max="13078" width="12.85546875" style="1940" customWidth="1"/>
    <col min="13079" max="13079" width="9.140625" style="1940" customWidth="1"/>
    <col min="13080" max="13080" width="9.7109375" style="1940" customWidth="1"/>
    <col min="13081" max="13081" width="9.28515625" style="1940" customWidth="1"/>
    <col min="13082" max="13082" width="9.42578125" style="1940" customWidth="1"/>
    <col min="13083" max="13083" width="10.5703125" style="1940" customWidth="1"/>
    <col min="13084" max="13084" width="12.42578125" style="1940" customWidth="1"/>
    <col min="13085" max="13085" width="14.5703125" style="1940" customWidth="1"/>
    <col min="13086" max="13086" width="12.28515625" style="1940" customWidth="1"/>
    <col min="13087" max="13087" width="25.85546875" style="1940" customWidth="1"/>
    <col min="13088" max="13319" width="0.85546875" style="1940"/>
    <col min="13320" max="13320" width="9.85546875" style="1940" customWidth="1"/>
    <col min="13321" max="13321" width="81.85546875" style="1940" customWidth="1"/>
    <col min="13322" max="13322" width="12.7109375" style="1940" customWidth="1"/>
    <col min="13323" max="13323" width="12.42578125" style="1940" customWidth="1"/>
    <col min="13324" max="13324" width="14.5703125" style="1940" customWidth="1"/>
    <col min="13325" max="13325" width="12.28515625" style="1940" customWidth="1"/>
    <col min="13326" max="13326" width="38.140625" style="1940" customWidth="1"/>
    <col min="13327" max="13327" width="46.85546875" style="1940" customWidth="1"/>
    <col min="13328" max="13330" width="12.7109375" style="1940" customWidth="1"/>
    <col min="13331" max="13331" width="9.28515625" style="1940" customWidth="1"/>
    <col min="13332" max="13332" width="13.5703125" style="1940" customWidth="1"/>
    <col min="13333" max="13333" width="10.28515625" style="1940" customWidth="1"/>
    <col min="13334" max="13334" width="12.85546875" style="1940" customWidth="1"/>
    <col min="13335" max="13335" width="9.140625" style="1940" customWidth="1"/>
    <col min="13336" max="13336" width="9.7109375" style="1940" customWidth="1"/>
    <col min="13337" max="13337" width="9.28515625" style="1940" customWidth="1"/>
    <col min="13338" max="13338" width="9.42578125" style="1940" customWidth="1"/>
    <col min="13339" max="13339" width="10.5703125" style="1940" customWidth="1"/>
    <col min="13340" max="13340" width="12.42578125" style="1940" customWidth="1"/>
    <col min="13341" max="13341" width="14.5703125" style="1940" customWidth="1"/>
    <col min="13342" max="13342" width="12.28515625" style="1940" customWidth="1"/>
    <col min="13343" max="13343" width="25.85546875" style="1940" customWidth="1"/>
    <col min="13344" max="13575" width="0.85546875" style="1940"/>
    <col min="13576" max="13576" width="9.85546875" style="1940" customWidth="1"/>
    <col min="13577" max="13577" width="81.85546875" style="1940" customWidth="1"/>
    <col min="13578" max="13578" width="12.7109375" style="1940" customWidth="1"/>
    <col min="13579" max="13579" width="12.42578125" style="1940" customWidth="1"/>
    <col min="13580" max="13580" width="14.5703125" style="1940" customWidth="1"/>
    <col min="13581" max="13581" width="12.28515625" style="1940" customWidth="1"/>
    <col min="13582" max="13582" width="38.140625" style="1940" customWidth="1"/>
    <col min="13583" max="13583" width="46.85546875" style="1940" customWidth="1"/>
    <col min="13584" max="13586" width="12.7109375" style="1940" customWidth="1"/>
    <col min="13587" max="13587" width="9.28515625" style="1940" customWidth="1"/>
    <col min="13588" max="13588" width="13.5703125" style="1940" customWidth="1"/>
    <col min="13589" max="13589" width="10.28515625" style="1940" customWidth="1"/>
    <col min="13590" max="13590" width="12.85546875" style="1940" customWidth="1"/>
    <col min="13591" max="13591" width="9.140625" style="1940" customWidth="1"/>
    <col min="13592" max="13592" width="9.7109375" style="1940" customWidth="1"/>
    <col min="13593" max="13593" width="9.28515625" style="1940" customWidth="1"/>
    <col min="13594" max="13594" width="9.42578125" style="1940" customWidth="1"/>
    <col min="13595" max="13595" width="10.5703125" style="1940" customWidth="1"/>
    <col min="13596" max="13596" width="12.42578125" style="1940" customWidth="1"/>
    <col min="13597" max="13597" width="14.5703125" style="1940" customWidth="1"/>
    <col min="13598" max="13598" width="12.28515625" style="1940" customWidth="1"/>
    <col min="13599" max="13599" width="25.85546875" style="1940" customWidth="1"/>
    <col min="13600" max="13831" width="0.85546875" style="1940"/>
    <col min="13832" max="13832" width="9.85546875" style="1940" customWidth="1"/>
    <col min="13833" max="13833" width="81.85546875" style="1940" customWidth="1"/>
    <col min="13834" max="13834" width="12.7109375" style="1940" customWidth="1"/>
    <col min="13835" max="13835" width="12.42578125" style="1940" customWidth="1"/>
    <col min="13836" max="13836" width="14.5703125" style="1940" customWidth="1"/>
    <col min="13837" max="13837" width="12.28515625" style="1940" customWidth="1"/>
    <col min="13838" max="13838" width="38.140625" style="1940" customWidth="1"/>
    <col min="13839" max="13839" width="46.85546875" style="1940" customWidth="1"/>
    <col min="13840" max="13842" width="12.7109375" style="1940" customWidth="1"/>
    <col min="13843" max="13843" width="9.28515625" style="1940" customWidth="1"/>
    <col min="13844" max="13844" width="13.5703125" style="1940" customWidth="1"/>
    <col min="13845" max="13845" width="10.28515625" style="1940" customWidth="1"/>
    <col min="13846" max="13846" width="12.85546875" style="1940" customWidth="1"/>
    <col min="13847" max="13847" width="9.140625" style="1940" customWidth="1"/>
    <col min="13848" max="13848" width="9.7109375" style="1940" customWidth="1"/>
    <col min="13849" max="13849" width="9.28515625" style="1940" customWidth="1"/>
    <col min="13850" max="13850" width="9.42578125" style="1940" customWidth="1"/>
    <col min="13851" max="13851" width="10.5703125" style="1940" customWidth="1"/>
    <col min="13852" max="13852" width="12.42578125" style="1940" customWidth="1"/>
    <col min="13853" max="13853" width="14.5703125" style="1940" customWidth="1"/>
    <col min="13854" max="13854" width="12.28515625" style="1940" customWidth="1"/>
    <col min="13855" max="13855" width="25.85546875" style="1940" customWidth="1"/>
    <col min="13856" max="14087" width="0.85546875" style="1940"/>
    <col min="14088" max="14088" width="9.85546875" style="1940" customWidth="1"/>
    <col min="14089" max="14089" width="81.85546875" style="1940" customWidth="1"/>
    <col min="14090" max="14090" width="12.7109375" style="1940" customWidth="1"/>
    <col min="14091" max="14091" width="12.42578125" style="1940" customWidth="1"/>
    <col min="14092" max="14092" width="14.5703125" style="1940" customWidth="1"/>
    <col min="14093" max="14093" width="12.28515625" style="1940" customWidth="1"/>
    <col min="14094" max="14094" width="38.140625" style="1940" customWidth="1"/>
    <col min="14095" max="14095" width="46.85546875" style="1940" customWidth="1"/>
    <col min="14096" max="14098" width="12.7109375" style="1940" customWidth="1"/>
    <col min="14099" max="14099" width="9.28515625" style="1940" customWidth="1"/>
    <col min="14100" max="14100" width="13.5703125" style="1940" customWidth="1"/>
    <col min="14101" max="14101" width="10.28515625" style="1940" customWidth="1"/>
    <col min="14102" max="14102" width="12.85546875" style="1940" customWidth="1"/>
    <col min="14103" max="14103" width="9.140625" style="1940" customWidth="1"/>
    <col min="14104" max="14104" width="9.7109375" style="1940" customWidth="1"/>
    <col min="14105" max="14105" width="9.28515625" style="1940" customWidth="1"/>
    <col min="14106" max="14106" width="9.42578125" style="1940" customWidth="1"/>
    <col min="14107" max="14107" width="10.5703125" style="1940" customWidth="1"/>
    <col min="14108" max="14108" width="12.42578125" style="1940" customWidth="1"/>
    <col min="14109" max="14109" width="14.5703125" style="1940" customWidth="1"/>
    <col min="14110" max="14110" width="12.28515625" style="1940" customWidth="1"/>
    <col min="14111" max="14111" width="25.85546875" style="1940" customWidth="1"/>
    <col min="14112" max="14343" width="0.85546875" style="1940"/>
    <col min="14344" max="14344" width="9.85546875" style="1940" customWidth="1"/>
    <col min="14345" max="14345" width="81.85546875" style="1940" customWidth="1"/>
    <col min="14346" max="14346" width="12.7109375" style="1940" customWidth="1"/>
    <col min="14347" max="14347" width="12.42578125" style="1940" customWidth="1"/>
    <col min="14348" max="14348" width="14.5703125" style="1940" customWidth="1"/>
    <col min="14349" max="14349" width="12.28515625" style="1940" customWidth="1"/>
    <col min="14350" max="14350" width="38.140625" style="1940" customWidth="1"/>
    <col min="14351" max="14351" width="46.85546875" style="1940" customWidth="1"/>
    <col min="14352" max="14354" width="12.7109375" style="1940" customWidth="1"/>
    <col min="14355" max="14355" width="9.28515625" style="1940" customWidth="1"/>
    <col min="14356" max="14356" width="13.5703125" style="1940" customWidth="1"/>
    <col min="14357" max="14357" width="10.28515625" style="1940" customWidth="1"/>
    <col min="14358" max="14358" width="12.85546875" style="1940" customWidth="1"/>
    <col min="14359" max="14359" width="9.140625" style="1940" customWidth="1"/>
    <col min="14360" max="14360" width="9.7109375" style="1940" customWidth="1"/>
    <col min="14361" max="14361" width="9.28515625" style="1940" customWidth="1"/>
    <col min="14362" max="14362" width="9.42578125" style="1940" customWidth="1"/>
    <col min="14363" max="14363" width="10.5703125" style="1940" customWidth="1"/>
    <col min="14364" max="14364" width="12.42578125" style="1940" customWidth="1"/>
    <col min="14365" max="14365" width="14.5703125" style="1940" customWidth="1"/>
    <col min="14366" max="14366" width="12.28515625" style="1940" customWidth="1"/>
    <col min="14367" max="14367" width="25.85546875" style="1940" customWidth="1"/>
    <col min="14368" max="14599" width="0.85546875" style="1940"/>
    <col min="14600" max="14600" width="9.85546875" style="1940" customWidth="1"/>
    <col min="14601" max="14601" width="81.85546875" style="1940" customWidth="1"/>
    <col min="14602" max="14602" width="12.7109375" style="1940" customWidth="1"/>
    <col min="14603" max="14603" width="12.42578125" style="1940" customWidth="1"/>
    <col min="14604" max="14604" width="14.5703125" style="1940" customWidth="1"/>
    <col min="14605" max="14605" width="12.28515625" style="1940" customWidth="1"/>
    <col min="14606" max="14606" width="38.140625" style="1940" customWidth="1"/>
    <col min="14607" max="14607" width="46.85546875" style="1940" customWidth="1"/>
    <col min="14608" max="14610" width="12.7109375" style="1940" customWidth="1"/>
    <col min="14611" max="14611" width="9.28515625" style="1940" customWidth="1"/>
    <col min="14612" max="14612" width="13.5703125" style="1940" customWidth="1"/>
    <col min="14613" max="14613" width="10.28515625" style="1940" customWidth="1"/>
    <col min="14614" max="14614" width="12.85546875" style="1940" customWidth="1"/>
    <col min="14615" max="14615" width="9.140625" style="1940" customWidth="1"/>
    <col min="14616" max="14616" width="9.7109375" style="1940" customWidth="1"/>
    <col min="14617" max="14617" width="9.28515625" style="1940" customWidth="1"/>
    <col min="14618" max="14618" width="9.42578125" style="1940" customWidth="1"/>
    <col min="14619" max="14619" width="10.5703125" style="1940" customWidth="1"/>
    <col min="14620" max="14620" width="12.42578125" style="1940" customWidth="1"/>
    <col min="14621" max="14621" width="14.5703125" style="1940" customWidth="1"/>
    <col min="14622" max="14622" width="12.28515625" style="1940" customWidth="1"/>
    <col min="14623" max="14623" width="25.85546875" style="1940" customWidth="1"/>
    <col min="14624" max="14855" width="0.85546875" style="1940"/>
    <col min="14856" max="14856" width="9.85546875" style="1940" customWidth="1"/>
    <col min="14857" max="14857" width="81.85546875" style="1940" customWidth="1"/>
    <col min="14858" max="14858" width="12.7109375" style="1940" customWidth="1"/>
    <col min="14859" max="14859" width="12.42578125" style="1940" customWidth="1"/>
    <col min="14860" max="14860" width="14.5703125" style="1940" customWidth="1"/>
    <col min="14861" max="14861" width="12.28515625" style="1940" customWidth="1"/>
    <col min="14862" max="14862" width="38.140625" style="1940" customWidth="1"/>
    <col min="14863" max="14863" width="46.85546875" style="1940" customWidth="1"/>
    <col min="14864" max="14866" width="12.7109375" style="1940" customWidth="1"/>
    <col min="14867" max="14867" width="9.28515625" style="1940" customWidth="1"/>
    <col min="14868" max="14868" width="13.5703125" style="1940" customWidth="1"/>
    <col min="14869" max="14869" width="10.28515625" style="1940" customWidth="1"/>
    <col min="14870" max="14870" width="12.85546875" style="1940" customWidth="1"/>
    <col min="14871" max="14871" width="9.140625" style="1940" customWidth="1"/>
    <col min="14872" max="14872" width="9.7109375" style="1940" customWidth="1"/>
    <col min="14873" max="14873" width="9.28515625" style="1940" customWidth="1"/>
    <col min="14874" max="14874" width="9.42578125" style="1940" customWidth="1"/>
    <col min="14875" max="14875" width="10.5703125" style="1940" customWidth="1"/>
    <col min="14876" max="14876" width="12.42578125" style="1940" customWidth="1"/>
    <col min="14877" max="14877" width="14.5703125" style="1940" customWidth="1"/>
    <col min="14878" max="14878" width="12.28515625" style="1940" customWidth="1"/>
    <col min="14879" max="14879" width="25.85546875" style="1940" customWidth="1"/>
    <col min="14880" max="15111" width="0.85546875" style="1940"/>
    <col min="15112" max="15112" width="9.85546875" style="1940" customWidth="1"/>
    <col min="15113" max="15113" width="81.85546875" style="1940" customWidth="1"/>
    <col min="15114" max="15114" width="12.7109375" style="1940" customWidth="1"/>
    <col min="15115" max="15115" width="12.42578125" style="1940" customWidth="1"/>
    <col min="15116" max="15116" width="14.5703125" style="1940" customWidth="1"/>
    <col min="15117" max="15117" width="12.28515625" style="1940" customWidth="1"/>
    <col min="15118" max="15118" width="38.140625" style="1940" customWidth="1"/>
    <col min="15119" max="15119" width="46.85546875" style="1940" customWidth="1"/>
    <col min="15120" max="15122" width="12.7109375" style="1940" customWidth="1"/>
    <col min="15123" max="15123" width="9.28515625" style="1940" customWidth="1"/>
    <col min="15124" max="15124" width="13.5703125" style="1940" customWidth="1"/>
    <col min="15125" max="15125" width="10.28515625" style="1940" customWidth="1"/>
    <col min="15126" max="15126" width="12.85546875" style="1940" customWidth="1"/>
    <col min="15127" max="15127" width="9.140625" style="1940" customWidth="1"/>
    <col min="15128" max="15128" width="9.7109375" style="1940" customWidth="1"/>
    <col min="15129" max="15129" width="9.28515625" style="1940" customWidth="1"/>
    <col min="15130" max="15130" width="9.42578125" style="1940" customWidth="1"/>
    <col min="15131" max="15131" width="10.5703125" style="1940" customWidth="1"/>
    <col min="15132" max="15132" width="12.42578125" style="1940" customWidth="1"/>
    <col min="15133" max="15133" width="14.5703125" style="1940" customWidth="1"/>
    <col min="15134" max="15134" width="12.28515625" style="1940" customWidth="1"/>
    <col min="15135" max="15135" width="25.85546875" style="1940" customWidth="1"/>
    <col min="15136" max="15367" width="0.85546875" style="1940"/>
    <col min="15368" max="15368" width="9.85546875" style="1940" customWidth="1"/>
    <col min="15369" max="15369" width="81.85546875" style="1940" customWidth="1"/>
    <col min="15370" max="15370" width="12.7109375" style="1940" customWidth="1"/>
    <col min="15371" max="15371" width="12.42578125" style="1940" customWidth="1"/>
    <col min="15372" max="15372" width="14.5703125" style="1940" customWidth="1"/>
    <col min="15373" max="15373" width="12.28515625" style="1940" customWidth="1"/>
    <col min="15374" max="15374" width="38.140625" style="1940" customWidth="1"/>
    <col min="15375" max="15375" width="46.85546875" style="1940" customWidth="1"/>
    <col min="15376" max="15378" width="12.7109375" style="1940" customWidth="1"/>
    <col min="15379" max="15379" width="9.28515625" style="1940" customWidth="1"/>
    <col min="15380" max="15380" width="13.5703125" style="1940" customWidth="1"/>
    <col min="15381" max="15381" width="10.28515625" style="1940" customWidth="1"/>
    <col min="15382" max="15382" width="12.85546875" style="1940" customWidth="1"/>
    <col min="15383" max="15383" width="9.140625" style="1940" customWidth="1"/>
    <col min="15384" max="15384" width="9.7109375" style="1940" customWidth="1"/>
    <col min="15385" max="15385" width="9.28515625" style="1940" customWidth="1"/>
    <col min="15386" max="15386" width="9.42578125" style="1940" customWidth="1"/>
    <col min="15387" max="15387" width="10.5703125" style="1940" customWidth="1"/>
    <col min="15388" max="15388" width="12.42578125" style="1940" customWidth="1"/>
    <col min="15389" max="15389" width="14.5703125" style="1940" customWidth="1"/>
    <col min="15390" max="15390" width="12.28515625" style="1940" customWidth="1"/>
    <col min="15391" max="15391" width="25.85546875" style="1940" customWidth="1"/>
    <col min="15392" max="15623" width="0.85546875" style="1940"/>
    <col min="15624" max="15624" width="9.85546875" style="1940" customWidth="1"/>
    <col min="15625" max="15625" width="81.85546875" style="1940" customWidth="1"/>
    <col min="15626" max="15626" width="12.7109375" style="1940" customWidth="1"/>
    <col min="15627" max="15627" width="12.42578125" style="1940" customWidth="1"/>
    <col min="15628" max="15628" width="14.5703125" style="1940" customWidth="1"/>
    <col min="15629" max="15629" width="12.28515625" style="1940" customWidth="1"/>
    <col min="15630" max="15630" width="38.140625" style="1940" customWidth="1"/>
    <col min="15631" max="15631" width="46.85546875" style="1940" customWidth="1"/>
    <col min="15632" max="15634" width="12.7109375" style="1940" customWidth="1"/>
    <col min="15635" max="15635" width="9.28515625" style="1940" customWidth="1"/>
    <col min="15636" max="15636" width="13.5703125" style="1940" customWidth="1"/>
    <col min="15637" max="15637" width="10.28515625" style="1940" customWidth="1"/>
    <col min="15638" max="15638" width="12.85546875" style="1940" customWidth="1"/>
    <col min="15639" max="15639" width="9.140625" style="1940" customWidth="1"/>
    <col min="15640" max="15640" width="9.7109375" style="1940" customWidth="1"/>
    <col min="15641" max="15641" width="9.28515625" style="1940" customWidth="1"/>
    <col min="15642" max="15642" width="9.42578125" style="1940" customWidth="1"/>
    <col min="15643" max="15643" width="10.5703125" style="1940" customWidth="1"/>
    <col min="15644" max="15644" width="12.42578125" style="1940" customWidth="1"/>
    <col min="15645" max="15645" width="14.5703125" style="1940" customWidth="1"/>
    <col min="15646" max="15646" width="12.28515625" style="1940" customWidth="1"/>
    <col min="15647" max="15647" width="25.85546875" style="1940" customWidth="1"/>
    <col min="15648" max="15879" width="0.85546875" style="1940"/>
    <col min="15880" max="15880" width="9.85546875" style="1940" customWidth="1"/>
    <col min="15881" max="15881" width="81.85546875" style="1940" customWidth="1"/>
    <col min="15882" max="15882" width="12.7109375" style="1940" customWidth="1"/>
    <col min="15883" max="15883" width="12.42578125" style="1940" customWidth="1"/>
    <col min="15884" max="15884" width="14.5703125" style="1940" customWidth="1"/>
    <col min="15885" max="15885" width="12.28515625" style="1940" customWidth="1"/>
    <col min="15886" max="15886" width="38.140625" style="1940" customWidth="1"/>
    <col min="15887" max="15887" width="46.85546875" style="1940" customWidth="1"/>
    <col min="15888" max="15890" width="12.7109375" style="1940" customWidth="1"/>
    <col min="15891" max="15891" width="9.28515625" style="1940" customWidth="1"/>
    <col min="15892" max="15892" width="13.5703125" style="1940" customWidth="1"/>
    <col min="15893" max="15893" width="10.28515625" style="1940" customWidth="1"/>
    <col min="15894" max="15894" width="12.85546875" style="1940" customWidth="1"/>
    <col min="15895" max="15895" width="9.140625" style="1940" customWidth="1"/>
    <col min="15896" max="15896" width="9.7109375" style="1940" customWidth="1"/>
    <col min="15897" max="15897" width="9.28515625" style="1940" customWidth="1"/>
    <col min="15898" max="15898" width="9.42578125" style="1940" customWidth="1"/>
    <col min="15899" max="15899" width="10.5703125" style="1940" customWidth="1"/>
    <col min="15900" max="15900" width="12.42578125" style="1940" customWidth="1"/>
    <col min="15901" max="15901" width="14.5703125" style="1940" customWidth="1"/>
    <col min="15902" max="15902" width="12.28515625" style="1940" customWidth="1"/>
    <col min="15903" max="15903" width="25.85546875" style="1940" customWidth="1"/>
    <col min="15904" max="16135" width="0.85546875" style="1940"/>
    <col min="16136" max="16136" width="9.85546875" style="1940" customWidth="1"/>
    <col min="16137" max="16137" width="81.85546875" style="1940" customWidth="1"/>
    <col min="16138" max="16138" width="12.7109375" style="1940" customWidth="1"/>
    <col min="16139" max="16139" width="12.42578125" style="1940" customWidth="1"/>
    <col min="16140" max="16140" width="14.5703125" style="1940" customWidth="1"/>
    <col min="16141" max="16141" width="12.28515625" style="1940" customWidth="1"/>
    <col min="16142" max="16142" width="38.140625" style="1940" customWidth="1"/>
    <col min="16143" max="16143" width="46.85546875" style="1940" customWidth="1"/>
    <col min="16144" max="16146" width="12.7109375" style="1940" customWidth="1"/>
    <col min="16147" max="16147" width="9.28515625" style="1940" customWidth="1"/>
    <col min="16148" max="16148" width="13.5703125" style="1940" customWidth="1"/>
    <col min="16149" max="16149" width="10.28515625" style="1940" customWidth="1"/>
    <col min="16150" max="16150" width="12.85546875" style="1940" customWidth="1"/>
    <col min="16151" max="16151" width="9.140625" style="1940" customWidth="1"/>
    <col min="16152" max="16152" width="9.7109375" style="1940" customWidth="1"/>
    <col min="16153" max="16153" width="9.28515625" style="1940" customWidth="1"/>
    <col min="16154" max="16154" width="9.42578125" style="1940" customWidth="1"/>
    <col min="16155" max="16155" width="10.5703125" style="1940" customWidth="1"/>
    <col min="16156" max="16156" width="12.42578125" style="1940" customWidth="1"/>
    <col min="16157" max="16157" width="14.5703125" style="1940" customWidth="1"/>
    <col min="16158" max="16158" width="12.28515625" style="1940" customWidth="1"/>
    <col min="16159" max="16159" width="25.85546875" style="1940" customWidth="1"/>
    <col min="16160" max="16384" width="0.85546875" style="1940"/>
  </cols>
  <sheetData>
    <row r="1" spans="1:14">
      <c r="A1" s="4425" t="s">
        <v>1526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4" ht="29.25" customHeight="1">
      <c r="A2" s="4427" t="s">
        <v>966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4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8" t="s">
        <v>909</v>
      </c>
      <c r="B4" s="4428" t="s">
        <v>374</v>
      </c>
      <c r="C4" s="4428" t="s">
        <v>910</v>
      </c>
      <c r="D4" s="4422" t="s">
        <v>1610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3" t="s">
        <v>283</v>
      </c>
      <c r="M4" s="4434"/>
      <c r="N4" s="4424" t="s">
        <v>911</v>
      </c>
    </row>
    <row r="5" spans="1:14" ht="31.5" customHeight="1">
      <c r="A5" s="4428"/>
      <c r="B5" s="4428"/>
      <c r="C5" s="4428"/>
      <c r="D5" s="4312"/>
      <c r="E5" s="4312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s="1946" customFormat="1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2639"/>
      <c r="N6" s="2640"/>
    </row>
    <row r="7" spans="1:14" s="1946" customFormat="1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2641"/>
      <c r="N7" s="2640"/>
    </row>
    <row r="8" spans="1:14" s="1946" customFormat="1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2642"/>
      <c r="N8" s="2640"/>
    </row>
    <row r="9" spans="1:14" s="1953" customFormat="1" ht="15.75">
      <c r="A9" s="2643">
        <v>1</v>
      </c>
      <c r="B9" s="2644" t="s">
        <v>918</v>
      </c>
      <c r="C9" s="2643" t="s">
        <v>919</v>
      </c>
      <c r="D9" s="2645">
        <f t="shared" ref="D9:M9" si="0">D10+D21+D23+D27</f>
        <v>123199.97643797162</v>
      </c>
      <c r="E9" s="2645">
        <f t="shared" si="0"/>
        <v>115906.66084339833</v>
      </c>
      <c r="F9" s="2645">
        <f t="shared" si="0"/>
        <v>58923.740327763946</v>
      </c>
      <c r="G9" s="2645">
        <f t="shared" si="0"/>
        <v>89291.215527233813</v>
      </c>
      <c r="H9" s="2645">
        <f t="shared" si="0"/>
        <v>121927.69330994831</v>
      </c>
      <c r="I9" s="2645">
        <f t="shared" si="0"/>
        <v>130130.56904144191</v>
      </c>
      <c r="J9" s="2645">
        <f t="shared" si="0"/>
        <v>131526.15692532301</v>
      </c>
      <c r="K9" s="2645">
        <f t="shared" si="0"/>
        <v>137047.62650140733</v>
      </c>
      <c r="L9" s="2645">
        <f t="shared" si="0"/>
        <v>146598.55800793885</v>
      </c>
      <c r="M9" s="2645">
        <f t="shared" si="0"/>
        <v>166361.02334359058</v>
      </c>
      <c r="N9" s="2646"/>
    </row>
    <row r="10" spans="1:14" s="1958" customFormat="1" ht="15.75">
      <c r="A10" s="2647" t="s">
        <v>920</v>
      </c>
      <c r="B10" s="2648" t="s">
        <v>921</v>
      </c>
      <c r="C10" s="2647" t="s">
        <v>919</v>
      </c>
      <c r="D10" s="2649">
        <f>D11+D12+D13</f>
        <v>105513.69792467232</v>
      </c>
      <c r="E10" s="2649">
        <f>E11+E12+E13</f>
        <v>107557.11310743249</v>
      </c>
      <c r="F10" s="2649">
        <f>F11+F12+F13</f>
        <v>54501.566239997286</v>
      </c>
      <c r="G10" s="2649">
        <f>G11+G12+G13</f>
        <v>82833.971259339698</v>
      </c>
      <c r="H10" s="2649">
        <f>H11+H12+H13</f>
        <v>113318.30456301366</v>
      </c>
      <c r="I10" s="2649">
        <f>I11+I12+I13+619.01</f>
        <v>112559.97646089326</v>
      </c>
      <c r="J10" s="2649">
        <f>J11+J12+J13</f>
        <v>118241.1505655424</v>
      </c>
      <c r="K10" s="2649">
        <f>K11+K12+K13</f>
        <v>122244.30825705126</v>
      </c>
      <c r="L10" s="2649">
        <f>L11+L12+L13</f>
        <v>131238.73896548411</v>
      </c>
      <c r="M10" s="2649">
        <f>M11+M12+M13</f>
        <v>139858.35394871872</v>
      </c>
      <c r="N10" s="2650"/>
    </row>
    <row r="11" spans="1:14" s="1963" customFormat="1" ht="21.75" customHeight="1">
      <c r="A11" s="2651" t="s">
        <v>922</v>
      </c>
      <c r="B11" s="2652" t="s">
        <v>923</v>
      </c>
      <c r="C11" s="2651" t="s">
        <v>919</v>
      </c>
      <c r="D11" s="2727">
        <f>SUM(вода!AN111+вода!AN112+вода!AN113+вода!AN114+вода!AN115+вода!AN117-D14-D16-'цех вода'!AB18-'ОХР '!AD20-'ОХР '!AD16-'ОХР '!AD23)</f>
        <v>86457.112411653288</v>
      </c>
      <c r="E11" s="2727">
        <f>SUM(вода!BA111+вода!BA112+вода!BA113+вода!BA114+вода!BA115+вода!BA117-E14-E16-'цех вода'!AL18-'ОХР '!AK20-'ОХР '!AK16-'ОХР '!AK23)</f>
        <v>89990.587473508218</v>
      </c>
      <c r="F11" s="2653">
        <f>вода!BM111+вода!BM112+вода!BM113+вода!BM114+вода!BM115+вода!BM117-F14-F16-'цех вода'!AM18-'ОХР '!AY20-'ОХР '!AY16-'ОХР '!AY23</f>
        <v>44984.590758202452</v>
      </c>
      <c r="G11" s="2653">
        <f>вода!BP111+вода!BP112+вода!BP113+вода!BP114+вода!BP115+вода!BP117-G14-G16-'цех вода'!AN18-'ОХР '!BB20-'ОХР '!BB16-'ОХР '!BB23</f>
        <v>70095.386141543102</v>
      </c>
      <c r="H11" s="2653">
        <f>вода!BS111+вода!BS112+вода!BS113+вода!BS114+вода!BS115+вода!BS117-H14-H16-'цех вода'!AO18-'ОХР '!BE20-'ОХР '!BE16-'ОХР '!BE23</f>
        <v>94464.360658918667</v>
      </c>
      <c r="I11" s="2653">
        <f>вода!BI111+вода!BI112+вода!BI113+вода!BI114+вода!BI115+вода!BI117-I14-I16-'цех вода'!AG18-'ОХР '!AS20-'ОХР '!AS16-'ОХР '!AS23</f>
        <v>93024.157639357698</v>
      </c>
      <c r="J11" s="2653">
        <f>I11*(1-J6)*(1+J7)*(1+J8)</f>
        <v>98632.584103434579</v>
      </c>
      <c r="K11" s="2653">
        <f>J11*(1-K6)*(1+K7)*(1+K8)</f>
        <v>103309.74124161946</v>
      </c>
      <c r="L11" s="2727">
        <f>SUM(вода!BW111+вода!BW112+вода!BW113+вода!BW114+вода!BW115+вода!BW117-L14-L16-'цех вода'!AP18-'ОХР '!BH20-'ОХР '!BH16-'ОХР '!BH23)</f>
        <v>108667.40160806992</v>
      </c>
      <c r="M11" s="2653">
        <f>SUM(L11*1.1)</f>
        <v>119534.14176887693</v>
      </c>
      <c r="N11" s="2759" t="s">
        <v>1641</v>
      </c>
    </row>
    <row r="12" spans="1:14" s="1963" customFormat="1" ht="33" customHeight="1">
      <c r="A12" s="2651" t="s">
        <v>924</v>
      </c>
      <c r="B12" s="2652" t="s">
        <v>925</v>
      </c>
      <c r="C12" s="2651" t="s">
        <v>919</v>
      </c>
      <c r="D12" s="2727">
        <f>SUM(вода!AN109+'цех вода'!AB18+'ОХР '!AD20+'ОХР '!AD16)</f>
        <v>14266.198444017429</v>
      </c>
      <c r="E12" s="2727">
        <f>SUM(вода!BA109+'цех вода'!AL18+'ОХР '!AK20+'ОХР '!AK16)</f>
        <v>13450.941002375395</v>
      </c>
      <c r="F12" s="2653">
        <f>вода!BM109+'цех вода'!AM18+'ОХР '!AY20+'ОХР '!AY16</f>
        <v>7469.7662812746894</v>
      </c>
      <c r="G12" s="2653">
        <f>вода!BP109+'цех вода'!AN18+'ОХР '!BB20+'ОХР '!BB16</f>
        <v>9674.6732720983255</v>
      </c>
      <c r="H12" s="2653">
        <f>вода!BS109+'цех вода'!AO18+'ОХР '!BE20+'ОХР '!BE16</f>
        <v>14768.730469303706</v>
      </c>
      <c r="I12" s="2653">
        <f>вода!BI109+'цех вода'!AG18+'ОХР '!AS20+'ОХР '!AS16</f>
        <v>13383.894959795218</v>
      </c>
      <c r="J12" s="2653">
        <f>SUM(вода!CA109+'цех вода'!AQ18+'ОХР '!BM20+'ОХР '!BM16)</f>
        <v>13108.642462107813</v>
      </c>
      <c r="K12" s="2653">
        <f>'электр 2017-2018'!BP51+'цех вода'!AG18*1.06*1.051+'ОХР '!AS16*1.025*1.03+'ОХР '!AS20*1.066*1.067</f>
        <v>14746.788242182742</v>
      </c>
      <c r="L12" s="2727">
        <f>SUM(вода!BW109+'цех вода'!AP18+'ОХР '!BH20+'ОХР '!BH16)</f>
        <v>14515.876748884708</v>
      </c>
      <c r="M12" s="3462">
        <f>SUM(L12*1.1)</f>
        <v>15967.464423773181</v>
      </c>
      <c r="N12" s="2759" t="s">
        <v>1642</v>
      </c>
    </row>
    <row r="13" spans="1:14" s="1963" customFormat="1" ht="15.75">
      <c r="A13" s="2651" t="s">
        <v>926</v>
      </c>
      <c r="B13" s="2652" t="s">
        <v>927</v>
      </c>
      <c r="C13" s="2651" t="s">
        <v>919</v>
      </c>
      <c r="D13" s="2653">
        <f t="shared" ref="D13:I13" si="1">D14+D15+D16+D17+D20</f>
        <v>4790.3870690015992</v>
      </c>
      <c r="E13" s="2653">
        <f t="shared" si="1"/>
        <v>4115.5846315488761</v>
      </c>
      <c r="F13" s="2653">
        <f t="shared" si="1"/>
        <v>2047.2092005201473</v>
      </c>
      <c r="G13" s="2653">
        <f t="shared" si="1"/>
        <v>3063.9118456982624</v>
      </c>
      <c r="H13" s="2653">
        <f t="shared" si="1"/>
        <v>4085.2134347912934</v>
      </c>
      <c r="I13" s="2653">
        <f t="shared" si="1"/>
        <v>5532.9138617403496</v>
      </c>
      <c r="J13" s="2653">
        <f t="shared" ref="J13:K13" si="2">J14+J15+J16+J17+J20</f>
        <v>6499.924</v>
      </c>
      <c r="K13" s="2653">
        <f t="shared" si="2"/>
        <v>4187.778773249066</v>
      </c>
      <c r="L13" s="2653">
        <f>L14+L15+L16+L17+L20</f>
        <v>8055.4606085294663</v>
      </c>
      <c r="M13" s="2653">
        <f>M14+M15+M16+M17+M20</f>
        <v>4356.7477560686375</v>
      </c>
      <c r="N13" s="2759"/>
    </row>
    <row r="14" spans="1:14" s="1968" customFormat="1" ht="26.25" customHeight="1">
      <c r="A14" s="2654" t="s">
        <v>928</v>
      </c>
      <c r="B14" s="2655" t="s">
        <v>929</v>
      </c>
      <c r="C14" s="2654" t="s">
        <v>919</v>
      </c>
      <c r="D14" s="2728">
        <f>SUM('цех вода'!AB24)</f>
        <v>26.213227545000002</v>
      </c>
      <c r="E14" s="2728">
        <f>SUM('цех вода'!AL24)</f>
        <v>0</v>
      </c>
      <c r="F14" s="2656">
        <f>'цех вода'!AM24</f>
        <v>0</v>
      </c>
      <c r="G14" s="2656">
        <f>'цех вода'!AN24</f>
        <v>0</v>
      </c>
      <c r="H14" s="2656">
        <f>'цех вода'!AO24</f>
        <v>0</v>
      </c>
      <c r="I14" s="2656">
        <f>'цех вода'!AG24</f>
        <v>27.1</v>
      </c>
      <c r="J14" s="2656">
        <f>SUM('цех вода'!AQ24)</f>
        <v>28.824999999999999</v>
      </c>
      <c r="K14" s="2656">
        <v>30.17</v>
      </c>
      <c r="L14" s="2728">
        <f>SUM('цех вода'!AP24)</f>
        <v>29.810000000000002</v>
      </c>
      <c r="M14" s="3463">
        <f>SUM(L14*1.1)</f>
        <v>32.791000000000004</v>
      </c>
      <c r="N14" s="2760" t="s">
        <v>1643</v>
      </c>
    </row>
    <row r="15" spans="1:14" s="1968" customFormat="1" ht="41.25" customHeight="1">
      <c r="A15" s="2654" t="s">
        <v>930</v>
      </c>
      <c r="B15" s="2655" t="s">
        <v>931</v>
      </c>
      <c r="C15" s="2654" t="s">
        <v>919</v>
      </c>
      <c r="D15" s="2728">
        <f>SUM(вода!AN116)</f>
        <v>3186.5738414565994</v>
      </c>
      <c r="E15" s="2728">
        <f>SUM(вода!BA116)</f>
        <v>3990.4446315488758</v>
      </c>
      <c r="F15" s="2656">
        <f>вода!BM116</f>
        <v>1983.1292005201474</v>
      </c>
      <c r="G15" s="2656">
        <f>вода!BP116</f>
        <v>2967.7918456982625</v>
      </c>
      <c r="H15" s="2656">
        <f>вода!BS116</f>
        <v>3957.0534347912935</v>
      </c>
      <c r="I15" s="2656">
        <f>вода!BI116</f>
        <v>3107.8150351902632</v>
      </c>
      <c r="J15" s="2656">
        <f>SUM(вода!CA43)</f>
        <v>3603.174</v>
      </c>
      <c r="K15" s="2656">
        <f>вод.налог!J36+вода!BI45+вода!BI46+вода!BI47</f>
        <v>3490.0841013508307</v>
      </c>
      <c r="L15" s="2728">
        <f>SUM(вода!BW116)</f>
        <v>3611.0062217704012</v>
      </c>
      <c r="M15" s="3463">
        <f>SUM(L15)</f>
        <v>3611.0062217704012</v>
      </c>
      <c r="N15" s="2760" t="s">
        <v>10</v>
      </c>
    </row>
    <row r="16" spans="1:14" s="1968" customFormat="1" ht="15.75" customHeight="1">
      <c r="A16" s="2654" t="s">
        <v>932</v>
      </c>
      <c r="B16" s="2655" t="s">
        <v>933</v>
      </c>
      <c r="C16" s="2654" t="s">
        <v>919</v>
      </c>
      <c r="D16" s="2728">
        <f>SUM('цех вода'!AB30+'цех вода'!AB41)</f>
        <v>307.8</v>
      </c>
      <c r="E16" s="2728">
        <f>SUM('цех вода'!AL30+'цех вода'!AL41)</f>
        <v>125.13999999999999</v>
      </c>
      <c r="F16" s="2656">
        <f>'цех вода'!AM30+'цех вода'!AM41</f>
        <v>64.08</v>
      </c>
      <c r="G16" s="2656">
        <f>'цех вода'!AN30+'цех вода'!AN41</f>
        <v>96.12</v>
      </c>
      <c r="H16" s="2656">
        <f>'цех вода'!AO30+'цех вода'!AO41</f>
        <v>128.16</v>
      </c>
      <c r="I16" s="2656">
        <f>'цех вода'!AG30+'цех вода'!AG41</f>
        <v>216.27343999999999</v>
      </c>
      <c r="J16" s="2656">
        <f>SUM('цех вода'!AQ30+'цех вода'!AQ41)</f>
        <v>216.26499999999999</v>
      </c>
      <c r="K16" s="2656">
        <f>J16</f>
        <v>216.26499999999999</v>
      </c>
      <c r="L16" s="2728">
        <f>SUM('цех вода'!AP30+'цех вода'!AP41)</f>
        <v>237.90078400000004</v>
      </c>
      <c r="M16" s="3463">
        <f>SUM(L16*1.1)</f>
        <v>261.69086240000007</v>
      </c>
      <c r="N16" s="2760" t="s">
        <v>1644</v>
      </c>
    </row>
    <row r="17" spans="1:14" s="1968" customFormat="1" ht="32.25" customHeight="1">
      <c r="A17" s="2654" t="s">
        <v>934</v>
      </c>
      <c r="B17" s="2655" t="s">
        <v>935</v>
      </c>
      <c r="C17" s="2654" t="s">
        <v>919</v>
      </c>
      <c r="D17" s="2706">
        <v>0</v>
      </c>
      <c r="E17" s="2706">
        <v>0</v>
      </c>
      <c r="F17" s="2656">
        <f>вода!BM118</f>
        <v>0</v>
      </c>
      <c r="G17" s="2656">
        <f>вода!BP118</f>
        <v>0</v>
      </c>
      <c r="H17" s="2656">
        <f>вода!BS118</f>
        <v>0</v>
      </c>
      <c r="I17" s="2656">
        <f>вода!BI118</f>
        <v>395.92538655008684</v>
      </c>
      <c r="J17" s="2656">
        <f>SUM(вода!CA49)</f>
        <v>397.28</v>
      </c>
      <c r="K17" s="2656">
        <f>'Резерв ДЗ'!F27</f>
        <v>451.25967189823564</v>
      </c>
      <c r="L17" s="2728">
        <f>SUM(вода!BW118)</f>
        <v>404.91360275906646</v>
      </c>
      <c r="M17" s="3463">
        <f>SUM(K17)</f>
        <v>451.25967189823564</v>
      </c>
      <c r="N17" s="2760" t="s">
        <v>908</v>
      </c>
    </row>
    <row r="18" spans="1:14" s="1968" customFormat="1" ht="15.75" customHeight="1">
      <c r="A18" s="2654" t="s">
        <v>936</v>
      </c>
      <c r="B18" s="2655" t="s">
        <v>937</v>
      </c>
      <c r="C18" s="2654" t="s">
        <v>919</v>
      </c>
      <c r="D18" s="2706"/>
      <c r="E18" s="2706"/>
      <c r="F18" s="2656"/>
      <c r="G18" s="2656"/>
      <c r="H18" s="2656"/>
      <c r="I18" s="2656"/>
      <c r="J18" s="2656"/>
      <c r="K18" s="2656"/>
      <c r="L18" s="2706"/>
      <c r="M18" s="3463"/>
      <c r="N18" s="2760"/>
    </row>
    <row r="19" spans="1:14" s="1968" customFormat="1" ht="15.75" customHeight="1">
      <c r="A19" s="2654" t="s">
        <v>938</v>
      </c>
      <c r="B19" s="2655" t="s">
        <v>939</v>
      </c>
      <c r="C19" s="2654" t="s">
        <v>919</v>
      </c>
      <c r="D19" s="2706"/>
      <c r="E19" s="2706"/>
      <c r="F19" s="2656"/>
      <c r="G19" s="2656"/>
      <c r="H19" s="2656"/>
      <c r="I19" s="2656"/>
      <c r="J19" s="2656"/>
      <c r="K19" s="2656"/>
      <c r="L19" s="2706"/>
      <c r="M19" s="3463"/>
      <c r="N19" s="2760"/>
    </row>
    <row r="20" spans="1:14" s="1968" customFormat="1" ht="30.75" customHeight="1">
      <c r="A20" s="2654" t="s">
        <v>940</v>
      </c>
      <c r="B20" s="2655" t="s">
        <v>941</v>
      </c>
      <c r="C20" s="2654" t="s">
        <v>919</v>
      </c>
      <c r="D20" s="2728">
        <f>SUM(вода!AN119)</f>
        <v>1269.8</v>
      </c>
      <c r="E20" s="2728">
        <f>SUM(вода!BA119)</f>
        <v>0</v>
      </c>
      <c r="F20" s="2656">
        <f>вода!BM119</f>
        <v>0</v>
      </c>
      <c r="G20" s="2656">
        <f>вода!BP119</f>
        <v>0</v>
      </c>
      <c r="H20" s="2656">
        <f>вода!BS119</f>
        <v>0</v>
      </c>
      <c r="I20" s="2656">
        <f>вода!BI119</f>
        <v>1785.8</v>
      </c>
      <c r="J20" s="2656">
        <f>SUM(вода!CA50)</f>
        <v>2254.38</v>
      </c>
      <c r="K20" s="2656">
        <v>0</v>
      </c>
      <c r="L20" s="2728">
        <f>SUM(вода!BW119)</f>
        <v>3771.829999999999</v>
      </c>
      <c r="M20" s="3463">
        <v>0</v>
      </c>
      <c r="N20" s="2760" t="s">
        <v>1645</v>
      </c>
    </row>
    <row r="21" spans="1:14" s="1958" customFormat="1" ht="15.75">
      <c r="A21" s="2647" t="s">
        <v>942</v>
      </c>
      <c r="B21" s="2648" t="s">
        <v>2</v>
      </c>
      <c r="C21" s="2647" t="s">
        <v>919</v>
      </c>
      <c r="D21" s="2729">
        <f>SUM(вода!AN110+'ОХР '!AD23)</f>
        <v>7587.2320162530377</v>
      </c>
      <c r="E21" s="2729">
        <f>SUM(вода!BA110+'ОХР '!AK23)</f>
        <v>8349.5477359658471</v>
      </c>
      <c r="F21" s="2729">
        <f>SUM(вода!BM110+'ОХР '!AY23)</f>
        <v>4422.174087766658</v>
      </c>
      <c r="G21" s="2729">
        <f>SUM(вода!BP110+'ОХР '!BB23)</f>
        <v>6457.2442678941134</v>
      </c>
      <c r="H21" s="2729">
        <f>SUM(вода!BS110+'ОХР '!BE23)</f>
        <v>8609.3887469346464</v>
      </c>
      <c r="I21" s="2649">
        <f>SUM(D21)</f>
        <v>7587.2320162530377</v>
      </c>
      <c r="J21" s="2649">
        <f>SUM(вода!CA110)</f>
        <v>8277.2407919081052</v>
      </c>
      <c r="K21" s="2649">
        <f>J21</f>
        <v>8277.2407919081052</v>
      </c>
      <c r="L21" s="2729">
        <f>SUM(вода!BW110+'ОХР '!BH23)</f>
        <v>8378.935327790974</v>
      </c>
      <c r="M21" s="3461">
        <v>11378.94</v>
      </c>
      <c r="N21" s="2761" t="s">
        <v>1646</v>
      </c>
    </row>
    <row r="22" spans="1:14" s="1973" customFormat="1" ht="15.75">
      <c r="A22" s="2657" t="s">
        <v>202</v>
      </c>
      <c r="B22" s="2658" t="s">
        <v>943</v>
      </c>
      <c r="C22" s="2659" t="s">
        <v>44</v>
      </c>
      <c r="D22" s="2660">
        <f t="shared" ref="D22:I22" si="3">D23/(D10+D21)*100</f>
        <v>3.929233828865228</v>
      </c>
      <c r="E22" s="2660">
        <f t="shared" si="3"/>
        <v>0</v>
      </c>
      <c r="F22" s="2660">
        <f t="shared" si="3"/>
        <v>0</v>
      </c>
      <c r="G22" s="2660">
        <f t="shared" si="3"/>
        <v>0</v>
      </c>
      <c r="H22" s="2660">
        <f t="shared" si="3"/>
        <v>0</v>
      </c>
      <c r="I22" s="2660">
        <f t="shared" si="3"/>
        <v>3.3092737237888401</v>
      </c>
      <c r="J22" s="2660">
        <f t="shared" ref="J22:K22" si="4">J23/(J10+J21)*100</f>
        <v>-0.95277452318714884</v>
      </c>
      <c r="K22" s="2661">
        <f t="shared" si="4"/>
        <v>0</v>
      </c>
      <c r="L22" s="2660">
        <f>L23/(L10+L21)*100</f>
        <v>0</v>
      </c>
      <c r="M22" s="2660">
        <f>M23/(M10+M21)*100</f>
        <v>5</v>
      </c>
      <c r="N22" s="2762"/>
    </row>
    <row r="23" spans="1:14" s="1958" customFormat="1" ht="15.75">
      <c r="A23" s="2647" t="s">
        <v>944</v>
      </c>
      <c r="B23" s="2648" t="s">
        <v>945</v>
      </c>
      <c r="C23" s="2647" t="s">
        <v>919</v>
      </c>
      <c r="D23" s="2649">
        <f t="shared" ref="D23:I23" si="5">D24+D25+D26</f>
        <v>4444</v>
      </c>
      <c r="E23" s="2649">
        <f t="shared" si="5"/>
        <v>0</v>
      </c>
      <c r="F23" s="2649">
        <f t="shared" si="5"/>
        <v>0</v>
      </c>
      <c r="G23" s="2649">
        <f t="shared" si="5"/>
        <v>0</v>
      </c>
      <c r="H23" s="2649">
        <f t="shared" si="5"/>
        <v>0</v>
      </c>
      <c r="I23" s="2649">
        <f t="shared" si="5"/>
        <v>3976</v>
      </c>
      <c r="J23" s="2649">
        <f t="shared" ref="J23:K23" si="6">J24+J25+J26</f>
        <v>-1205.4349999999999</v>
      </c>
      <c r="K23" s="2649">
        <f t="shared" si="6"/>
        <v>0</v>
      </c>
      <c r="L23" s="2649">
        <f>L24+L25+L26</f>
        <v>0</v>
      </c>
      <c r="M23" s="2649">
        <f>M24+M25+M26</f>
        <v>7561.8646974359363</v>
      </c>
      <c r="N23" s="2761"/>
    </row>
    <row r="24" spans="1:14" s="1963" customFormat="1" ht="15.75" customHeight="1">
      <c r="A24" s="2651" t="s">
        <v>946</v>
      </c>
      <c r="B24" s="2652" t="s">
        <v>947</v>
      </c>
      <c r="C24" s="2651" t="s">
        <v>919</v>
      </c>
      <c r="D24" s="2727">
        <f>SUM(вода!AN57)</f>
        <v>4444</v>
      </c>
      <c r="E24" s="2727">
        <f>SUM(вода!AO57)</f>
        <v>0</v>
      </c>
      <c r="F24" s="2653">
        <f>вода!BF57</f>
        <v>0</v>
      </c>
      <c r="G24" s="2653">
        <f>вода!BB57</f>
        <v>0</v>
      </c>
      <c r="H24" s="2653">
        <f>вода!BS57</f>
        <v>0</v>
      </c>
      <c r="I24" s="2653">
        <f>вода!BI57</f>
        <v>3976</v>
      </c>
      <c r="J24" s="2653">
        <f>SUM(вода!CA57)</f>
        <v>-1205.4349999999999</v>
      </c>
      <c r="K24" s="2653">
        <v>0</v>
      </c>
      <c r="L24" s="2727">
        <f>SUM(вода!BW57)</f>
        <v>0</v>
      </c>
      <c r="M24" s="3462">
        <f>SUM(M10+M21)*5%</f>
        <v>7561.8646974359363</v>
      </c>
      <c r="N24" s="2759" t="s">
        <v>1598</v>
      </c>
    </row>
    <row r="25" spans="1:14" s="1963" customFormat="1" ht="50.25" customHeight="1">
      <c r="A25" s="2651" t="s">
        <v>948</v>
      </c>
      <c r="B25" s="2652" t="s">
        <v>949</v>
      </c>
      <c r="C25" s="2651" t="s">
        <v>919</v>
      </c>
      <c r="D25" s="2705">
        <v>0</v>
      </c>
      <c r="E25" s="2705">
        <v>0</v>
      </c>
      <c r="F25" s="2653"/>
      <c r="G25" s="2653"/>
      <c r="H25" s="2653"/>
      <c r="I25" s="2653"/>
      <c r="J25" s="2653"/>
      <c r="K25" s="2653"/>
      <c r="L25" s="2705">
        <v>0</v>
      </c>
      <c r="M25" s="3462">
        <v>0</v>
      </c>
      <c r="N25" s="2759"/>
    </row>
    <row r="26" spans="1:14" s="1963" customFormat="1" ht="15.75" customHeight="1">
      <c r="A26" s="2651" t="s">
        <v>950</v>
      </c>
      <c r="B26" s="2652" t="s">
        <v>951</v>
      </c>
      <c r="C26" s="2651" t="s">
        <v>919</v>
      </c>
      <c r="D26" s="2705">
        <v>0</v>
      </c>
      <c r="E26" s="2705">
        <v>0</v>
      </c>
      <c r="F26" s="2653"/>
      <c r="G26" s="2653"/>
      <c r="H26" s="2653"/>
      <c r="I26" s="2653"/>
      <c r="J26" s="2653"/>
      <c r="K26" s="2653"/>
      <c r="L26" s="2705">
        <v>0</v>
      </c>
      <c r="M26" s="3462">
        <v>0</v>
      </c>
      <c r="N26" s="2759"/>
    </row>
    <row r="27" spans="1:14" s="1958" customFormat="1" ht="38.25" customHeight="1">
      <c r="A27" s="2647" t="s">
        <v>203</v>
      </c>
      <c r="B27" s="2648" t="s">
        <v>952</v>
      </c>
      <c r="C27" s="2647" t="s">
        <v>919</v>
      </c>
      <c r="D27" s="2729">
        <f>SUM(вода!AN54)</f>
        <v>5655.0464970462681</v>
      </c>
      <c r="E27" s="2729">
        <f>SUM(вода!ABA54)</f>
        <v>0</v>
      </c>
      <c r="F27" s="2649">
        <v>0</v>
      </c>
      <c r="G27" s="2649">
        <v>0</v>
      </c>
      <c r="H27" s="2649">
        <v>0</v>
      </c>
      <c r="I27" s="2649">
        <f>вода!BI54</f>
        <v>6007.360564295609</v>
      </c>
      <c r="J27" s="2649">
        <f>(J10+J21-J20)*0.05</f>
        <v>6213.2005678725254</v>
      </c>
      <c r="K27" s="2649">
        <f>(K10+K21)*0.05</f>
        <v>6526.0774524479684</v>
      </c>
      <c r="L27" s="2729">
        <f>SUM(вода!BW54)</f>
        <v>6980.8837146637543</v>
      </c>
      <c r="M27" s="2649">
        <f>(M10+M21)*0.05</f>
        <v>7561.8646974359363</v>
      </c>
      <c r="N27" s="2761" t="s">
        <v>1647</v>
      </c>
    </row>
    <row r="28" spans="1:14" s="1953" customFormat="1" ht="15.75">
      <c r="A28" s="2643">
        <v>2</v>
      </c>
      <c r="B28" s="2644" t="s">
        <v>953</v>
      </c>
      <c r="C28" s="2643" t="s">
        <v>954</v>
      </c>
      <c r="D28" s="2730">
        <f>SUM(объемы!K48-объемы!K50)</f>
        <v>4006.2700000000004</v>
      </c>
      <c r="E28" s="2730">
        <f>SUM(объемы!R48)</f>
        <v>3762.2000000000003</v>
      </c>
      <c r="F28" s="2645">
        <f>SUM(объемы!AB48-объемы!AB50)</f>
        <v>1821.09</v>
      </c>
      <c r="G28" s="2645">
        <f>SUM(объемы!AC48-объемы!AC50)</f>
        <v>2669.1800000000003</v>
      </c>
      <c r="H28" s="2645">
        <f>SUM(объемы!AD48-объемы!AD50)</f>
        <v>3551.9100000000008</v>
      </c>
      <c r="I28" s="2645">
        <f>объемы!U48</f>
        <v>3989.2170000000001</v>
      </c>
      <c r="J28" s="2645">
        <f>SUM(объемы!AF48-объемы!AF50)</f>
        <v>3771</v>
      </c>
      <c r="K28" s="2645">
        <f>J28</f>
        <v>3771</v>
      </c>
      <c r="L28" s="2736">
        <f>SUM(объемы!AE48-объемы!AE50)</f>
        <v>3771</v>
      </c>
      <c r="M28" s="3459">
        <f>SUM(L28)</f>
        <v>3771</v>
      </c>
      <c r="N28" s="2646"/>
    </row>
    <row r="29" spans="1:14" s="1953" customFormat="1" ht="15.75">
      <c r="A29" s="2643" t="s">
        <v>196</v>
      </c>
      <c r="B29" s="2662" t="s">
        <v>955</v>
      </c>
      <c r="C29" s="2643" t="s">
        <v>954</v>
      </c>
      <c r="D29" s="2730">
        <f>SUM(объемы!K49)</f>
        <v>2445.422</v>
      </c>
      <c r="E29" s="2730">
        <f>SUM(объемы!R49)</f>
        <v>2377.86</v>
      </c>
      <c r="F29" s="2645">
        <f>объемы!AB49</f>
        <v>1171.8399999999999</v>
      </c>
      <c r="G29" s="2645">
        <f>объемы!AC49</f>
        <v>1744.17</v>
      </c>
      <c r="H29" s="2645">
        <f>объемы!AD49</f>
        <v>2325.5600000000004</v>
      </c>
      <c r="I29" s="2645">
        <f>объемы!U49</f>
        <v>2428.56</v>
      </c>
      <c r="J29" s="2645">
        <f>SUM(объемы!AF49)</f>
        <v>2380</v>
      </c>
      <c r="K29" s="2645">
        <f>J29</f>
        <v>2380</v>
      </c>
      <c r="L29" s="2736">
        <f>SUM(объемы!AE49)</f>
        <v>2380</v>
      </c>
      <c r="M29" s="3459">
        <f>SUM(L29)</f>
        <v>2380</v>
      </c>
      <c r="N29" s="2646"/>
    </row>
    <row r="30" spans="1:14" s="1946" customFormat="1" ht="15.75">
      <c r="A30" s="2663" t="s">
        <v>956</v>
      </c>
      <c r="B30" s="2664" t="s">
        <v>1638</v>
      </c>
      <c r="C30" s="2663" t="s">
        <v>958</v>
      </c>
      <c r="D30" s="2665">
        <f t="shared" ref="D30:M30" si="7">D9/D28</f>
        <v>30.751790677605754</v>
      </c>
      <c r="E30" s="2665">
        <f t="shared" si="7"/>
        <v>30.808213503641042</v>
      </c>
      <c r="F30" s="2665">
        <f t="shared" si="7"/>
        <v>32.356303273184714</v>
      </c>
      <c r="G30" s="2665">
        <f t="shared" si="7"/>
        <v>33.452676674946538</v>
      </c>
      <c r="H30" s="2665">
        <f t="shared" si="7"/>
        <v>34.327360014738069</v>
      </c>
      <c r="I30" s="2665">
        <f t="shared" si="7"/>
        <v>32.620579186703033</v>
      </c>
      <c r="J30" s="2665">
        <f t="shared" si="7"/>
        <v>34.878323236627686</v>
      </c>
      <c r="K30" s="2665">
        <f t="shared" si="7"/>
        <v>36.342515646090511</v>
      </c>
      <c r="L30" s="3474">
        <f t="shared" si="7"/>
        <v>38.875247416584152</v>
      </c>
      <c r="M30" s="3474">
        <f t="shared" si="7"/>
        <v>44.115890571092706</v>
      </c>
      <c r="N30" s="2640"/>
    </row>
    <row r="31" spans="1:14" s="1946" customFormat="1" ht="15.75">
      <c r="A31" s="2663"/>
      <c r="B31" s="2666" t="s">
        <v>959</v>
      </c>
      <c r="C31" s="2663" t="s">
        <v>958</v>
      </c>
      <c r="D31" s="2733">
        <f>SUM('ВОДА (СВОД) 2016-2017'!D36)</f>
        <v>30</v>
      </c>
      <c r="E31" s="2733"/>
      <c r="F31" s="2665"/>
      <c r="G31" s="2665"/>
      <c r="H31" s="2665"/>
      <c r="I31" s="2665">
        <f>вода!BI101</f>
        <v>31.52</v>
      </c>
      <c r="J31" s="2665">
        <f>I32+0.001</f>
        <v>33.722158373406067</v>
      </c>
      <c r="K31" s="2665">
        <f>J32</f>
        <v>36.034488099849305</v>
      </c>
      <c r="L31" s="3475">
        <f>SUM(I32)</f>
        <v>33.72115837340607</v>
      </c>
      <c r="M31" s="3465">
        <f>SUM(L32)</f>
        <v>44.029336459762234</v>
      </c>
      <c r="N31" s="2640"/>
    </row>
    <row r="32" spans="1:14" s="1946" customFormat="1" ht="15.75">
      <c r="A32" s="2663"/>
      <c r="B32" s="2666" t="s">
        <v>960</v>
      </c>
      <c r="C32" s="2663" t="s">
        <v>958</v>
      </c>
      <c r="D32" s="2733">
        <f>SUM('ВОДА (СВОД) 2016-2017'!D37)</f>
        <v>31.503581355211512</v>
      </c>
      <c r="E32" s="2733"/>
      <c r="F32" s="2665"/>
      <c r="G32" s="2665"/>
      <c r="H32" s="2665"/>
      <c r="I32" s="2665">
        <f>I30*2-I31</f>
        <v>33.72115837340607</v>
      </c>
      <c r="J32" s="2665">
        <f>J30*2-J31</f>
        <v>36.034488099849305</v>
      </c>
      <c r="K32" s="2665">
        <f>K30*2-K31</f>
        <v>36.650543192331718</v>
      </c>
      <c r="L32" s="3474">
        <f>L30*2-L31</f>
        <v>44.029336459762234</v>
      </c>
      <c r="M32" s="3474">
        <f>M30*2-M31</f>
        <v>44.202444682423177</v>
      </c>
      <c r="N32" s="2640"/>
    </row>
    <row r="33" spans="1:14" s="1946" customFormat="1" ht="15.75">
      <c r="A33" s="2663"/>
      <c r="B33" s="2664" t="s">
        <v>961</v>
      </c>
      <c r="C33" s="2663"/>
      <c r="D33" s="2695"/>
      <c r="E33" s="2695"/>
      <c r="F33" s="2665"/>
      <c r="G33" s="2665"/>
      <c r="H33" s="2665"/>
      <c r="I33" s="2665"/>
      <c r="J33" s="2665"/>
      <c r="K33" s="2665"/>
      <c r="L33" s="2695"/>
      <c r="M33" s="3465"/>
      <c r="N33" s="2640"/>
    </row>
    <row r="34" spans="1:14" s="1946" customFormat="1" ht="15.75">
      <c r="A34" s="2663"/>
      <c r="B34" s="2666" t="s">
        <v>959</v>
      </c>
      <c r="C34" s="2663" t="s">
        <v>44</v>
      </c>
      <c r="D34" s="2734">
        <v>100</v>
      </c>
      <c r="E34" s="2734"/>
      <c r="F34" s="2665"/>
      <c r="G34" s="2665"/>
      <c r="H34" s="2665"/>
      <c r="I34" s="2665">
        <v>100</v>
      </c>
      <c r="J34" s="2665">
        <f>J31/I32*100</f>
        <v>100.00296549717814</v>
      </c>
      <c r="K34" s="2665">
        <f>K31/J32*100</f>
        <v>100</v>
      </c>
      <c r="L34" s="2665">
        <f>L31/I32*100</f>
        <v>100</v>
      </c>
      <c r="M34" s="2665">
        <f>M31/L32*100</f>
        <v>100</v>
      </c>
      <c r="N34" s="2640"/>
    </row>
    <row r="35" spans="1:14" s="1946" customFormat="1" ht="15.75">
      <c r="A35" s="2663"/>
      <c r="B35" s="2666" t="s">
        <v>960</v>
      </c>
      <c r="C35" s="2663" t="s">
        <v>44</v>
      </c>
      <c r="D35" s="2665">
        <f>D32/D31*100</f>
        <v>105.01193785070504</v>
      </c>
      <c r="E35" s="2665"/>
      <c r="F35" s="2665"/>
      <c r="G35" s="2665"/>
      <c r="H35" s="2665"/>
      <c r="I35" s="2665">
        <f>I32/I31*100</f>
        <v>106.98337047400403</v>
      </c>
      <c r="J35" s="2665">
        <f>J32/J31*100</f>
        <v>106.85700393444206</v>
      </c>
      <c r="K35" s="2665">
        <f>K32/K31*100</f>
        <v>101.70962631902904</v>
      </c>
      <c r="L35" s="2665">
        <f>L32/L31*100</f>
        <v>130.56887302686977</v>
      </c>
      <c r="M35" s="2665">
        <f>M32/M31*100</f>
        <v>100.39316564041147</v>
      </c>
      <c r="N35" s="2640"/>
    </row>
    <row r="36" spans="1:14" ht="9" customHeight="1">
      <c r="A36" s="2667"/>
      <c r="B36" s="2668"/>
      <c r="C36" s="2669"/>
      <c r="D36" s="2669"/>
      <c r="E36" s="2669"/>
      <c r="F36" s="2669"/>
      <c r="G36" s="2669"/>
      <c r="H36" s="2669"/>
      <c r="I36" s="2669"/>
      <c r="J36" s="2669"/>
      <c r="K36" s="2669"/>
      <c r="L36" s="2669"/>
      <c r="M36" s="2669"/>
      <c r="N36" s="2670"/>
    </row>
    <row r="37" spans="1:14" ht="15.75">
      <c r="A37" s="2671" t="s">
        <v>962</v>
      </c>
      <c r="B37" s="2672" t="s">
        <v>963</v>
      </c>
      <c r="C37" s="2673"/>
      <c r="D37" s="2707"/>
      <c r="E37" s="2707"/>
      <c r="F37" s="2673"/>
      <c r="G37" s="2673"/>
      <c r="H37" s="2673"/>
      <c r="I37" s="2673"/>
      <c r="J37" s="2673"/>
      <c r="K37" s="2673"/>
      <c r="L37" s="2707"/>
      <c r="M37" s="3469"/>
      <c r="N37" s="2673"/>
    </row>
    <row r="38" spans="1:14" ht="15.75">
      <c r="A38" s="2673"/>
      <c r="B38" s="2674" t="s">
        <v>959</v>
      </c>
      <c r="C38" s="2675" t="s">
        <v>964</v>
      </c>
      <c r="D38" s="2735">
        <f>SUM('ВОДА (СВОД) 2016-2017'!D49)</f>
        <v>22.66</v>
      </c>
      <c r="E38" s="2735"/>
      <c r="F38" s="2673"/>
      <c r="G38" s="2673"/>
      <c r="H38" s="2675"/>
      <c r="I38" s="2673">
        <v>25.95</v>
      </c>
      <c r="J38" s="3695">
        <f>I39</f>
        <v>27.796610169491526</v>
      </c>
      <c r="K38" s="3695">
        <f>J39</f>
        <v>28.964099999999998</v>
      </c>
      <c r="L38" s="3695">
        <f>SUM(I39)</f>
        <v>27.796610169491526</v>
      </c>
      <c r="M38" s="3695">
        <f>SUM(L39)</f>
        <v>33.355932203389827</v>
      </c>
      <c r="N38" s="2673"/>
    </row>
    <row r="39" spans="1:14" ht="15.75">
      <c r="A39" s="2673"/>
      <c r="B39" s="2674" t="s">
        <v>960</v>
      </c>
      <c r="C39" s="2675" t="s">
        <v>964</v>
      </c>
      <c r="D39" s="2735">
        <f>SUM('ВОДА (СВОД) 2016-2017'!D50)</f>
        <v>25.95</v>
      </c>
      <c r="E39" s="2735"/>
      <c r="F39" s="2676"/>
      <c r="G39" s="2676"/>
      <c r="H39" s="2675"/>
      <c r="I39" s="2676">
        <f>32.8/1.18</f>
        <v>27.796610169491526</v>
      </c>
      <c r="J39" s="2676">
        <v>28.964099999999998</v>
      </c>
      <c r="K39" s="2676">
        <f>K38*1.046</f>
        <v>30.296448599999998</v>
      </c>
      <c r="L39" s="2676">
        <f>L38*1.2</f>
        <v>33.355932203389827</v>
      </c>
      <c r="M39" s="2676">
        <f>M38*1.15</f>
        <v>38.359322033898295</v>
      </c>
      <c r="N39" s="2673"/>
    </row>
    <row r="40" spans="1:14" ht="15.75">
      <c r="A40" s="2673"/>
      <c r="B40" s="2674" t="s">
        <v>364</v>
      </c>
      <c r="C40" s="2675" t="s">
        <v>44</v>
      </c>
      <c r="D40" s="2673">
        <f>D39/D38*100</f>
        <v>114.51897616946161</v>
      </c>
      <c r="E40" s="2673"/>
      <c r="F40" s="2673"/>
      <c r="G40" s="2675"/>
      <c r="H40" s="2675"/>
      <c r="I40" s="2673">
        <f>I39/I38*100</f>
        <v>107.11603148166292</v>
      </c>
      <c r="J40" s="3696">
        <f>J39/J38*100</f>
        <v>104.20011585365853</v>
      </c>
      <c r="K40" s="2673">
        <f>K39/K38*100</f>
        <v>104.60000000000001</v>
      </c>
      <c r="L40" s="2673">
        <f>L39/L38*100</f>
        <v>120</v>
      </c>
      <c r="M40" s="2673">
        <f>M39/M38*100</f>
        <v>114.99999999999999</v>
      </c>
      <c r="N40" s="2673"/>
    </row>
    <row r="41" spans="1:14" ht="15.75">
      <c r="A41" s="2673"/>
      <c r="B41" s="2672" t="s">
        <v>965</v>
      </c>
      <c r="C41" s="2675" t="s">
        <v>919</v>
      </c>
      <c r="D41" s="2673">
        <f>(D31-D38)*D29/2+(D32-D39)*D29/2</f>
        <v>15765.123752412024</v>
      </c>
      <c r="E41" s="2673"/>
      <c r="F41" s="2673"/>
      <c r="G41" s="2675"/>
      <c r="H41" s="2675"/>
      <c r="I41" s="3697">
        <f>(I31-I38)*I29/2+(I32-I39)*I29/2</f>
        <v>13957.599993049353</v>
      </c>
      <c r="J41" s="3696">
        <f>(J31-J38)*J29/2+(J32-J39)*J29/2</f>
        <v>15465.16420147898</v>
      </c>
      <c r="K41" s="2673">
        <f>(K31-K38)*K29/2+(K32-K39)*K29/2</f>
        <v>15975.134403695421</v>
      </c>
      <c r="L41" s="2673">
        <f>(L31-L38)*L29/2+(L32-L39)*L29/2</f>
        <v>19751.563427741472</v>
      </c>
      <c r="M41" s="2673">
        <f>(M31-M38)*M29/2+(M32-M39)*M29/2</f>
        <v>19654.667016827774</v>
      </c>
      <c r="N41" s="2673"/>
    </row>
    <row r="42" spans="1:14">
      <c r="C42" s="1986"/>
      <c r="D42" s="1986"/>
      <c r="E42" s="1986"/>
      <c r="F42" s="1986"/>
      <c r="G42" s="1986"/>
      <c r="H42" s="1986"/>
    </row>
  </sheetData>
  <mergeCells count="18">
    <mergeCell ref="E4:E5"/>
    <mergeCell ref="F4:H4"/>
    <mergeCell ref="D4:D5"/>
    <mergeCell ref="L4:M4"/>
    <mergeCell ref="A1:N1"/>
    <mergeCell ref="A2:N2"/>
    <mergeCell ref="A4:A5"/>
    <mergeCell ref="B4:B5"/>
    <mergeCell ref="C4:C5"/>
    <mergeCell ref="I4:K4"/>
    <mergeCell ref="N4:N5"/>
    <mergeCell ref="H6:H8"/>
    <mergeCell ref="C6:C8"/>
    <mergeCell ref="D6:D8"/>
    <mergeCell ref="I6:I8"/>
    <mergeCell ref="E6:E8"/>
    <mergeCell ref="F6:F8"/>
    <mergeCell ref="G6:G8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2" orientation="landscape" r:id="rId1"/>
  <colBreaks count="1" manualBreakCount="1">
    <brk id="1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52"/>
  <sheetViews>
    <sheetView topLeftCell="A26" zoomScale="77" zoomScaleNormal="77" workbookViewId="0">
      <selection activeCell="G54" sqref="G54"/>
    </sheetView>
  </sheetViews>
  <sheetFormatPr defaultRowHeight="12.75"/>
  <cols>
    <col min="1" max="1" width="10" customWidth="1"/>
    <col min="2" max="2" width="81.85546875" customWidth="1"/>
    <col min="3" max="11" width="12.7109375" customWidth="1"/>
    <col min="12" max="13" width="14" customWidth="1"/>
    <col min="14" max="14" width="38.140625" customWidth="1"/>
  </cols>
  <sheetData>
    <row r="1" spans="1:15" ht="15">
      <c r="A1" s="4425" t="s">
        <v>1526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5" ht="18.75">
      <c r="A2" s="4427" t="s">
        <v>1699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5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5" ht="31.5" customHeight="1">
      <c r="A4" s="4428" t="s">
        <v>909</v>
      </c>
      <c r="B4" s="4428" t="s">
        <v>374</v>
      </c>
      <c r="C4" s="4428" t="s">
        <v>910</v>
      </c>
      <c r="D4" s="4422" t="s">
        <v>1609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3" t="s">
        <v>283</v>
      </c>
      <c r="M4" s="4434"/>
      <c r="N4" s="4424" t="s">
        <v>911</v>
      </c>
    </row>
    <row r="5" spans="1:15" ht="31.5" customHeight="1">
      <c r="A5" s="4428"/>
      <c r="B5" s="4428"/>
      <c r="C5" s="4428"/>
      <c r="D5" s="4312"/>
      <c r="E5" s="4312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5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3456"/>
      <c r="N6" s="2747"/>
    </row>
    <row r="7" spans="1:15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3457"/>
      <c r="N7" s="2747"/>
    </row>
    <row r="8" spans="1:15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3458"/>
      <c r="N8" s="2747"/>
    </row>
    <row r="9" spans="1:15" ht="21.75" customHeight="1">
      <c r="A9" s="2643">
        <v>1</v>
      </c>
      <c r="B9" s="2644" t="s">
        <v>1613</v>
      </c>
      <c r="C9" s="2643" t="s">
        <v>919</v>
      </c>
      <c r="D9" s="2645">
        <f t="shared" ref="D9:M9" si="0">D12+D23+D25+D29</f>
        <v>124068.70836400884</v>
      </c>
      <c r="E9" s="2645">
        <f t="shared" si="0"/>
        <v>116214.42000000001</v>
      </c>
      <c r="F9" s="2645">
        <f t="shared" si="0"/>
        <v>58948.359424089991</v>
      </c>
      <c r="G9" s="2645">
        <f t="shared" si="0"/>
        <v>89325.184896190025</v>
      </c>
      <c r="H9" s="2645">
        <f t="shared" si="0"/>
        <v>121974.02193216179</v>
      </c>
      <c r="I9" s="2645">
        <f t="shared" si="0"/>
        <v>129855.54256762774</v>
      </c>
      <c r="J9" s="3698">
        <f t="shared" si="0"/>
        <v>131872.02983875808</v>
      </c>
      <c r="K9" s="2645">
        <f t="shared" si="0"/>
        <v>137411.56111619639</v>
      </c>
      <c r="L9" s="2645">
        <f t="shared" si="0"/>
        <v>146981.7660985697</v>
      </c>
      <c r="M9" s="2645">
        <f t="shared" si="0"/>
        <v>166777.38267551511</v>
      </c>
      <c r="N9" s="2748"/>
    </row>
    <row r="10" spans="1:15" ht="21.75" customHeight="1">
      <c r="A10" s="2709"/>
      <c r="B10" s="2710" t="s">
        <v>1600</v>
      </c>
      <c r="C10" s="2711" t="s">
        <v>919</v>
      </c>
      <c r="D10" s="2791">
        <f>SUM('Тариф вода 2016-2017 ПЛАН'!D9)</f>
        <v>123199.97643797162</v>
      </c>
      <c r="E10" s="2791">
        <f>SUM(вода!BA58)</f>
        <v>115906.66084339835</v>
      </c>
      <c r="F10" s="2712">
        <f>SUM('Тариф вода 2016-2017 ПЛАН'!F9)</f>
        <v>58923.740327763946</v>
      </c>
      <c r="G10" s="2712">
        <f>SUM('Тариф вода 2016-2017 ПЛАН'!G9)</f>
        <v>89291.215527233813</v>
      </c>
      <c r="H10" s="2712">
        <f>SUM('Тариф вода 2016-2017 ПЛАН'!H9)</f>
        <v>121927.69330994831</v>
      </c>
      <c r="I10" s="2712">
        <f>SUM('Тариф вода 2016-2017 ПЛАН'!I9)</f>
        <v>130130.56904144191</v>
      </c>
      <c r="J10" s="3699">
        <f>SUM('Тариф вода 2016-2017 ПЛАН'!J9)</f>
        <v>131526.15692532301</v>
      </c>
      <c r="K10" s="2712">
        <f>SUM('Тариф вода 2016-2017 ПЛАН'!K9)</f>
        <v>137047.62650140733</v>
      </c>
      <c r="L10" s="2791">
        <f>SUM(вода!BW58)</f>
        <v>146598.55800793885</v>
      </c>
      <c r="M10" s="3460">
        <f>SUM('Тариф вода 2016-2017 ПЛАН'!M9)</f>
        <v>166361.02334359058</v>
      </c>
      <c r="N10" s="2749"/>
    </row>
    <row r="11" spans="1:15" ht="21.75" customHeight="1">
      <c r="A11" s="2709"/>
      <c r="B11" s="2710" t="s">
        <v>1601</v>
      </c>
      <c r="C11" s="2711" t="s">
        <v>919</v>
      </c>
      <c r="D11" s="2791">
        <f>SUM(D9-D10)</f>
        <v>868.73192603721691</v>
      </c>
      <c r="E11" s="2791">
        <f>SUM(E9-E10)</f>
        <v>307.75915660166356</v>
      </c>
      <c r="F11" s="2712">
        <f>SUM('Тариф тех.вода 2016-2017 ПЛАН'!F9)</f>
        <v>24.619096326047917</v>
      </c>
      <c r="G11" s="2712">
        <f>SUM('Тариф тех.вода 2016-2017 ПЛАН'!G9)</f>
        <v>33.969368956207575</v>
      </c>
      <c r="H11" s="2712">
        <f>SUM('Тариф тех.вода 2016-2017 ПЛАН'!H9)</f>
        <v>46.328622213487293</v>
      </c>
      <c r="I11" s="2712">
        <f>SUM('Тариф тех.вода 2016-2017 ПЛАН'!I9)</f>
        <v>343.9835261858193</v>
      </c>
      <c r="J11" s="3699">
        <f>SUM('Тариф тех.вода 2016-2017 ПЛАН'!J9)</f>
        <v>345.87291343504398</v>
      </c>
      <c r="K11" s="2712">
        <f>SUM('Тариф тех.вода 2016-2017 ПЛАН'!K9)</f>
        <v>363.9346147890513</v>
      </c>
      <c r="L11" s="2791">
        <f>SUM(вода!BX58)</f>
        <v>383.20809063088825</v>
      </c>
      <c r="M11" s="3460">
        <f>SUM('Тариф тех.вода 2016-2017 ПЛАН'!M9)</f>
        <v>416.35933192448732</v>
      </c>
      <c r="N11" s="2749"/>
    </row>
    <row r="12" spans="1:15" ht="21.75" customHeight="1">
      <c r="A12" s="2647" t="s">
        <v>920</v>
      </c>
      <c r="B12" s="2648" t="s">
        <v>921</v>
      </c>
      <c r="C12" s="2647" t="s">
        <v>919</v>
      </c>
      <c r="D12" s="2649">
        <f t="shared" ref="D12:M12" si="1">D13+D14+D15</f>
        <v>106206.18058161005</v>
      </c>
      <c r="E12" s="2649">
        <f t="shared" si="1"/>
        <v>107832.41</v>
      </c>
      <c r="F12" s="2649">
        <f t="shared" si="1"/>
        <v>54523.299424089993</v>
      </c>
      <c r="G12" s="2649">
        <f t="shared" si="1"/>
        <v>82864.024896190022</v>
      </c>
      <c r="H12" s="2649">
        <f t="shared" si="1"/>
        <v>113359.4019321618</v>
      </c>
      <c r="I12" s="2649">
        <f t="shared" si="1"/>
        <v>112249.69865857442</v>
      </c>
      <c r="J12" s="2649">
        <f t="shared" si="1"/>
        <v>118567.58427088555</v>
      </c>
      <c r="K12" s="2649">
        <f t="shared" si="1"/>
        <v>122588.80366374843</v>
      </c>
      <c r="L12" s="2649">
        <f t="shared" si="1"/>
        <v>131571.7013795902</v>
      </c>
      <c r="M12" s="2649">
        <f t="shared" si="1"/>
        <v>140222.88897358067</v>
      </c>
      <c r="N12" s="2750"/>
      <c r="O12" t="s">
        <v>1631</v>
      </c>
    </row>
    <row r="13" spans="1:15" ht="21.75" customHeight="1">
      <c r="A13" s="2651" t="s">
        <v>922</v>
      </c>
      <c r="B13" s="2652" t="s">
        <v>923</v>
      </c>
      <c r="C13" s="2651" t="s">
        <v>919</v>
      </c>
      <c r="D13" s="2727">
        <f>SUM(вода!AL111+вода!AL112+вода!AL113+вода!AL114+вода!AL115+вода!AL117-D16-D18-'цех вода'!AB18-'ОХР '!AD20-'ОХР '!AD16-'ОХР '!AD23)</f>
        <v>87043.180585426613</v>
      </c>
      <c r="E13" s="2727">
        <f>SUM(вода!AZ111+вода!AZ112+вода!AZ113+вода!AZ114+вода!AZ115+вода!AZ117-E16-E18-'цех вода'!AL18-'ОХР '!AK20-'ОХР '!AK16-'ОХР '!AK23)</f>
        <v>90228.18</v>
      </c>
      <c r="F13" s="2653">
        <f>SUM('Тариф вода 2016-2017 ПЛАН'!F11+'Тариф тех.вода 2016-2017 ПЛАН'!F11)</f>
        <v>45003.919424089996</v>
      </c>
      <c r="G13" s="2653">
        <f>SUM('Тариф вода 2016-2017 ПЛАН'!G11+'Тариф тех.вода 2016-2017 ПЛАН'!G11)</f>
        <v>70122.284896190016</v>
      </c>
      <c r="H13" s="2653">
        <f>SUM('Тариф вода 2016-2017 ПЛАН'!H11+'Тариф тех.вода 2016-2017 ПЛАН'!H11)</f>
        <v>94501.260046947209</v>
      </c>
      <c r="I13" s="2653">
        <f>SUM('Тариф вода 2016-2017 ПЛАН'!I11+'Тариф тех.вода 2016-2017 ПЛАН'!I11)</f>
        <v>93294.627197168258</v>
      </c>
      <c r="J13" s="2653">
        <f>SUM('Тариф вода 2016-2017 ПЛАН'!J11+'Тариф тех.вода 2016-2017 ПЛАН'!J11)</f>
        <v>98919.360270885547</v>
      </c>
      <c r="K13" s="2653">
        <f>SUM('Тариф вода 2016-2017 ПЛАН'!K11+'Тариф тех.вода 2016-2017 ПЛАН'!K11)</f>
        <v>103610.11633493095</v>
      </c>
      <c r="L13" s="2727">
        <f>SUM(вода!BU111+вода!BU112+вода!BU113+вода!BU114+вода!BU115+вода!BU117-L16-L18-'цех вода'!AP18-'ОХР '!BH20-'ОХР '!BH16-'ОХР '!BH23)</f>
        <v>108963.07300760312</v>
      </c>
      <c r="M13" s="3462">
        <f>SUM('Тариф вода 2016-2017 ПЛАН'!M11+'Тариф тех.вода 2016-2017 ПЛАН'!M11)</f>
        <v>119859.38030836344</v>
      </c>
      <c r="N13" s="2757" t="s">
        <v>1641</v>
      </c>
      <c r="O13" t="s">
        <v>1632</v>
      </c>
    </row>
    <row r="14" spans="1:15" ht="30.75" customHeight="1">
      <c r="A14" s="2651" t="s">
        <v>924</v>
      </c>
      <c r="B14" s="2652" t="s">
        <v>925</v>
      </c>
      <c r="C14" s="2651" t="s">
        <v>919</v>
      </c>
      <c r="D14" s="2727">
        <f>SUM(вода!AL109+'цех вода'!AB18+'ОХР '!AD20+'ОХР '!AD16)</f>
        <v>14318.514543780208</v>
      </c>
      <c r="E14" s="2727">
        <f>SUM(вода!AZ109+'цех вода'!AL18+'ОХР '!AK20+'ОХР '!AK16)</f>
        <v>13469.32</v>
      </c>
      <c r="F14" s="2653">
        <f>SUM('Тариф вода 2016-2017 ПЛАН'!F12+'Тариф тех.вода 2016-2017 ПЛАН'!F12)</f>
        <v>7470.5699999999988</v>
      </c>
      <c r="G14" s="2653">
        <f>SUM('Тариф вода 2016-2017 ПЛАН'!G12+'Тариф тех.вода 2016-2017 ПЛАН'!G12)</f>
        <v>9675.66</v>
      </c>
      <c r="H14" s="2653">
        <f>SUM('Тариф вода 2016-2017 ПЛАН'!H12+'Тариф тех.вода 2016-2017 ПЛАН'!H12)</f>
        <v>14770.031885214592</v>
      </c>
      <c r="I14" s="2653">
        <f>SUM('Тариф вода 2016-2017 ПЛАН'!I12+'Тариф тех.вода 2016-2017 ПЛАН'!I12)</f>
        <v>13404.535158963941</v>
      </c>
      <c r="J14" s="2653">
        <f>SUM('Тариф вода 2016-2017 ПЛАН'!J12+'Тариф тех.вода 2016-2017 ПЛАН'!J12)</f>
        <v>13129.57</v>
      </c>
      <c r="K14" s="2653">
        <f>SUM('Тариф вода 2016-2017 ПЛАН'!K12+'Тариф тех.вода 2016-2017 ПЛАН'!K12)</f>
        <v>14769.36905556841</v>
      </c>
      <c r="L14" s="2727">
        <f>SUM(вода!BU109+'цех вода'!AP18+'ОХР '!BH20+'ОХР '!BH16)</f>
        <v>14535.93145690977</v>
      </c>
      <c r="M14" s="3462">
        <f>SUM('Тариф вода 2016-2017 ПЛАН'!M12+'Тариф тех.вода 2016-2017 ПЛАН'!M12)</f>
        <v>15989.524602600748</v>
      </c>
      <c r="N14" s="2757" t="s">
        <v>1642</v>
      </c>
    </row>
    <row r="15" spans="1:15" ht="21.75" customHeight="1">
      <c r="A15" s="2651" t="s">
        <v>926</v>
      </c>
      <c r="B15" s="2652" t="s">
        <v>927</v>
      </c>
      <c r="C15" s="2651" t="s">
        <v>919</v>
      </c>
      <c r="D15" s="2653">
        <f t="shared" ref="D15:I15" si="2">D16+D17+D18+D19+D22</f>
        <v>4844.4854524032326</v>
      </c>
      <c r="E15" s="2653">
        <f t="shared" si="2"/>
        <v>4134.91</v>
      </c>
      <c r="F15" s="2653">
        <f t="shared" si="2"/>
        <v>2048.81</v>
      </c>
      <c r="G15" s="2653">
        <f t="shared" si="2"/>
        <v>3066.08</v>
      </c>
      <c r="H15" s="2653">
        <f t="shared" si="2"/>
        <v>4088.11</v>
      </c>
      <c r="I15" s="2653">
        <f t="shared" si="2"/>
        <v>5550.5363024422086</v>
      </c>
      <c r="J15" s="2653">
        <f t="shared" ref="J15:K15" si="3">J16+J17+J18+J19+J22</f>
        <v>6518.6539999999995</v>
      </c>
      <c r="K15" s="2653">
        <f t="shared" si="3"/>
        <v>4209.3182732490659</v>
      </c>
      <c r="L15" s="2653">
        <f>L16+L17+L18+L19+L22</f>
        <v>8072.6969150772966</v>
      </c>
      <c r="M15" s="2653">
        <f>M16+M17+M18+M19+M22</f>
        <v>4373.9840626164678</v>
      </c>
      <c r="N15" s="2751"/>
    </row>
    <row r="16" spans="1:15" ht="30.75" customHeight="1">
      <c r="A16" s="2654" t="s">
        <v>928</v>
      </c>
      <c r="B16" s="2655" t="s">
        <v>929</v>
      </c>
      <c r="C16" s="2654" t="s">
        <v>919</v>
      </c>
      <c r="D16" s="2728">
        <f>SUM('цех вода'!AB24)</f>
        <v>26.213227545000002</v>
      </c>
      <c r="E16" s="2728">
        <f>SUM('цех вода'!AL24)</f>
        <v>0</v>
      </c>
      <c r="F16" s="2656">
        <f>SUM('Тариф вода 2016-2017 ПЛАН'!F14+'Тариф тех.вода 2016-2017 ПЛАН'!F14)</f>
        <v>0</v>
      </c>
      <c r="G16" s="2656">
        <f>SUM('Тариф вода 2016-2017 ПЛАН'!G14+'Тариф тех.вода 2016-2017 ПЛАН'!G14)</f>
        <v>0</v>
      </c>
      <c r="H16" s="2656">
        <f>SUM('Тариф вода 2016-2017 ПЛАН'!H14+'Тариф тех.вода 2016-2017 ПЛАН'!H14)</f>
        <v>0</v>
      </c>
      <c r="I16" s="2656">
        <f>SUM('Тариф вода 2016-2017 ПЛАН'!I14+'Тариф тех.вода 2016-2017 ПЛАН'!I14)</f>
        <v>27.1</v>
      </c>
      <c r="J16" s="2656">
        <f>SUM('Тариф вода 2016-2017 ПЛАН'!J14+'Тариф тех.вода 2016-2017 ПЛАН'!J14)</f>
        <v>28.824999999999999</v>
      </c>
      <c r="K16" s="2656">
        <f>SUM('Тариф вода 2016-2017 ПЛАН'!K14+'Тариф тех.вода 2016-2017 ПЛАН'!K14)</f>
        <v>30.17</v>
      </c>
      <c r="L16" s="2728">
        <f>SUM('цех вода'!AP24)</f>
        <v>29.810000000000002</v>
      </c>
      <c r="M16" s="3463">
        <f>SUM('Тариф вода 2016-2017 ПЛАН'!M14+'Тариф тех.вода 2016-2017 ПЛАН'!M14)</f>
        <v>32.791000000000004</v>
      </c>
      <c r="N16" s="2758" t="s">
        <v>1643</v>
      </c>
    </row>
    <row r="17" spans="1:14" ht="41.25" customHeight="1">
      <c r="A17" s="2654" t="s">
        <v>930</v>
      </c>
      <c r="B17" s="2655" t="s">
        <v>931</v>
      </c>
      <c r="C17" s="2654" t="s">
        <v>919</v>
      </c>
      <c r="D17" s="2728">
        <f>SUM(вода!AL116)</f>
        <v>3223.1722248582328</v>
      </c>
      <c r="E17" s="2728">
        <f>SUM(вода!AZ116)</f>
        <v>4009.7699999999995</v>
      </c>
      <c r="F17" s="2656">
        <f>SUM('Тариф вода 2016-2017 ПЛАН'!F15+'Тариф тех.вода 2016-2017 ПЛАН'!F15)</f>
        <v>1984.73</v>
      </c>
      <c r="G17" s="2656">
        <f>SUM('Тариф вода 2016-2017 ПЛАН'!G15+'Тариф тех.вода 2016-2017 ПЛАН'!G15)</f>
        <v>2969.96</v>
      </c>
      <c r="H17" s="2656">
        <f>SUM('Тариф вода 2016-2017 ПЛАН'!H15+'Тариф тех.вода 2016-2017 ПЛАН'!H15)</f>
        <v>3959.9500000000003</v>
      </c>
      <c r="I17" s="2656">
        <f>SUM('Тариф вода 2016-2017 ПЛАН'!I15+'Тариф тех.вода 2016-2017 ПЛАН'!I15)</f>
        <v>3125.4374758921217</v>
      </c>
      <c r="J17" s="2656">
        <f>SUM('Тариф вода 2016-2017 ПЛАН'!J15+'Тариф тех.вода 2016-2017 ПЛАН'!J15)</f>
        <v>3621.904</v>
      </c>
      <c r="K17" s="2656">
        <f>SUM('Тариф вода 2016-2017 ПЛАН'!K15+'Тариф тех.вода 2016-2017 ПЛАН'!K15)</f>
        <v>3511.6236013508305</v>
      </c>
      <c r="L17" s="2728">
        <f>SUM(вода!BU116)</f>
        <v>3628.2425283182315</v>
      </c>
      <c r="M17" s="3463">
        <f>SUM('Тариф вода 2016-2017 ПЛАН'!M15+'Тариф тех.вода 2016-2017 ПЛАН'!M15)</f>
        <v>3628.2425283182315</v>
      </c>
      <c r="N17" s="2758" t="s">
        <v>10</v>
      </c>
    </row>
    <row r="18" spans="1:14" ht="21.75" customHeight="1">
      <c r="A18" s="2654" t="s">
        <v>932</v>
      </c>
      <c r="B18" s="2655" t="s">
        <v>933</v>
      </c>
      <c r="C18" s="2654" t="s">
        <v>919</v>
      </c>
      <c r="D18" s="2728">
        <f>SUM('цех вода'!AB30+'цех вода'!AB41)</f>
        <v>307.8</v>
      </c>
      <c r="E18" s="2728">
        <f>SUM('цех вода'!AL30+'цех вода'!AL41)</f>
        <v>125.13999999999999</v>
      </c>
      <c r="F18" s="2656">
        <f>SUM('Тариф вода 2016-2017 ПЛАН'!F16+'Тариф тех.вода 2016-2017 ПЛАН'!F16)</f>
        <v>64.08</v>
      </c>
      <c r="G18" s="2656">
        <f>SUM('Тариф вода 2016-2017 ПЛАН'!G16+'Тариф тех.вода 2016-2017 ПЛАН'!G16)</f>
        <v>96.12</v>
      </c>
      <c r="H18" s="2656">
        <f>SUM('Тариф вода 2016-2017 ПЛАН'!H16+'Тариф тех.вода 2016-2017 ПЛАН'!H16)</f>
        <v>128.16</v>
      </c>
      <c r="I18" s="2656">
        <f>SUM('Тариф вода 2016-2017 ПЛАН'!I16+'Тариф тех.вода 2016-2017 ПЛАН'!I16)</f>
        <v>216.27343999999999</v>
      </c>
      <c r="J18" s="2656">
        <f>SUM('Тариф вода 2016-2017 ПЛАН'!J16+'Тариф тех.вода 2016-2017 ПЛАН'!J16)</f>
        <v>216.26499999999999</v>
      </c>
      <c r="K18" s="2656">
        <f>SUM('Тариф вода 2016-2017 ПЛАН'!K16+'Тариф тех.вода 2016-2017 ПЛАН'!K16)</f>
        <v>216.26499999999999</v>
      </c>
      <c r="L18" s="2728">
        <f>SUM('цех вода'!AP30+'цех вода'!AP41)</f>
        <v>237.90078400000004</v>
      </c>
      <c r="M18" s="3463">
        <f>SUM('Тариф вода 2016-2017 ПЛАН'!M16+'Тариф тех.вода 2016-2017 ПЛАН'!M16)</f>
        <v>261.69086240000007</v>
      </c>
      <c r="N18" s="2752" t="s">
        <v>1644</v>
      </c>
    </row>
    <row r="19" spans="1:14" ht="30.75" customHeight="1">
      <c r="A19" s="2654" t="s">
        <v>934</v>
      </c>
      <c r="B19" s="2655" t="s">
        <v>935</v>
      </c>
      <c r="C19" s="2654" t="s">
        <v>919</v>
      </c>
      <c r="D19" s="2706">
        <v>0</v>
      </c>
      <c r="E19" s="2706">
        <v>0</v>
      </c>
      <c r="F19" s="2656">
        <f>SUM('Тариф вода 2016-2017 ПЛАН'!F17+'Тариф тех.вода 2016-2017 ПЛАН'!F17)</f>
        <v>0</v>
      </c>
      <c r="G19" s="2656">
        <f>SUM('Тариф вода 2016-2017 ПЛАН'!G17+'Тариф тех.вода 2016-2017 ПЛАН'!G17)</f>
        <v>0</v>
      </c>
      <c r="H19" s="2656">
        <f>SUM('Тариф вода 2016-2017 ПЛАН'!H17+'Тариф тех.вода 2016-2017 ПЛАН'!H17)</f>
        <v>0</v>
      </c>
      <c r="I19" s="2656">
        <f>SUM('Тариф вода 2016-2017 ПЛАН'!I17+'Тариф тех.вода 2016-2017 ПЛАН'!I17)</f>
        <v>395.92538655008684</v>
      </c>
      <c r="J19" s="2656">
        <f>SUM('Тариф вода 2016-2017 ПЛАН'!J17+'Тариф тех.вода 2016-2017 ПЛАН'!J17)</f>
        <v>397.28</v>
      </c>
      <c r="K19" s="2656">
        <f>SUM('Тариф вода 2016-2017 ПЛАН'!K17+'Тариф тех.вода 2016-2017 ПЛАН'!K17)</f>
        <v>451.25967189823564</v>
      </c>
      <c r="L19" s="2728">
        <f>SUM(вода!BU49)</f>
        <v>404.91360275906646</v>
      </c>
      <c r="M19" s="3463">
        <f>SUM('Тариф вода 2016-2017 ПЛАН'!M17+'Тариф тех.вода 2016-2017 ПЛАН'!M17)</f>
        <v>451.25967189823564</v>
      </c>
      <c r="N19" s="2758" t="s">
        <v>908</v>
      </c>
    </row>
    <row r="20" spans="1:14" ht="21.75" customHeight="1">
      <c r="A20" s="2654" t="s">
        <v>936</v>
      </c>
      <c r="B20" s="2655" t="s">
        <v>937</v>
      </c>
      <c r="C20" s="2654" t="s">
        <v>919</v>
      </c>
      <c r="D20" s="2706">
        <v>0</v>
      </c>
      <c r="E20" s="2706">
        <v>0</v>
      </c>
      <c r="F20" s="2656">
        <f>SUM('Тариф вода 2016-2017 ПЛАН'!F18+'Тариф тех.вода 2016-2017 ПЛАН'!F18)</f>
        <v>0</v>
      </c>
      <c r="G20" s="2656">
        <f>SUM('Тариф вода 2016-2017 ПЛАН'!G18+'Тариф тех.вода 2016-2017 ПЛАН'!G18)</f>
        <v>0</v>
      </c>
      <c r="H20" s="2656">
        <f>SUM('Тариф вода 2016-2017 ПЛАН'!H18+'Тариф тех.вода 2016-2017 ПЛАН'!H18)</f>
        <v>0</v>
      </c>
      <c r="I20" s="2656">
        <f>SUM('Тариф вода 2016-2017 ПЛАН'!I18+'Тариф тех.вода 2016-2017 ПЛАН'!I18)</f>
        <v>0</v>
      </c>
      <c r="J20" s="2656">
        <f>SUM('Тариф вода 2016-2017 ПЛАН'!J18+'Тариф тех.вода 2016-2017 ПЛАН'!J18)</f>
        <v>0</v>
      </c>
      <c r="K20" s="2656">
        <f>SUM('Тариф вода 2016-2017 ПЛАН'!K18+'Тариф тех.вода 2016-2017 ПЛАН'!K18)</f>
        <v>0</v>
      </c>
      <c r="L20" s="2706">
        <v>0</v>
      </c>
      <c r="M20" s="3463">
        <f>SUM('Тариф вода 2016-2017 ПЛАН'!M18+'Тариф тех.вода 2016-2017 ПЛАН'!M18)</f>
        <v>0</v>
      </c>
      <c r="N20" s="2752"/>
    </row>
    <row r="21" spans="1:14" ht="21.75" customHeight="1">
      <c r="A21" s="2654" t="s">
        <v>938</v>
      </c>
      <c r="B21" s="2655" t="s">
        <v>939</v>
      </c>
      <c r="C21" s="2654" t="s">
        <v>919</v>
      </c>
      <c r="D21" s="2706">
        <v>0</v>
      </c>
      <c r="E21" s="2706">
        <v>0</v>
      </c>
      <c r="F21" s="2656">
        <f>SUM('Тариф вода 2016-2017 ПЛАН'!F19+'Тариф тех.вода 2016-2017 ПЛАН'!F19)</f>
        <v>0</v>
      </c>
      <c r="G21" s="2656">
        <f>SUM('Тариф вода 2016-2017 ПЛАН'!G19+'Тариф тех.вода 2016-2017 ПЛАН'!G19)</f>
        <v>0</v>
      </c>
      <c r="H21" s="2656">
        <f>SUM('Тариф вода 2016-2017 ПЛАН'!H19+'Тариф тех.вода 2016-2017 ПЛАН'!H19)</f>
        <v>0</v>
      </c>
      <c r="I21" s="2656">
        <f>SUM('Тариф вода 2016-2017 ПЛАН'!I19+'Тариф тех.вода 2016-2017 ПЛАН'!I19)</f>
        <v>0</v>
      </c>
      <c r="J21" s="2656">
        <f>SUM('Тариф вода 2016-2017 ПЛАН'!J19+'Тариф тех.вода 2016-2017 ПЛАН'!J19)</f>
        <v>0</v>
      </c>
      <c r="K21" s="2656">
        <f>SUM('Тариф вода 2016-2017 ПЛАН'!K19+'Тариф тех.вода 2016-2017 ПЛАН'!K19)</f>
        <v>0</v>
      </c>
      <c r="L21" s="2706">
        <v>0</v>
      </c>
      <c r="M21" s="3463">
        <f>SUM('Тариф вода 2016-2017 ПЛАН'!M19+'Тариф тех.вода 2016-2017 ПЛАН'!M19)</f>
        <v>0</v>
      </c>
      <c r="N21" s="2752"/>
    </row>
    <row r="22" spans="1:14" ht="30.75" customHeight="1">
      <c r="A22" s="2654" t="s">
        <v>940</v>
      </c>
      <c r="B22" s="2655" t="s">
        <v>941</v>
      </c>
      <c r="C22" s="2654" t="s">
        <v>919</v>
      </c>
      <c r="D22" s="2728">
        <f>SUM(вода!AL119)</f>
        <v>1287.3</v>
      </c>
      <c r="E22" s="2728">
        <f>SUM(вода!AZ119)</f>
        <v>0</v>
      </c>
      <c r="F22" s="2656">
        <f>SUM('Тариф вода 2016-2017 ПЛАН'!F20+'Тариф тех.вода 2016-2017 ПЛАН'!F20)</f>
        <v>0</v>
      </c>
      <c r="G22" s="2656">
        <f>SUM('Тариф вода 2016-2017 ПЛАН'!G20+'Тариф тех.вода 2016-2017 ПЛАН'!G20)</f>
        <v>0</v>
      </c>
      <c r="H22" s="2656">
        <f>SUM('Тариф вода 2016-2017 ПЛАН'!H20+'Тариф тех.вода 2016-2017 ПЛАН'!H20)</f>
        <v>0</v>
      </c>
      <c r="I22" s="2656">
        <f>SUM('Тариф вода 2016-2017 ПЛАН'!I20+'Тариф тех.вода 2016-2017 ПЛАН'!I20)</f>
        <v>1785.8</v>
      </c>
      <c r="J22" s="2656">
        <f>SUM('Тариф вода 2016-2017 ПЛАН'!J20+'Тариф тех.вода 2016-2017 ПЛАН'!J20)</f>
        <v>2254.38</v>
      </c>
      <c r="K22" s="2656">
        <f>SUM('Тариф вода 2016-2017 ПЛАН'!K20+'Тариф тех.вода 2016-2017 ПЛАН'!K20)</f>
        <v>0</v>
      </c>
      <c r="L22" s="2728">
        <f>SUM(вода!BU119)</f>
        <v>3771.829999999999</v>
      </c>
      <c r="M22" s="3463">
        <f>SUM('Тариф вода 2016-2017 ПЛАН'!M20+'Тариф тех.вода 2016-2017 ПЛАН'!M20)</f>
        <v>0</v>
      </c>
      <c r="N22" s="2758" t="s">
        <v>1645</v>
      </c>
    </row>
    <row r="23" spans="1:14" ht="21.75" customHeight="1">
      <c r="A23" s="2647" t="s">
        <v>942</v>
      </c>
      <c r="B23" s="2648" t="s">
        <v>2</v>
      </c>
      <c r="C23" s="2647" t="s">
        <v>919</v>
      </c>
      <c r="D23" s="2729">
        <f>SUM(вода!AL110+'ОХР '!AD23)</f>
        <v>7664.9702412555062</v>
      </c>
      <c r="E23" s="2729">
        <f>SUM(вода!AZ110+'ОХР '!AK23)</f>
        <v>8382.010000000002</v>
      </c>
      <c r="F23" s="2649">
        <f>SUM('Тариф вода 2016-2017 ПЛАН'!F21+'Тариф тех.вода 2016-2017 ПЛАН'!F21)</f>
        <v>4425.0600000000004</v>
      </c>
      <c r="G23" s="2649">
        <f>SUM('Тариф вода 2016-2017 ПЛАН'!G21+'Тариф тех.вода 2016-2017 ПЛАН'!G21)</f>
        <v>6461.1600000000008</v>
      </c>
      <c r="H23" s="2649">
        <f>SUM('Тариф вода 2016-2017 ПЛАН'!H21+'Тариф тех.вода 2016-2017 ПЛАН'!H21)</f>
        <v>8614.6200000000008</v>
      </c>
      <c r="I23" s="2649">
        <f>SUM('Тариф вода 2016-2017 ПЛАН'!I21+'Тариф тех.вода 2016-2017 ПЛАН'!I21)</f>
        <v>7622.4833447577112</v>
      </c>
      <c r="J23" s="2649">
        <f>SUM('Тариф вода 2016-2017 ПЛАН'!J21+'Тариф тех.вода 2016-2017 ПЛАН'!J21)</f>
        <v>8296.68</v>
      </c>
      <c r="K23" s="2649">
        <f>SUM('Тариф вода 2016-2017 ПЛАН'!K21+'Тариф тех.вода 2016-2017 ПЛАН'!K21)</f>
        <v>8296.68</v>
      </c>
      <c r="L23" s="2729">
        <f>SUM(вода!BU110+'ОХР '!BH23)</f>
        <v>8410.9330000000009</v>
      </c>
      <c r="M23" s="3461">
        <f>SUM('Тариф вода 2016-2017 ПЛАН'!M21+'Тариф тех.вода 2016-2017 ПЛАН'!M21)</f>
        <v>11410.937672209027</v>
      </c>
      <c r="N23" s="2763" t="s">
        <v>1646</v>
      </c>
    </row>
    <row r="24" spans="1:14" ht="21.75" customHeight="1">
      <c r="A24" s="2657" t="s">
        <v>202</v>
      </c>
      <c r="B24" s="2658" t="s">
        <v>943</v>
      </c>
      <c r="C24" s="2680" t="s">
        <v>44</v>
      </c>
      <c r="D24" s="2703">
        <f t="shared" ref="D24:I24" si="4">D25/(D12+D23)*100</f>
        <v>3.9026566148549331</v>
      </c>
      <c r="E24" s="2703">
        <f t="shared" si="4"/>
        <v>0</v>
      </c>
      <c r="F24" s="2703">
        <f t="shared" si="4"/>
        <v>0</v>
      </c>
      <c r="G24" s="2703">
        <f t="shared" si="4"/>
        <v>0</v>
      </c>
      <c r="H24" s="2703">
        <f t="shared" si="4"/>
        <v>0</v>
      </c>
      <c r="I24" s="2703">
        <f t="shared" si="4"/>
        <v>3.3168662933736188</v>
      </c>
      <c r="J24" s="2703">
        <f t="shared" ref="J24:K24" si="5">J25/(J12+J23)*100</f>
        <v>-0.95017695245219558</v>
      </c>
      <c r="K24" s="2682">
        <f t="shared" si="5"/>
        <v>0</v>
      </c>
      <c r="L24" s="2703">
        <f>L25/(L12+L23)*100</f>
        <v>0</v>
      </c>
      <c r="M24" s="2703">
        <f>M25/(M12+M23)*100</f>
        <v>4.9869246623315373</v>
      </c>
      <c r="N24" s="2764"/>
    </row>
    <row r="25" spans="1:14" ht="21.75" customHeight="1">
      <c r="A25" s="2647" t="s">
        <v>944</v>
      </c>
      <c r="B25" s="2648" t="s">
        <v>945</v>
      </c>
      <c r="C25" s="2647" t="s">
        <v>919</v>
      </c>
      <c r="D25" s="2649">
        <f t="shared" ref="D25:I25" si="6">D26+D27+D28</f>
        <v>4444</v>
      </c>
      <c r="E25" s="2649">
        <f t="shared" si="6"/>
        <v>0</v>
      </c>
      <c r="F25" s="2649">
        <f t="shared" si="6"/>
        <v>0</v>
      </c>
      <c r="G25" s="2649">
        <f t="shared" si="6"/>
        <v>0</v>
      </c>
      <c r="H25" s="2649">
        <f t="shared" si="6"/>
        <v>0</v>
      </c>
      <c r="I25" s="2649">
        <f t="shared" si="6"/>
        <v>3976</v>
      </c>
      <c r="J25" s="2649">
        <f t="shared" ref="J25:K25" si="7">J26+J27+J28</f>
        <v>-1205.4349999999999</v>
      </c>
      <c r="K25" s="2649">
        <f t="shared" si="7"/>
        <v>0</v>
      </c>
      <c r="L25" s="2649">
        <f>L26+L27+L28</f>
        <v>0</v>
      </c>
      <c r="M25" s="2649">
        <f>M26+M27+M28</f>
        <v>7561.8646974359363</v>
      </c>
      <c r="N25" s="2763"/>
    </row>
    <row r="26" spans="1:14" ht="21.75" customHeight="1">
      <c r="A26" s="2651" t="s">
        <v>946</v>
      </c>
      <c r="B26" s="2652" t="s">
        <v>947</v>
      </c>
      <c r="C26" s="2651" t="s">
        <v>919</v>
      </c>
      <c r="D26" s="2727">
        <f>SUM(вода!AL57)</f>
        <v>4444</v>
      </c>
      <c r="E26" s="2727">
        <v>0</v>
      </c>
      <c r="F26" s="2653">
        <f>SUM('Тариф вода 2016-2017 ПЛАН'!F24+'Тариф тех.вода 2016-2017 ПЛАН'!F24)</f>
        <v>0</v>
      </c>
      <c r="G26" s="2653">
        <f>SUM('Тариф вода 2016-2017 ПЛАН'!G24+'Тариф тех.вода 2016-2017 ПЛАН'!G24)</f>
        <v>0</v>
      </c>
      <c r="H26" s="2653">
        <f>SUM('Тариф вода 2016-2017 ПЛАН'!H24+'Тариф тех.вода 2016-2017 ПЛАН'!H24)</f>
        <v>0</v>
      </c>
      <c r="I26" s="2653">
        <f>SUM('Тариф вода 2016-2017 ПЛАН'!I24+'Тариф тех.вода 2016-2017 ПЛАН'!I24)</f>
        <v>3976</v>
      </c>
      <c r="J26" s="2653">
        <f>SUM('Тариф вода 2016-2017 ПЛАН'!J24+'Тариф тех.вода 2016-2017 ПЛАН'!J24)</f>
        <v>-1205.4349999999999</v>
      </c>
      <c r="K26" s="2653">
        <f>SUM('Тариф вода 2016-2017 ПЛАН'!K24+'Тариф тех.вода 2016-2017 ПЛАН'!K24)</f>
        <v>0</v>
      </c>
      <c r="L26" s="2727">
        <f>SUM(вода!AT57)</f>
        <v>0</v>
      </c>
      <c r="M26" s="3462">
        <f>SUM('Тариф вода 2016-2017 ПЛАН'!M24+'Тариф тех.вода 2016-2017 ПЛАН'!M24)</f>
        <v>7561.8646974359363</v>
      </c>
      <c r="N26" s="2757" t="s">
        <v>1598</v>
      </c>
    </row>
    <row r="27" spans="1:14" ht="50.25" customHeight="1">
      <c r="A27" s="2651" t="s">
        <v>948</v>
      </c>
      <c r="B27" s="2652" t="s">
        <v>949</v>
      </c>
      <c r="C27" s="2651" t="s">
        <v>919</v>
      </c>
      <c r="D27" s="2705">
        <v>0</v>
      </c>
      <c r="E27" s="2705">
        <v>0</v>
      </c>
      <c r="F27" s="2653">
        <f>SUM('Тариф вода 2016-2017 ПЛАН'!F25+'Тариф тех.вода 2016-2017 ПЛАН'!F25)</f>
        <v>0</v>
      </c>
      <c r="G27" s="2653">
        <f>SUM('Тариф вода 2016-2017 ПЛАН'!G25+'Тариф тех.вода 2016-2017 ПЛАН'!G25)</f>
        <v>0</v>
      </c>
      <c r="H27" s="2653">
        <f>SUM('Тариф вода 2016-2017 ПЛАН'!H25+'Тариф тех.вода 2016-2017 ПЛАН'!H25)</f>
        <v>0</v>
      </c>
      <c r="I27" s="2653">
        <f>SUM('Тариф вода 2016-2017 ПЛАН'!I25+'Тариф тех.вода 2016-2017 ПЛАН'!I25)</f>
        <v>0</v>
      </c>
      <c r="J27" s="2653">
        <f>SUM('Тариф вода 2016-2017 ПЛАН'!J25+'Тариф тех.вода 2016-2017 ПЛАН'!J25)</f>
        <v>0</v>
      </c>
      <c r="K27" s="2653">
        <f>SUM('Тариф вода 2016-2017 ПЛАН'!K25+'Тариф тех.вода 2016-2017 ПЛАН'!K25)</f>
        <v>0</v>
      </c>
      <c r="L27" s="2705">
        <v>0</v>
      </c>
      <c r="M27" s="3462">
        <v>0</v>
      </c>
      <c r="N27" s="2757"/>
    </row>
    <row r="28" spans="1:14" ht="21.75" customHeight="1">
      <c r="A28" s="2651" t="s">
        <v>950</v>
      </c>
      <c r="B28" s="2652" t="s">
        <v>951</v>
      </c>
      <c r="C28" s="2651" t="s">
        <v>919</v>
      </c>
      <c r="D28" s="2705">
        <v>0</v>
      </c>
      <c r="E28" s="2705">
        <v>0</v>
      </c>
      <c r="F28" s="2653">
        <f>SUM('Тариф вода 2016-2017 ПЛАН'!F26+'Тариф тех.вода 2016-2017 ПЛАН'!F26)</f>
        <v>0</v>
      </c>
      <c r="G28" s="2653">
        <f>SUM('Тариф вода 2016-2017 ПЛАН'!G26+'Тариф тех.вода 2016-2017 ПЛАН'!G26)</f>
        <v>0</v>
      </c>
      <c r="H28" s="2653">
        <f>SUM('Тариф вода 2016-2017 ПЛАН'!H26+'Тариф тех.вода 2016-2017 ПЛАН'!H26)</f>
        <v>0</v>
      </c>
      <c r="I28" s="2653">
        <f>SUM('Тариф вода 2016-2017 ПЛАН'!I26+'Тариф тех.вода 2016-2017 ПЛАН'!I26)</f>
        <v>0</v>
      </c>
      <c r="J28" s="2653">
        <f>SUM('Тариф вода 2016-2017 ПЛАН'!J26+'Тариф тех.вода 2016-2017 ПЛАН'!J26)</f>
        <v>0</v>
      </c>
      <c r="K28" s="2653">
        <f>SUM('Тариф вода 2016-2017 ПЛАН'!K26+'Тариф тех.вода 2016-2017 ПЛАН'!K26)</f>
        <v>0</v>
      </c>
      <c r="L28" s="2705">
        <v>0</v>
      </c>
      <c r="M28" s="3462">
        <v>0</v>
      </c>
      <c r="N28" s="2757"/>
    </row>
    <row r="29" spans="1:14" ht="30.75" customHeight="1">
      <c r="A29" s="2647" t="s">
        <v>203</v>
      </c>
      <c r="B29" s="2648" t="s">
        <v>952</v>
      </c>
      <c r="C29" s="2647" t="s">
        <v>919</v>
      </c>
      <c r="D29" s="2729">
        <f>SUM(вода!AL54)</f>
        <v>5753.5575411432783</v>
      </c>
      <c r="E29" s="2729">
        <f>SUM(вода!AZ54)</f>
        <v>0</v>
      </c>
      <c r="F29" s="2649">
        <f>SUM('Тариф вода 2016-2017 ПЛАН'!F27+'Тариф тех.вода 2016-2017 ПЛАН'!F27)</f>
        <v>0</v>
      </c>
      <c r="G29" s="2649">
        <f>SUM('Тариф вода 2016-2017 ПЛАН'!G27+'Тариф тех.вода 2016-2017 ПЛАН'!G27)</f>
        <v>0</v>
      </c>
      <c r="H29" s="2649">
        <f>SUM('Тариф вода 2016-2017 ПЛАН'!H27+'Тариф тех.вода 2016-2017 ПЛАН'!H27)</f>
        <v>0</v>
      </c>
      <c r="I29" s="2649">
        <f>SUM('Тариф вода 2016-2017 ПЛАН'!I27+'Тариф тех.вода 2016-2017 ПЛАН'!I27)</f>
        <v>6007.360564295609</v>
      </c>
      <c r="J29" s="2649">
        <f>SUM('Тариф вода 2016-2017 ПЛАН'!J27+'Тариф тех.вода 2016-2017 ПЛАН'!J27)</f>
        <v>6213.2005678725254</v>
      </c>
      <c r="K29" s="2649">
        <f>SUM('Тариф вода 2016-2017 ПЛАН'!K27+'Тариф тех.вода 2016-2017 ПЛАН'!K27)</f>
        <v>6526.0774524479684</v>
      </c>
      <c r="L29" s="2729">
        <f>SUM(вода!BU54)</f>
        <v>6999.1317189795109</v>
      </c>
      <c r="M29" s="3461">
        <f>SUM('Тариф вода 2016-2017 ПЛАН'!M27+'Тариф тех.вода 2016-2017 ПЛАН'!M27)</f>
        <v>7581.6913322894834</v>
      </c>
      <c r="N29" s="2763" t="s">
        <v>1647</v>
      </c>
    </row>
    <row r="30" spans="1:14" ht="21.75" customHeight="1">
      <c r="A30" s="2643">
        <v>2</v>
      </c>
      <c r="B30" s="2644" t="s">
        <v>1618</v>
      </c>
      <c r="C30" s="2643" t="s">
        <v>954</v>
      </c>
      <c r="D30" s="2730">
        <f>SUM(объемы!K48)</f>
        <v>4052.4000000000005</v>
      </c>
      <c r="E30" s="2730">
        <f>SUM(объемы!R48+объемы!S48)</f>
        <v>3780.42</v>
      </c>
      <c r="F30" s="2645">
        <f>SUM('Тариф вода 2016-2017 ПЛАН'!F28+'Тариф тех.вода 2016-2017 ПЛАН'!F28)</f>
        <v>1822.56</v>
      </c>
      <c r="G30" s="2645">
        <f>SUM('Тариф вода 2016-2017 ПЛАН'!G28+'Тариф тех.вода 2016-2017 ПЛАН'!G28)</f>
        <v>2671.13</v>
      </c>
      <c r="H30" s="2645">
        <f>SUM('Тариф вода 2016-2017 ПЛАН'!H28+'Тариф тех.вода 2016-2017 ПЛАН'!H28)</f>
        <v>3554.5100000000007</v>
      </c>
      <c r="I30" s="2645">
        <f>SUM('Тариф вода 2016-2017 ПЛАН'!I28+'Тариф тех.вода 2016-2017 ПЛАН'!I28)</f>
        <v>4010.6370000000002</v>
      </c>
      <c r="J30" s="2645">
        <f>SUM('Тариф вода 2016-2017 ПЛАН'!J28+'Тариф тех.вода 2016-2017 ПЛАН'!J28)</f>
        <v>3791.3490000000002</v>
      </c>
      <c r="K30" s="2645">
        <f>SUM('Тариф вода 2016-2017 ПЛАН'!K28+'Тариф тех.вода 2016-2017 ПЛАН'!K28)</f>
        <v>3791.3490000000002</v>
      </c>
      <c r="L30" s="2736">
        <f>SUM(объемы!AE48)</f>
        <v>3789</v>
      </c>
      <c r="M30" s="3459">
        <f>SUM('Тариф вода 2016-2017 ПЛАН'!M28+'Тариф тех.вода 2016-2017 ПЛАН'!M28)</f>
        <v>3789</v>
      </c>
      <c r="N30" s="2748"/>
    </row>
    <row r="31" spans="1:14" ht="21.75" customHeight="1">
      <c r="A31" s="2699"/>
      <c r="B31" s="2662" t="s">
        <v>1602</v>
      </c>
      <c r="C31" s="2643" t="s">
        <v>954</v>
      </c>
      <c r="D31" s="2730">
        <f>SUM(объемы!K48-объемы!K50)</f>
        <v>4006.2700000000004</v>
      </c>
      <c r="E31" s="2730">
        <f>SUM(объемы!R48)</f>
        <v>3762.2000000000003</v>
      </c>
      <c r="F31" s="2701">
        <f>SUM('Тариф вода 2016-2017 ПЛАН'!F28)</f>
        <v>1821.09</v>
      </c>
      <c r="G31" s="2701">
        <f>SUM('Тариф вода 2016-2017 ПЛАН'!G28)</f>
        <v>2669.1800000000003</v>
      </c>
      <c r="H31" s="2701">
        <f>SUM('Тариф вода 2016-2017 ПЛАН'!H28)</f>
        <v>3551.9100000000008</v>
      </c>
      <c r="I31" s="2701">
        <f>SUM('Тариф вода 2016-2017 ПЛАН'!I28)</f>
        <v>3989.2170000000001</v>
      </c>
      <c r="J31" s="2701">
        <f>SUM('Тариф вода 2016-2017 ПЛАН'!J28)</f>
        <v>3771</v>
      </c>
      <c r="K31" s="2701">
        <f>SUM('Тариф вода 2016-2017 ПЛАН'!K28)</f>
        <v>3771</v>
      </c>
      <c r="L31" s="2736">
        <f>SUM(объемы!AE48-объемы!AE50)</f>
        <v>3771</v>
      </c>
      <c r="M31" s="3459">
        <f>SUM('Тариф вода 2016-2017 ПЛАН'!M28)</f>
        <v>3771</v>
      </c>
      <c r="N31" s="2753"/>
    </row>
    <row r="32" spans="1:14" ht="21.75" customHeight="1">
      <c r="A32" s="2643" t="s">
        <v>196</v>
      </c>
      <c r="B32" s="2704" t="s">
        <v>1604</v>
      </c>
      <c r="C32" s="2643" t="s">
        <v>954</v>
      </c>
      <c r="D32" s="2730">
        <f>SUM(объемы!K49)</f>
        <v>2445.422</v>
      </c>
      <c r="E32" s="2730">
        <f>SUM(объемы!R49)</f>
        <v>2377.86</v>
      </c>
      <c r="F32" s="2645">
        <f>SUM('Тариф вода 2016-2017 ПЛАН'!F29+'Тариф тех.вода 2016-2017 ПЛАН'!F29)</f>
        <v>1171.8399999999999</v>
      </c>
      <c r="G32" s="2645">
        <f>SUM('Тариф вода 2016-2017 ПЛАН'!G29+'Тариф тех.вода 2016-2017 ПЛАН'!G29)</f>
        <v>1744.17</v>
      </c>
      <c r="H32" s="2645">
        <f>SUM('Тариф вода 2016-2017 ПЛАН'!H29+'Тариф тех.вода 2016-2017 ПЛАН'!H29)</f>
        <v>2325.5600000000004</v>
      </c>
      <c r="I32" s="2645">
        <f>SUM('Тариф вода 2016-2017 ПЛАН'!I29+'Тариф тех.вода 2016-2017 ПЛАН'!I29)</f>
        <v>2428.56</v>
      </c>
      <c r="J32" s="2645">
        <f>SUM('Тариф вода 2016-2017 ПЛАН'!J29+'Тариф тех.вода 2016-2017 ПЛАН'!J29)</f>
        <v>2380</v>
      </c>
      <c r="K32" s="2645">
        <f>SUM('Тариф вода 2016-2017 ПЛАН'!K29+'Тариф тех.вода 2016-2017 ПЛАН'!K29)</f>
        <v>2380</v>
      </c>
      <c r="L32" s="2736">
        <f>SUM(объемы!AE49)</f>
        <v>2380</v>
      </c>
      <c r="M32" s="3459">
        <f>SUM('Тариф вода 2016-2017 ПЛАН'!M29)</f>
        <v>2380</v>
      </c>
      <c r="N32" s="2748"/>
    </row>
    <row r="33" spans="1:14" ht="21.75" customHeight="1">
      <c r="A33" s="2699"/>
      <c r="B33" s="2662" t="s">
        <v>1603</v>
      </c>
      <c r="C33" s="2643" t="s">
        <v>954</v>
      </c>
      <c r="D33" s="2730">
        <f>SUM(объемы!K50)</f>
        <v>46.13</v>
      </c>
      <c r="E33" s="2730">
        <f>SUM(объемы!S50)</f>
        <v>18.22</v>
      </c>
      <c r="F33" s="2701">
        <f>SUM('Тариф тех.вода 2016-2017 ПЛАН'!F28)</f>
        <v>1.47</v>
      </c>
      <c r="G33" s="2701">
        <f>SUM('Тариф тех.вода 2016-2017 ПЛАН'!G28)</f>
        <v>1.95</v>
      </c>
      <c r="H33" s="2701">
        <f>SUM('Тариф тех.вода 2016-2017 ПЛАН'!H28)</f>
        <v>2.6</v>
      </c>
      <c r="I33" s="2701">
        <f>SUM('Тариф тех.вода 2016-2017 ПЛАН'!I28)</f>
        <v>21.419999999999998</v>
      </c>
      <c r="J33" s="2701">
        <f>SUM('Тариф тех.вода 2016-2017 ПЛАН'!J28)</f>
        <v>20.349</v>
      </c>
      <c r="K33" s="2701">
        <f>SUM('Тариф тех.вода 2016-2017 ПЛАН'!K28)</f>
        <v>20.349</v>
      </c>
      <c r="L33" s="2736">
        <f>SUM(объемы!AE50)</f>
        <v>18</v>
      </c>
      <c r="M33" s="3459">
        <f>SUM('Тариф тех.вода 2016-2017 ПЛАН'!M28)</f>
        <v>18</v>
      </c>
      <c r="N33" s="2753"/>
    </row>
    <row r="34" spans="1:14" ht="21.75" customHeight="1">
      <c r="A34" s="2663" t="s">
        <v>956</v>
      </c>
      <c r="B34" s="2664" t="s">
        <v>957</v>
      </c>
      <c r="C34" s="2663" t="s">
        <v>958</v>
      </c>
      <c r="D34" s="2665">
        <f t="shared" ref="D34:M34" si="8">D9/D30</f>
        <v>30.616106101078081</v>
      </c>
      <c r="E34" s="2665">
        <f t="shared" si="8"/>
        <v>30.741139873347407</v>
      </c>
      <c r="F34" s="2665">
        <f t="shared" si="8"/>
        <v>32.343714019889603</v>
      </c>
      <c r="G34" s="2665">
        <f t="shared" si="8"/>
        <v>33.440972508335435</v>
      </c>
      <c r="H34" s="2665">
        <f t="shared" si="8"/>
        <v>34.315284506770773</v>
      </c>
      <c r="I34" s="2665">
        <f t="shared" si="8"/>
        <v>32.377785017100209</v>
      </c>
      <c r="J34" s="2665">
        <f t="shared" si="8"/>
        <v>34.782350513961674</v>
      </c>
      <c r="K34" s="2665">
        <f t="shared" si="8"/>
        <v>36.243448207009266</v>
      </c>
      <c r="L34" s="2665">
        <f t="shared" si="8"/>
        <v>38.791703905666324</v>
      </c>
      <c r="M34" s="2665">
        <f t="shared" si="8"/>
        <v>44.016200231067593</v>
      </c>
      <c r="N34" s="2747"/>
    </row>
    <row r="35" spans="1:14" ht="21.75" customHeight="1">
      <c r="A35" s="2695" t="s">
        <v>1605</v>
      </c>
      <c r="B35" s="2696" t="s">
        <v>1599</v>
      </c>
      <c r="C35" s="2663" t="s">
        <v>958</v>
      </c>
      <c r="D35" s="2697">
        <f t="shared" ref="D35:I35" si="9">SUM(D10/D31)</f>
        <v>30.751790677605754</v>
      </c>
      <c r="E35" s="2697">
        <f t="shared" si="9"/>
        <v>30.808213503641046</v>
      </c>
      <c r="F35" s="2697">
        <f t="shared" si="9"/>
        <v>32.356303273184714</v>
      </c>
      <c r="G35" s="2697">
        <f t="shared" si="9"/>
        <v>33.452676674946538</v>
      </c>
      <c r="H35" s="2697">
        <f t="shared" si="9"/>
        <v>34.327360014738069</v>
      </c>
      <c r="I35" s="2697">
        <f t="shared" si="9"/>
        <v>32.620579186703033</v>
      </c>
      <c r="J35" s="2697">
        <f t="shared" ref="J35:K35" si="10">SUM(J10/J31)</f>
        <v>34.878323236627686</v>
      </c>
      <c r="K35" s="2697">
        <f t="shared" si="10"/>
        <v>36.342515646090511</v>
      </c>
      <c r="L35" s="2697">
        <f>SUM(L10/L31)</f>
        <v>38.875247416584152</v>
      </c>
      <c r="M35" s="2697">
        <f>SUM(M10/M31)</f>
        <v>44.115890571092706</v>
      </c>
      <c r="N35" s="2754"/>
    </row>
    <row r="36" spans="1:14" ht="21.75" customHeight="1">
      <c r="A36" s="2663"/>
      <c r="B36" s="2666" t="s">
        <v>959</v>
      </c>
      <c r="C36" s="2663" t="s">
        <v>958</v>
      </c>
      <c r="D36" s="2733">
        <f>SUM(вода!AN101)</f>
        <v>30</v>
      </c>
      <c r="E36" s="2733"/>
      <c r="F36" s="2665"/>
      <c r="G36" s="2665"/>
      <c r="H36" s="2665"/>
      <c r="I36" s="2665">
        <f>вода!BI101</f>
        <v>31.52</v>
      </c>
      <c r="J36" s="2665">
        <f>I37</f>
        <v>33.72115837340607</v>
      </c>
      <c r="K36" s="2665">
        <f>J37</f>
        <v>36.034488099849305</v>
      </c>
      <c r="L36" s="2733">
        <f>SUM(I37)</f>
        <v>33.72115837340607</v>
      </c>
      <c r="M36" s="3465">
        <f>SUM(L37)</f>
        <v>44.029336459762234</v>
      </c>
      <c r="N36" s="2747"/>
    </row>
    <row r="37" spans="1:14" ht="21.75" customHeight="1">
      <c r="A37" s="2663"/>
      <c r="B37" s="2666" t="s">
        <v>960</v>
      </c>
      <c r="C37" s="2663" t="s">
        <v>958</v>
      </c>
      <c r="D37" s="2733">
        <f>SUM(вода!AO101)</f>
        <v>31.503581355211512</v>
      </c>
      <c r="E37" s="2733"/>
      <c r="F37" s="2665"/>
      <c r="G37" s="2665"/>
      <c r="H37" s="2665"/>
      <c r="I37" s="2665">
        <f>I35*2-I36</f>
        <v>33.72115837340607</v>
      </c>
      <c r="J37" s="2665">
        <f>J35*2-J36-0.001</f>
        <v>36.034488099849305</v>
      </c>
      <c r="K37" s="2665">
        <f t="shared" ref="K37:M37" si="11">K35*2-K36</f>
        <v>36.650543192331718</v>
      </c>
      <c r="L37" s="2665">
        <f t="shared" si="11"/>
        <v>44.029336459762234</v>
      </c>
      <c r="M37" s="2665">
        <f t="shared" si="11"/>
        <v>44.202444682423177</v>
      </c>
      <c r="N37" s="2747"/>
    </row>
    <row r="38" spans="1:14" ht="21.75" customHeight="1">
      <c r="A38" s="2663"/>
      <c r="B38" s="2664" t="s">
        <v>961</v>
      </c>
      <c r="C38" s="2663"/>
      <c r="D38" s="2695"/>
      <c r="E38" s="2695"/>
      <c r="F38" s="2665"/>
      <c r="G38" s="2665"/>
      <c r="H38" s="2665"/>
      <c r="I38" s="2665"/>
      <c r="J38" s="2665"/>
      <c r="K38" s="2665"/>
      <c r="L38" s="2695"/>
      <c r="M38" s="3465"/>
      <c r="N38" s="2747"/>
    </row>
    <row r="39" spans="1:14" ht="21.75" customHeight="1">
      <c r="A39" s="2663"/>
      <c r="B39" s="2666" t="s">
        <v>959</v>
      </c>
      <c r="C39" s="2663" t="s">
        <v>44</v>
      </c>
      <c r="D39" s="2665">
        <f>D36/30*100</f>
        <v>100</v>
      </c>
      <c r="E39" s="2665"/>
      <c r="F39" s="2665"/>
      <c r="G39" s="2665"/>
      <c r="H39" s="2665"/>
      <c r="I39" s="2665">
        <f>I36/31.52*100</f>
        <v>100</v>
      </c>
      <c r="J39" s="2665">
        <f>J36/I37*100</f>
        <v>100</v>
      </c>
      <c r="K39" s="2665">
        <f>K36/J37*100</f>
        <v>100</v>
      </c>
      <c r="L39" s="2665">
        <f>L36/I37*100</f>
        <v>100</v>
      </c>
      <c r="M39" s="2665">
        <f>M36/L37*100</f>
        <v>100</v>
      </c>
      <c r="N39" s="2747"/>
    </row>
    <row r="40" spans="1:14" ht="21.75" customHeight="1">
      <c r="A40" s="2663"/>
      <c r="B40" s="2666" t="s">
        <v>960</v>
      </c>
      <c r="C40" s="2663" t="s">
        <v>44</v>
      </c>
      <c r="D40" s="2665">
        <f>D37/D36*100</f>
        <v>105.01193785070504</v>
      </c>
      <c r="E40" s="2665"/>
      <c r="F40" s="2665"/>
      <c r="G40" s="2665"/>
      <c r="H40" s="2665"/>
      <c r="I40" s="2665">
        <f>I37/I36*100</f>
        <v>106.98337047400403</v>
      </c>
      <c r="J40" s="2665">
        <f>J37/J36*100</f>
        <v>106.86017277587838</v>
      </c>
      <c r="K40" s="2665">
        <f>K37/K36*100</f>
        <v>101.70962631902904</v>
      </c>
      <c r="L40" s="2665">
        <f>L37/L36*100</f>
        <v>130.56887302686977</v>
      </c>
      <c r="M40" s="2665">
        <f>M37/M36*100</f>
        <v>100.39316564041147</v>
      </c>
      <c r="N40" s="2747"/>
    </row>
    <row r="41" spans="1:14" ht="21.75" customHeight="1">
      <c r="A41" s="2695" t="s">
        <v>1606</v>
      </c>
      <c r="B41" s="2696" t="s">
        <v>1608</v>
      </c>
      <c r="C41" s="2663" t="s">
        <v>958</v>
      </c>
      <c r="D41" s="2697">
        <f t="shared" ref="D41:M41" si="12">SUM(D11/D33)</f>
        <v>18.832255062588704</v>
      </c>
      <c r="E41" s="2697">
        <f t="shared" si="12"/>
        <v>16.891281921057278</v>
      </c>
      <c r="F41" s="2697">
        <f t="shared" si="12"/>
        <v>16.747684575542802</v>
      </c>
      <c r="G41" s="2697">
        <f t="shared" si="12"/>
        <v>17.420189208311577</v>
      </c>
      <c r="H41" s="2697">
        <f t="shared" si="12"/>
        <v>17.818700851341266</v>
      </c>
      <c r="I41" s="2697">
        <f t="shared" si="12"/>
        <v>16.058988150598474</v>
      </c>
      <c r="J41" s="2697">
        <f t="shared" si="12"/>
        <v>16.997047198144575</v>
      </c>
      <c r="K41" s="2697">
        <f t="shared" si="12"/>
        <v>17.884643706769438</v>
      </c>
      <c r="L41" s="2697">
        <f t="shared" si="12"/>
        <v>21.28933836838268</v>
      </c>
      <c r="M41" s="2697">
        <f t="shared" si="12"/>
        <v>23.131073995804851</v>
      </c>
      <c r="N41" s="2754"/>
    </row>
    <row r="42" spans="1:14" ht="21.75" customHeight="1">
      <c r="A42" s="2663"/>
      <c r="B42" s="2666" t="s">
        <v>959</v>
      </c>
      <c r="C42" s="2663" t="s">
        <v>958</v>
      </c>
      <c r="D42" s="2732">
        <f>SUM('расчет тарифов '!F9)</f>
        <v>18.420000000000002</v>
      </c>
      <c r="E42" s="2732"/>
      <c r="F42" s="2665"/>
      <c r="G42" s="2665"/>
      <c r="H42" s="2665"/>
      <c r="I42" s="2665">
        <v>16.059999999999999</v>
      </c>
      <c r="J42" s="2665">
        <f>I43</f>
        <v>16.057976301196948</v>
      </c>
      <c r="K42" s="2665">
        <f>J43</f>
        <v>17.933118095092201</v>
      </c>
      <c r="L42" s="2732">
        <f>SUM(I43)</f>
        <v>16.057976301196948</v>
      </c>
      <c r="M42" s="2732">
        <f>SUM(L43)</f>
        <v>26.520700435568411</v>
      </c>
      <c r="N42" s="2747"/>
    </row>
    <row r="43" spans="1:14" ht="21.75" customHeight="1">
      <c r="A43" s="2663"/>
      <c r="B43" s="2666" t="s">
        <v>960</v>
      </c>
      <c r="C43" s="2663" t="s">
        <v>958</v>
      </c>
      <c r="D43" s="2732">
        <f>SUM('расчет тарифов '!K9)</f>
        <v>20.11</v>
      </c>
      <c r="E43" s="2732"/>
      <c r="F43" s="2665"/>
      <c r="G43" s="2665"/>
      <c r="H43" s="2665"/>
      <c r="I43" s="2665">
        <f>I41*2-I42</f>
        <v>16.057976301196948</v>
      </c>
      <c r="J43" s="2665">
        <f>J41*2-J42-0.003</f>
        <v>17.933118095092201</v>
      </c>
      <c r="K43" s="2665">
        <f t="shared" ref="K43:L43" si="13">K41*2-K42</f>
        <v>17.836169318446675</v>
      </c>
      <c r="L43" s="2665">
        <f t="shared" si="13"/>
        <v>26.520700435568411</v>
      </c>
      <c r="M43" s="2665">
        <f t="shared" ref="M43" si="14">M41*2-M42</f>
        <v>19.74144755604129</v>
      </c>
      <c r="N43" s="2747"/>
    </row>
    <row r="44" spans="1:14" ht="21.75" customHeight="1">
      <c r="A44" s="2663"/>
      <c r="B44" s="2664" t="s">
        <v>961</v>
      </c>
      <c r="C44" s="2663"/>
      <c r="D44" s="2695"/>
      <c r="E44" s="2695"/>
      <c r="F44" s="2665"/>
      <c r="G44" s="2665"/>
      <c r="H44" s="2665"/>
      <c r="I44" s="2665"/>
      <c r="J44" s="2665"/>
      <c r="K44" s="2665"/>
      <c r="L44" s="2695"/>
      <c r="M44" s="3465"/>
      <c r="N44" s="2747"/>
    </row>
    <row r="45" spans="1:14" ht="21.75" customHeight="1">
      <c r="A45" s="2663"/>
      <c r="B45" s="2666" t="s">
        <v>959</v>
      </c>
      <c r="C45" s="2663" t="s">
        <v>44</v>
      </c>
      <c r="D45" s="2734">
        <v>100</v>
      </c>
      <c r="E45" s="2734"/>
      <c r="F45" s="2665"/>
      <c r="G45" s="2665"/>
      <c r="H45" s="2665"/>
      <c r="I45" s="2665">
        <v>100</v>
      </c>
      <c r="J45" s="2665">
        <f>J42/I43*100</f>
        <v>100</v>
      </c>
      <c r="K45" s="2665">
        <f>K42/J43*100</f>
        <v>100</v>
      </c>
      <c r="L45" s="2734">
        <v>100</v>
      </c>
      <c r="M45" s="2734">
        <v>100</v>
      </c>
      <c r="N45" s="2747"/>
    </row>
    <row r="46" spans="1:14" ht="21.75" customHeight="1">
      <c r="A46" s="2663"/>
      <c r="B46" s="2666" t="s">
        <v>960</v>
      </c>
      <c r="C46" s="2663" t="s">
        <v>44</v>
      </c>
      <c r="D46" s="2665">
        <f>D43/D42*100</f>
        <v>109.17480998914222</v>
      </c>
      <c r="E46" s="2665"/>
      <c r="F46" s="2665"/>
      <c r="G46" s="2665"/>
      <c r="H46" s="2665"/>
      <c r="I46" s="2665">
        <f>I43/I42*100</f>
        <v>99.987399135721972</v>
      </c>
      <c r="J46" s="2665">
        <f>J43/J42*100</f>
        <v>111.67732321136556</v>
      </c>
      <c r="K46" s="2665">
        <f>K43/K42*100</f>
        <v>99.459386950270186</v>
      </c>
      <c r="L46" s="2665">
        <f>L43/L42*100</f>
        <v>165.15593209333346</v>
      </c>
      <c r="M46" s="2665">
        <f>M43/M42*100</f>
        <v>74.437881473013121</v>
      </c>
      <c r="N46" s="2747"/>
    </row>
    <row r="47" spans="1:14" ht="15">
      <c r="A47" s="2667"/>
      <c r="B47" s="2668"/>
      <c r="C47" s="2669"/>
      <c r="D47" s="2669"/>
      <c r="E47" s="2669"/>
      <c r="F47" s="2669"/>
      <c r="G47" s="2669"/>
      <c r="H47" s="2669"/>
      <c r="I47" s="2669"/>
      <c r="J47" s="2669"/>
      <c r="K47" s="2669"/>
      <c r="L47" s="2669"/>
      <c r="M47" s="2669"/>
      <c r="N47" s="2755"/>
    </row>
    <row r="48" spans="1:14" ht="21.75" customHeight="1">
      <c r="A48" s="2671" t="s">
        <v>962</v>
      </c>
      <c r="B48" s="2672" t="s">
        <v>1607</v>
      </c>
      <c r="C48" s="2673"/>
      <c r="D48" s="2707"/>
      <c r="E48" s="2707"/>
      <c r="F48" s="2688"/>
      <c r="G48" s="2688"/>
      <c r="H48" s="2688"/>
      <c r="I48" s="2688"/>
      <c r="J48" s="2688"/>
      <c r="K48" s="2688"/>
      <c r="L48" s="2707"/>
      <c r="M48" s="3469"/>
      <c r="N48" s="2756"/>
    </row>
    <row r="49" spans="1:14" ht="21.75" customHeight="1">
      <c r="A49" s="2673"/>
      <c r="B49" s="2674" t="s">
        <v>959</v>
      </c>
      <c r="C49" s="2675" t="s">
        <v>964</v>
      </c>
      <c r="D49" s="2735">
        <v>22.66</v>
      </c>
      <c r="E49" s="2735"/>
      <c r="F49" s="2714"/>
      <c r="G49" s="2714"/>
      <c r="H49" s="2714"/>
      <c r="I49" s="2714">
        <v>25.95</v>
      </c>
      <c r="J49" s="2690">
        <f>I50</f>
        <v>27.796610169491526</v>
      </c>
      <c r="K49" s="2690">
        <f>J50</f>
        <v>28.96</v>
      </c>
      <c r="L49" s="3476">
        <f>SUM(I50)</f>
        <v>27.796610169491526</v>
      </c>
      <c r="M49" s="3476">
        <f>SUM(L50)</f>
        <v>33.355932203389827</v>
      </c>
      <c r="N49" s="2756"/>
    </row>
    <row r="50" spans="1:14" ht="21.75" customHeight="1">
      <c r="A50" s="2673"/>
      <c r="B50" s="2674" t="s">
        <v>960</v>
      </c>
      <c r="C50" s="2675" t="s">
        <v>964</v>
      </c>
      <c r="D50" s="2735">
        <v>25.95</v>
      </c>
      <c r="E50" s="2735"/>
      <c r="F50" s="2690"/>
      <c r="G50" s="2690"/>
      <c r="H50" s="2690"/>
      <c r="I50" s="2690">
        <f>32.8/1.18</f>
        <v>27.796610169491526</v>
      </c>
      <c r="J50" s="2690">
        <v>28.96</v>
      </c>
      <c r="K50" s="2690">
        <f>K49*1.046</f>
        <v>30.292160000000003</v>
      </c>
      <c r="L50" s="3476">
        <f>SUM(L49*1.2)</f>
        <v>33.355932203389827</v>
      </c>
      <c r="M50" s="3476">
        <f>SUM(M49*1.15)</f>
        <v>38.359322033898295</v>
      </c>
      <c r="N50" s="2756"/>
    </row>
    <row r="51" spans="1:14" ht="21.75" customHeight="1">
      <c r="A51" s="2673"/>
      <c r="B51" s="2674" t="s">
        <v>364</v>
      </c>
      <c r="C51" s="2675" t="s">
        <v>44</v>
      </c>
      <c r="D51" s="2688">
        <f>D50/D49*100</f>
        <v>114.51897616946161</v>
      </c>
      <c r="E51" s="2688"/>
      <c r="F51" s="2688"/>
      <c r="G51" s="2688"/>
      <c r="H51" s="2688"/>
      <c r="I51" s="2688">
        <f>I50/I49*100</f>
        <v>107.11603148166292</v>
      </c>
      <c r="J51" s="2688">
        <f>J50/J49*100</f>
        <v>104.18536585365854</v>
      </c>
      <c r="K51" s="2688">
        <f>K50/K49*100</f>
        <v>104.60000000000001</v>
      </c>
      <c r="L51" s="2688">
        <f>L50/L49*100</f>
        <v>120</v>
      </c>
      <c r="M51" s="2688">
        <f>M50/M49*100</f>
        <v>114.99999999999999</v>
      </c>
      <c r="N51" s="2756"/>
    </row>
    <row r="52" spans="1:14" ht="21.75" customHeight="1">
      <c r="A52" s="2673"/>
      <c r="B52" s="2672" t="s">
        <v>965</v>
      </c>
      <c r="C52" s="2675" t="s">
        <v>919</v>
      </c>
      <c r="D52" s="2688">
        <f>(D36-D49)*D32/2+(D37-D50)*D32/2</f>
        <v>15765.123752412024</v>
      </c>
      <c r="E52" s="2688"/>
      <c r="F52" s="2688"/>
      <c r="G52" s="2688"/>
      <c r="H52" s="2688"/>
      <c r="I52" s="2688">
        <f>(I36-I49)*I32/2+(I37-I50)*I32/2</f>
        <v>13957.599993049353</v>
      </c>
      <c r="J52" s="2688">
        <f>(J36-J49)*J32/2+(J37-J50)*J32/2</f>
        <v>15468.85320147898</v>
      </c>
      <c r="K52" s="2688">
        <f>(K36-K49)*K32/2+(K37-K50)*K32/2</f>
        <v>15985.116837695414</v>
      </c>
      <c r="L52" s="2688">
        <f>(L36-L49)*L32/2+(L37-L50)*L32/2</f>
        <v>19751.563427741472</v>
      </c>
      <c r="M52" s="2688">
        <f>(M36-M49)*M32/2+(M37-M50)*M32/2</f>
        <v>19654.667016827774</v>
      </c>
      <c r="N52" s="2756"/>
    </row>
  </sheetData>
  <mergeCells count="18">
    <mergeCell ref="A1:N1"/>
    <mergeCell ref="A2:N2"/>
    <mergeCell ref="A4:A5"/>
    <mergeCell ref="B4:B5"/>
    <mergeCell ref="C4:C5"/>
    <mergeCell ref="E4:E5"/>
    <mergeCell ref="F4:H4"/>
    <mergeCell ref="I4:K4"/>
    <mergeCell ref="N4:N5"/>
    <mergeCell ref="D4:D5"/>
    <mergeCell ref="L4:M4"/>
    <mergeCell ref="G6:G8"/>
    <mergeCell ref="H6:H8"/>
    <mergeCell ref="I6:I8"/>
    <mergeCell ref="C6:C8"/>
    <mergeCell ref="E6:E8"/>
    <mergeCell ref="F6:F8"/>
    <mergeCell ref="D6:D8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1"/>
  <sheetViews>
    <sheetView workbookViewId="0">
      <pane xSplit="2" ySplit="5" topLeftCell="G31" activePane="bottomRight" state="frozen"/>
      <selection pane="topRight" activeCell="C1" sqref="C1"/>
      <selection pane="bottomLeft" activeCell="A6" sqref="A6"/>
      <selection pane="bottomRight" activeCell="J39" sqref="J39"/>
    </sheetView>
  </sheetViews>
  <sheetFormatPr defaultRowHeight="12.75"/>
  <cols>
    <col min="1" max="1" width="9.85546875" customWidth="1"/>
    <col min="2" max="2" width="81.85546875" customWidth="1"/>
    <col min="3" max="11" width="12.85546875" customWidth="1"/>
    <col min="12" max="13" width="14" customWidth="1"/>
    <col min="14" max="14" width="38.140625" customWidth="1"/>
  </cols>
  <sheetData>
    <row r="1" spans="1:14" ht="15">
      <c r="A1" s="4425" t="s">
        <v>1530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4" ht="18.75">
      <c r="A2" s="4427" t="s">
        <v>1523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4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8" t="s">
        <v>909</v>
      </c>
      <c r="B4" s="4428" t="s">
        <v>374</v>
      </c>
      <c r="C4" s="4428" t="s">
        <v>910</v>
      </c>
      <c r="D4" s="4422" t="s">
        <v>1611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3" t="s">
        <v>283</v>
      </c>
      <c r="M4" s="4434"/>
      <c r="N4" s="4424" t="s">
        <v>911</v>
      </c>
    </row>
    <row r="5" spans="1:14" ht="31.5" customHeight="1">
      <c r="A5" s="4428"/>
      <c r="B5" s="4428"/>
      <c r="C5" s="4428"/>
      <c r="D5" s="4312"/>
      <c r="E5" s="4312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M9" si="0">D10+D21+D23+D27</f>
        <v>300.90569512808247</v>
      </c>
      <c r="E9" s="2645">
        <f t="shared" si="0"/>
        <v>331.11512110780723</v>
      </c>
      <c r="F9" s="2645">
        <f t="shared" si="0"/>
        <v>161.04102006103977</v>
      </c>
      <c r="G9" s="2645">
        <f t="shared" si="0"/>
        <v>253.69585447067101</v>
      </c>
      <c r="H9" s="2645">
        <f t="shared" si="0"/>
        <v>341.25875147359369</v>
      </c>
      <c r="I9" s="2645">
        <f t="shared" si="0"/>
        <v>265.71743212512052</v>
      </c>
      <c r="J9" s="2645">
        <f t="shared" si="0"/>
        <v>335.23976072043553</v>
      </c>
      <c r="K9" s="2645">
        <f t="shared" si="0"/>
        <v>335.06562257379858</v>
      </c>
      <c r="L9" s="2645">
        <f t="shared" si="0"/>
        <v>355.27523914664215</v>
      </c>
      <c r="M9" s="2645">
        <f t="shared" si="0"/>
        <v>389.16625695952644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M10" si="1">D11+D12+D13</f>
        <v>349.08569512808231</v>
      </c>
      <c r="E10" s="2649">
        <f t="shared" si="1"/>
        <v>325.89270524463109</v>
      </c>
      <c r="F10" s="2649">
        <f t="shared" si="1"/>
        <v>159.15642181421367</v>
      </c>
      <c r="G10" s="2649">
        <f t="shared" si="1"/>
        <v>250.7708945164872</v>
      </c>
      <c r="H10" s="2649">
        <f t="shared" si="1"/>
        <v>337.35880486801528</v>
      </c>
      <c r="I10" s="2649">
        <f t="shared" si="1"/>
        <v>260.46529871223726</v>
      </c>
      <c r="J10" s="2649">
        <f t="shared" si="1"/>
        <v>314.15976072043554</v>
      </c>
      <c r="K10" s="2649">
        <f t="shared" si="1"/>
        <v>329.94562257379857</v>
      </c>
      <c r="L10" s="2649">
        <f t="shared" si="1"/>
        <v>333.2408779821526</v>
      </c>
      <c r="M10" s="2649">
        <f t="shared" si="1"/>
        <v>365.51779758005762</v>
      </c>
      <c r="N10" s="2650"/>
    </row>
    <row r="11" spans="1:14" ht="21.75" customHeight="1">
      <c r="A11" s="2651" t="s">
        <v>922</v>
      </c>
      <c r="B11" s="2678" t="s">
        <v>923</v>
      </c>
      <c r="C11" s="2651" t="s">
        <v>919</v>
      </c>
      <c r="D11" s="2653">
        <f>SUM('СТОКИ (СВОД) 2016-2017'!D13-'Тариф стоки 2016-2017 ПЛАН'!D11)</f>
        <v>289.51622723096079</v>
      </c>
      <c r="E11" s="2653">
        <f>SUM('СТОКИ (СВОД) 2016-2017'!E13-'Тариф стоки 2016-2017 ПЛАН'!E11)</f>
        <v>261.36727026900917</v>
      </c>
      <c r="F11" s="2653">
        <f>стоки!BJ76+стоки!BJ77+стоки!BJ78+стоки!BJ79+стоки!BJ80+стоки!BJ82</f>
        <v>123.55732381775022</v>
      </c>
      <c r="G11" s="2653">
        <f>стоки!BM76+стоки!BM77+стоки!BM78+стоки!BM79+стоки!BM80+стоки!BM82</f>
        <v>198.16594098351686</v>
      </c>
      <c r="H11" s="2653">
        <f>стоки!BP76+стоки!BP77+стоки!BP78+стоки!BP79+стоки!BP80+стоки!BP82</f>
        <v>268.2828823256184</v>
      </c>
      <c r="I11" s="2653">
        <f>стоки!BF76+стоки!BF77+стоки!BF78+стоки!BF79+стоки!BF80+стоки!BF82-0.03</f>
        <v>219.71324894173816</v>
      </c>
      <c r="J11" s="2653">
        <f>I11*(1-J6)*(1+J7)*(1+J8)</f>
        <v>232.95976072043553</v>
      </c>
      <c r="K11" s="2653">
        <f>J11*(1-K6)*(1+K7)*(1+K8)</f>
        <v>244.00671257379858</v>
      </c>
      <c r="L11" s="2653">
        <f>SUM('СТОКИ (СВОД) 2016-2017'!L13-'Тариф стоки 2016-2017 ПЛАН'!L11)</f>
        <v>278.99793261146988</v>
      </c>
      <c r="M11" s="3462">
        <f>SUM(L11*1.1)</f>
        <v>306.89772587261689</v>
      </c>
      <c r="N11" s="2757" t="s">
        <v>1641</v>
      </c>
    </row>
    <row r="12" spans="1:14" ht="30.75" customHeight="1">
      <c r="A12" s="2651" t="s">
        <v>924</v>
      </c>
      <c r="B12" s="2678" t="s">
        <v>925</v>
      </c>
      <c r="C12" s="2651" t="s">
        <v>919</v>
      </c>
      <c r="D12" s="2653">
        <f>SUM('СТОКИ (СВОД) 2016-2017'!D14-'Тариф стоки 2016-2017 ПЛАН'!D12)</f>
        <v>50.669467897121649</v>
      </c>
      <c r="E12" s="2653">
        <f>SUM('СТОКИ (СВОД) 2016-2017'!E14-'Тариф стоки 2016-2017 ПЛАН'!E12)</f>
        <v>53.994875247277378</v>
      </c>
      <c r="F12" s="2653">
        <f>стоки!BJ74</f>
        <v>30.517069550171072</v>
      </c>
      <c r="G12" s="2653">
        <f>стоки!BM74</f>
        <v>44.823540431957554</v>
      </c>
      <c r="H12" s="2653">
        <f>стоки!BP74</f>
        <v>58.700660704367692</v>
      </c>
      <c r="I12" s="2653">
        <f>стоки!BF74-0.01</f>
        <v>32.74636046480304</v>
      </c>
      <c r="J12" s="2653">
        <f>SUM(стоки!BX74)</f>
        <v>70.73</v>
      </c>
      <c r="K12" s="2653">
        <f>J12*1.067</f>
        <v>75.468909999999994</v>
      </c>
      <c r="L12" s="2653">
        <f>SUM('СТОКИ (СВОД) 2016-2017'!L14-'Тариф стоки 2016-2017 ПЛАН'!L12)</f>
        <v>43.771263367580104</v>
      </c>
      <c r="M12" s="3462">
        <f>SUM(L12*1.1)</f>
        <v>48.148389704338122</v>
      </c>
      <c r="N12" s="2757" t="s">
        <v>1642</v>
      </c>
    </row>
    <row r="13" spans="1:14" ht="21.75" customHeight="1">
      <c r="A13" s="2651" t="s">
        <v>926</v>
      </c>
      <c r="B13" s="2678" t="s">
        <v>927</v>
      </c>
      <c r="C13" s="2651" t="s">
        <v>919</v>
      </c>
      <c r="D13" s="2653">
        <f t="shared" ref="D13:I13" si="2">D14+D15+D16+D17+D20</f>
        <v>8.8999999999998636</v>
      </c>
      <c r="E13" s="2653">
        <f t="shared" si="2"/>
        <v>10.530559728344542</v>
      </c>
      <c r="F13" s="2653">
        <f t="shared" si="2"/>
        <v>5.0820284462923979</v>
      </c>
      <c r="G13" s="2653">
        <f t="shared" si="2"/>
        <v>7.7814131010127987</v>
      </c>
      <c r="H13" s="2653">
        <f t="shared" si="2"/>
        <v>10.375261838029182</v>
      </c>
      <c r="I13" s="2653">
        <f t="shared" si="2"/>
        <v>8.0056893056960661</v>
      </c>
      <c r="J13" s="2653">
        <f t="shared" ref="J13:K13" si="3">J14+J15+J16+J17+J20</f>
        <v>10.469999999999999</v>
      </c>
      <c r="K13" s="2653">
        <f t="shared" si="3"/>
        <v>10.469999999999999</v>
      </c>
      <c r="L13" s="2653">
        <f>L14+L15+L16+L17+L20</f>
        <v>10.471682003102615</v>
      </c>
      <c r="M13" s="2653">
        <f>M14+M15+M16+M17+M20</f>
        <v>10.471682003102615</v>
      </c>
      <c r="N13" s="2751"/>
    </row>
    <row r="14" spans="1:14" ht="30.75" customHeight="1">
      <c r="A14" s="2654" t="s">
        <v>928</v>
      </c>
      <c r="B14" s="2679" t="s">
        <v>929</v>
      </c>
      <c r="C14" s="2654" t="s">
        <v>919</v>
      </c>
      <c r="D14" s="2656">
        <f>SUM('СТОКИ (СВОД) 2016-2017'!D16-'Тариф стоки 2016-2017 ПЛАН'!D14)</f>
        <v>0</v>
      </c>
      <c r="E14" s="2656">
        <f>SUM('СТОКИ (СВОД) 2016-2017'!E16-'Тариф стоки 2016-2017 ПЛАН'!E14)</f>
        <v>0</v>
      </c>
      <c r="F14" s="2656">
        <v>0</v>
      </c>
      <c r="G14" s="2656">
        <v>0</v>
      </c>
      <c r="H14" s="2656">
        <v>0</v>
      </c>
      <c r="I14" s="2656">
        <v>0</v>
      </c>
      <c r="J14" s="2656">
        <f>I14*1.084</f>
        <v>0</v>
      </c>
      <c r="K14" s="2656">
        <f>J14*1.079</f>
        <v>0</v>
      </c>
      <c r="L14" s="2656">
        <f>SUM('СТОКИ (СВОД) 2016-2017'!L16-'Тариф стоки 2016-2017 ПЛАН'!L14)</f>
        <v>0</v>
      </c>
      <c r="M14" s="3463">
        <v>0</v>
      </c>
      <c r="N14" s="2758" t="s">
        <v>1643</v>
      </c>
    </row>
    <row r="15" spans="1:14" ht="41.25" customHeight="1">
      <c r="A15" s="2654" t="s">
        <v>930</v>
      </c>
      <c r="B15" s="2679" t="s">
        <v>931</v>
      </c>
      <c r="C15" s="2654" t="s">
        <v>919</v>
      </c>
      <c r="D15" s="2656">
        <f>SUM('СТОКИ (СВОД) 2016-2017'!D17-'Тариф стоки 2016-2017 ПЛАН'!D15)</f>
        <v>0.79999999999995453</v>
      </c>
      <c r="E15" s="2656">
        <f>SUM('СТОКИ (СВОД) 2016-2017'!E17-'Тариф стоки 2016-2017 ПЛАН'!E15)</f>
        <v>10.530559728344542</v>
      </c>
      <c r="F15" s="2656">
        <f>стоки!BJ42</f>
        <v>5.0820284462923979</v>
      </c>
      <c r="G15" s="2656">
        <f>стоки!BM42</f>
        <v>7.7814131010127987</v>
      </c>
      <c r="H15" s="2656">
        <f>стоки!BP42</f>
        <v>10.375261838029182</v>
      </c>
      <c r="I15" s="2656">
        <f>стоки!BF42</f>
        <v>8.0056893056960661</v>
      </c>
      <c r="J15" s="2656">
        <f>SUM(стоки!BX81)</f>
        <v>10.469999999999999</v>
      </c>
      <c r="K15" s="2656">
        <f>J15</f>
        <v>10.469999999999999</v>
      </c>
      <c r="L15" s="2656">
        <f>SUM('СТОКИ (СВОД) 2016-2017'!L17-'Тариф стоки 2016-2017 ПЛАН'!L15)</f>
        <v>10.471682003102615</v>
      </c>
      <c r="M15" s="3463">
        <f>SUM(L15)</f>
        <v>10.471682003102615</v>
      </c>
      <c r="N15" s="2758" t="s">
        <v>10</v>
      </c>
    </row>
    <row r="16" spans="1:14" ht="21.75" customHeight="1">
      <c r="A16" s="2654" t="s">
        <v>932</v>
      </c>
      <c r="B16" s="2679" t="s">
        <v>933</v>
      </c>
      <c r="C16" s="2654" t="s">
        <v>919</v>
      </c>
      <c r="D16" s="2656">
        <f>SUM('СТОКИ (СВОД) 2016-2017'!D18-'Тариф стоки 2016-2017 ПЛАН'!D16)</f>
        <v>0</v>
      </c>
      <c r="E16" s="2656">
        <f>SUM('СТОКИ (СВОД) 2016-2017'!E18-'Тариф стоки 2016-2017 ПЛАН'!E16)</f>
        <v>0</v>
      </c>
      <c r="F16" s="2656">
        <v>0</v>
      </c>
      <c r="G16" s="2656">
        <v>0</v>
      </c>
      <c r="H16" s="2656">
        <v>0</v>
      </c>
      <c r="I16" s="2656">
        <v>0</v>
      </c>
      <c r="J16" s="2656">
        <f>I16</f>
        <v>0</v>
      </c>
      <c r="K16" s="2656">
        <f>J16</f>
        <v>0</v>
      </c>
      <c r="L16" s="2656">
        <f>SUM('СТОКИ (СВОД) 2016-2017'!L18-'Тариф стоки 2016-2017 ПЛАН'!L16)</f>
        <v>0</v>
      </c>
      <c r="M16" s="3463">
        <v>0</v>
      </c>
      <c r="N16" s="2758" t="s">
        <v>1644</v>
      </c>
    </row>
    <row r="17" spans="1:14" ht="30.75" customHeight="1">
      <c r="A17" s="2654" t="s">
        <v>934</v>
      </c>
      <c r="B17" s="2679" t="s">
        <v>935</v>
      </c>
      <c r="C17" s="2654" t="s">
        <v>919</v>
      </c>
      <c r="D17" s="2656">
        <f>SUM('СТОКИ (СВОД) 2016-2017'!D19-'Тариф стоки 2016-2017 ПЛАН'!D17)</f>
        <v>0</v>
      </c>
      <c r="E17" s="2656">
        <f>SUM('СТОКИ (СВОД) 2016-2017'!E19-'Тариф стоки 2016-2017 ПЛАН'!E17)</f>
        <v>0</v>
      </c>
      <c r="F17" s="2656">
        <v>0</v>
      </c>
      <c r="G17" s="2656">
        <v>0</v>
      </c>
      <c r="H17" s="2656">
        <v>0</v>
      </c>
      <c r="I17" s="2656">
        <v>0</v>
      </c>
      <c r="J17" s="2656">
        <v>0</v>
      </c>
      <c r="K17" s="2656">
        <v>0</v>
      </c>
      <c r="L17" s="2656">
        <f>SUM('СТОКИ (СВОД) 2016-2017'!L19-'Тариф стоки 2016-2017 ПЛАН'!L17)</f>
        <v>0</v>
      </c>
      <c r="M17" s="3463">
        <v>0</v>
      </c>
      <c r="N17" s="2758" t="s">
        <v>908</v>
      </c>
    </row>
    <row r="18" spans="1:14" ht="21.75" customHeight="1">
      <c r="A18" s="2654" t="s">
        <v>936</v>
      </c>
      <c r="B18" s="2679" t="s">
        <v>937</v>
      </c>
      <c r="C18" s="2654" t="s">
        <v>919</v>
      </c>
      <c r="D18" s="2656">
        <f>SUM('СТОКИ (СВОД) 2016-2017'!D20-'Тариф стоки 2016-2017 ПЛАН'!D18)</f>
        <v>0</v>
      </c>
      <c r="E18" s="2656">
        <f>SUM('СТОКИ (СВОД) 2016-2017'!E20-'Тариф стоки 2016-2017 ПЛАН'!E18)</f>
        <v>0</v>
      </c>
      <c r="F18" s="2656">
        <v>0</v>
      </c>
      <c r="G18" s="2656">
        <v>0</v>
      </c>
      <c r="H18" s="2656">
        <v>0</v>
      </c>
      <c r="I18" s="2656">
        <v>0</v>
      </c>
      <c r="J18" s="2656">
        <v>0</v>
      </c>
      <c r="K18" s="2656">
        <v>0</v>
      </c>
      <c r="L18" s="2656">
        <f>SUM('СТОКИ (СВОД) 2016-2017'!L20-'Тариф стоки 2016-2017 ПЛАН'!L18)</f>
        <v>0</v>
      </c>
      <c r="M18" s="3463">
        <v>0</v>
      </c>
      <c r="N18" s="2752"/>
    </row>
    <row r="19" spans="1:14" ht="21.75" customHeight="1">
      <c r="A19" s="2654" t="s">
        <v>938</v>
      </c>
      <c r="B19" s="2679" t="s">
        <v>939</v>
      </c>
      <c r="C19" s="2654" t="s">
        <v>919</v>
      </c>
      <c r="D19" s="2656">
        <f>SUM('СТОКИ (СВОД) 2016-2017'!D21-'Тариф стоки 2016-2017 ПЛАН'!D19)</f>
        <v>0</v>
      </c>
      <c r="E19" s="2656">
        <f>SUM('СТОКИ (СВОД) 2016-2017'!E21-'Тариф стоки 2016-2017 ПЛАН'!E19)</f>
        <v>0</v>
      </c>
      <c r="F19" s="2656">
        <v>0</v>
      </c>
      <c r="G19" s="2656">
        <v>0</v>
      </c>
      <c r="H19" s="2656">
        <v>0</v>
      </c>
      <c r="I19" s="2656">
        <v>0</v>
      </c>
      <c r="J19" s="2656">
        <v>0</v>
      </c>
      <c r="K19" s="2656">
        <v>0</v>
      </c>
      <c r="L19" s="2656">
        <f>SUM('СТОКИ (СВОД) 2016-2017'!L21-'Тариф стоки 2016-2017 ПЛАН'!L19)</f>
        <v>0</v>
      </c>
      <c r="M19" s="3463">
        <v>0</v>
      </c>
      <c r="N19" s="2752"/>
    </row>
    <row r="20" spans="1:14" ht="30.75" customHeight="1">
      <c r="A20" s="2654" t="s">
        <v>940</v>
      </c>
      <c r="B20" s="2679" t="s">
        <v>941</v>
      </c>
      <c r="C20" s="2654" t="s">
        <v>919</v>
      </c>
      <c r="D20" s="2656">
        <f>SUM('СТОКИ (СВОД) 2016-2017'!D22-'Тариф стоки 2016-2017 ПЛАН'!D20)</f>
        <v>8.0999999999999091</v>
      </c>
      <c r="E20" s="2656">
        <f>SUM('СТОКИ (СВОД) 2016-2017'!E22-'Тариф стоки 2016-2017 ПЛАН'!E20)</f>
        <v>0</v>
      </c>
      <c r="F20" s="2656">
        <v>0</v>
      </c>
      <c r="G20" s="2656">
        <v>0</v>
      </c>
      <c r="H20" s="2656">
        <v>0</v>
      </c>
      <c r="I20" s="2656">
        <v>0</v>
      </c>
      <c r="J20" s="2656">
        <v>0</v>
      </c>
      <c r="K20" s="2656">
        <v>0</v>
      </c>
      <c r="L20" s="2656">
        <f>SUM('СТОКИ (СВОД) 2016-2017'!L22-'Тариф стоки 2016-2017 ПЛАН'!L20)</f>
        <v>0</v>
      </c>
      <c r="M20" s="3463">
        <v>0</v>
      </c>
      <c r="N20" s="2758" t="s">
        <v>1645</v>
      </c>
    </row>
    <row r="21" spans="1:14" ht="21.75" customHeight="1">
      <c r="A21" s="2647" t="s">
        <v>942</v>
      </c>
      <c r="B21" s="2648" t="s">
        <v>2</v>
      </c>
      <c r="C21" s="2647" t="s">
        <v>919</v>
      </c>
      <c r="D21" s="2649">
        <f>SUM('СТОКИ (СВОД) 2016-2017'!D23-'Тариф стоки 2016-2017 ПЛАН'!D21)</f>
        <v>0</v>
      </c>
      <c r="E21" s="2649">
        <f>SUM('СТОКИ (СВОД) 2016-2017'!E23-'Тариф стоки 2016-2017 ПЛАН'!E21)</f>
        <v>5.2224158631761384</v>
      </c>
      <c r="F21" s="2649">
        <f>стоки!BJ75</f>
        <v>1.8845982468261013</v>
      </c>
      <c r="G21" s="2649">
        <f>стоки!BM75</f>
        <v>2.9249599541838052</v>
      </c>
      <c r="H21" s="2649">
        <f>стоки!BP75</f>
        <v>3.8999466055784069</v>
      </c>
      <c r="I21" s="2649">
        <f>стоки!BF75</f>
        <v>5.2521334128832677</v>
      </c>
      <c r="J21" s="2649">
        <f>SUM(стоки!BX75)</f>
        <v>5.12</v>
      </c>
      <c r="K21" s="2649">
        <f>J21</f>
        <v>5.12</v>
      </c>
      <c r="L21" s="2649">
        <f>SUM('СТОКИ (СВОД) 2016-2017'!L23-'Тариф стоки 2016-2017 ПЛАН'!L21)</f>
        <v>5.1167328575866122</v>
      </c>
      <c r="M21" s="3461">
        <f>SUM(L21)</f>
        <v>5.1167328575866122</v>
      </c>
      <c r="N21" s="2763" t="s">
        <v>1646</v>
      </c>
    </row>
    <row r="22" spans="1:14" ht="21.75" customHeight="1">
      <c r="A22" s="2657" t="s">
        <v>202</v>
      </c>
      <c r="B22" s="2658" t="s">
        <v>943</v>
      </c>
      <c r="C22" s="2680" t="s">
        <v>44</v>
      </c>
      <c r="D22" s="2703">
        <f t="shared" ref="D22:I22" si="4">D23/(D10+D21)*100</f>
        <v>0</v>
      </c>
      <c r="E22" s="2703">
        <f t="shared" si="4"/>
        <v>0</v>
      </c>
      <c r="F22" s="2682">
        <f t="shared" si="4"/>
        <v>0</v>
      </c>
      <c r="G22" s="2682">
        <f t="shared" si="4"/>
        <v>0</v>
      </c>
      <c r="H22" s="2682">
        <f t="shared" si="4"/>
        <v>0</v>
      </c>
      <c r="I22" s="2682">
        <f t="shared" si="4"/>
        <v>0</v>
      </c>
      <c r="J22" s="2682">
        <f t="shared" ref="J22:K22" si="5">J23/(J10+J21)*100</f>
        <v>0</v>
      </c>
      <c r="K22" s="2682">
        <f t="shared" si="5"/>
        <v>0</v>
      </c>
      <c r="L22" s="2703">
        <f>L23/(L10+L21)*100</f>
        <v>-7.4546892109637316E-5</v>
      </c>
      <c r="M22" s="3464"/>
      <c r="N22" s="2764"/>
    </row>
    <row r="23" spans="1:14" ht="21.7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0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-2.5223508309744685E-4</v>
      </c>
      <c r="M23" s="2649">
        <f>M24+M25+M26</f>
        <v>0</v>
      </c>
      <c r="N23" s="2763"/>
    </row>
    <row r="24" spans="1:14" ht="21.75" customHeight="1">
      <c r="A24" s="2651" t="s">
        <v>946</v>
      </c>
      <c r="B24" s="2678" t="s">
        <v>947</v>
      </c>
      <c r="C24" s="2651" t="s">
        <v>919</v>
      </c>
      <c r="D24" s="2653">
        <f>SUM('СТОКИ (СВОД) 2016-2017'!D26-'Тариф стоки 2016-2017 ПЛАН'!D24)</f>
        <v>0</v>
      </c>
      <c r="E24" s="2653">
        <f>SUM('СТОКИ (СВОД) 2016-2017'!E26-'Тариф стоки 2016-2017 ПЛАН'!E24)</f>
        <v>0</v>
      </c>
      <c r="F24" s="2653">
        <v>0</v>
      </c>
      <c r="G24" s="2653">
        <v>0</v>
      </c>
      <c r="H24" s="2653">
        <v>0</v>
      </c>
      <c r="I24" s="2653">
        <v>0</v>
      </c>
      <c r="J24" s="2653">
        <v>0</v>
      </c>
      <c r="K24" s="2653">
        <v>0</v>
      </c>
      <c r="L24" s="2653">
        <f>SUM('СТОКИ (СВОД) 2016-2017'!L26-'Тариф стоки 2016-2017 ПЛАН'!L24)</f>
        <v>-2.5223508309744685E-4</v>
      </c>
      <c r="M24" s="3462">
        <v>0</v>
      </c>
      <c r="N24" s="2757" t="s">
        <v>1598</v>
      </c>
    </row>
    <row r="25" spans="1:14" ht="50.25" customHeight="1">
      <c r="A25" s="2651" t="s">
        <v>948</v>
      </c>
      <c r="B25" s="2678" t="s">
        <v>949</v>
      </c>
      <c r="C25" s="2651" t="s">
        <v>919</v>
      </c>
      <c r="D25" s="2653">
        <v>0</v>
      </c>
      <c r="E25" s="2651">
        <v>0</v>
      </c>
      <c r="F25" s="2653">
        <v>0</v>
      </c>
      <c r="G25" s="2653">
        <v>0</v>
      </c>
      <c r="H25" s="2653">
        <v>0</v>
      </c>
      <c r="I25" s="2653">
        <v>0</v>
      </c>
      <c r="J25" s="2653">
        <v>0</v>
      </c>
      <c r="K25" s="2653">
        <v>0</v>
      </c>
      <c r="L25" s="2651">
        <v>0</v>
      </c>
      <c r="M25" s="3462">
        <v>0</v>
      </c>
      <c r="N25" s="2757"/>
    </row>
    <row r="26" spans="1:14" ht="21.75" customHeight="1">
      <c r="A26" s="2651" t="s">
        <v>950</v>
      </c>
      <c r="B26" s="2678" t="s">
        <v>951</v>
      </c>
      <c r="C26" s="2651" t="s">
        <v>919</v>
      </c>
      <c r="D26" s="2653">
        <v>0</v>
      </c>
      <c r="E26" s="2651">
        <v>0</v>
      </c>
      <c r="F26" s="2653">
        <v>0</v>
      </c>
      <c r="G26" s="2653">
        <v>0</v>
      </c>
      <c r="H26" s="2653">
        <v>0</v>
      </c>
      <c r="I26" s="2653">
        <v>0</v>
      </c>
      <c r="J26" s="2653">
        <v>0</v>
      </c>
      <c r="K26" s="2653">
        <v>0</v>
      </c>
      <c r="L26" s="2651">
        <v>0</v>
      </c>
      <c r="M26" s="3462">
        <v>0</v>
      </c>
      <c r="N26" s="2757"/>
    </row>
    <row r="27" spans="1:14" ht="30.75" customHeight="1">
      <c r="A27" s="2647" t="s">
        <v>203</v>
      </c>
      <c r="B27" s="2648" t="s">
        <v>952</v>
      </c>
      <c r="C27" s="2647" t="s">
        <v>919</v>
      </c>
      <c r="D27" s="2649">
        <f>SUM('СТОКИ (СВОД) 2016-2017'!D29-'Тариф стоки 2016-2017 ПЛАН'!D27)</f>
        <v>-48.179999999999836</v>
      </c>
      <c r="E27" s="2649">
        <f>стоки!AW89</f>
        <v>0</v>
      </c>
      <c r="F27" s="2649">
        <v>0</v>
      </c>
      <c r="G27" s="2649">
        <v>0</v>
      </c>
      <c r="H27" s="2649">
        <v>0</v>
      </c>
      <c r="I27" s="2649">
        <v>0</v>
      </c>
      <c r="J27" s="2649">
        <f>SUM(стоки!BX89)</f>
        <v>15.96</v>
      </c>
      <c r="K27" s="2649">
        <v>0</v>
      </c>
      <c r="L27" s="2649">
        <f>SUM('СТОКИ (СВОД) 2016-2017'!L29-'Тариф стоки 2016-2017 ПЛАН'!L27)</f>
        <v>16.917880541986051</v>
      </c>
      <c r="M27" s="3461">
        <f>SUM(M10+M21)*0.05</f>
        <v>18.531726521882213</v>
      </c>
      <c r="N27" s="2763" t="s">
        <v>1647</v>
      </c>
    </row>
    <row r="28" spans="1:14" ht="21.75" customHeight="1">
      <c r="A28" s="2643">
        <v>2</v>
      </c>
      <c r="B28" s="2644" t="s">
        <v>1617</v>
      </c>
      <c r="C28" s="2643" t="s">
        <v>954</v>
      </c>
      <c r="D28" s="2645">
        <f>SUM(объемы!L60)</f>
        <v>28</v>
      </c>
      <c r="E28" s="2645">
        <f>SUM(объемы!S60)</f>
        <v>23.38</v>
      </c>
      <c r="F28" s="2645">
        <f>объемы!AB60</f>
        <v>10.23</v>
      </c>
      <c r="G28" s="2645">
        <f>объемы!AC60</f>
        <v>15.34</v>
      </c>
      <c r="H28" s="2645">
        <f>объемы!AD60</f>
        <v>20.453333333333333</v>
      </c>
      <c r="I28" s="2645">
        <f>объемы!V57</f>
        <v>18.933333333333334</v>
      </c>
      <c r="J28" s="2645">
        <f>SUM(объемы!AF60)</f>
        <v>23</v>
      </c>
      <c r="K28" s="2645">
        <f>J28</f>
        <v>23</v>
      </c>
      <c r="L28" s="2645">
        <f>SUM(объемы!AE60)</f>
        <v>23</v>
      </c>
      <c r="M28" s="3459">
        <f>SUM(L28)</f>
        <v>23</v>
      </c>
      <c r="N28" s="2646"/>
    </row>
    <row r="29" spans="1:14" ht="21.75" customHeight="1">
      <c r="A29" s="2643" t="s">
        <v>196</v>
      </c>
      <c r="B29" s="2644" t="s">
        <v>955</v>
      </c>
      <c r="C29" s="2643" t="s">
        <v>954</v>
      </c>
      <c r="D29" s="2645">
        <v>0</v>
      </c>
      <c r="E29" s="2790">
        <v>0</v>
      </c>
      <c r="F29" s="2645">
        <v>0</v>
      </c>
      <c r="G29" s="2645">
        <v>0</v>
      </c>
      <c r="H29" s="2645">
        <v>0</v>
      </c>
      <c r="I29" s="2645">
        <v>0</v>
      </c>
      <c r="J29" s="2645">
        <f>I29</f>
        <v>0</v>
      </c>
      <c r="K29" s="2645">
        <f>J29</f>
        <v>0</v>
      </c>
      <c r="L29" s="2790">
        <v>0</v>
      </c>
      <c r="M29" s="3459">
        <v>0</v>
      </c>
      <c r="N29" s="2646"/>
    </row>
    <row r="30" spans="1:14" ht="21.75" customHeight="1">
      <c r="A30" s="2663" t="s">
        <v>956</v>
      </c>
      <c r="B30" s="2664" t="s">
        <v>1625</v>
      </c>
      <c r="C30" s="2663" t="s">
        <v>958</v>
      </c>
      <c r="D30" s="2665">
        <f t="shared" ref="D30:M30" si="8">D9/D28</f>
        <v>10.746631968860088</v>
      </c>
      <c r="E30" s="2665">
        <f t="shared" si="8"/>
        <v>14.162323400676101</v>
      </c>
      <c r="F30" s="2665">
        <f t="shared" si="8"/>
        <v>15.742035196582577</v>
      </c>
      <c r="G30" s="2665">
        <f t="shared" si="8"/>
        <v>16.538191295350131</v>
      </c>
      <c r="H30" s="2665">
        <f t="shared" si="8"/>
        <v>16.684749909074007</v>
      </c>
      <c r="I30" s="2665">
        <f t="shared" si="8"/>
        <v>14.034371415059182</v>
      </c>
      <c r="J30" s="2665">
        <f t="shared" si="8"/>
        <v>14.575641770453718</v>
      </c>
      <c r="K30" s="2665">
        <f t="shared" si="8"/>
        <v>14.568070546686895</v>
      </c>
      <c r="L30" s="2665">
        <f t="shared" si="8"/>
        <v>15.446749528114877</v>
      </c>
      <c r="M30" s="2665">
        <f t="shared" si="8"/>
        <v>16.92027204171854</v>
      </c>
      <c r="N30" s="2640"/>
    </row>
    <row r="31" spans="1:14" ht="21.75" customHeight="1">
      <c r="A31" s="2663"/>
      <c r="B31" s="2664" t="s">
        <v>959</v>
      </c>
      <c r="C31" s="2663" t="s">
        <v>958</v>
      </c>
      <c r="D31" s="2665">
        <v>12.04</v>
      </c>
      <c r="E31" s="2663"/>
      <c r="F31" s="2665"/>
      <c r="G31" s="2663"/>
      <c r="H31" s="2663"/>
      <c r="I31" s="2665">
        <v>13.79</v>
      </c>
      <c r="J31" s="2665">
        <f>I32</f>
        <v>14.278742830118365</v>
      </c>
      <c r="K31" s="2665">
        <f>J32</f>
        <v>14.872540710789071</v>
      </c>
      <c r="L31" s="3471">
        <f>SUM(I32)</f>
        <v>14.278742830118365</v>
      </c>
      <c r="M31" s="3465">
        <f>SUM(L32)</f>
        <v>16.614756226111389</v>
      </c>
      <c r="N31" s="2640"/>
    </row>
    <row r="32" spans="1:14" ht="21.75" customHeight="1">
      <c r="A32" s="2663"/>
      <c r="B32" s="2664" t="s">
        <v>960</v>
      </c>
      <c r="C32" s="2663" t="s">
        <v>958</v>
      </c>
      <c r="D32" s="2665">
        <v>13.79</v>
      </c>
      <c r="E32" s="2663"/>
      <c r="F32" s="2665"/>
      <c r="G32" s="2663"/>
      <c r="H32" s="2663"/>
      <c r="I32" s="2665">
        <f>I30*2-I31</f>
        <v>14.278742830118365</v>
      </c>
      <c r="J32" s="2665">
        <f>J30*2-J31</f>
        <v>14.872540710789071</v>
      </c>
      <c r="K32" s="2665">
        <f>K30*2-K31</f>
        <v>14.26360038258472</v>
      </c>
      <c r="L32" s="2665">
        <f>L30*2-L31</f>
        <v>16.614756226111389</v>
      </c>
      <c r="M32" s="2665">
        <f>M30*2-M31</f>
        <v>17.225787857325692</v>
      </c>
      <c r="N32" s="2640"/>
    </row>
    <row r="33" spans="1:14" ht="21.75" customHeight="1">
      <c r="A33" s="2663"/>
      <c r="B33" s="2664" t="s">
        <v>961</v>
      </c>
      <c r="C33" s="2663"/>
      <c r="D33" s="2665"/>
      <c r="E33" s="2663"/>
      <c r="F33" s="2665"/>
      <c r="G33" s="2663"/>
      <c r="H33" s="2663"/>
      <c r="I33" s="2665"/>
      <c r="J33" s="2665"/>
      <c r="K33" s="2665"/>
      <c r="L33" s="2663"/>
      <c r="M33" s="3465"/>
      <c r="N33" s="2640"/>
    </row>
    <row r="34" spans="1:14" ht="21.75" customHeight="1">
      <c r="A34" s="2663"/>
      <c r="B34" s="2664" t="s">
        <v>959</v>
      </c>
      <c r="C34" s="2663" t="s">
        <v>44</v>
      </c>
      <c r="D34" s="2665">
        <v>100</v>
      </c>
      <c r="E34" s="2663"/>
      <c r="F34" s="2665"/>
      <c r="G34" s="2663"/>
      <c r="H34" s="2663"/>
      <c r="I34" s="2665"/>
      <c r="J34" s="2665">
        <f>J31/I32*100</f>
        <v>100</v>
      </c>
      <c r="K34" s="2665">
        <f>K31/J32*100</f>
        <v>100</v>
      </c>
      <c r="L34" s="2665">
        <f>L31/I32*100</f>
        <v>100</v>
      </c>
      <c r="M34" s="2665">
        <f>SUM(M31/L32)*100</f>
        <v>100</v>
      </c>
      <c r="N34" s="2640"/>
    </row>
    <row r="35" spans="1:14" ht="21.75" customHeight="1">
      <c r="A35" s="2663"/>
      <c r="B35" s="2664" t="s">
        <v>960</v>
      </c>
      <c r="C35" s="2663" t="s">
        <v>44</v>
      </c>
      <c r="D35" s="2665">
        <f>D32/D31*100</f>
        <v>114.53488372093024</v>
      </c>
      <c r="E35" s="2663"/>
      <c r="F35" s="2665"/>
      <c r="G35" s="2663"/>
      <c r="H35" s="2663"/>
      <c r="I35" s="2665">
        <f>I32/I31*100</f>
        <v>103.54418295952404</v>
      </c>
      <c r="J35" s="2665">
        <f>J32/J31*100</f>
        <v>104.15861457647517</v>
      </c>
      <c r="K35" s="2665">
        <f>K32/K31*100</f>
        <v>95.905606580302688</v>
      </c>
      <c r="L35" s="2665">
        <f>L32/L31*100</f>
        <v>116.36007752072987</v>
      </c>
      <c r="M35" s="2665">
        <f>M32/M31*100</f>
        <v>103.67764427535818</v>
      </c>
      <c r="N35" s="2640"/>
    </row>
    <row r="36" spans="1:14" ht="15.75">
      <c r="A36" s="2683"/>
      <c r="B36" s="2684"/>
      <c r="C36" s="2685"/>
      <c r="D36" s="2685"/>
      <c r="E36" s="2685"/>
      <c r="F36" s="2685"/>
      <c r="G36" s="2691"/>
      <c r="H36" s="2685"/>
      <c r="I36" s="2685"/>
      <c r="J36" s="2685"/>
      <c r="K36" s="2685"/>
      <c r="L36" s="2685"/>
      <c r="M36" s="2685"/>
      <c r="N36" s="2686"/>
    </row>
    <row r="37" spans="1:14" ht="21.75" customHeight="1">
      <c r="A37" s="2687" t="s">
        <v>962</v>
      </c>
      <c r="B37" s="2672" t="s">
        <v>1626</v>
      </c>
      <c r="C37" s="2688"/>
      <c r="D37" s="2688"/>
      <c r="E37" s="2688"/>
      <c r="F37" s="2688"/>
      <c r="G37" s="2692"/>
      <c r="H37" s="2688"/>
      <c r="I37" s="2688"/>
      <c r="J37" s="2688"/>
      <c r="K37" s="2688"/>
      <c r="L37" s="2688"/>
      <c r="M37" s="3466"/>
      <c r="N37" s="2688"/>
    </row>
    <row r="38" spans="1:14" ht="21.75" customHeight="1">
      <c r="A38" s="2688"/>
      <c r="B38" s="2672" t="s">
        <v>959</v>
      </c>
      <c r="C38" s="2675" t="s">
        <v>964</v>
      </c>
      <c r="D38" s="2689"/>
      <c r="E38" s="2675"/>
      <c r="F38" s="2689"/>
      <c r="G38" s="2675"/>
      <c r="H38" s="2675"/>
      <c r="I38" s="2690">
        <v>13.79</v>
      </c>
      <c r="J38" s="2690">
        <f>I39</f>
        <v>14.278742830118365</v>
      </c>
      <c r="K38" s="2690">
        <f>J39</f>
        <v>14.872540710789071</v>
      </c>
      <c r="L38" s="2690">
        <f>SUM(I39)</f>
        <v>14.278742830118365</v>
      </c>
      <c r="M38" s="3467">
        <f>SUM(M31)</f>
        <v>16.614756226111389</v>
      </c>
      <c r="N38" s="2688"/>
    </row>
    <row r="39" spans="1:14" ht="21.75" customHeight="1">
      <c r="A39" s="2688"/>
      <c r="B39" s="2672" t="s">
        <v>960</v>
      </c>
      <c r="C39" s="2675" t="s">
        <v>964</v>
      </c>
      <c r="D39" s="2689"/>
      <c r="E39" s="2675"/>
      <c r="F39" s="2689"/>
      <c r="G39" s="2675"/>
      <c r="H39" s="2675"/>
      <c r="I39" s="2690">
        <f>I32</f>
        <v>14.278742830118365</v>
      </c>
      <c r="J39" s="2690">
        <f>J32</f>
        <v>14.872540710789071</v>
      </c>
      <c r="K39" s="2690">
        <f>K32</f>
        <v>14.26360038258472</v>
      </c>
      <c r="L39" s="2690">
        <f>L32</f>
        <v>16.614756226111389</v>
      </c>
      <c r="M39" s="3467">
        <f>SUM(M32)</f>
        <v>17.225787857325692</v>
      </c>
      <c r="N39" s="2688"/>
    </row>
    <row r="40" spans="1:14" ht="21.75" customHeight="1">
      <c r="A40" s="2688"/>
      <c r="B40" s="2672" t="s">
        <v>364</v>
      </c>
      <c r="C40" s="2675" t="s">
        <v>44</v>
      </c>
      <c r="D40" s="2689"/>
      <c r="E40" s="2675"/>
      <c r="F40" s="2689"/>
      <c r="G40" s="2675"/>
      <c r="H40" s="2675"/>
      <c r="I40" s="2690">
        <f>I39/I38*100</f>
        <v>103.54418295952404</v>
      </c>
      <c r="J40" s="2690">
        <f>J39/J38*100</f>
        <v>104.15861457647517</v>
      </c>
      <c r="K40" s="2690">
        <f>K39/K38*100</f>
        <v>95.905606580302688</v>
      </c>
      <c r="L40" s="2690">
        <f>L39/L38*100</f>
        <v>116.36007752072987</v>
      </c>
      <c r="M40" s="2690">
        <f>M39/M38*100</f>
        <v>103.67764427535818</v>
      </c>
      <c r="N40" s="2688"/>
    </row>
    <row r="41" spans="1:14" ht="21.75" customHeight="1">
      <c r="A41" s="2688"/>
      <c r="B41" s="2672" t="s">
        <v>965</v>
      </c>
      <c r="C41" s="2675" t="s">
        <v>919</v>
      </c>
      <c r="D41" s="2689"/>
      <c r="E41" s="2675"/>
      <c r="F41" s="2688"/>
      <c r="G41" s="2675"/>
      <c r="H41" s="2675"/>
      <c r="I41" s="2714">
        <f>(I31-I38)*I29/2+(I32-I39)*I29/2</f>
        <v>0</v>
      </c>
      <c r="J41" s="2714">
        <f>(J31-J38)*J29/2+(J32-J39)*J29/2</f>
        <v>0</v>
      </c>
      <c r="K41" s="2714">
        <f>(K31-K38)*K29/2+(K32-K39)*K29/2</f>
        <v>0</v>
      </c>
      <c r="L41" s="2714">
        <f>(L31-L38)*L29/2+(L32-L39)*L29/2</f>
        <v>0</v>
      </c>
      <c r="M41" s="3748">
        <v>0</v>
      </c>
      <c r="N41" s="2688"/>
    </row>
  </sheetData>
  <mergeCells count="18">
    <mergeCell ref="A1:N1"/>
    <mergeCell ref="A2:N2"/>
    <mergeCell ref="A4:A5"/>
    <mergeCell ref="B4:B5"/>
    <mergeCell ref="C4:C5"/>
    <mergeCell ref="I4:K4"/>
    <mergeCell ref="N4:N5"/>
    <mergeCell ref="L4:M4"/>
    <mergeCell ref="H6:H8"/>
    <mergeCell ref="C6:C8"/>
    <mergeCell ref="I6:I8"/>
    <mergeCell ref="E4:E5"/>
    <mergeCell ref="E6:E8"/>
    <mergeCell ref="F4:H4"/>
    <mergeCell ref="F6:F8"/>
    <mergeCell ref="G6:G8"/>
    <mergeCell ref="D4:D5"/>
    <mergeCell ref="D6:D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42"/>
  <sheetViews>
    <sheetView zoomScale="86" zoomScaleNormal="86" workbookViewId="0">
      <pane xSplit="2" ySplit="5" topLeftCell="H6" activePane="bottomRight" state="frozen"/>
      <selection pane="topRight" activeCell="C1" sqref="C1"/>
      <selection pane="bottomLeft" activeCell="A6" sqref="A6"/>
      <selection pane="bottomRight" activeCell="N11" sqref="N11"/>
    </sheetView>
  </sheetViews>
  <sheetFormatPr defaultRowHeight="12.75"/>
  <cols>
    <col min="1" max="1" width="9.85546875" customWidth="1"/>
    <col min="2" max="2" width="81.85546875" customWidth="1"/>
    <col min="3" max="8" width="12.7109375" customWidth="1"/>
    <col min="9" max="9" width="13" customWidth="1"/>
    <col min="10" max="11" width="12.7109375" customWidth="1"/>
    <col min="12" max="13" width="14" customWidth="1"/>
    <col min="14" max="14" width="38.140625" customWidth="1"/>
  </cols>
  <sheetData>
    <row r="1" spans="1:14" ht="15">
      <c r="A1" s="4425" t="s">
        <v>1529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4" ht="18.75">
      <c r="A2" s="4427" t="s">
        <v>1003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4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4" ht="31.5" customHeight="1">
      <c r="A4" s="4428" t="s">
        <v>909</v>
      </c>
      <c r="B4" s="4428" t="s">
        <v>374</v>
      </c>
      <c r="C4" s="4428" t="s">
        <v>910</v>
      </c>
      <c r="D4" s="4422" t="s">
        <v>1611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3" t="s">
        <v>283</v>
      </c>
      <c r="M4" s="4434"/>
      <c r="N4" s="4424" t="s">
        <v>911</v>
      </c>
    </row>
    <row r="5" spans="1:14" ht="28.5">
      <c r="A5" s="4428"/>
      <c r="B5" s="4428"/>
      <c r="C5" s="4428"/>
      <c r="D5" s="4312"/>
      <c r="E5" s="4312"/>
      <c r="F5" s="2792" t="s">
        <v>391</v>
      </c>
      <c r="G5" s="2792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4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3456"/>
      <c r="N6" s="2640"/>
    </row>
    <row r="7" spans="1:14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3457"/>
      <c r="N7" s="2640"/>
    </row>
    <row r="8" spans="1:14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3458"/>
      <c r="N8" s="2640"/>
    </row>
    <row r="9" spans="1:14" ht="21.75" customHeight="1">
      <c r="A9" s="2643">
        <v>1</v>
      </c>
      <c r="B9" s="2644" t="s">
        <v>918</v>
      </c>
      <c r="C9" s="2643" t="s">
        <v>919</v>
      </c>
      <c r="D9" s="2645">
        <f t="shared" ref="D9:M9" si="0">D10+D21+D23+D27</f>
        <v>88531.310327153653</v>
      </c>
      <c r="E9" s="2645">
        <f t="shared" si="0"/>
        <v>73012.944878892187</v>
      </c>
      <c r="F9" s="2645">
        <f t="shared" si="0"/>
        <v>38508.235329938972</v>
      </c>
      <c r="G9" s="2645">
        <f t="shared" si="0"/>
        <v>59435.119734529319</v>
      </c>
      <c r="H9" s="2645">
        <f t="shared" si="0"/>
        <v>80269.528576826284</v>
      </c>
      <c r="I9" s="2645">
        <f t="shared" si="0"/>
        <v>85119.685094018467</v>
      </c>
      <c r="J9" s="2645">
        <f t="shared" si="0"/>
        <v>89936.605020277697</v>
      </c>
      <c r="K9" s="2645">
        <f t="shared" si="0"/>
        <v>94425.623149886262</v>
      </c>
      <c r="L9" s="2645">
        <f t="shared" si="0"/>
        <v>89683.202079086361</v>
      </c>
      <c r="M9" s="2645">
        <f t="shared" si="0"/>
        <v>103974.93379771513</v>
      </c>
      <c r="N9" s="2646"/>
    </row>
    <row r="10" spans="1:14" ht="21.75" customHeight="1">
      <c r="A10" s="2647" t="s">
        <v>920</v>
      </c>
      <c r="B10" s="2648" t="s">
        <v>921</v>
      </c>
      <c r="C10" s="2647" t="s">
        <v>919</v>
      </c>
      <c r="D10" s="2649">
        <f t="shared" ref="D10:M10" si="1">D11+D12+D13</f>
        <v>75957.163043722088</v>
      </c>
      <c r="E10" s="2649">
        <f t="shared" si="1"/>
        <v>67775.327294755363</v>
      </c>
      <c r="F10" s="2649">
        <f t="shared" si="1"/>
        <v>35977.819928185796</v>
      </c>
      <c r="G10" s="2649">
        <f t="shared" si="1"/>
        <v>55636.784694483504</v>
      </c>
      <c r="H10" s="2649">
        <f t="shared" si="1"/>
        <v>75204.821856765193</v>
      </c>
      <c r="I10" s="2649">
        <f t="shared" si="1"/>
        <v>76161.409824975068</v>
      </c>
      <c r="J10" s="2649">
        <f t="shared" si="1"/>
        <v>80478.319543121615</v>
      </c>
      <c r="K10" s="2649">
        <f t="shared" si="1"/>
        <v>84753.574904653593</v>
      </c>
      <c r="L10" s="2649">
        <f t="shared" si="1"/>
        <v>80154.592901287382</v>
      </c>
      <c r="M10" s="2649">
        <f t="shared" si="1"/>
        <v>87576.782052246097</v>
      </c>
      <c r="N10" s="2650"/>
    </row>
    <row r="11" spans="1:14" ht="21.75" customHeight="1">
      <c r="A11" s="2651" t="s">
        <v>922</v>
      </c>
      <c r="B11" s="2678" t="s">
        <v>923</v>
      </c>
      <c r="C11" s="2651" t="s">
        <v>919</v>
      </c>
      <c r="D11" s="2653">
        <f>стоки!AK76+стоки!AK77+стоки!AK78+стоки!AK80+стоки!AK79+стоки!AK82-D14-D16-'цех стоки'!AC19-'ОХР '!AE20-'ОХР '!AE16-'ОХР '!AE23</f>
        <v>63991.725327425418</v>
      </c>
      <c r="E11" s="2653">
        <f>стоки!AW76+стоки!AW77+стоки!AW78+стоки!AW80+стоки!AW79+стоки!AW82-E14-E16-'цех стоки'!AM19-'ОХР '!AL20-'ОХР '!AL16-'ОХР '!AL23</f>
        <v>56507.612729730987</v>
      </c>
      <c r="F11" s="2653">
        <f>стоки!BI76+стоки!BI77+стоки!BI78+стоки!BI80+стоки!BI79+стоки!BI82-F14-F16-'цех стоки'!AN19-'ОХР '!AZ20-'ОХР '!AZ16-'ОХР '!AZ23</f>
        <v>29454.489026182258</v>
      </c>
      <c r="G11" s="2653">
        <f>стоки!BL76+стоки!BL77+стоки!BL78+стоки!BL80+стоки!BL79+стоки!BL82-G14-G16-'цех стоки'!AO19-'ОХР '!BC20-'ОХР '!BC16-'ОХР '!BC23</f>
        <v>46347.159648016474</v>
      </c>
      <c r="H11" s="2653">
        <f>стоки!BO76+стоки!BO77+стоки!BO78+стоки!BO80+стоки!BO79+стоки!BO82-H14-H16-'цех стоки'!AP19-'ОХР '!BF20-'ОХР '!BF16-'ОХР '!BF23</f>
        <v>62909.071599364433</v>
      </c>
      <c r="I11" s="2653">
        <f>стоки!BE76+стоки!BE77+стоки!BE78+стоки!BE80+стоки!BE79+стоки!BE82-I14-I16-'цех стоки'!AH19-'ОХР '!AT20-'ОХР '!AT16-'ОХР '!AT23+0.03</f>
        <v>65769.171399448838</v>
      </c>
      <c r="J11" s="2653">
        <f>I11*(1-J6)*(1+J7)*(1+J8)</f>
        <v>69734.394743121607</v>
      </c>
      <c r="K11" s="2653">
        <f>J11*(1-K6)*(1+K7)*(1+K8)</f>
        <v>73041.199741840435</v>
      </c>
      <c r="L11" s="2653">
        <f>стоки!BS76+стоки!BS77+стоки!BS78+стоки!BS80+стоки!BS79+стоки!BS82-L14-L16-'цех стоки'!AQ19-'ОХР '!BI20-'ОХР '!BI16-'ОХР '!BI23</f>
        <v>68913.059401107195</v>
      </c>
      <c r="M11" s="3462">
        <f>SUM(L11*1.1)</f>
        <v>75804.365341217926</v>
      </c>
      <c r="N11" s="2757" t="s">
        <v>1641</v>
      </c>
    </row>
    <row r="12" spans="1:14" ht="30.75" customHeight="1">
      <c r="A12" s="2651" t="s">
        <v>924</v>
      </c>
      <c r="B12" s="2678" t="s">
        <v>925</v>
      </c>
      <c r="C12" s="2651" t="s">
        <v>919</v>
      </c>
      <c r="D12" s="2653">
        <f>стоки!AK74+'цех стоки'!AC19+'ОХР '!AE20+'ОХР '!AE16</f>
        <v>7909.2388162966727</v>
      </c>
      <c r="E12" s="2653">
        <f>стоки!AW74+'цех стоки'!AM19+'ОХР '!AL20+'ОХР '!AL16</f>
        <v>9124.3151247527239</v>
      </c>
      <c r="F12" s="2653">
        <f>стоки!BI74+'цех стоки'!AN19+'ОХР '!AZ20+'ОХР '!AZ16</f>
        <v>5292.5629304498289</v>
      </c>
      <c r="G12" s="2653">
        <f>стоки!BL74+'цех стоки'!AO19+'ОХР '!BC20+'ОХР '!BC16</f>
        <v>7435.5664595680428</v>
      </c>
      <c r="H12" s="2653">
        <f>стоки!BO74+'цех стоки'!AP19+'ОХР '!BF20+'ОХР '!BF16</f>
        <v>9823.6688525721147</v>
      </c>
      <c r="I12" s="2653">
        <f>стоки!BE74+'цех стоки'!AH19+'ОХР '!AT20+'ОХР '!AT16</f>
        <v>7932.8598693269896</v>
      </c>
      <c r="J12" s="2653">
        <f>SUM(стоки!BW74+'цех стоки'!AR19+'ОХР '!BN20+'ОХР '!BN16)+0.01</f>
        <v>7843.1100000000006</v>
      </c>
      <c r="K12" s="2653">
        <f>'электр 2017-2018'!BP55+'цех стоки'!AH19*1.06*1.051+'ОХР '!AT16*1.025*1.03+'ОХР '!AT20*1.066*1.067</f>
        <v>9049.0266013567143</v>
      </c>
      <c r="L12" s="2653">
        <f>стоки!BS74+'цех стоки'!AQ19+'ОХР '!BI20+'ОХР '!BI16</f>
        <v>8194.4569323407577</v>
      </c>
      <c r="M12" s="3462">
        <f>SUM(L12*1.1)</f>
        <v>9013.902625574834</v>
      </c>
      <c r="N12" s="2757" t="s">
        <v>1642</v>
      </c>
    </row>
    <row r="13" spans="1:14" ht="21.75" customHeight="1">
      <c r="A13" s="2651" t="s">
        <v>926</v>
      </c>
      <c r="B13" s="2678" t="s">
        <v>927</v>
      </c>
      <c r="C13" s="2651" t="s">
        <v>919</v>
      </c>
      <c r="D13" s="2653">
        <f t="shared" ref="D13:I13" si="2">D14+D15+D16+D17+D20</f>
        <v>4056.1989000000003</v>
      </c>
      <c r="E13" s="2653">
        <f t="shared" si="2"/>
        <v>2143.3994402716553</v>
      </c>
      <c r="F13" s="2653">
        <f t="shared" si="2"/>
        <v>1230.7679715537076</v>
      </c>
      <c r="G13" s="2653">
        <f t="shared" si="2"/>
        <v>1854.0585868989872</v>
      </c>
      <c r="H13" s="2653">
        <f t="shared" si="2"/>
        <v>2472.0814048286375</v>
      </c>
      <c r="I13" s="2653">
        <f t="shared" si="2"/>
        <v>2459.3785561992449</v>
      </c>
      <c r="J13" s="2653">
        <f t="shared" ref="J13:K13" si="3">J14+J15+J16+J17+J20</f>
        <v>2900.8148000000001</v>
      </c>
      <c r="K13" s="2653">
        <f t="shared" si="3"/>
        <v>2663.3485614564397</v>
      </c>
      <c r="L13" s="2653">
        <f>L14+L15+L16+L17+L20</f>
        <v>3047.0765678394264</v>
      </c>
      <c r="M13" s="2653">
        <f>M14+M15+M16+M17+M20</f>
        <v>2758.514085453337</v>
      </c>
      <c r="N13" s="2751"/>
    </row>
    <row r="14" spans="1:14" ht="30.75" customHeight="1">
      <c r="A14" s="2654" t="s">
        <v>928</v>
      </c>
      <c r="B14" s="2679" t="s">
        <v>929</v>
      </c>
      <c r="C14" s="2654" t="s">
        <v>919</v>
      </c>
      <c r="D14" s="2656">
        <f>'цех стоки'!AC38</f>
        <v>494.19090000000006</v>
      </c>
      <c r="E14" s="2656">
        <f>'цех стоки'!AM38</f>
        <v>206.8</v>
      </c>
      <c r="F14" s="2656">
        <f>'цех стоки'!AN38</f>
        <v>61.43</v>
      </c>
      <c r="G14" s="2656">
        <f>'цех стоки'!AO38</f>
        <v>61.43</v>
      </c>
      <c r="H14" s="2656">
        <f>'цех стоки'!AP38</f>
        <v>81.906666666666666</v>
      </c>
      <c r="I14" s="2656">
        <f>'цех стоки'!AH38</f>
        <v>318.05</v>
      </c>
      <c r="J14" s="2656">
        <f>SUM('цех стоки'!AR38)</f>
        <v>338.21</v>
      </c>
      <c r="K14" s="2656">
        <v>353.77</v>
      </c>
      <c r="L14" s="2656">
        <f>'цех стоки'!AQ38</f>
        <v>349.85500000000002</v>
      </c>
      <c r="M14" s="3463">
        <f>SUM(L14*1.1)</f>
        <v>384.84050000000008</v>
      </c>
      <c r="N14" s="2758" t="s">
        <v>1643</v>
      </c>
    </row>
    <row r="15" spans="1:14" ht="40.5" customHeight="1">
      <c r="A15" s="2654" t="s">
        <v>930</v>
      </c>
      <c r="B15" s="2679" t="s">
        <v>931</v>
      </c>
      <c r="C15" s="2654" t="s">
        <v>919</v>
      </c>
      <c r="D15" s="2656">
        <f>стоки!AK81</f>
        <v>1927.04</v>
      </c>
      <c r="E15" s="2656">
        <f>стоки!AW81</f>
        <v>1783.5694402716554</v>
      </c>
      <c r="F15" s="2656">
        <f>стоки!BI81</f>
        <v>1090.4379715537075</v>
      </c>
      <c r="G15" s="2656">
        <f>стоки!BL81</f>
        <v>1674.2785868989872</v>
      </c>
      <c r="H15" s="2656">
        <f>стоки!BO81</f>
        <v>2232.3747381619705</v>
      </c>
      <c r="I15" s="2656">
        <f>стоки!BE81</f>
        <v>1676.7689960276371</v>
      </c>
      <c r="J15" s="2656">
        <f>SUM(стоки!BW81)</f>
        <v>1783.5700000000002</v>
      </c>
      <c r="K15" s="2656">
        <f>J15</f>
        <v>1783.5700000000002</v>
      </c>
      <c r="L15" s="2656">
        <f>стоки!BS81</f>
        <v>1805.2396699968972</v>
      </c>
      <c r="M15" s="3463">
        <f>SUM(L15)</f>
        <v>1805.2396699968972</v>
      </c>
      <c r="N15" s="2758" t="s">
        <v>10</v>
      </c>
    </row>
    <row r="16" spans="1:14" ht="21.75" customHeight="1">
      <c r="A16" s="2654" t="s">
        <v>932</v>
      </c>
      <c r="B16" s="2679" t="s">
        <v>933</v>
      </c>
      <c r="C16" s="2654" t="s">
        <v>919</v>
      </c>
      <c r="D16" s="2656">
        <f>'цех стоки'!AC43+'цех стоки'!AC29</f>
        <v>184.66800000000001</v>
      </c>
      <c r="E16" s="2656">
        <f>'цех стоки'!AM43+'цех стоки'!AM29</f>
        <v>153.03</v>
      </c>
      <c r="F16" s="2656">
        <f>'цех стоки'!AN43+'цех стоки'!AN29</f>
        <v>78.900000000000006</v>
      </c>
      <c r="G16" s="2656">
        <f>'цех стоки'!AO43+'цех стоки'!AO29</f>
        <v>118.35</v>
      </c>
      <c r="H16" s="2656">
        <f>'цех стоки'!AP43+'цех стоки'!AP29</f>
        <v>157.80000000000001</v>
      </c>
      <c r="I16" s="2656">
        <f>'цех стоки'!AH43+'цех стоки'!AH29</f>
        <v>152.0548</v>
      </c>
      <c r="J16" s="2656">
        <f>I16</f>
        <v>152.0548</v>
      </c>
      <c r="K16" s="2656">
        <f>J16</f>
        <v>152.0548</v>
      </c>
      <c r="L16" s="2656">
        <f>'цех стоки'!AQ43+'цех стоки'!AQ29</f>
        <v>176.80014</v>
      </c>
      <c r="M16" s="3463">
        <f>SUM(L16*1.1)</f>
        <v>194.48015400000003</v>
      </c>
      <c r="N16" s="2758" t="s">
        <v>1644</v>
      </c>
    </row>
    <row r="17" spans="1:14" ht="30.75" customHeight="1">
      <c r="A17" s="2654" t="s">
        <v>934</v>
      </c>
      <c r="B17" s="2679" t="s">
        <v>935</v>
      </c>
      <c r="C17" s="2654" t="s">
        <v>919</v>
      </c>
      <c r="D17" s="2656">
        <f>стоки!AK83</f>
        <v>0</v>
      </c>
      <c r="E17" s="2656">
        <f>стоки!AW83</f>
        <v>0</v>
      </c>
      <c r="F17" s="2656">
        <f>стоки!BI83</f>
        <v>0</v>
      </c>
      <c r="G17" s="2656">
        <f>стоки!BL83</f>
        <v>0</v>
      </c>
      <c r="H17" s="2656">
        <f>стоки!BO83</f>
        <v>0</v>
      </c>
      <c r="I17" s="2656">
        <f>стоки!BE83</f>
        <v>286.40476017160813</v>
      </c>
      <c r="J17" s="2656">
        <f>SUM(стоки!BW83)</f>
        <v>265.39999999999998</v>
      </c>
      <c r="K17" s="2656">
        <f>'Резерв ДЗ'!F32</f>
        <v>373.95376145643951</v>
      </c>
      <c r="L17" s="2656">
        <f>стоки!BS83</f>
        <v>353.60175784252925</v>
      </c>
      <c r="M17" s="3463">
        <f>SUM('Резерв ДЗ'!F32:F35)</f>
        <v>373.95376145643951</v>
      </c>
      <c r="N17" s="2758" t="s">
        <v>908</v>
      </c>
    </row>
    <row r="18" spans="1:14" ht="21.75" customHeight="1">
      <c r="A18" s="2654" t="s">
        <v>936</v>
      </c>
      <c r="B18" s="2679" t="s">
        <v>937</v>
      </c>
      <c r="C18" s="2654" t="s">
        <v>919</v>
      </c>
      <c r="D18" s="2656">
        <v>0</v>
      </c>
      <c r="E18" s="2654">
        <v>0</v>
      </c>
      <c r="F18" s="2656">
        <v>0</v>
      </c>
      <c r="G18" s="2656">
        <v>0</v>
      </c>
      <c r="H18" s="2656">
        <v>0</v>
      </c>
      <c r="I18" s="2656">
        <v>0</v>
      </c>
      <c r="J18" s="2656">
        <v>0</v>
      </c>
      <c r="K18" s="2656">
        <v>0</v>
      </c>
      <c r="L18" s="2654">
        <v>0</v>
      </c>
      <c r="M18" s="3463">
        <v>0</v>
      </c>
      <c r="N18" s="2752"/>
    </row>
    <row r="19" spans="1:14" ht="21.75" customHeight="1">
      <c r="A19" s="2654" t="s">
        <v>938</v>
      </c>
      <c r="B19" s="2679" t="s">
        <v>939</v>
      </c>
      <c r="C19" s="2654" t="s">
        <v>919</v>
      </c>
      <c r="D19" s="2656">
        <v>0</v>
      </c>
      <c r="E19" s="2654">
        <v>0</v>
      </c>
      <c r="F19" s="2656">
        <v>0</v>
      </c>
      <c r="G19" s="2656">
        <v>0</v>
      </c>
      <c r="H19" s="2656">
        <v>0</v>
      </c>
      <c r="I19" s="2656">
        <v>0</v>
      </c>
      <c r="J19" s="2656">
        <v>0</v>
      </c>
      <c r="K19" s="2656">
        <v>0</v>
      </c>
      <c r="L19" s="2654">
        <v>0</v>
      </c>
      <c r="M19" s="3463">
        <v>0</v>
      </c>
      <c r="N19" s="2752"/>
    </row>
    <row r="20" spans="1:14" ht="30.75" customHeight="1">
      <c r="A20" s="2654" t="s">
        <v>940</v>
      </c>
      <c r="B20" s="2679" t="s">
        <v>941</v>
      </c>
      <c r="C20" s="2654" t="s">
        <v>919</v>
      </c>
      <c r="D20" s="2656">
        <f>стоки!AK84</f>
        <v>1450.3</v>
      </c>
      <c r="E20" s="2656">
        <f>стоки!AW84</f>
        <v>0</v>
      </c>
      <c r="F20" s="2656">
        <f>стоки!BI84</f>
        <v>0</v>
      </c>
      <c r="G20" s="2656">
        <f>стоки!BL84</f>
        <v>0</v>
      </c>
      <c r="H20" s="2656">
        <f>стоки!BO84</f>
        <v>0</v>
      </c>
      <c r="I20" s="2656">
        <f>стоки!BE84</f>
        <v>26.100000000000009</v>
      </c>
      <c r="J20" s="2656">
        <f>SUM(стоки!BW48)</f>
        <v>361.57999999999993</v>
      </c>
      <c r="K20" s="2656">
        <v>0</v>
      </c>
      <c r="L20" s="2656">
        <f>стоки!BS84</f>
        <v>361.57999999999993</v>
      </c>
      <c r="M20" s="3463">
        <v>0</v>
      </c>
      <c r="N20" s="2758" t="s">
        <v>1645</v>
      </c>
    </row>
    <row r="21" spans="1:14" ht="15.75">
      <c r="A21" s="2647" t="s">
        <v>942</v>
      </c>
      <c r="B21" s="2648" t="s">
        <v>2</v>
      </c>
      <c r="C21" s="2647" t="s">
        <v>919</v>
      </c>
      <c r="D21" s="2649">
        <f>стоки!AK75+'ОХР '!AE23</f>
        <v>4899.5801249956648</v>
      </c>
      <c r="E21" s="2649">
        <f>стоки!AW75+'ОХР '!AL23</f>
        <v>5237.617584136824</v>
      </c>
      <c r="F21" s="2649">
        <f>стоки!BI75+'ОХР '!AZ23</f>
        <v>2530.4154017531737</v>
      </c>
      <c r="G21" s="2649">
        <f>стоки!BL75+'ОХР '!BC23</f>
        <v>3798.3350400458162</v>
      </c>
      <c r="H21" s="2649">
        <f>стоки!BO75+'ОХР '!BF23</f>
        <v>5064.7067200610882</v>
      </c>
      <c r="I21" s="2649">
        <f>стоки!BE75+'ОХР '!AT23</f>
        <v>4904.1012169472751</v>
      </c>
      <c r="J21" s="2649">
        <f>SUM(стоки!BW75)</f>
        <v>5175.59</v>
      </c>
      <c r="K21" s="2649">
        <f>J21</f>
        <v>5175.59</v>
      </c>
      <c r="L21" s="2649">
        <f>стоки!BS75+'ОХР '!BI23</f>
        <v>5257.980267142414</v>
      </c>
      <c r="M21" s="3461">
        <f>SUM(L21)</f>
        <v>5257.980267142414</v>
      </c>
      <c r="N21" s="2763" t="s">
        <v>1646</v>
      </c>
    </row>
    <row r="22" spans="1:14" ht="21.75" customHeight="1">
      <c r="A22" s="2657" t="s">
        <v>202</v>
      </c>
      <c r="B22" s="2658" t="s">
        <v>943</v>
      </c>
      <c r="C22" s="2680" t="s">
        <v>44</v>
      </c>
      <c r="D22" s="2703">
        <f t="shared" ref="D22:I22" si="4">D23/(D10+D21)*100</f>
        <v>4.4128663363978324</v>
      </c>
      <c r="E22" s="2703">
        <f t="shared" si="4"/>
        <v>0</v>
      </c>
      <c r="F22" s="2703">
        <f t="shared" si="4"/>
        <v>0</v>
      </c>
      <c r="G22" s="2703">
        <f t="shared" si="4"/>
        <v>0</v>
      </c>
      <c r="H22" s="2703">
        <f t="shared" si="4"/>
        <v>0</v>
      </c>
      <c r="I22" s="2681">
        <f t="shared" si="4"/>
        <v>1.1102131947759789E-3</v>
      </c>
      <c r="J22" s="2682">
        <f t="shared" ref="J22:K22" si="5">J23/(J10+J21)*100</f>
        <v>0</v>
      </c>
      <c r="K22" s="2682">
        <f t="shared" si="5"/>
        <v>0</v>
      </c>
      <c r="L22" s="2703">
        <f>L23/(L10+L21)*100</f>
        <v>2.95313762061764E-7</v>
      </c>
      <c r="M22" s="2703">
        <f>M23/(M10+M21)*100</f>
        <v>7.0000000000000009</v>
      </c>
      <c r="N22" s="2764"/>
    </row>
    <row r="23" spans="1:14" ht="21.75" customHeight="1">
      <c r="A23" s="2647" t="s">
        <v>944</v>
      </c>
      <c r="B23" s="2648" t="s">
        <v>945</v>
      </c>
      <c r="C23" s="2647" t="s">
        <v>919</v>
      </c>
      <c r="D23" s="2649">
        <f t="shared" ref="D23:I23" si="6">D24+D25+D26</f>
        <v>3568.1</v>
      </c>
      <c r="E23" s="2649">
        <f t="shared" si="6"/>
        <v>0</v>
      </c>
      <c r="F23" s="2649">
        <f t="shared" si="6"/>
        <v>0</v>
      </c>
      <c r="G23" s="2649">
        <f t="shared" si="6"/>
        <v>0</v>
      </c>
      <c r="H23" s="2649">
        <f t="shared" si="6"/>
        <v>0</v>
      </c>
      <c r="I23" s="2649">
        <f t="shared" si="6"/>
        <v>0.9</v>
      </c>
      <c r="J23" s="2649">
        <f t="shared" ref="J23:K23" si="7">J24+J25+J26</f>
        <v>0</v>
      </c>
      <c r="K23" s="2649">
        <f t="shared" si="7"/>
        <v>0</v>
      </c>
      <c r="L23" s="2649">
        <f>L24+L25+L26</f>
        <v>2.5223508309744685E-4</v>
      </c>
      <c r="M23" s="2649">
        <f>M24+M25+M26</f>
        <v>6498.4333623571965</v>
      </c>
      <c r="N23" s="2763"/>
    </row>
    <row r="24" spans="1:14" ht="21.75" customHeight="1">
      <c r="A24" s="2651" t="s">
        <v>946</v>
      </c>
      <c r="B24" s="2678" t="s">
        <v>947</v>
      </c>
      <c r="C24" s="2651" t="s">
        <v>919</v>
      </c>
      <c r="D24" s="2653">
        <f>стоки!AK92</f>
        <v>3568.1</v>
      </c>
      <c r="E24" s="2653">
        <f>стоки!AW92</f>
        <v>0</v>
      </c>
      <c r="F24" s="2653">
        <f>стоки!BI92</f>
        <v>0</v>
      </c>
      <c r="G24" s="2653">
        <f>стоки!BL92</f>
        <v>0</v>
      </c>
      <c r="H24" s="2653">
        <f>стоки!BO92</f>
        <v>0</v>
      </c>
      <c r="I24" s="2653">
        <f>стоки!BE92</f>
        <v>0.9</v>
      </c>
      <c r="J24" s="2653">
        <v>0</v>
      </c>
      <c r="K24" s="2653">
        <v>0</v>
      </c>
      <c r="L24" s="2653">
        <f>стоки!BD92</f>
        <v>2.5223508309744685E-4</v>
      </c>
      <c r="M24" s="3462">
        <f>SUM(M10+M21)*0.07</f>
        <v>6498.4333623571965</v>
      </c>
      <c r="N24" s="2757" t="s">
        <v>1598</v>
      </c>
    </row>
    <row r="25" spans="1:14" ht="30.75" customHeight="1">
      <c r="A25" s="2651" t="s">
        <v>948</v>
      </c>
      <c r="B25" s="2678" t="s">
        <v>949</v>
      </c>
      <c r="C25" s="2651" t="s">
        <v>919</v>
      </c>
      <c r="D25" s="2653">
        <v>0</v>
      </c>
      <c r="E25" s="2651">
        <v>0</v>
      </c>
      <c r="F25" s="2653">
        <v>0</v>
      </c>
      <c r="G25" s="2653">
        <v>0</v>
      </c>
      <c r="H25" s="2653">
        <v>0</v>
      </c>
      <c r="I25" s="2653">
        <v>0</v>
      </c>
      <c r="J25" s="2653">
        <v>0</v>
      </c>
      <c r="K25" s="2653">
        <v>0</v>
      </c>
      <c r="L25" s="2651">
        <v>0</v>
      </c>
      <c r="M25" s="3462">
        <v>0</v>
      </c>
      <c r="N25" s="2757"/>
    </row>
    <row r="26" spans="1:14" ht="21.75" customHeight="1">
      <c r="A26" s="2651" t="s">
        <v>950</v>
      </c>
      <c r="B26" s="2678" t="s">
        <v>951</v>
      </c>
      <c r="C26" s="2651" t="s">
        <v>919</v>
      </c>
      <c r="D26" s="2653">
        <v>0</v>
      </c>
      <c r="E26" s="2651">
        <v>0</v>
      </c>
      <c r="F26" s="2653">
        <v>0</v>
      </c>
      <c r="G26" s="2653">
        <v>0</v>
      </c>
      <c r="H26" s="2653">
        <v>0</v>
      </c>
      <c r="I26" s="2653">
        <v>0</v>
      </c>
      <c r="J26" s="2653">
        <v>0</v>
      </c>
      <c r="K26" s="2653">
        <v>0</v>
      </c>
      <c r="L26" s="2651">
        <v>0</v>
      </c>
      <c r="M26" s="3462">
        <v>0</v>
      </c>
      <c r="N26" s="2757"/>
    </row>
    <row r="27" spans="1:14" ht="30.75" customHeight="1">
      <c r="A27" s="2647" t="s">
        <v>203</v>
      </c>
      <c r="B27" s="2648" t="s">
        <v>952</v>
      </c>
      <c r="C27" s="2647" t="s">
        <v>919</v>
      </c>
      <c r="D27" s="2649">
        <f>стоки!AK89</f>
        <v>4106.4671584358875</v>
      </c>
      <c r="E27" s="2649">
        <f>стоки!AW89</f>
        <v>0</v>
      </c>
      <c r="F27" s="2649">
        <f>стоки!BI89</f>
        <v>0</v>
      </c>
      <c r="G27" s="2649">
        <f>стоки!BL89</f>
        <v>0</v>
      </c>
      <c r="H27" s="2649">
        <f>стоки!BO89</f>
        <v>0</v>
      </c>
      <c r="I27" s="2649">
        <f>стоки!BE89</f>
        <v>4053.2740520961179</v>
      </c>
      <c r="J27" s="2649">
        <f>(J10+J21)*0.05</f>
        <v>4282.6954771560804</v>
      </c>
      <c r="K27" s="2649">
        <f>(K10+K21)*0.05</f>
        <v>4496.4582452326795</v>
      </c>
      <c r="L27" s="2649">
        <f>стоки!BS89</f>
        <v>4270.6286584214895</v>
      </c>
      <c r="M27" s="3461">
        <f>SUM(M10+M21)*0.05</f>
        <v>4641.738115969426</v>
      </c>
      <c r="N27" s="2763" t="s">
        <v>1647</v>
      </c>
    </row>
    <row r="28" spans="1:14" ht="30.75" customHeight="1">
      <c r="A28" s="3744" t="s">
        <v>1722</v>
      </c>
      <c r="B28" s="3745" t="s">
        <v>1719</v>
      </c>
      <c r="C28" s="2647" t="s">
        <v>919</v>
      </c>
      <c r="D28" s="3746"/>
      <c r="E28" s="3746"/>
      <c r="F28" s="3746"/>
      <c r="G28" s="3746"/>
      <c r="H28" s="3746"/>
      <c r="I28" s="3746"/>
      <c r="J28" s="3746">
        <v>-5234.7</v>
      </c>
      <c r="K28" s="3746"/>
      <c r="L28" s="3746"/>
      <c r="M28" s="3746"/>
      <c r="N28" s="3747"/>
    </row>
    <row r="29" spans="1:14" ht="21.75" customHeight="1">
      <c r="A29" s="2643">
        <v>2</v>
      </c>
      <c r="B29" s="2644" t="s">
        <v>1616</v>
      </c>
      <c r="C29" s="2643" t="s">
        <v>954</v>
      </c>
      <c r="D29" s="2645">
        <f>SUM(объемы!K58+объемы!K59)</f>
        <v>3644.7</v>
      </c>
      <c r="E29" s="2790">
        <f>SUM(объемы!R57)</f>
        <v>3186.5699999999997</v>
      </c>
      <c r="F29" s="2645">
        <f>SUM(объемы!AB57-объемы!AB60)</f>
        <v>1567.48</v>
      </c>
      <c r="G29" s="2645">
        <f>SUM(объемы!AC57-объемы!AC60)</f>
        <v>2289.52</v>
      </c>
      <c r="H29" s="2645">
        <f>SUM(объемы!AD57-объемы!AD60)</f>
        <v>3052.6933333333327</v>
      </c>
      <c r="I29" s="2645">
        <f>объемы!U57</f>
        <v>3445</v>
      </c>
      <c r="J29" s="2645">
        <f>SUM(объемы!AF58+объемы!AF59)</f>
        <v>3272.75</v>
      </c>
      <c r="K29" s="2645">
        <f>J29</f>
        <v>3272.75</v>
      </c>
      <c r="L29" s="2790">
        <f>SUM(объемы!AE57-объемы!AE60)</f>
        <v>3200</v>
      </c>
      <c r="M29" s="3459">
        <f>SUM(L29)</f>
        <v>3200</v>
      </c>
      <c r="N29" s="2646"/>
    </row>
    <row r="30" spans="1:14" ht="21.75" customHeight="1">
      <c r="A30" s="2643" t="s">
        <v>196</v>
      </c>
      <c r="B30" s="2644" t="s">
        <v>955</v>
      </c>
      <c r="C30" s="2643" t="s">
        <v>954</v>
      </c>
      <c r="D30" s="2645">
        <f>SUM(объемы!K58)</f>
        <v>2600</v>
      </c>
      <c r="E30" s="2790">
        <f>SUM(объемы!R58)</f>
        <v>2289.52</v>
      </c>
      <c r="F30" s="2645">
        <f>SUM(объемы!AB58)</f>
        <v>1148.96</v>
      </c>
      <c r="G30" s="2645">
        <f>SUM(объемы!AC58)</f>
        <v>1686.35</v>
      </c>
      <c r="H30" s="2645">
        <f>SUM(объемы!AD58)</f>
        <v>2248.4666666666662</v>
      </c>
      <c r="I30" s="2645">
        <f>объемы!U58</f>
        <v>2448</v>
      </c>
      <c r="J30" s="2645">
        <f>SUM(объемы!AF58)</f>
        <v>2300</v>
      </c>
      <c r="K30" s="2645">
        <f>J30</f>
        <v>2300</v>
      </c>
      <c r="L30" s="2790">
        <f>SUM(объемы!AE58)</f>
        <v>2300</v>
      </c>
      <c r="M30" s="3459">
        <f>SUM(L30)</f>
        <v>2300</v>
      </c>
      <c r="N30" s="2646"/>
    </row>
    <row r="31" spans="1:14" ht="21.75" customHeight="1">
      <c r="A31" s="2663" t="s">
        <v>956</v>
      </c>
      <c r="B31" s="2664" t="s">
        <v>1623</v>
      </c>
      <c r="C31" s="2663" t="s">
        <v>958</v>
      </c>
      <c r="D31" s="2665">
        <f t="shared" ref="D31:I31" si="8">D9/D29</f>
        <v>24.290424541705395</v>
      </c>
      <c r="E31" s="2665">
        <f t="shared" si="8"/>
        <v>22.912707042020791</v>
      </c>
      <c r="F31" s="2665">
        <f t="shared" si="8"/>
        <v>24.566970761948461</v>
      </c>
      <c r="G31" s="2665">
        <f t="shared" si="8"/>
        <v>25.959642079793721</v>
      </c>
      <c r="H31" s="2665">
        <f t="shared" si="8"/>
        <v>26.294658457938663</v>
      </c>
      <c r="I31" s="2665">
        <f t="shared" si="8"/>
        <v>24.708181449642517</v>
      </c>
      <c r="J31" s="2665">
        <f>(J9+J28)/J29</f>
        <v>25.880957916210434</v>
      </c>
      <c r="K31" s="2665">
        <f>K9/K29</f>
        <v>28.85207337862234</v>
      </c>
      <c r="L31" s="2665">
        <f>L9/L29</f>
        <v>28.026000649714486</v>
      </c>
      <c r="M31" s="2665">
        <f>M9/M29</f>
        <v>32.492166811785978</v>
      </c>
      <c r="N31" s="2640"/>
    </row>
    <row r="32" spans="1:14" ht="21.75" customHeight="1">
      <c r="A32" s="2663"/>
      <c r="B32" s="2664" t="s">
        <v>959</v>
      </c>
      <c r="C32" s="2663" t="s">
        <v>958</v>
      </c>
      <c r="D32" s="2665">
        <v>24.29</v>
      </c>
      <c r="E32" s="2663"/>
      <c r="F32" s="2665"/>
      <c r="G32" s="2663"/>
      <c r="H32" s="2663"/>
      <c r="I32" s="2665">
        <v>24.29</v>
      </c>
      <c r="J32" s="2665">
        <f>I33</f>
        <v>25.126362899285034</v>
      </c>
      <c r="K32" s="2665">
        <f>J33</f>
        <v>26.635552933135834</v>
      </c>
      <c r="L32" s="3471">
        <f>SUM(I33)</f>
        <v>25.126362899285034</v>
      </c>
      <c r="M32" s="3465">
        <f>SUM(L33)</f>
        <v>30.925638400143939</v>
      </c>
      <c r="N32" s="2640"/>
    </row>
    <row r="33" spans="1:14" ht="21.75" customHeight="1">
      <c r="A33" s="2663"/>
      <c r="B33" s="2664" t="s">
        <v>960</v>
      </c>
      <c r="C33" s="2663" t="s">
        <v>958</v>
      </c>
      <c r="D33" s="2665">
        <f>D31*2-D32</f>
        <v>24.290849083410791</v>
      </c>
      <c r="E33" s="2663"/>
      <c r="F33" s="2665"/>
      <c r="G33" s="2663"/>
      <c r="H33" s="2663"/>
      <c r="I33" s="2665">
        <f>I31*2-I32</f>
        <v>25.126362899285034</v>
      </c>
      <c r="J33" s="2665">
        <f>J31*2-J32</f>
        <v>26.635552933135834</v>
      </c>
      <c r="K33" s="2665">
        <f>K31*2-K32</f>
        <v>31.068593824108845</v>
      </c>
      <c r="L33" s="2665">
        <f>L31*2-L32</f>
        <v>30.925638400143939</v>
      </c>
      <c r="M33" s="2665">
        <f>M31*2-M32</f>
        <v>34.058695223428018</v>
      </c>
      <c r="N33" s="2640"/>
    </row>
    <row r="34" spans="1:14" ht="21.75" customHeight="1">
      <c r="A34" s="2663"/>
      <c r="B34" s="2664" t="s">
        <v>961</v>
      </c>
      <c r="C34" s="2663"/>
      <c r="D34" s="2665"/>
      <c r="E34" s="2663"/>
      <c r="F34" s="2665"/>
      <c r="G34" s="2663"/>
      <c r="H34" s="2663"/>
      <c r="I34" s="2665"/>
      <c r="J34" s="2665"/>
      <c r="K34" s="2665"/>
      <c r="L34" s="2663"/>
      <c r="M34" s="3465"/>
      <c r="N34" s="2640"/>
    </row>
    <row r="35" spans="1:14" ht="21.75" customHeight="1">
      <c r="A35" s="2663"/>
      <c r="B35" s="2664" t="s">
        <v>959</v>
      </c>
      <c r="C35" s="2663" t="s">
        <v>44</v>
      </c>
      <c r="D35" s="2665">
        <v>100</v>
      </c>
      <c r="E35" s="2663"/>
      <c r="F35" s="2665"/>
      <c r="G35" s="2663"/>
      <c r="H35" s="2663"/>
      <c r="I35" s="2665"/>
      <c r="J35" s="2665">
        <f>J32/I33*100</f>
        <v>100</v>
      </c>
      <c r="K35" s="2665">
        <f>K32/J33*100</f>
        <v>100</v>
      </c>
      <c r="L35" s="2665">
        <f>L32/I33*100</f>
        <v>100</v>
      </c>
      <c r="M35" s="2665">
        <f>M32/L33*100</f>
        <v>100</v>
      </c>
      <c r="N35" s="2640"/>
    </row>
    <row r="36" spans="1:14" ht="21.75" customHeight="1">
      <c r="A36" s="2663"/>
      <c r="B36" s="2664" t="s">
        <v>960</v>
      </c>
      <c r="C36" s="2663" t="s">
        <v>44</v>
      </c>
      <c r="D36" s="2665">
        <f>D33/D32*100</f>
        <v>100.00349560893697</v>
      </c>
      <c r="E36" s="2663"/>
      <c r="F36" s="2665"/>
      <c r="G36" s="2663"/>
      <c r="H36" s="2663"/>
      <c r="I36" s="2665">
        <f>I33/I32*100</f>
        <v>103.44323960183218</v>
      </c>
      <c r="J36" s="2665">
        <f>J33/J32*100</f>
        <v>106.0064006871991</v>
      </c>
      <c r="K36" s="2665">
        <f>K33/K32*100</f>
        <v>116.64332218708367</v>
      </c>
      <c r="L36" s="2665">
        <f>L33/L32*100</f>
        <v>123.08044154302937</v>
      </c>
      <c r="M36" s="2665">
        <f>M33/M32*100</f>
        <v>110.130936612353</v>
      </c>
      <c r="N36" s="2640"/>
    </row>
    <row r="37" spans="1:14" ht="15">
      <c r="A37" s="2683"/>
      <c r="B37" s="2684"/>
      <c r="C37" s="2685"/>
      <c r="D37" s="2685"/>
      <c r="E37" s="2685"/>
      <c r="F37" s="2685"/>
      <c r="G37" s="2685"/>
      <c r="H37" s="2685"/>
      <c r="I37" s="2685"/>
      <c r="J37" s="2685"/>
      <c r="K37" s="2685"/>
      <c r="L37" s="2685"/>
      <c r="M37" s="2685"/>
      <c r="N37" s="2686"/>
    </row>
    <row r="38" spans="1:14" ht="21.75" customHeight="1">
      <c r="A38" s="2687" t="s">
        <v>962</v>
      </c>
      <c r="B38" s="2672" t="s">
        <v>1624</v>
      </c>
      <c r="C38" s="2688"/>
      <c r="D38" s="2688"/>
      <c r="E38" s="2688"/>
      <c r="F38" s="2688"/>
      <c r="G38" s="2688"/>
      <c r="H38" s="2688"/>
      <c r="I38" s="2688"/>
      <c r="J38" s="2688"/>
      <c r="K38" s="2688"/>
      <c r="L38" s="2688"/>
      <c r="M38" s="3466"/>
      <c r="N38" s="2688"/>
    </row>
    <row r="39" spans="1:14" ht="21.75" customHeight="1">
      <c r="A39" s="2688"/>
      <c r="B39" s="2672" t="s">
        <v>959</v>
      </c>
      <c r="C39" s="2675" t="s">
        <v>964</v>
      </c>
      <c r="D39" s="2689">
        <v>18.350000000000001</v>
      </c>
      <c r="E39" s="2675"/>
      <c r="F39" s="2689"/>
      <c r="G39" s="2675"/>
      <c r="H39" s="2675"/>
      <c r="I39" s="2690">
        <v>21.01</v>
      </c>
      <c r="J39" s="2690">
        <f>I40</f>
        <v>22.500000000000004</v>
      </c>
      <c r="K39" s="2690">
        <f>J40</f>
        <v>23.47</v>
      </c>
      <c r="L39" s="3472">
        <f>SUM(I40)</f>
        <v>22.500000000000004</v>
      </c>
      <c r="M39" s="3472">
        <f>SUM(L40)</f>
        <v>27.000000000000004</v>
      </c>
      <c r="N39" s="2688"/>
    </row>
    <row r="40" spans="1:14" ht="21.75" customHeight="1">
      <c r="A40" s="2688"/>
      <c r="B40" s="2672" t="s">
        <v>960</v>
      </c>
      <c r="C40" s="2675" t="s">
        <v>964</v>
      </c>
      <c r="D40" s="2689">
        <v>21.01</v>
      </c>
      <c r="E40" s="2675"/>
      <c r="F40" s="2689"/>
      <c r="G40" s="2675"/>
      <c r="H40" s="2675"/>
      <c r="I40" s="2690">
        <f>26.55/1.18</f>
        <v>22.500000000000004</v>
      </c>
      <c r="J40" s="2690">
        <v>23.47</v>
      </c>
      <c r="K40" s="2690">
        <f>K39*1.047</f>
        <v>24.573089999999997</v>
      </c>
      <c r="L40" s="3472">
        <f>SUM(L39*1.2)</f>
        <v>27.000000000000004</v>
      </c>
      <c r="M40" s="3472">
        <f>SUM(M39*1.15)</f>
        <v>31.05</v>
      </c>
      <c r="N40" s="2688"/>
    </row>
    <row r="41" spans="1:14" ht="21.75" customHeight="1">
      <c r="A41" s="2688"/>
      <c r="B41" s="2672" t="s">
        <v>364</v>
      </c>
      <c r="C41" s="2675" t="s">
        <v>44</v>
      </c>
      <c r="D41" s="2689">
        <f>D40/D39*100</f>
        <v>114.49591280653951</v>
      </c>
      <c r="E41" s="2675"/>
      <c r="F41" s="2688"/>
      <c r="G41" s="2675"/>
      <c r="H41" s="2675"/>
      <c r="I41" s="2688">
        <f>I40/I39*100</f>
        <v>107.09186101856261</v>
      </c>
      <c r="J41" s="2688">
        <f>J40/J39*100</f>
        <v>104.31111111111109</v>
      </c>
      <c r="K41" s="2688">
        <f>K40/K39*100</f>
        <v>104.69999999999999</v>
      </c>
      <c r="L41" s="3473">
        <f>L40/L39*100</f>
        <v>120</v>
      </c>
      <c r="M41" s="3473">
        <f>M40/M39*100</f>
        <v>114.99999999999999</v>
      </c>
      <c r="N41" s="2688"/>
    </row>
    <row r="42" spans="1:14" ht="21.75" customHeight="1">
      <c r="A42" s="2688"/>
      <c r="B42" s="2672" t="s">
        <v>965</v>
      </c>
      <c r="C42" s="2675" t="s">
        <v>919</v>
      </c>
      <c r="D42" s="2689">
        <f>(D32-D39)*D30/2+(D33-D40)*D30/2</f>
        <v>11987.103808434023</v>
      </c>
      <c r="E42" s="2675"/>
      <c r="F42" s="2688"/>
      <c r="G42" s="2675"/>
      <c r="H42" s="2675"/>
      <c r="I42" s="2688">
        <f>(I32-I39)*I30/2+(I33-I40)*I30/2</f>
        <v>7229.3881887248754</v>
      </c>
      <c r="J42" s="2688">
        <f>(J32-J39)*J30/2+(J33-J40)*J30/2</f>
        <v>6660.7032072839957</v>
      </c>
      <c r="K42" s="2688">
        <f>(K32-K39)*K30/2+(K33-K40)*K30/2</f>
        <v>11110.215270831386</v>
      </c>
      <c r="L42" s="2688">
        <f>(L32-L39)*L30/2+(L33-L40)*L30/2</f>
        <v>7534.80149434331</v>
      </c>
      <c r="M42" s="2688">
        <f>(M32-M39)*M30/2+(M33-M40)*M30/2</f>
        <v>7974.4836671077446</v>
      </c>
      <c r="N42" s="2688"/>
    </row>
  </sheetData>
  <mergeCells count="18">
    <mergeCell ref="A1:N1"/>
    <mergeCell ref="A2:N2"/>
    <mergeCell ref="A4:A5"/>
    <mergeCell ref="B4:B5"/>
    <mergeCell ref="C4:C5"/>
    <mergeCell ref="I4:K4"/>
    <mergeCell ref="N4:N5"/>
    <mergeCell ref="L4:M4"/>
    <mergeCell ref="H6:H8"/>
    <mergeCell ref="C6:C8"/>
    <mergeCell ref="I6:I8"/>
    <mergeCell ref="E4:E5"/>
    <mergeCell ref="F4:H4"/>
    <mergeCell ref="E6:E8"/>
    <mergeCell ref="F6:F8"/>
    <mergeCell ref="G6:G8"/>
    <mergeCell ref="D4:D5"/>
    <mergeCell ref="D6:D8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58"/>
  <sheetViews>
    <sheetView zoomScale="84" zoomScaleNormal="84" workbookViewId="0">
      <pane xSplit="2" ySplit="5" topLeftCell="D31" activePane="bottomRight" state="frozen"/>
      <selection pane="topRight" activeCell="C1" sqref="C1"/>
      <selection pane="bottomLeft" activeCell="A6" sqref="A6"/>
      <selection pane="bottomRight" activeCell="J34" sqref="J34"/>
    </sheetView>
  </sheetViews>
  <sheetFormatPr defaultRowHeight="12.75"/>
  <cols>
    <col min="1" max="1" width="10" customWidth="1"/>
    <col min="2" max="2" width="81.85546875" customWidth="1"/>
    <col min="3" max="8" width="12.7109375" customWidth="1"/>
    <col min="9" max="9" width="13.28515625" customWidth="1"/>
    <col min="10" max="11" width="12.7109375" customWidth="1"/>
    <col min="12" max="13" width="14" customWidth="1"/>
    <col min="14" max="14" width="38.140625" customWidth="1"/>
  </cols>
  <sheetData>
    <row r="1" spans="1:15" ht="15">
      <c r="A1" s="4425" t="s">
        <v>1529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</row>
    <row r="2" spans="1:15" ht="18.75">
      <c r="A2" s="4427" t="s">
        <v>1698</v>
      </c>
      <c r="B2" s="4427"/>
      <c r="C2" s="4427"/>
      <c r="D2" s="4427"/>
      <c r="E2" s="4427"/>
      <c r="F2" s="4427"/>
      <c r="G2" s="4427"/>
      <c r="H2" s="4427"/>
      <c r="I2" s="4427"/>
      <c r="J2" s="4427"/>
      <c r="K2" s="4427"/>
      <c r="L2" s="4427"/>
      <c r="M2" s="4427"/>
      <c r="N2" s="4427"/>
    </row>
    <row r="3" spans="1:15" ht="15">
      <c r="A3" s="2693"/>
      <c r="B3" s="2694"/>
      <c r="C3" s="2693"/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</row>
    <row r="4" spans="1:15" ht="31.5" customHeight="1">
      <c r="A4" s="4428" t="s">
        <v>909</v>
      </c>
      <c r="B4" s="4428" t="s">
        <v>374</v>
      </c>
      <c r="C4" s="4428" t="s">
        <v>910</v>
      </c>
      <c r="D4" s="4422" t="s">
        <v>1610</v>
      </c>
      <c r="E4" s="4422" t="s">
        <v>1597</v>
      </c>
      <c r="F4" s="4423" t="s">
        <v>1596</v>
      </c>
      <c r="G4" s="4423"/>
      <c r="H4" s="4424"/>
      <c r="I4" s="4429" t="s">
        <v>393</v>
      </c>
      <c r="J4" s="4430"/>
      <c r="K4" s="4431"/>
      <c r="L4" s="4435" t="s">
        <v>283</v>
      </c>
      <c r="M4" s="4436"/>
      <c r="N4" s="4424" t="s">
        <v>911</v>
      </c>
    </row>
    <row r="5" spans="1:15" ht="31.5" customHeight="1">
      <c r="A5" s="4428"/>
      <c r="B5" s="4428"/>
      <c r="C5" s="4428"/>
      <c r="D5" s="4312"/>
      <c r="E5" s="4312"/>
      <c r="F5" s="2636" t="s">
        <v>391</v>
      </c>
      <c r="G5" s="2636" t="s">
        <v>134</v>
      </c>
      <c r="H5" s="2792" t="s">
        <v>1664</v>
      </c>
      <c r="I5" s="2636" t="s">
        <v>833</v>
      </c>
      <c r="J5" s="2636" t="s">
        <v>912</v>
      </c>
      <c r="K5" s="2636" t="s">
        <v>913</v>
      </c>
      <c r="L5" s="3468" t="s">
        <v>912</v>
      </c>
      <c r="M5" s="3468" t="s">
        <v>913</v>
      </c>
      <c r="N5" s="4432"/>
    </row>
    <row r="6" spans="1:15" ht="21.75" customHeight="1">
      <c r="A6" s="2637"/>
      <c r="B6" s="2638" t="s">
        <v>914</v>
      </c>
      <c r="C6" s="4419" t="s">
        <v>915</v>
      </c>
      <c r="D6" s="4416" t="s">
        <v>915</v>
      </c>
      <c r="E6" s="4416" t="s">
        <v>915</v>
      </c>
      <c r="F6" s="4416" t="s">
        <v>915</v>
      </c>
      <c r="G6" s="4416" t="s">
        <v>915</v>
      </c>
      <c r="H6" s="4416" t="s">
        <v>915</v>
      </c>
      <c r="I6" s="4416" t="s">
        <v>915</v>
      </c>
      <c r="J6" s="2639">
        <v>0.01</v>
      </c>
      <c r="K6" s="2639">
        <v>0.01</v>
      </c>
      <c r="L6" s="2639"/>
      <c r="M6" s="3456"/>
      <c r="N6" s="2640"/>
    </row>
    <row r="7" spans="1:15" ht="21.75" customHeight="1">
      <c r="A7" s="2637"/>
      <c r="B7" s="2638" t="s">
        <v>916</v>
      </c>
      <c r="C7" s="4420"/>
      <c r="D7" s="4417"/>
      <c r="E7" s="4417"/>
      <c r="F7" s="4417"/>
      <c r="G7" s="4417"/>
      <c r="H7" s="4417"/>
      <c r="I7" s="4417"/>
      <c r="J7" s="2641">
        <v>7.0999999999999994E-2</v>
      </c>
      <c r="K7" s="2641">
        <v>5.8000000000000003E-2</v>
      </c>
      <c r="L7" s="2641"/>
      <c r="M7" s="3457"/>
      <c r="N7" s="2640"/>
    </row>
    <row r="8" spans="1:15" ht="21.75" customHeight="1">
      <c r="A8" s="2637"/>
      <c r="B8" s="2638" t="s">
        <v>917</v>
      </c>
      <c r="C8" s="4421"/>
      <c r="D8" s="4418"/>
      <c r="E8" s="4418"/>
      <c r="F8" s="4418"/>
      <c r="G8" s="4418"/>
      <c r="H8" s="4418"/>
      <c r="I8" s="4418"/>
      <c r="J8" s="2642">
        <v>0</v>
      </c>
      <c r="K8" s="2642">
        <v>0</v>
      </c>
      <c r="L8" s="2642"/>
      <c r="M8" s="3458"/>
      <c r="N8" s="2640"/>
    </row>
    <row r="9" spans="1:15" ht="21.75" customHeight="1">
      <c r="A9" s="2643">
        <v>1</v>
      </c>
      <c r="B9" s="2644" t="s">
        <v>1613</v>
      </c>
      <c r="C9" s="2643" t="s">
        <v>919</v>
      </c>
      <c r="D9" s="2645">
        <f t="shared" ref="D9:M9" si="0">D12+D23+D25+D29</f>
        <v>88832.216022281747</v>
      </c>
      <c r="E9" s="2645">
        <f t="shared" si="0"/>
        <v>73344.059999999983</v>
      </c>
      <c r="F9" s="2645">
        <f t="shared" si="0"/>
        <v>38669.276350000007</v>
      </c>
      <c r="G9" s="2645">
        <f t="shared" si="0"/>
        <v>59688.815588999991</v>
      </c>
      <c r="H9" s="2645">
        <f t="shared" si="0"/>
        <v>80610.787328299863</v>
      </c>
      <c r="I9" s="2645">
        <f t="shared" si="0"/>
        <v>85385.402526143604</v>
      </c>
      <c r="J9" s="2645">
        <f>J12+J23+J25+J29+0.01</f>
        <v>90271.85478099811</v>
      </c>
      <c r="K9" s="2645">
        <f t="shared" si="0"/>
        <v>94760.688772460067</v>
      </c>
      <c r="L9" s="2645">
        <f t="shared" si="0"/>
        <v>90038.477318232995</v>
      </c>
      <c r="M9" s="2645">
        <f t="shared" si="0"/>
        <v>104364.10005467467</v>
      </c>
      <c r="N9" s="2646"/>
    </row>
    <row r="10" spans="1:15" ht="21.75" customHeight="1">
      <c r="A10" s="2709"/>
      <c r="B10" s="2710" t="s">
        <v>1614</v>
      </c>
      <c r="C10" s="2643" t="s">
        <v>919</v>
      </c>
      <c r="D10" s="2712">
        <f>SUM(стоки!AK62)</f>
        <v>88531.310327153638</v>
      </c>
      <c r="E10" s="2791">
        <f>SUM(стоки!AW62)</f>
        <v>73012.944878892187</v>
      </c>
      <c r="F10" s="2712">
        <f>SUM('Тариф стоки 2016-2017 ПЛАН'!F9)</f>
        <v>38508.235329938972</v>
      </c>
      <c r="G10" s="2712">
        <f>SUM('Тариф стоки 2016-2017 ПЛАН'!G9)</f>
        <v>59435.119734529319</v>
      </c>
      <c r="H10" s="2712">
        <f>SUM('Тариф стоки 2016-2017 ПЛАН'!H9)</f>
        <v>80269.528576826284</v>
      </c>
      <c r="I10" s="2712">
        <f>SUM('Тариф стоки 2016-2017 ПЛАН'!I9)</f>
        <v>85119.685094018467</v>
      </c>
      <c r="J10" s="2712">
        <f>SUM('Тариф стоки 2016-2017 ПЛАН'!J9)</f>
        <v>89936.605020277697</v>
      </c>
      <c r="K10" s="2712">
        <f>SUM('Тариф стоки 2016-2017 ПЛАН'!K9)</f>
        <v>94425.623149886262</v>
      </c>
      <c r="L10" s="2712">
        <f>SUM(стоки!BS62)</f>
        <v>89683.201826851277</v>
      </c>
      <c r="M10" s="3460">
        <f>SUM('Тариф стоки 2016-2017 ПЛАН'!M9)</f>
        <v>103974.93379771513</v>
      </c>
      <c r="N10" s="2713"/>
    </row>
    <row r="11" spans="1:15" ht="21.75" customHeight="1">
      <c r="A11" s="2709"/>
      <c r="B11" s="2710" t="s">
        <v>1615</v>
      </c>
      <c r="C11" s="2643" t="s">
        <v>919</v>
      </c>
      <c r="D11" s="2712">
        <f>SUM(стоки!AL62)</f>
        <v>300.90569512807247</v>
      </c>
      <c r="E11" s="2791">
        <f>SUM(стоки!AX62)</f>
        <v>331.11512110780814</v>
      </c>
      <c r="F11" s="2712">
        <f>SUM('Тариф очистка 2016-2017 ПЛАН'!F9)</f>
        <v>161.04102006103977</v>
      </c>
      <c r="G11" s="2712">
        <f>SUM('Тариф очистка 2016-2017 ПЛАН'!G9)</f>
        <v>253.69585447067101</v>
      </c>
      <c r="H11" s="2712">
        <f>SUM('Тариф очистка 2016-2017 ПЛАН'!H9)</f>
        <v>341.25875147359369</v>
      </c>
      <c r="I11" s="2712">
        <f>SUM('Тариф очистка 2016-2017 ПЛАН'!I9)</f>
        <v>265.71743212512052</v>
      </c>
      <c r="J11" s="2712">
        <f>SUM('Тариф очистка 2016-2017 ПЛАН'!J9)</f>
        <v>335.23976072043553</v>
      </c>
      <c r="K11" s="2712">
        <f>SUM('Тариф очистка 2016-2017 ПЛАН'!K9)</f>
        <v>335.06562257379858</v>
      </c>
      <c r="L11" s="2712">
        <f>SUM(стоки!BT62)</f>
        <v>355.27549138171457</v>
      </c>
      <c r="M11" s="3460">
        <f>SUM('Тариф очистка 2016-2017 ПЛАН'!M9)</f>
        <v>389.16625695952644</v>
      </c>
      <c r="N11" s="2713"/>
    </row>
    <row r="12" spans="1:15" ht="21.75" customHeight="1">
      <c r="A12" s="2647" t="s">
        <v>920</v>
      </c>
      <c r="B12" s="2648" t="s">
        <v>921</v>
      </c>
      <c r="C12" s="2647" t="s">
        <v>919</v>
      </c>
      <c r="D12" s="2649">
        <f t="shared" ref="D12:M12" si="1">D13+D14+D15</f>
        <v>76306.248738850176</v>
      </c>
      <c r="E12" s="2649">
        <f t="shared" si="1"/>
        <v>68101.219999999987</v>
      </c>
      <c r="F12" s="2649">
        <f t="shared" si="1"/>
        <v>36136.976350000004</v>
      </c>
      <c r="G12" s="2649">
        <f t="shared" si="1"/>
        <v>55887.555588999989</v>
      </c>
      <c r="H12" s="2649">
        <f t="shared" si="1"/>
        <v>75542.180661633203</v>
      </c>
      <c r="I12" s="2649">
        <f t="shared" si="1"/>
        <v>76421.875123687321</v>
      </c>
      <c r="J12" s="2649">
        <f t="shared" si="1"/>
        <v>80792.479303842032</v>
      </c>
      <c r="K12" s="2649">
        <f t="shared" si="1"/>
        <v>85083.520527227389</v>
      </c>
      <c r="L12" s="2649">
        <f t="shared" si="1"/>
        <v>80487.833779269524</v>
      </c>
      <c r="M12" s="2649">
        <f t="shared" si="1"/>
        <v>87942.299849826159</v>
      </c>
      <c r="N12" s="2650"/>
      <c r="O12" t="s">
        <v>1631</v>
      </c>
    </row>
    <row r="13" spans="1:15" ht="21.75" customHeight="1">
      <c r="A13" s="2651" t="s">
        <v>922</v>
      </c>
      <c r="B13" s="2678" t="s">
        <v>923</v>
      </c>
      <c r="C13" s="2651" t="s">
        <v>919</v>
      </c>
      <c r="D13" s="2653">
        <f>SUM(стоки!AI76+стоки!AI77+стоки!AI78+стоки!AI79+стоки!AI80+стоки!AI82-D16-D18-'цех стоки'!AC19-'ОХР '!AE20-'ОХР '!AE16-'ОХР '!AE23)</f>
        <v>64281.241554656379</v>
      </c>
      <c r="E13" s="2653">
        <f>SUM(стоки!AV76+стоки!AV77+стоки!AV78+стоки!AV79+стоки!AV80+стоки!AV82-E16-E18-'цех стоки'!AM19-'ОХР '!AL20-'ОХР '!AL16-'ОХР '!AL23)</f>
        <v>56768.979999999996</v>
      </c>
      <c r="F13" s="2653">
        <f>SUM('Тариф стоки 2016-2017 ПЛАН'!F11+'Тариф очистка 2016-2017 ПЛАН'!F11)</f>
        <v>29578.046350000008</v>
      </c>
      <c r="G13" s="2653">
        <f>SUM('Тариф стоки 2016-2017 ПЛАН'!G11+'Тариф очистка 2016-2017 ПЛАН'!G11)</f>
        <v>46545.325588999993</v>
      </c>
      <c r="H13" s="2653">
        <f>SUM('Тариф стоки 2016-2017 ПЛАН'!H11+'Тариф очистка 2016-2017 ПЛАН'!H11)</f>
        <v>63177.354481690054</v>
      </c>
      <c r="I13" s="2653">
        <f>SUM('Тариф стоки 2016-2017 ПЛАН'!I11+'Тариф очистка 2016-2017 ПЛАН'!I11)</f>
        <v>65988.88464839058</v>
      </c>
      <c r="J13" s="2653">
        <f>SUM('Тариф стоки 2016-2017 ПЛАН'!J11+'Тариф очистка 2016-2017 ПЛАН'!J11)</f>
        <v>69967.354503842042</v>
      </c>
      <c r="K13" s="2653">
        <f>SUM('Тариф стоки 2016-2017 ПЛАН'!K11+'Тариф очистка 2016-2017 ПЛАН'!K11)</f>
        <v>73285.206454414234</v>
      </c>
      <c r="L13" s="2653">
        <f>SUM(стоки!BQ76+стоки!BQ77+стоки!BQ78+стоки!BQ79+стоки!BQ80+стоки!BQ82-L16-L18-'цех стоки'!AQ19-'ОХР '!BI20-'ОХР '!BI16-'ОХР '!BI23)</f>
        <v>69192.057333718665</v>
      </c>
      <c r="M13" s="3462">
        <f>SUM('Тариф стоки 2016-2017 ПЛАН'!M11+'Тариф очистка 2016-2017 ПЛАН'!M11)</f>
        <v>76111.263067090549</v>
      </c>
      <c r="N13" s="2757" t="s">
        <v>1641</v>
      </c>
      <c r="O13" t="s">
        <v>1632</v>
      </c>
    </row>
    <row r="14" spans="1:15" ht="30.75" customHeight="1">
      <c r="A14" s="2651" t="s">
        <v>924</v>
      </c>
      <c r="B14" s="2678" t="s">
        <v>925</v>
      </c>
      <c r="C14" s="2651" t="s">
        <v>919</v>
      </c>
      <c r="D14" s="2653">
        <f>SUM(стоки!AI74+'цех стоки'!AC19+'ОХР '!AE20+'ОХР '!AE16)</f>
        <v>7959.9082841937943</v>
      </c>
      <c r="E14" s="2653">
        <f>SUM(стоки!AV74+'цех стоки'!AM19+'ОХР '!AL20+'ОХР '!AL16)</f>
        <v>9178.3100000000013</v>
      </c>
      <c r="F14" s="2653">
        <f>SUM('Тариф стоки 2016-2017 ПЛАН'!F12+'Тариф очистка 2016-2017 ПЛАН'!F12)</f>
        <v>5323.08</v>
      </c>
      <c r="G14" s="2653">
        <f>SUM('Тариф стоки 2016-2017 ПЛАН'!G12+'Тариф очистка 2016-2017 ПЛАН'!G12)</f>
        <v>7480.39</v>
      </c>
      <c r="H14" s="2653">
        <f>SUM('Тариф стоки 2016-2017 ПЛАН'!H12+'Тариф очистка 2016-2017 ПЛАН'!H12)</f>
        <v>9882.3695132764824</v>
      </c>
      <c r="I14" s="2653">
        <f>SUM('Тариф стоки 2016-2017 ПЛАН'!I12+'Тариф очистка 2016-2017 ПЛАН'!I12)</f>
        <v>7965.6062297917924</v>
      </c>
      <c r="J14" s="2653">
        <f>SUM('Тариф стоки 2016-2017 ПЛАН'!J12+'Тариф очистка 2016-2017 ПЛАН'!J12)</f>
        <v>7913.84</v>
      </c>
      <c r="K14" s="2653">
        <f>SUM('Тариф стоки 2016-2017 ПЛАН'!K12+'Тариф очистка 2016-2017 ПЛАН'!K12)</f>
        <v>9124.4955113567139</v>
      </c>
      <c r="L14" s="2653">
        <f>SUM(стоки!BQ74+'цех стоки'!AQ19+'ОХР '!BI20+'ОХР '!BI16)</f>
        <v>8238.2281957083378</v>
      </c>
      <c r="M14" s="3462">
        <f>SUM('Тариф стоки 2016-2017 ПЛАН'!M12+'Тариф очистка 2016-2017 ПЛАН'!M12)</f>
        <v>9062.0510152791721</v>
      </c>
      <c r="N14" s="2757" t="s">
        <v>1642</v>
      </c>
    </row>
    <row r="15" spans="1:15" ht="21.75" customHeight="1">
      <c r="A15" s="2651" t="s">
        <v>926</v>
      </c>
      <c r="B15" s="2678" t="s">
        <v>927</v>
      </c>
      <c r="C15" s="2651" t="s">
        <v>919</v>
      </c>
      <c r="D15" s="2653">
        <f t="shared" ref="D15:I15" si="2">D16+D17+D18+D19+D22</f>
        <v>4065.0989</v>
      </c>
      <c r="E15" s="2653">
        <f t="shared" si="2"/>
        <v>2153.9299999999998</v>
      </c>
      <c r="F15" s="2653">
        <f t="shared" si="2"/>
        <v>1235.8500000000001</v>
      </c>
      <c r="G15" s="2653">
        <f t="shared" si="2"/>
        <v>1861.84</v>
      </c>
      <c r="H15" s="2653">
        <f t="shared" si="2"/>
        <v>2482.4566666666665</v>
      </c>
      <c r="I15" s="2653">
        <f t="shared" si="2"/>
        <v>2467.3842455049412</v>
      </c>
      <c r="J15" s="2653">
        <f t="shared" ref="J15:K15" si="3">J16+J17+J18+J19+J22</f>
        <v>2911.2847999999999</v>
      </c>
      <c r="K15" s="2653">
        <f t="shared" si="3"/>
        <v>2673.81856145644</v>
      </c>
      <c r="L15" s="2653">
        <f>L16+L17+L18+L19+L22</f>
        <v>3057.548249842529</v>
      </c>
      <c r="M15" s="2653">
        <f>M16+M17+M18+M19+M22</f>
        <v>2768.9857674564396</v>
      </c>
      <c r="N15" s="2751"/>
    </row>
    <row r="16" spans="1:15" ht="30.75" customHeight="1">
      <c r="A16" s="2654" t="s">
        <v>928</v>
      </c>
      <c r="B16" s="2679" t="s">
        <v>929</v>
      </c>
      <c r="C16" s="2654" t="s">
        <v>919</v>
      </c>
      <c r="D16" s="2656">
        <f>SUM('цех стоки'!AC38)</f>
        <v>494.19090000000006</v>
      </c>
      <c r="E16" s="2656">
        <f>SUM('цех стоки'!AM38)</f>
        <v>206.8</v>
      </c>
      <c r="F16" s="2656">
        <f>SUM('Тариф стоки 2016-2017 ПЛАН'!F14+'Тариф очистка 2016-2017 ПЛАН'!F14)</f>
        <v>61.43</v>
      </c>
      <c r="G16" s="2656">
        <f>SUM('Тариф стоки 2016-2017 ПЛАН'!G14+'Тариф очистка 2016-2017 ПЛАН'!G14)</f>
        <v>61.43</v>
      </c>
      <c r="H16" s="2656">
        <f>SUM('Тариф стоки 2016-2017 ПЛАН'!H14+'Тариф очистка 2016-2017 ПЛАН'!H14)</f>
        <v>81.906666666666666</v>
      </c>
      <c r="I16" s="2656">
        <f>SUM('Тариф стоки 2016-2017 ПЛАН'!I14+'Тариф очистка 2016-2017 ПЛАН'!I14)</f>
        <v>318.05</v>
      </c>
      <c r="J16" s="2656">
        <f>SUM('Тариф стоки 2016-2017 ПЛАН'!J14+'Тариф очистка 2016-2017 ПЛАН'!J14)</f>
        <v>338.21</v>
      </c>
      <c r="K16" s="2656">
        <f>SUM('Тариф стоки 2016-2017 ПЛАН'!K14+'Тариф очистка 2016-2017 ПЛАН'!K14)</f>
        <v>353.77</v>
      </c>
      <c r="L16" s="2656">
        <f>SUM('цех стоки'!AQ38)</f>
        <v>349.85500000000002</v>
      </c>
      <c r="M16" s="3463">
        <f>SUM('Тариф стоки 2016-2017 ПЛАН'!M14+'Тариф очистка 2016-2017 ПЛАН'!M14)</f>
        <v>384.84050000000008</v>
      </c>
      <c r="N16" s="2758" t="s">
        <v>1643</v>
      </c>
    </row>
    <row r="17" spans="1:14" ht="41.25" customHeight="1">
      <c r="A17" s="2654" t="s">
        <v>930</v>
      </c>
      <c r="B17" s="2679" t="s">
        <v>931</v>
      </c>
      <c r="C17" s="2654" t="s">
        <v>919</v>
      </c>
      <c r="D17" s="2656">
        <f>SUM(стоки!AI81)</f>
        <v>1927.84</v>
      </c>
      <c r="E17" s="2731">
        <f>SUM(стоки!AV81)</f>
        <v>1794.1</v>
      </c>
      <c r="F17" s="2656">
        <f>SUM('Тариф стоки 2016-2017 ПЛАН'!F15+'Тариф очистка 2016-2017 ПЛАН'!F15)</f>
        <v>1095.52</v>
      </c>
      <c r="G17" s="2656">
        <f>SUM('Тариф стоки 2016-2017 ПЛАН'!G15+'Тариф очистка 2016-2017 ПЛАН'!G15)</f>
        <v>1682.06</v>
      </c>
      <c r="H17" s="2656">
        <f>SUM('Тариф стоки 2016-2017 ПЛАН'!H15+'Тариф очистка 2016-2017 ПЛАН'!H15)</f>
        <v>2242.7499999999995</v>
      </c>
      <c r="I17" s="2656">
        <f>SUM('Тариф стоки 2016-2017 ПЛАН'!I15+'Тариф очистка 2016-2017 ПЛАН'!I15)</f>
        <v>1684.7746853333331</v>
      </c>
      <c r="J17" s="2656">
        <f>SUM('Тариф стоки 2016-2017 ПЛАН'!J15+'Тариф очистка 2016-2017 ПЛАН'!J15)</f>
        <v>1794.0400000000002</v>
      </c>
      <c r="K17" s="2656">
        <f>SUM('Тариф стоки 2016-2017 ПЛАН'!K15+'Тариф очистка 2016-2017 ПЛАН'!K15)</f>
        <v>1794.0400000000002</v>
      </c>
      <c r="L17" s="2656">
        <f>SUM(стоки!BQ81)</f>
        <v>1815.7113519999998</v>
      </c>
      <c r="M17" s="3463">
        <f>SUM('Тариф стоки 2016-2017 ПЛАН'!M15+'Тариф очистка 2016-2017 ПЛАН'!M15)</f>
        <v>1815.7113519999998</v>
      </c>
      <c r="N17" s="2758" t="s">
        <v>10</v>
      </c>
    </row>
    <row r="18" spans="1:14" ht="21.75" customHeight="1">
      <c r="A18" s="2654" t="s">
        <v>932</v>
      </c>
      <c r="B18" s="2679" t="s">
        <v>933</v>
      </c>
      <c r="C18" s="2654" t="s">
        <v>919</v>
      </c>
      <c r="D18" s="2656">
        <f>SUM('цех стоки'!AC43+'цех стоки'!AC29)</f>
        <v>184.66800000000001</v>
      </c>
      <c r="E18" s="2731">
        <f>SUM('цех стоки'!AM43+'цех стоки'!AM29)</f>
        <v>153.03</v>
      </c>
      <c r="F18" s="2656">
        <f>SUM('Тариф стоки 2016-2017 ПЛАН'!F16+'Тариф очистка 2016-2017 ПЛАН'!F16)</f>
        <v>78.900000000000006</v>
      </c>
      <c r="G18" s="2656">
        <f>SUM('Тариф стоки 2016-2017 ПЛАН'!G16+'Тариф очистка 2016-2017 ПЛАН'!G16)</f>
        <v>118.35</v>
      </c>
      <c r="H18" s="2656">
        <f>SUM('Тариф стоки 2016-2017 ПЛАН'!H16+'Тариф очистка 2016-2017 ПЛАН'!H16)</f>
        <v>157.80000000000001</v>
      </c>
      <c r="I18" s="2656">
        <f>SUM('Тариф стоки 2016-2017 ПЛАН'!I16+'Тариф очистка 2016-2017 ПЛАН'!I16)</f>
        <v>152.0548</v>
      </c>
      <c r="J18" s="2656">
        <f>SUM('Тариф стоки 2016-2017 ПЛАН'!J16+'Тариф очистка 2016-2017 ПЛАН'!J16)</f>
        <v>152.0548</v>
      </c>
      <c r="K18" s="2656">
        <f>SUM('Тариф стоки 2016-2017 ПЛАН'!K16+'Тариф очистка 2016-2017 ПЛАН'!K16)</f>
        <v>152.0548</v>
      </c>
      <c r="L18" s="2656">
        <f>SUM('цех стоки'!AQ43+'цех стоки'!AQ29)</f>
        <v>176.80014</v>
      </c>
      <c r="M18" s="3463">
        <f>SUM('Тариф стоки 2016-2017 ПЛАН'!M16+'Тариф очистка 2016-2017 ПЛАН'!M16)</f>
        <v>194.48015400000003</v>
      </c>
      <c r="N18" s="2758" t="s">
        <v>1644</v>
      </c>
    </row>
    <row r="19" spans="1:14" ht="30.75" customHeight="1">
      <c r="A19" s="2654" t="s">
        <v>934</v>
      </c>
      <c r="B19" s="2679" t="s">
        <v>935</v>
      </c>
      <c r="C19" s="2654" t="s">
        <v>919</v>
      </c>
      <c r="D19" s="2656">
        <v>0</v>
      </c>
      <c r="E19" s="2654">
        <v>0</v>
      </c>
      <c r="F19" s="2656">
        <f>SUM('Тариф стоки 2016-2017 ПЛАН'!F17+'Тариф очистка 2016-2017 ПЛАН'!F17)</f>
        <v>0</v>
      </c>
      <c r="G19" s="2656">
        <f>SUM('Тариф стоки 2016-2017 ПЛАН'!G17+'Тариф очистка 2016-2017 ПЛАН'!G17)</f>
        <v>0</v>
      </c>
      <c r="H19" s="2656">
        <f>SUM('Тариф стоки 2016-2017 ПЛАН'!H17+'Тариф очистка 2016-2017 ПЛАН'!H17)</f>
        <v>0</v>
      </c>
      <c r="I19" s="2656">
        <f>SUM('Тариф стоки 2016-2017 ПЛАН'!I17+'Тариф очистка 2016-2017 ПЛАН'!I17)</f>
        <v>286.40476017160813</v>
      </c>
      <c r="J19" s="2656">
        <f>SUM('Тариф стоки 2016-2017 ПЛАН'!J17+'Тариф очистка 2016-2017 ПЛАН'!J17)</f>
        <v>265.39999999999998</v>
      </c>
      <c r="K19" s="2656">
        <f>SUM('Тариф стоки 2016-2017 ПЛАН'!K17+'Тариф очистка 2016-2017 ПЛАН'!K17)</f>
        <v>373.95376145643951</v>
      </c>
      <c r="L19" s="2656">
        <f>SUM(стоки!BQ83)</f>
        <v>353.60175784252925</v>
      </c>
      <c r="M19" s="3463">
        <f>SUM('Тариф стоки 2016-2017 ПЛАН'!M17+'Тариф очистка 2016-2017 ПЛАН'!M17)</f>
        <v>373.95376145643951</v>
      </c>
      <c r="N19" s="2758" t="s">
        <v>908</v>
      </c>
    </row>
    <row r="20" spans="1:14" ht="21.75" customHeight="1">
      <c r="A20" s="2654" t="s">
        <v>936</v>
      </c>
      <c r="B20" s="2679" t="s">
        <v>937</v>
      </c>
      <c r="C20" s="2654" t="s">
        <v>919</v>
      </c>
      <c r="D20" s="2656">
        <v>0</v>
      </c>
      <c r="E20" s="2654">
        <v>0</v>
      </c>
      <c r="F20" s="2656">
        <f>SUM('Тариф стоки 2016-2017 ПЛАН'!F18+'Тариф очистка 2016-2017 ПЛАН'!F18)</f>
        <v>0</v>
      </c>
      <c r="G20" s="2656">
        <f>SUM('Тариф стоки 2016-2017 ПЛАН'!G18+'Тариф очистка 2016-2017 ПЛАН'!G18)</f>
        <v>0</v>
      </c>
      <c r="H20" s="2656">
        <f>SUM('Тариф стоки 2016-2017 ПЛАН'!H18+'Тариф очистка 2016-2017 ПЛАН'!H18)</f>
        <v>0</v>
      </c>
      <c r="I20" s="2656">
        <f>SUM('Тариф стоки 2016-2017 ПЛАН'!I18+'Тариф очистка 2016-2017 ПЛАН'!I18)</f>
        <v>0</v>
      </c>
      <c r="J20" s="2656">
        <f>SUM('Тариф стоки 2016-2017 ПЛАН'!J18+'Тариф очистка 2016-2017 ПЛАН'!J18)</f>
        <v>0</v>
      </c>
      <c r="K20" s="2656">
        <f>SUM('Тариф стоки 2016-2017 ПЛАН'!K18+'Тариф очистка 2016-2017 ПЛАН'!K18)</f>
        <v>0</v>
      </c>
      <c r="L20" s="2656">
        <v>0</v>
      </c>
      <c r="M20" s="3463">
        <f>SUM('Тариф стоки 2016-2017 ПЛАН'!M18+'Тариф очистка 2016-2017 ПЛАН'!M18)</f>
        <v>0</v>
      </c>
      <c r="N20" s="2752"/>
    </row>
    <row r="21" spans="1:14" ht="21.75" customHeight="1">
      <c r="A21" s="2654" t="s">
        <v>938</v>
      </c>
      <c r="B21" s="2679" t="s">
        <v>939</v>
      </c>
      <c r="C21" s="2654" t="s">
        <v>919</v>
      </c>
      <c r="D21" s="2656">
        <v>0</v>
      </c>
      <c r="E21" s="2654">
        <v>0</v>
      </c>
      <c r="F21" s="2656">
        <f>SUM('Тариф стоки 2016-2017 ПЛАН'!F19+'Тариф очистка 2016-2017 ПЛАН'!F19)</f>
        <v>0</v>
      </c>
      <c r="G21" s="2656">
        <f>SUM('Тариф стоки 2016-2017 ПЛАН'!G19+'Тариф очистка 2016-2017 ПЛАН'!G19)</f>
        <v>0</v>
      </c>
      <c r="H21" s="2656">
        <f>SUM('Тариф стоки 2016-2017 ПЛАН'!H19+'Тариф очистка 2016-2017 ПЛАН'!H19)</f>
        <v>0</v>
      </c>
      <c r="I21" s="2656">
        <f>SUM('Тариф стоки 2016-2017 ПЛАН'!I19+'Тариф очистка 2016-2017 ПЛАН'!I19)</f>
        <v>0</v>
      </c>
      <c r="J21" s="2656">
        <f>SUM('Тариф стоки 2016-2017 ПЛАН'!J19+'Тариф очистка 2016-2017 ПЛАН'!J19)</f>
        <v>0</v>
      </c>
      <c r="K21" s="2656">
        <f>SUM('Тариф стоки 2016-2017 ПЛАН'!K19+'Тариф очистка 2016-2017 ПЛАН'!K19)</f>
        <v>0</v>
      </c>
      <c r="L21" s="2656">
        <v>0</v>
      </c>
      <c r="M21" s="3463">
        <f>SUM('Тариф стоки 2016-2017 ПЛАН'!M19+'Тариф очистка 2016-2017 ПЛАН'!M19)</f>
        <v>0</v>
      </c>
      <c r="N21" s="2752"/>
    </row>
    <row r="22" spans="1:14" ht="30.75" customHeight="1">
      <c r="A22" s="2654" t="s">
        <v>940</v>
      </c>
      <c r="B22" s="2679" t="s">
        <v>941</v>
      </c>
      <c r="C22" s="2654" t="s">
        <v>919</v>
      </c>
      <c r="D22" s="2656">
        <f>SUM(стоки!AI84)</f>
        <v>1458.3999999999999</v>
      </c>
      <c r="E22" s="2731">
        <f>SUM(стоки!AV84)</f>
        <v>0</v>
      </c>
      <c r="F22" s="2656">
        <f>SUM('Тариф стоки 2016-2017 ПЛАН'!F20+'Тариф очистка 2016-2017 ПЛАН'!F20)</f>
        <v>0</v>
      </c>
      <c r="G22" s="2656">
        <f>SUM('Тариф стоки 2016-2017 ПЛАН'!G20+'Тариф очистка 2016-2017 ПЛАН'!G20)</f>
        <v>0</v>
      </c>
      <c r="H22" s="2656">
        <f>SUM('Тариф стоки 2016-2017 ПЛАН'!H20+'Тариф очистка 2016-2017 ПЛАН'!H20)</f>
        <v>0</v>
      </c>
      <c r="I22" s="2656">
        <f>SUM('Тариф стоки 2016-2017 ПЛАН'!I20+'Тариф очистка 2016-2017 ПЛАН'!I20)</f>
        <v>26.100000000000009</v>
      </c>
      <c r="J22" s="2656">
        <f>SUM('Тариф стоки 2016-2017 ПЛАН'!J20+'Тариф очистка 2016-2017 ПЛАН'!J20)</f>
        <v>361.57999999999993</v>
      </c>
      <c r="K22" s="2656">
        <f>SUM('Тариф стоки 2016-2017 ПЛАН'!K20+'Тариф очистка 2016-2017 ПЛАН'!K20)</f>
        <v>0</v>
      </c>
      <c r="L22" s="2656">
        <f>SUM(стоки!BQ84)</f>
        <v>361.57999999999993</v>
      </c>
      <c r="M22" s="3463">
        <f>SUM('Тариф стоки 2016-2017 ПЛАН'!M20+'Тариф очистка 2016-2017 ПЛАН'!M20)</f>
        <v>0</v>
      </c>
      <c r="N22" s="2758" t="s">
        <v>1645</v>
      </c>
    </row>
    <row r="23" spans="1:14" ht="21.75" customHeight="1">
      <c r="A23" s="2647" t="s">
        <v>942</v>
      </c>
      <c r="B23" s="2648" t="s">
        <v>2</v>
      </c>
      <c r="C23" s="2647" t="s">
        <v>919</v>
      </c>
      <c r="D23" s="2649">
        <f>SUM(стоки!AI75+'ОХР '!AE23)</f>
        <v>4899.5801249956648</v>
      </c>
      <c r="E23" s="2786">
        <f>SUM(стоки!AV75+'ОХР '!AL23)</f>
        <v>5242.84</v>
      </c>
      <c r="F23" s="2649">
        <f>SUM('Тариф стоки 2016-2017 ПЛАН'!F21+'Тариф очистка 2016-2017 ПЛАН'!F21)</f>
        <v>2532.2999999999997</v>
      </c>
      <c r="G23" s="2649">
        <f>SUM('Тариф стоки 2016-2017 ПЛАН'!G21+'Тариф очистка 2016-2017 ПЛАН'!G21)</f>
        <v>3801.26</v>
      </c>
      <c r="H23" s="2649">
        <f>SUM('Тариф стоки 2016-2017 ПЛАН'!H21+'Тариф очистка 2016-2017 ПЛАН'!H21)</f>
        <v>5068.6066666666666</v>
      </c>
      <c r="I23" s="2649">
        <f>SUM('Тариф стоки 2016-2017 ПЛАН'!I21+'Тариф очистка 2016-2017 ПЛАН'!I21)</f>
        <v>4909.3533503601584</v>
      </c>
      <c r="J23" s="2649">
        <f>SUM('Тариф стоки 2016-2017 ПЛАН'!J21+'Тариф очистка 2016-2017 ПЛАН'!J21)</f>
        <v>5180.71</v>
      </c>
      <c r="K23" s="2649">
        <f>SUM('Тариф стоки 2016-2017 ПЛАН'!K21+'Тариф очистка 2016-2017 ПЛАН'!K21)</f>
        <v>5180.71</v>
      </c>
      <c r="L23" s="2649">
        <f>SUM(стоки!BQ75+'ОХР '!BI23)</f>
        <v>5263.0970000000007</v>
      </c>
      <c r="M23" s="3461">
        <f>SUM('Тариф стоки 2016-2017 ПЛАН'!M21+'Тариф очистка 2016-2017 ПЛАН'!M21)</f>
        <v>5263.0970000000007</v>
      </c>
      <c r="N23" s="2763" t="s">
        <v>1646</v>
      </c>
    </row>
    <row r="24" spans="1:14" ht="21.75" customHeight="1">
      <c r="A24" s="2657" t="s">
        <v>202</v>
      </c>
      <c r="B24" s="2658" t="s">
        <v>943</v>
      </c>
      <c r="C24" s="2680" t="s">
        <v>44</v>
      </c>
      <c r="D24" s="2703">
        <f t="shared" ref="D24:I24" si="4">D25/(D12+D23)*100</f>
        <v>4.3938964110353123</v>
      </c>
      <c r="E24" s="2703">
        <f t="shared" si="4"/>
        <v>0</v>
      </c>
      <c r="F24" s="2681">
        <f t="shared" si="4"/>
        <v>0</v>
      </c>
      <c r="G24" s="2681">
        <f t="shared" si="4"/>
        <v>0</v>
      </c>
      <c r="H24" s="2681">
        <f t="shared" si="4"/>
        <v>0</v>
      </c>
      <c r="I24" s="2681">
        <f t="shared" si="4"/>
        <v>1.1065860148506018E-3</v>
      </c>
      <c r="J24" s="2682">
        <f t="shared" ref="J24:K24" si="5">J25/(J12+J23)*100</f>
        <v>0</v>
      </c>
      <c r="K24" s="2682">
        <f t="shared" si="5"/>
        <v>0</v>
      </c>
      <c r="L24" s="2703">
        <f>L25/(L12+L23)*100</f>
        <v>0</v>
      </c>
      <c r="M24" s="2703">
        <f>M25/(M12+M23)*100</f>
        <v>6.9721642544235545</v>
      </c>
      <c r="N24" s="2764"/>
    </row>
    <row r="25" spans="1:14" ht="21.75" customHeight="1">
      <c r="A25" s="2647" t="s">
        <v>944</v>
      </c>
      <c r="B25" s="2648" t="s">
        <v>945</v>
      </c>
      <c r="C25" s="2647" t="s">
        <v>919</v>
      </c>
      <c r="D25" s="2649">
        <f t="shared" ref="D25:I25" si="6">D26+D27+D28</f>
        <v>3568.1</v>
      </c>
      <c r="E25" s="2649">
        <f t="shared" si="6"/>
        <v>0</v>
      </c>
      <c r="F25" s="2649">
        <f t="shared" si="6"/>
        <v>0</v>
      </c>
      <c r="G25" s="2649">
        <f t="shared" si="6"/>
        <v>0</v>
      </c>
      <c r="H25" s="2649">
        <f t="shared" si="6"/>
        <v>0</v>
      </c>
      <c r="I25" s="2649">
        <f t="shared" si="6"/>
        <v>0.9</v>
      </c>
      <c r="J25" s="2649">
        <f t="shared" ref="J25:K25" si="7">J26+J27+J28</f>
        <v>0</v>
      </c>
      <c r="K25" s="2649">
        <f t="shared" si="7"/>
        <v>0</v>
      </c>
      <c r="L25" s="2649">
        <f>L26+L27+L28</f>
        <v>0</v>
      </c>
      <c r="M25" s="2649">
        <f>M26+M27+M28</f>
        <v>6498.4333623571965</v>
      </c>
      <c r="N25" s="2763"/>
    </row>
    <row r="26" spans="1:14" ht="21.75" customHeight="1">
      <c r="A26" s="2651" t="s">
        <v>946</v>
      </c>
      <c r="B26" s="2678" t="s">
        <v>947</v>
      </c>
      <c r="C26" s="2651" t="s">
        <v>919</v>
      </c>
      <c r="D26" s="2653">
        <f>SUM(стоки!AI92)</f>
        <v>3568.1</v>
      </c>
      <c r="E26" s="2787">
        <f>SUM(стоки!AV92)</f>
        <v>0</v>
      </c>
      <c r="F26" s="2653">
        <f>SUM('Тариф стоки 2016-2017 ПЛАН'!F24+'Тариф очистка 2016-2017 ПЛАН'!F24)</f>
        <v>0</v>
      </c>
      <c r="G26" s="2653">
        <f>SUM('Тариф стоки 2016-2017 ПЛАН'!G24+'Тариф очистка 2016-2017 ПЛАН'!G24)</f>
        <v>0</v>
      </c>
      <c r="H26" s="2653">
        <f>SUM('Тариф стоки 2016-2017 ПЛАН'!H24+'Тариф очистка 2016-2017 ПЛАН'!H24)</f>
        <v>0</v>
      </c>
      <c r="I26" s="2653">
        <f>SUM('Тариф стоки 2016-2017 ПЛАН'!I24+'Тариф очистка 2016-2017 ПЛАН'!I24)</f>
        <v>0.9</v>
      </c>
      <c r="J26" s="2653">
        <f>SUM('Тариф стоки 2016-2017 ПЛАН'!J24+'Тариф очистка 2016-2017 ПЛАН'!J24)</f>
        <v>0</v>
      </c>
      <c r="K26" s="2653">
        <f>SUM('Тариф стоки 2016-2017 ПЛАН'!K24+'Тариф очистка 2016-2017 ПЛАН'!K24)</f>
        <v>0</v>
      </c>
      <c r="L26" s="2653">
        <f>SUM(стоки!BQ92)</f>
        <v>0</v>
      </c>
      <c r="M26" s="3462">
        <f>SUM('Тариф стоки 2016-2017 ПЛАН'!M24+'Тариф очистка 2016-2017 ПЛАН'!M24)</f>
        <v>6498.4333623571965</v>
      </c>
      <c r="N26" s="2757" t="s">
        <v>1598</v>
      </c>
    </row>
    <row r="27" spans="1:14" ht="50.25" customHeight="1">
      <c r="A27" s="2651" t="s">
        <v>948</v>
      </c>
      <c r="B27" s="2678" t="s">
        <v>949</v>
      </c>
      <c r="C27" s="2651" t="s">
        <v>919</v>
      </c>
      <c r="D27" s="2653">
        <v>0</v>
      </c>
      <c r="E27" s="2651">
        <v>0</v>
      </c>
      <c r="F27" s="2653">
        <f>SUM('Тариф стоки 2016-2017 ПЛАН'!F25+'Тариф очистка 2016-2017 ПЛАН'!F25)</f>
        <v>0</v>
      </c>
      <c r="G27" s="2653">
        <f>SUM('Тариф стоки 2016-2017 ПЛАН'!G25+'Тариф очистка 2016-2017 ПЛАН'!G25)</f>
        <v>0</v>
      </c>
      <c r="H27" s="2653">
        <f>SUM('Тариф стоки 2016-2017 ПЛАН'!H25+'Тариф очистка 2016-2017 ПЛАН'!H25)</f>
        <v>0</v>
      </c>
      <c r="I27" s="2653">
        <f>SUM('Тариф стоки 2016-2017 ПЛАН'!I25+'Тариф очистка 2016-2017 ПЛАН'!I25)</f>
        <v>0</v>
      </c>
      <c r="J27" s="2653">
        <f>SUM('Тариф стоки 2016-2017 ПЛАН'!J25+'Тариф очистка 2016-2017 ПЛАН'!J25)</f>
        <v>0</v>
      </c>
      <c r="K27" s="2653">
        <f>SUM('Тариф стоки 2016-2017 ПЛАН'!K25+'Тариф очистка 2016-2017 ПЛАН'!K25)</f>
        <v>0</v>
      </c>
      <c r="L27" s="2653">
        <v>0</v>
      </c>
      <c r="M27" s="3462">
        <v>0</v>
      </c>
      <c r="N27" s="2757"/>
    </row>
    <row r="28" spans="1:14" ht="21.75" customHeight="1">
      <c r="A28" s="2651" t="s">
        <v>950</v>
      </c>
      <c r="B28" s="2678" t="s">
        <v>951</v>
      </c>
      <c r="C28" s="2651" t="s">
        <v>919</v>
      </c>
      <c r="D28" s="2653">
        <v>0</v>
      </c>
      <c r="E28" s="2651">
        <v>0</v>
      </c>
      <c r="F28" s="2653">
        <f>SUM('Тариф стоки 2016-2017 ПЛАН'!F26+'Тариф очистка 2016-2017 ПЛАН'!F26)</f>
        <v>0</v>
      </c>
      <c r="G28" s="2653">
        <f>SUM('Тариф стоки 2016-2017 ПЛАН'!G26+'Тариф очистка 2016-2017 ПЛАН'!G26)</f>
        <v>0</v>
      </c>
      <c r="H28" s="2653">
        <f>SUM('Тариф стоки 2016-2017 ПЛАН'!H26+'Тариф очистка 2016-2017 ПЛАН'!H26)</f>
        <v>0</v>
      </c>
      <c r="I28" s="2653">
        <f>SUM('Тариф стоки 2016-2017 ПЛАН'!I26+'Тариф очистка 2016-2017 ПЛАН'!I26)</f>
        <v>0</v>
      </c>
      <c r="J28" s="2653">
        <f>SUM('Тариф стоки 2016-2017 ПЛАН'!J26+'Тариф очистка 2016-2017 ПЛАН'!J26)</f>
        <v>0</v>
      </c>
      <c r="K28" s="2653">
        <f>SUM('Тариф стоки 2016-2017 ПЛАН'!K26+'Тариф очистка 2016-2017 ПЛАН'!K26)</f>
        <v>0</v>
      </c>
      <c r="L28" s="2653">
        <v>0</v>
      </c>
      <c r="M28" s="3462">
        <v>0</v>
      </c>
      <c r="N28" s="2757"/>
    </row>
    <row r="29" spans="1:14" ht="30.75" customHeight="1">
      <c r="A29" s="2647" t="s">
        <v>203</v>
      </c>
      <c r="B29" s="2648" t="s">
        <v>952</v>
      </c>
      <c r="C29" s="2647" t="s">
        <v>919</v>
      </c>
      <c r="D29" s="2649">
        <f>SUM(стоки!AI89)</f>
        <v>4058.2871584358877</v>
      </c>
      <c r="E29" s="2786">
        <f>SUM(стоки!AV89)</f>
        <v>0</v>
      </c>
      <c r="F29" s="2649">
        <f>SUM('Тариф стоки 2016-2017 ПЛАН'!F27+'Тариф очистка 2016-2017 ПЛАН'!F27)</f>
        <v>0</v>
      </c>
      <c r="G29" s="2649">
        <f>SUM('Тариф стоки 2016-2017 ПЛАН'!G27+'Тариф очистка 2016-2017 ПЛАН'!G27)</f>
        <v>0</v>
      </c>
      <c r="H29" s="2649">
        <f>SUM('Тариф стоки 2016-2017 ПЛАН'!H27+'Тариф очистка 2016-2017 ПЛАН'!H27)</f>
        <v>0</v>
      </c>
      <c r="I29" s="2649">
        <f>SUM('Тариф стоки 2016-2017 ПЛАН'!I27+'Тариф очистка 2016-2017 ПЛАН'!I27)</f>
        <v>4053.2740520961179</v>
      </c>
      <c r="J29" s="2649">
        <f>SUM('Тариф стоки 2016-2017 ПЛАН'!J27+'Тариф очистка 2016-2017 ПЛАН'!J27)</f>
        <v>4298.6554771560805</v>
      </c>
      <c r="K29" s="2649">
        <f>SUM('Тариф стоки 2016-2017 ПЛАН'!K27+'Тариф очистка 2016-2017 ПЛАН'!K27)</f>
        <v>4496.4582452326795</v>
      </c>
      <c r="L29" s="2649">
        <f>SUM(стоки!BQ89)</f>
        <v>4287.5465389634755</v>
      </c>
      <c r="M29" s="3461">
        <f>SUM('Тариф стоки 2016-2017 ПЛАН'!M27+'Тариф очистка 2016-2017 ПЛАН'!M27)</f>
        <v>4660.2698424913078</v>
      </c>
      <c r="N29" s="2763" t="s">
        <v>1647</v>
      </c>
    </row>
    <row r="30" spans="1:14" ht="30.75" customHeight="1">
      <c r="A30" s="3744" t="s">
        <v>1722</v>
      </c>
      <c r="B30" s="3745" t="s">
        <v>1719</v>
      </c>
      <c r="C30" s="3744"/>
      <c r="D30" s="3746"/>
      <c r="E30" s="3749"/>
      <c r="F30" s="3746"/>
      <c r="G30" s="3746"/>
      <c r="H30" s="3746"/>
      <c r="I30" s="3746"/>
      <c r="J30" s="3746">
        <v>-5234.7</v>
      </c>
      <c r="K30" s="3746"/>
      <c r="L30" s="3746"/>
      <c r="M30" s="3746"/>
      <c r="N30" s="3747"/>
    </row>
    <row r="31" spans="1:14" ht="21.75" customHeight="1">
      <c r="A31" s="2643">
        <v>2</v>
      </c>
      <c r="B31" s="2644" t="s">
        <v>1619</v>
      </c>
      <c r="C31" s="2643" t="s">
        <v>954</v>
      </c>
      <c r="D31" s="2645">
        <f>SUM(объемы!K57+объемы!L57)</f>
        <v>3672.7</v>
      </c>
      <c r="E31" s="2788">
        <f>SUM(объемы!R57+объемы!S57)</f>
        <v>3209.95</v>
      </c>
      <c r="F31" s="2645">
        <f>SUM('Тариф стоки 2016-2017 ПЛАН'!F29+'Тариф очистка 2016-2017 ПЛАН'!F28)</f>
        <v>1577.71</v>
      </c>
      <c r="G31" s="2645">
        <f>SUM('Тариф стоки 2016-2017 ПЛАН'!G29+'Тариф очистка 2016-2017 ПЛАН'!G28)</f>
        <v>2304.86</v>
      </c>
      <c r="H31" s="2645">
        <f>SUM('Тариф стоки 2016-2017 ПЛАН'!H29+'Тариф очистка 2016-2017 ПЛАН'!H28)</f>
        <v>3073.1466666666661</v>
      </c>
      <c r="I31" s="2645">
        <f>SUM('Тариф стоки 2016-2017 ПЛАН'!I29+'Тариф очистка 2016-2017 ПЛАН'!I28)</f>
        <v>3463.9333333333334</v>
      </c>
      <c r="J31" s="2645">
        <f>SUM('Тариф стоки 2016-2017 ПЛАН'!J29+'Тариф очистка 2016-2017 ПЛАН'!J28)</f>
        <v>3295.75</v>
      </c>
      <c r="K31" s="2645">
        <f>SUM('Тариф стоки 2016-2017 ПЛАН'!K29+'Тариф очистка 2016-2017 ПЛАН'!K28)</f>
        <v>3295.75</v>
      </c>
      <c r="L31" s="2645">
        <f>SUM(объемы!AE57)</f>
        <v>3223</v>
      </c>
      <c r="M31" s="3459">
        <f>SUM(объемы!AE57)</f>
        <v>3223</v>
      </c>
      <c r="N31" s="2646"/>
    </row>
    <row r="32" spans="1:14" ht="21.75" customHeight="1">
      <c r="A32" s="2699"/>
      <c r="B32" s="2700" t="s">
        <v>1620</v>
      </c>
      <c r="C32" s="2643" t="s">
        <v>954</v>
      </c>
      <c r="D32" s="2701">
        <f>SUM(объемы!K57)</f>
        <v>3644.7</v>
      </c>
      <c r="E32" s="2789">
        <f>SUM(объемы!R57)</f>
        <v>3186.5699999999997</v>
      </c>
      <c r="F32" s="2701">
        <f>SUM('Тариф стоки 2016-2017 ПЛАН'!F29)</f>
        <v>1567.48</v>
      </c>
      <c r="G32" s="2701">
        <f>SUM('Тариф стоки 2016-2017 ПЛАН'!G29)</f>
        <v>2289.52</v>
      </c>
      <c r="H32" s="2701">
        <f>SUM('Тариф стоки 2016-2017 ПЛАН'!H29)</f>
        <v>3052.6933333333327</v>
      </c>
      <c r="I32" s="2701">
        <f>SUM('Тариф стоки 2016-2017 ПЛАН'!I29)</f>
        <v>3445</v>
      </c>
      <c r="J32" s="2701">
        <f>SUM('Тариф стоки 2016-2017 ПЛАН'!J29)</f>
        <v>3272.75</v>
      </c>
      <c r="K32" s="2701">
        <f>SUM('Тариф стоки 2016-2017 ПЛАН'!K29)</f>
        <v>3272.75</v>
      </c>
      <c r="L32" s="2701">
        <f>SUM(объемы!AE58:AE59)</f>
        <v>3200</v>
      </c>
      <c r="M32" s="3459">
        <f>SUM(объемы!AE58:AE59)</f>
        <v>3200</v>
      </c>
      <c r="N32" s="2702"/>
    </row>
    <row r="33" spans="1:14" ht="21.75" customHeight="1">
      <c r="A33" s="2643" t="s">
        <v>196</v>
      </c>
      <c r="B33" s="2644" t="s">
        <v>1621</v>
      </c>
      <c r="C33" s="2643" t="s">
        <v>954</v>
      </c>
      <c r="D33" s="2645">
        <f>SUM(объемы!K58)</f>
        <v>2600</v>
      </c>
      <c r="E33" s="2790">
        <f>SUM(объемы!R58)</f>
        <v>2289.52</v>
      </c>
      <c r="F33" s="2645">
        <f>объемы!R58</f>
        <v>2289.52</v>
      </c>
      <c r="G33" s="2645">
        <f>объемы!S58</f>
        <v>0</v>
      </c>
      <c r="H33" s="2645">
        <f>объемы!T58</f>
        <v>2448</v>
      </c>
      <c r="I33" s="2645">
        <f>объемы!U58</f>
        <v>2448</v>
      </c>
      <c r="J33" s="2645">
        <f>SUM(объемы!AF58)</f>
        <v>2300</v>
      </c>
      <c r="K33" s="2645">
        <f>J33</f>
        <v>2300</v>
      </c>
      <c r="L33" s="2645">
        <f>SUM(объемы!AE58)</f>
        <v>2300</v>
      </c>
      <c r="M33" s="3459">
        <f>SUM(объемы!AE58)</f>
        <v>2300</v>
      </c>
      <c r="N33" s="2646"/>
    </row>
    <row r="34" spans="1:14" ht="21.75" customHeight="1">
      <c r="A34" s="2699"/>
      <c r="B34" s="2700" t="s">
        <v>1622</v>
      </c>
      <c r="C34" s="2643" t="s">
        <v>954</v>
      </c>
      <c r="D34" s="2701">
        <f>SUM(объемы!L57)</f>
        <v>28</v>
      </c>
      <c r="E34" s="2789">
        <f>SUM(объемы!S57)</f>
        <v>23.38</v>
      </c>
      <c r="F34" s="2701">
        <f>SUM('Тариф очистка 2016-2017 ПЛАН'!F28)</f>
        <v>10.23</v>
      </c>
      <c r="G34" s="2701">
        <f>SUM('Тариф очистка 2016-2017 ПЛАН'!G28)</f>
        <v>15.34</v>
      </c>
      <c r="H34" s="2701">
        <f>SUM('Тариф очистка 2016-2017 ПЛАН'!H28)</f>
        <v>20.453333333333333</v>
      </c>
      <c r="I34" s="2701">
        <f>SUM('Тариф очистка 2016-2017 ПЛАН'!I28)</f>
        <v>18.933333333333334</v>
      </c>
      <c r="J34" s="2701">
        <f>SUM('Тариф очистка 2016-2017 ПЛАН'!J28)</f>
        <v>23</v>
      </c>
      <c r="K34" s="2701">
        <f>SUM('Тариф очистка 2016-2017 ПЛАН'!K28)</f>
        <v>23</v>
      </c>
      <c r="L34" s="2701">
        <f>SUM(объемы!AE60)</f>
        <v>23</v>
      </c>
      <c r="M34" s="3459">
        <f>SUM(объемы!AE60)</f>
        <v>23</v>
      </c>
      <c r="N34" s="2702"/>
    </row>
    <row r="35" spans="1:14" ht="21.75" customHeight="1">
      <c r="A35" s="2663" t="s">
        <v>956</v>
      </c>
      <c r="B35" s="2664" t="s">
        <v>1630</v>
      </c>
      <c r="C35" s="2663" t="s">
        <v>958</v>
      </c>
      <c r="D35" s="2665">
        <f t="shared" ref="D35:M35" si="8">D9/D31</f>
        <v>24.187169118708784</v>
      </c>
      <c r="E35" s="2665">
        <f t="shared" si="8"/>
        <v>22.848972725431857</v>
      </c>
      <c r="F35" s="2665">
        <f t="shared" si="8"/>
        <v>24.509749161759771</v>
      </c>
      <c r="G35" s="2665">
        <f t="shared" si="8"/>
        <v>25.896937596643607</v>
      </c>
      <c r="H35" s="2665">
        <f t="shared" si="8"/>
        <v>26.230699693788303</v>
      </c>
      <c r="I35" s="2665">
        <f t="shared" si="8"/>
        <v>24.649840025638561</v>
      </c>
      <c r="J35" s="2665">
        <f>(J9+J30)/J31</f>
        <v>25.802064713949211</v>
      </c>
      <c r="K35" s="2665">
        <f t="shared" si="8"/>
        <v>28.752389827037874</v>
      </c>
      <c r="L35" s="2665">
        <f t="shared" si="8"/>
        <v>27.936232490919327</v>
      </c>
      <c r="M35" s="2665">
        <f t="shared" si="8"/>
        <v>32.381042523944977</v>
      </c>
      <c r="N35" s="2640"/>
    </row>
    <row r="36" spans="1:14" ht="21.75" customHeight="1">
      <c r="A36" s="2695" t="s">
        <v>1605</v>
      </c>
      <c r="B36" s="2664" t="s">
        <v>1627</v>
      </c>
      <c r="C36" s="2663" t="s">
        <v>958</v>
      </c>
      <c r="D36" s="2665">
        <f t="shared" ref="D36:I36" si="9">D10/D32</f>
        <v>24.290424541705391</v>
      </c>
      <c r="E36" s="2665">
        <f t="shared" si="9"/>
        <v>22.912707042020791</v>
      </c>
      <c r="F36" s="2665">
        <f t="shared" si="9"/>
        <v>24.566970761948461</v>
      </c>
      <c r="G36" s="2665">
        <f t="shared" si="9"/>
        <v>25.959642079793721</v>
      </c>
      <c r="H36" s="2665">
        <f t="shared" si="9"/>
        <v>26.294658457938663</v>
      </c>
      <c r="I36" s="2665">
        <f t="shared" si="9"/>
        <v>24.708181449642517</v>
      </c>
      <c r="J36" s="2665">
        <f>(J10+J30)/J32</f>
        <v>25.880957916210434</v>
      </c>
      <c r="K36" s="2665">
        <f t="shared" ref="K36" si="10">K10/K32</f>
        <v>28.85207337862234</v>
      </c>
      <c r="L36" s="2665">
        <f>L10/L32</f>
        <v>28.026000570891025</v>
      </c>
      <c r="M36" s="2665">
        <f>M10/M32</f>
        <v>32.492166811785978</v>
      </c>
      <c r="N36" s="2698"/>
    </row>
    <row r="37" spans="1:14" ht="21.75" customHeight="1">
      <c r="A37" s="2663"/>
      <c r="B37" s="2664" t="s">
        <v>959</v>
      </c>
      <c r="C37" s="2663" t="s">
        <v>958</v>
      </c>
      <c r="D37" s="2665">
        <v>24.29</v>
      </c>
      <c r="E37" s="2663"/>
      <c r="F37" s="2665"/>
      <c r="G37" s="2665"/>
      <c r="H37" s="2665"/>
      <c r="I37" s="2665">
        <f>SUM(стоки!BE65)</f>
        <v>24.29</v>
      </c>
      <c r="J37" s="2665">
        <f>I38</f>
        <v>25.126362899285034</v>
      </c>
      <c r="K37" s="2665">
        <f>J38</f>
        <v>26.635552933135834</v>
      </c>
      <c r="L37" s="2665">
        <f>SUM(I38)</f>
        <v>25.126362899285034</v>
      </c>
      <c r="M37" s="3465">
        <f>SUM(L38)</f>
        <v>30.925638242497016</v>
      </c>
      <c r="N37" s="2640"/>
    </row>
    <row r="38" spans="1:14" ht="21.75" customHeight="1">
      <c r="A38" s="2663"/>
      <c r="B38" s="2664" t="s">
        <v>960</v>
      </c>
      <c r="C38" s="2663" t="s">
        <v>958</v>
      </c>
      <c r="D38" s="2665">
        <f>D36*2-D37</f>
        <v>24.290849083410784</v>
      </c>
      <c r="E38" s="2663"/>
      <c r="F38" s="2665"/>
      <c r="G38" s="2665"/>
      <c r="H38" s="2665"/>
      <c r="I38" s="2665">
        <f>I36*2-I37</f>
        <v>25.126362899285034</v>
      </c>
      <c r="J38" s="2665">
        <f t="shared" ref="J38:K38" si="11">J36*2-J37</f>
        <v>26.635552933135834</v>
      </c>
      <c r="K38" s="2665">
        <f t="shared" si="11"/>
        <v>31.068593824108845</v>
      </c>
      <c r="L38" s="2665">
        <f>L36*2-L37</f>
        <v>30.925638242497016</v>
      </c>
      <c r="M38" s="2665">
        <f>M36*2-M37</f>
        <v>34.058695381074941</v>
      </c>
      <c r="N38" s="2640"/>
    </row>
    <row r="39" spans="1:14" ht="21.75" customHeight="1">
      <c r="A39" s="2663"/>
      <c r="B39" s="2664" t="s">
        <v>961</v>
      </c>
      <c r="C39" s="2663"/>
      <c r="D39" s="2665"/>
      <c r="E39" s="2663"/>
      <c r="F39" s="2665"/>
      <c r="G39" s="2665"/>
      <c r="H39" s="2665"/>
      <c r="I39" s="2665"/>
      <c r="J39" s="2665"/>
      <c r="K39" s="2665"/>
      <c r="L39" s="2665"/>
      <c r="M39" s="3465"/>
      <c r="N39" s="2640"/>
    </row>
    <row r="40" spans="1:14" ht="21.75" customHeight="1">
      <c r="A40" s="2663"/>
      <c r="B40" s="2664" t="s">
        <v>959</v>
      </c>
      <c r="C40" s="2663" t="s">
        <v>44</v>
      </c>
      <c r="D40" s="2665">
        <v>100</v>
      </c>
      <c r="E40" s="2663"/>
      <c r="F40" s="2665"/>
      <c r="G40" s="2665"/>
      <c r="H40" s="2665"/>
      <c r="I40" s="2665" t="e">
        <f>I37/H38*100</f>
        <v>#DIV/0!</v>
      </c>
      <c r="J40" s="2665">
        <f>J37/I38*100</f>
        <v>100</v>
      </c>
      <c r="K40" s="2665">
        <f>K37/J38*100</f>
        <v>100</v>
      </c>
      <c r="L40" s="2665">
        <v>100</v>
      </c>
      <c r="M40" s="2665">
        <f>SUM(M37/L38)*100</f>
        <v>100</v>
      </c>
      <c r="N40" s="2640"/>
    </row>
    <row r="41" spans="1:14" ht="21.75" customHeight="1">
      <c r="A41" s="2663"/>
      <c r="B41" s="2664" t="s">
        <v>960</v>
      </c>
      <c r="C41" s="2663" t="s">
        <v>44</v>
      </c>
      <c r="D41" s="2665">
        <f>D38/D37*100</f>
        <v>100.00349560893696</v>
      </c>
      <c r="E41" s="2663"/>
      <c r="F41" s="2665"/>
      <c r="G41" s="2665"/>
      <c r="H41" s="2665"/>
      <c r="I41" s="2665">
        <f>I38/I37*100</f>
        <v>103.44323960183218</v>
      </c>
      <c r="J41" s="2665">
        <f>J38/J37*100</f>
        <v>106.0064006871991</v>
      </c>
      <c r="K41" s="2665">
        <f>K38/K37*100</f>
        <v>116.64332218708367</v>
      </c>
      <c r="L41" s="2665">
        <f>L38/L37*100</f>
        <v>123.08044091561297</v>
      </c>
      <c r="M41" s="2665">
        <f>M38/M37*100</f>
        <v>110.13093768351911</v>
      </c>
      <c r="N41" s="2640"/>
    </row>
    <row r="42" spans="1:14" ht="21.75" customHeight="1">
      <c r="A42" s="2663" t="s">
        <v>956</v>
      </c>
      <c r="B42" s="2664" t="s">
        <v>1629</v>
      </c>
      <c r="C42" s="2663" t="s">
        <v>958</v>
      </c>
      <c r="D42" s="2665">
        <f t="shared" ref="D42:I42" si="12">D11/D34</f>
        <v>10.746631968859731</v>
      </c>
      <c r="E42" s="2665">
        <f t="shared" si="12"/>
        <v>14.16232340067614</v>
      </c>
      <c r="F42" s="2665">
        <f t="shared" si="12"/>
        <v>15.742035196582577</v>
      </c>
      <c r="G42" s="2665">
        <f t="shared" si="12"/>
        <v>16.538191295350131</v>
      </c>
      <c r="H42" s="2665">
        <f t="shared" si="12"/>
        <v>16.684749909074007</v>
      </c>
      <c r="I42" s="2665">
        <f t="shared" si="12"/>
        <v>14.034371415059182</v>
      </c>
      <c r="J42" s="2665">
        <f t="shared" ref="J42:K42" si="13">J11/J34</f>
        <v>14.575641770453718</v>
      </c>
      <c r="K42" s="2665">
        <f t="shared" si="13"/>
        <v>14.568070546686895</v>
      </c>
      <c r="L42" s="2665">
        <f>L11/L34</f>
        <v>15.446760494857156</v>
      </c>
      <c r="M42" s="2665">
        <f>M11/M34</f>
        <v>16.92027204171854</v>
      </c>
      <c r="N42" s="2640"/>
    </row>
    <row r="43" spans="1:14" ht="21.75" customHeight="1">
      <c r="A43" s="2663"/>
      <c r="B43" s="2664" t="s">
        <v>959</v>
      </c>
      <c r="C43" s="2663" t="s">
        <v>958</v>
      </c>
      <c r="D43" s="2665">
        <v>12.04</v>
      </c>
      <c r="E43" s="2663"/>
      <c r="F43" s="2665"/>
      <c r="G43" s="2665"/>
      <c r="H43" s="2663"/>
      <c r="I43" s="2665">
        <v>13.79</v>
      </c>
      <c r="J43" s="2665">
        <f>I44</f>
        <v>14.278742830118365</v>
      </c>
      <c r="K43" s="2665">
        <f>J44</f>
        <v>14.872540710789071</v>
      </c>
      <c r="L43" s="2665">
        <f>SUM(I44)</f>
        <v>14.278742830118365</v>
      </c>
      <c r="M43" s="2665">
        <f>SUM(L44)</f>
        <v>16.614778159595947</v>
      </c>
      <c r="N43" s="2640"/>
    </row>
    <row r="44" spans="1:14" ht="21.75" customHeight="1">
      <c r="A44" s="2663"/>
      <c r="B44" s="2664" t="s">
        <v>960</v>
      </c>
      <c r="C44" s="2663" t="s">
        <v>958</v>
      </c>
      <c r="D44" s="2665">
        <v>13.79</v>
      </c>
      <c r="E44" s="2663"/>
      <c r="F44" s="2665"/>
      <c r="G44" s="2665"/>
      <c r="H44" s="2663"/>
      <c r="I44" s="2665">
        <f>I42*2-I43</f>
        <v>14.278742830118365</v>
      </c>
      <c r="J44" s="2665">
        <f>J42*2-J43</f>
        <v>14.872540710789071</v>
      </c>
      <c r="K44" s="2665">
        <f>K42*2-K43</f>
        <v>14.26360038258472</v>
      </c>
      <c r="L44" s="2665">
        <f>L42*2-L43</f>
        <v>16.614778159595947</v>
      </c>
      <c r="M44" s="2665">
        <f>M42*2-M43</f>
        <v>17.225765923841134</v>
      </c>
      <c r="N44" s="2640"/>
    </row>
    <row r="45" spans="1:14" ht="21.75" customHeight="1">
      <c r="A45" s="2663"/>
      <c r="B45" s="2664" t="s">
        <v>961</v>
      </c>
      <c r="C45" s="2663"/>
      <c r="D45" s="2665"/>
      <c r="E45" s="2663"/>
      <c r="F45" s="2665"/>
      <c r="G45" s="2665"/>
      <c r="H45" s="2663"/>
      <c r="I45" s="2665"/>
      <c r="J45" s="2665"/>
      <c r="K45" s="2665"/>
      <c r="L45" s="2665"/>
      <c r="M45" s="3465"/>
      <c r="N45" s="2640"/>
    </row>
    <row r="46" spans="1:14" ht="21.75" customHeight="1">
      <c r="A46" s="2663"/>
      <c r="B46" s="2664" t="s">
        <v>959</v>
      </c>
      <c r="C46" s="2663" t="s">
        <v>44</v>
      </c>
      <c r="D46" s="2665">
        <v>100</v>
      </c>
      <c r="E46" s="2663"/>
      <c r="F46" s="2665"/>
      <c r="G46" s="2665"/>
      <c r="H46" s="2663"/>
      <c r="I46" s="2665">
        <v>100</v>
      </c>
      <c r="J46" s="2665">
        <f>J43/I44*100</f>
        <v>100</v>
      </c>
      <c r="K46" s="2665">
        <f>K43/J44*100</f>
        <v>100</v>
      </c>
      <c r="L46" s="2665">
        <v>100</v>
      </c>
      <c r="M46" s="2665">
        <f>SUM(M43/L44*100)</f>
        <v>100</v>
      </c>
      <c r="N46" s="2640"/>
    </row>
    <row r="47" spans="1:14" ht="21.75" customHeight="1">
      <c r="A47" s="2663"/>
      <c r="B47" s="2664" t="s">
        <v>960</v>
      </c>
      <c r="C47" s="2663" t="s">
        <v>44</v>
      </c>
      <c r="D47" s="2665">
        <f>D44/D43*100</f>
        <v>114.53488372093024</v>
      </c>
      <c r="E47" s="2663"/>
      <c r="F47" s="2665"/>
      <c r="G47" s="2665"/>
      <c r="H47" s="2663"/>
      <c r="I47" s="2665">
        <f>I44/I43*100</f>
        <v>103.54418295952404</v>
      </c>
      <c r="J47" s="2665">
        <f>J44/J43*100</f>
        <v>104.15861457647517</v>
      </c>
      <c r="K47" s="2665">
        <f>K44/K43*100</f>
        <v>95.905606580302688</v>
      </c>
      <c r="L47" s="2665">
        <f>L44/L43*100</f>
        <v>116.36023113008345</v>
      </c>
      <c r="M47" s="2665">
        <f>M44/M43*100</f>
        <v>103.6773753966273</v>
      </c>
      <c r="N47" s="2640"/>
    </row>
    <row r="48" spans="1:14" ht="15">
      <c r="A48" s="2683"/>
      <c r="B48" s="2684"/>
      <c r="C48" s="2685"/>
      <c r="D48" s="2685"/>
      <c r="E48" s="2685"/>
      <c r="F48" s="2685"/>
      <c r="G48" s="2685"/>
      <c r="H48" s="2685"/>
      <c r="I48" s="2685"/>
      <c r="J48" s="2685"/>
      <c r="K48" s="2685"/>
      <c r="L48" s="2685"/>
      <c r="M48" s="2685"/>
      <c r="N48" s="2686"/>
    </row>
    <row r="49" spans="1:14" ht="21.75" customHeight="1">
      <c r="A49" s="2687" t="s">
        <v>962</v>
      </c>
      <c r="B49" s="2672" t="s">
        <v>1624</v>
      </c>
      <c r="C49" s="2688"/>
      <c r="D49" s="2688"/>
      <c r="E49" s="2688"/>
      <c r="F49" s="2688"/>
      <c r="G49" s="2688"/>
      <c r="H49" s="2688"/>
      <c r="I49" s="2688"/>
      <c r="J49" s="2688"/>
      <c r="K49" s="2688"/>
      <c r="L49" s="2688"/>
      <c r="M49" s="3466"/>
      <c r="N49" s="2688"/>
    </row>
    <row r="50" spans="1:14" ht="21.75" customHeight="1">
      <c r="A50" s="2688"/>
      <c r="B50" s="2672" t="s">
        <v>959</v>
      </c>
      <c r="C50" s="2675" t="s">
        <v>964</v>
      </c>
      <c r="D50" s="2690">
        <v>18.350000000000001</v>
      </c>
      <c r="E50" s="2675"/>
      <c r="F50" s="2690"/>
      <c r="G50" s="2690"/>
      <c r="H50" s="2675"/>
      <c r="I50" s="2690">
        <v>21.01</v>
      </c>
      <c r="J50" s="2690">
        <f>I51</f>
        <v>22.500000000000004</v>
      </c>
      <c r="K50" s="2690">
        <f>J51</f>
        <v>23.47</v>
      </c>
      <c r="L50" s="2690">
        <f>SUM(I51)</f>
        <v>22.500000000000004</v>
      </c>
      <c r="M50" s="2690">
        <f>SUM(L51)</f>
        <v>27.000000000000004</v>
      </c>
      <c r="N50" s="2688"/>
    </row>
    <row r="51" spans="1:14" ht="21.75" customHeight="1">
      <c r="A51" s="2688"/>
      <c r="B51" s="2672" t="s">
        <v>960</v>
      </c>
      <c r="C51" s="2675" t="s">
        <v>964</v>
      </c>
      <c r="D51" s="2690">
        <v>21.01</v>
      </c>
      <c r="E51" s="2675"/>
      <c r="F51" s="2690"/>
      <c r="G51" s="2690"/>
      <c r="H51" s="2675"/>
      <c r="I51" s="2690">
        <f>26.55/1.18</f>
        <v>22.500000000000004</v>
      </c>
      <c r="J51" s="2690">
        <v>23.47</v>
      </c>
      <c r="K51" s="2690">
        <f>K50*1.047</f>
        <v>24.573089999999997</v>
      </c>
      <c r="L51" s="2690">
        <f>SUM(L50*1.2)</f>
        <v>27.000000000000004</v>
      </c>
      <c r="M51" s="2690">
        <f>SUM(M50*1.15)</f>
        <v>31.05</v>
      </c>
      <c r="N51" s="2688"/>
    </row>
    <row r="52" spans="1:14" ht="21.75" customHeight="1">
      <c r="A52" s="2688"/>
      <c r="B52" s="2672" t="s">
        <v>364</v>
      </c>
      <c r="C52" s="2675" t="s">
        <v>44</v>
      </c>
      <c r="D52" s="2689">
        <f>D51/D50*100</f>
        <v>114.49591280653951</v>
      </c>
      <c r="E52" s="2675"/>
      <c r="F52" s="2688"/>
      <c r="G52" s="2688"/>
      <c r="H52" s="2675"/>
      <c r="I52" s="2688">
        <f>I51/I50*100</f>
        <v>107.09186101856261</v>
      </c>
      <c r="J52" s="2688">
        <f>J51/J50*100</f>
        <v>104.31111111111109</v>
      </c>
      <c r="K52" s="2688">
        <f>K51/K50*100</f>
        <v>104.69999999999999</v>
      </c>
      <c r="L52" s="2689">
        <f>L51/L50*100</f>
        <v>120</v>
      </c>
      <c r="M52" s="2689">
        <f>M51/M50*100</f>
        <v>114.99999999999999</v>
      </c>
      <c r="N52" s="2688"/>
    </row>
    <row r="53" spans="1:14" ht="21.75" customHeight="1">
      <c r="A53" s="2688"/>
      <c r="B53" s="2672" t="s">
        <v>965</v>
      </c>
      <c r="C53" s="2675" t="s">
        <v>919</v>
      </c>
      <c r="D53" s="2689">
        <f>(D37-D50)*D33/2+(D38-D51)*D33/2</f>
        <v>11987.103808434014</v>
      </c>
      <c r="E53" s="2675"/>
      <c r="F53" s="2688"/>
      <c r="G53" s="2688"/>
      <c r="H53" s="2675"/>
      <c r="I53" s="2688">
        <f>(I37-I50)*I33/2+(I38-I51)*I33/2</f>
        <v>7229.3881887248754</v>
      </c>
      <c r="J53" s="2688">
        <f>(J37-J50)*J33/2+(J38-J51)*J33/2</f>
        <v>6660.7032072839957</v>
      </c>
      <c r="K53" s="2688">
        <f>(K37-K50)*K33/2+(K38-K51)*K33/2</f>
        <v>11110.215270831386</v>
      </c>
      <c r="L53" s="2689">
        <f>(L37-L50)*L33/2+(L38-L51)*L33/2</f>
        <v>7534.8013130493491</v>
      </c>
      <c r="M53" s="2689">
        <f>(M37-M50)*M33/2+(M38-M51)*M33/2</f>
        <v>7974.4836671077446</v>
      </c>
      <c r="N53" s="2688"/>
    </row>
    <row r="54" spans="1:14" ht="21.75" customHeight="1">
      <c r="A54" s="2687" t="s">
        <v>1628</v>
      </c>
      <c r="B54" s="2672" t="s">
        <v>1626</v>
      </c>
      <c r="C54" s="2688"/>
      <c r="D54" s="2688"/>
      <c r="E54" s="2688"/>
      <c r="F54" s="2688"/>
      <c r="G54" s="2688"/>
      <c r="H54" s="2688"/>
      <c r="I54" s="2688"/>
      <c r="J54" s="2688"/>
      <c r="K54" s="2688"/>
      <c r="L54" s="2688"/>
      <c r="M54" s="3466"/>
      <c r="N54" s="2688"/>
    </row>
    <row r="55" spans="1:14" ht="21.75" customHeight="1">
      <c r="A55" s="2688"/>
      <c r="B55" s="2672" t="s">
        <v>959</v>
      </c>
      <c r="C55" s="2675" t="s">
        <v>964</v>
      </c>
      <c r="D55" s="2690">
        <v>12.04</v>
      </c>
      <c r="E55" s="2675"/>
      <c r="F55" s="2690"/>
      <c r="G55" s="2690"/>
      <c r="H55" s="2675"/>
      <c r="I55" s="2690">
        <v>13.79</v>
      </c>
      <c r="J55" s="2690">
        <f>I56</f>
        <v>14.278742830118365</v>
      </c>
      <c r="K55" s="2690">
        <f>J56</f>
        <v>14.872540710789071</v>
      </c>
      <c r="L55" s="2690">
        <f>SUM(I56)</f>
        <v>14.278742830118365</v>
      </c>
      <c r="M55" s="2690">
        <f>SUM(L56)</f>
        <v>16.614778159595947</v>
      </c>
      <c r="N55" s="2688"/>
    </row>
    <row r="56" spans="1:14" ht="21.75" customHeight="1">
      <c r="A56" s="2688"/>
      <c r="B56" s="2672" t="s">
        <v>960</v>
      </c>
      <c r="C56" s="2675" t="s">
        <v>964</v>
      </c>
      <c r="D56" s="2690">
        <v>13.79</v>
      </c>
      <c r="E56" s="2675"/>
      <c r="F56" s="2690"/>
      <c r="G56" s="2690"/>
      <c r="H56" s="2675"/>
      <c r="I56" s="2690">
        <f>SUM(I44)</f>
        <v>14.278742830118365</v>
      </c>
      <c r="J56" s="2690">
        <f>SUM(J44)</f>
        <v>14.872540710789071</v>
      </c>
      <c r="K56" s="2690">
        <f>SUM(K44)</f>
        <v>14.26360038258472</v>
      </c>
      <c r="L56" s="2690">
        <f>SUM(L44)</f>
        <v>16.614778159595947</v>
      </c>
      <c r="M56" s="2690">
        <f>SUM(M44)</f>
        <v>17.225765923841134</v>
      </c>
      <c r="N56" s="2688"/>
    </row>
    <row r="57" spans="1:14" ht="21.75" customHeight="1">
      <c r="A57" s="2688"/>
      <c r="B57" s="2672" t="s">
        <v>364</v>
      </c>
      <c r="C57" s="2675" t="s">
        <v>44</v>
      </c>
      <c r="D57" s="2689">
        <f>D56/D55*100</f>
        <v>114.53488372093024</v>
      </c>
      <c r="E57" s="2675"/>
      <c r="F57" s="2689"/>
      <c r="G57" s="2689"/>
      <c r="H57" s="2675"/>
      <c r="I57" s="2689">
        <f>I56/I55*100</f>
        <v>103.54418295952404</v>
      </c>
      <c r="J57" s="2689">
        <f>J56/J55*100</f>
        <v>104.15861457647517</v>
      </c>
      <c r="K57" s="2689">
        <f>K56/K55*100</f>
        <v>95.905606580302688</v>
      </c>
      <c r="L57" s="2689">
        <f>L56/L55*100</f>
        <v>116.36023113008345</v>
      </c>
      <c r="M57" s="2689">
        <f>M56/M55*100</f>
        <v>103.6773753966273</v>
      </c>
      <c r="N57" s="2688"/>
    </row>
    <row r="58" spans="1:14" ht="21.75" customHeight="1">
      <c r="A58" s="2688"/>
      <c r="B58" s="2672" t="s">
        <v>965</v>
      </c>
      <c r="C58" s="2675" t="s">
        <v>919</v>
      </c>
      <c r="D58" s="2688">
        <f>(D48-D55)*D39/2+(D49-D56)*D39/2</f>
        <v>0</v>
      </c>
      <c r="E58" s="2675"/>
      <c r="F58" s="2688"/>
      <c r="G58" s="2688"/>
      <c r="H58" s="2675"/>
      <c r="I58" s="2688">
        <f>(I48-I55)*I39/2+(I49-I56)*I39/2</f>
        <v>0</v>
      </c>
      <c r="J58" s="2688">
        <f>(J48-J55)*J39/2+(J49-J56)*J39/2</f>
        <v>0</v>
      </c>
      <c r="K58" s="2688">
        <f>(K48-K55)*K39/2+(K49-K56)*K39/2</f>
        <v>0</v>
      </c>
      <c r="L58" s="2688">
        <f>(L48-L55)*L39/2+(L49-L56)*L39/2</f>
        <v>0</v>
      </c>
      <c r="M58" s="2688">
        <f>(M48-M55)*M39/2+(M49-M56)*M39/2</f>
        <v>0</v>
      </c>
      <c r="N58" s="2688"/>
    </row>
  </sheetData>
  <mergeCells count="18">
    <mergeCell ref="A1:N1"/>
    <mergeCell ref="A2:N2"/>
    <mergeCell ref="A4:A5"/>
    <mergeCell ref="B4:B5"/>
    <mergeCell ref="C4:C5"/>
    <mergeCell ref="E4:E5"/>
    <mergeCell ref="F4:H4"/>
    <mergeCell ref="I4:K4"/>
    <mergeCell ref="N4:N5"/>
    <mergeCell ref="D4:D5"/>
    <mergeCell ref="L4:M4"/>
    <mergeCell ref="G6:G8"/>
    <mergeCell ref="H6:H8"/>
    <mergeCell ref="I6:I8"/>
    <mergeCell ref="C6:C8"/>
    <mergeCell ref="E6:E8"/>
    <mergeCell ref="F6:F8"/>
    <mergeCell ref="D6:D8"/>
  </mergeCells>
  <printOptions horizontalCentered="1"/>
  <pageMargins left="0.31496062992125984" right="0.31496062992125984" top="0.15748031496062992" bottom="0.15748031496062992" header="0.31496062992125984" footer="0.31496062992125984"/>
  <pageSetup paperSize="9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H539"/>
  <sheetViews>
    <sheetView zoomScale="66" zoomScaleNormal="66" zoomScalePageLayoutView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K22" sqref="K22"/>
    </sheetView>
  </sheetViews>
  <sheetFormatPr defaultRowHeight="12.75"/>
  <cols>
    <col min="1" max="1" width="54.42578125" customWidth="1"/>
    <col min="2" max="19" width="12.7109375" customWidth="1"/>
    <col min="20" max="20" width="18.140625" customWidth="1"/>
    <col min="21" max="21" width="17.42578125" customWidth="1"/>
    <col min="22" max="22" width="15.5703125" customWidth="1"/>
    <col min="23" max="27" width="12.7109375" customWidth="1"/>
    <col min="28" max="29" width="14.28515625" customWidth="1"/>
    <col min="30" max="30" width="12.7109375" customWidth="1"/>
  </cols>
  <sheetData>
    <row r="1" spans="1:30" ht="23.25">
      <c r="A1" s="4134" t="s">
        <v>1921</v>
      </c>
      <c r="U1" s="3778"/>
    </row>
    <row r="2" spans="1:30" ht="23.25">
      <c r="A2" s="4134" t="s">
        <v>1867</v>
      </c>
      <c r="U2" s="3778"/>
    </row>
    <row r="3" spans="1:30" ht="19.5" customHeight="1">
      <c r="A3" s="4055"/>
      <c r="B3" s="4055"/>
      <c r="C3" s="4055"/>
      <c r="D3" s="4055"/>
      <c r="E3" s="4056"/>
      <c r="F3" s="4056"/>
      <c r="G3" s="4056"/>
      <c r="H3" s="4056"/>
      <c r="I3" s="4056"/>
      <c r="J3" s="4056"/>
      <c r="K3" s="4056"/>
      <c r="L3" s="4056"/>
      <c r="M3" s="4056"/>
      <c r="N3" s="4056"/>
      <c r="O3" s="4056"/>
      <c r="P3" s="4056"/>
      <c r="Q3" s="4056"/>
      <c r="R3" s="4056"/>
      <c r="S3" s="4056"/>
      <c r="T3" s="4056"/>
      <c r="U3" s="4056"/>
      <c r="V3" s="4056"/>
      <c r="W3" s="4056"/>
      <c r="X3" s="4056"/>
      <c r="Y3" s="4056"/>
    </row>
    <row r="4" spans="1:30" ht="18.75" customHeight="1">
      <c r="A4" s="4175" t="s">
        <v>1910</v>
      </c>
      <c r="B4" s="4176"/>
      <c r="C4" s="4176"/>
      <c r="D4" s="4176"/>
      <c r="E4" s="4177"/>
      <c r="F4" s="4177"/>
      <c r="G4" s="4177"/>
      <c r="H4" s="4177"/>
      <c r="I4" s="4177"/>
      <c r="J4" s="4177"/>
      <c r="K4" s="4177"/>
      <c r="L4" s="4177"/>
      <c r="M4" s="4177"/>
      <c r="N4" s="4177"/>
      <c r="O4" s="4177"/>
      <c r="P4" s="4177"/>
      <c r="Q4" s="4177"/>
      <c r="R4" s="4177"/>
      <c r="S4" s="4177"/>
      <c r="T4" s="4177"/>
      <c r="U4" s="4177"/>
      <c r="V4" s="4177"/>
      <c r="W4" s="4177"/>
      <c r="X4" s="4177"/>
      <c r="Y4" s="4177"/>
      <c r="Z4" s="4178"/>
      <c r="AA4" s="4178"/>
      <c r="AB4" s="4178"/>
      <c r="AC4" s="4178"/>
      <c r="AD4" s="4179"/>
    </row>
    <row r="5" spans="1:30" ht="18.75" customHeight="1">
      <c r="A5" s="4304" t="s">
        <v>546</v>
      </c>
      <c r="B5" s="4328" t="s">
        <v>1869</v>
      </c>
      <c r="C5" s="4329"/>
      <c r="D5" s="4329"/>
      <c r="E5" s="4329"/>
      <c r="F5" s="4330"/>
      <c r="G5" s="4322" t="s">
        <v>1870</v>
      </c>
      <c r="H5" s="4323"/>
      <c r="I5" s="4323"/>
      <c r="J5" s="4323"/>
      <c r="K5" s="4324"/>
      <c r="L5" s="4325" t="s">
        <v>1871</v>
      </c>
      <c r="M5" s="4326"/>
      <c r="N5" s="4326"/>
      <c r="O5" s="4322" t="s">
        <v>1872</v>
      </c>
      <c r="P5" s="4323"/>
      <c r="Q5" s="4323"/>
      <c r="R5" s="4323"/>
      <c r="S5" s="4324"/>
      <c r="T5" s="4325" t="s">
        <v>1873</v>
      </c>
      <c r="U5" s="4326"/>
      <c r="V5" s="4326"/>
      <c r="W5" s="4322" t="s">
        <v>1874</v>
      </c>
      <c r="X5" s="4323"/>
      <c r="Y5" s="4323"/>
      <c r="Z5" s="4323"/>
      <c r="AA5" s="4324"/>
      <c r="AB5" s="4325" t="s">
        <v>887</v>
      </c>
      <c r="AC5" s="4326"/>
      <c r="AD5" s="4327"/>
    </row>
    <row r="6" spans="1:30" ht="25.5" customHeight="1">
      <c r="A6" s="4304"/>
      <c r="B6" s="4180" t="s">
        <v>1875</v>
      </c>
      <c r="C6" s="4180" t="s">
        <v>587</v>
      </c>
      <c r="D6" s="4180" t="s">
        <v>588</v>
      </c>
      <c r="E6" s="4181" t="s">
        <v>589</v>
      </c>
      <c r="F6" s="4181" t="s">
        <v>1876</v>
      </c>
      <c r="G6" s="4182" t="s">
        <v>1875</v>
      </c>
      <c r="H6" s="4182" t="s">
        <v>1563</v>
      </c>
      <c r="I6" s="4182" t="s">
        <v>591</v>
      </c>
      <c r="J6" s="4183" t="s">
        <v>592</v>
      </c>
      <c r="K6" s="4183" t="s">
        <v>1876</v>
      </c>
      <c r="L6" s="4184" t="s">
        <v>1875</v>
      </c>
      <c r="M6" s="4184" t="s">
        <v>1876</v>
      </c>
      <c r="N6" s="4184" t="s">
        <v>1877</v>
      </c>
      <c r="O6" s="4182" t="s">
        <v>1875</v>
      </c>
      <c r="P6" s="4182" t="s">
        <v>593</v>
      </c>
      <c r="Q6" s="4182" t="s">
        <v>594</v>
      </c>
      <c r="R6" s="4183" t="s">
        <v>595</v>
      </c>
      <c r="S6" s="4183" t="s">
        <v>1876</v>
      </c>
      <c r="T6" s="4184" t="s">
        <v>1875</v>
      </c>
      <c r="U6" s="4184" t="s">
        <v>1876</v>
      </c>
      <c r="V6" s="4184" t="s">
        <v>1877</v>
      </c>
      <c r="W6" s="4182" t="s">
        <v>1875</v>
      </c>
      <c r="X6" s="4182" t="s">
        <v>596</v>
      </c>
      <c r="Y6" s="4182" t="s">
        <v>597</v>
      </c>
      <c r="Z6" s="4183" t="s">
        <v>598</v>
      </c>
      <c r="AA6" s="4183" t="s">
        <v>1876</v>
      </c>
      <c r="AB6" s="4184" t="s">
        <v>1875</v>
      </c>
      <c r="AC6" s="4184" t="s">
        <v>1876</v>
      </c>
      <c r="AD6" s="4184" t="s">
        <v>1877</v>
      </c>
    </row>
    <row r="7" spans="1:30" ht="25.5" customHeight="1">
      <c r="A7" s="4185" t="s">
        <v>1771</v>
      </c>
      <c r="B7" s="4186">
        <f>SUM('Произв. прогр. Стоки'!H12)</f>
        <v>1052.6400625000001</v>
      </c>
      <c r="C7" s="4187">
        <v>274.05</v>
      </c>
      <c r="D7" s="4188">
        <v>241.64</v>
      </c>
      <c r="E7" s="4189">
        <v>365.25</v>
      </c>
      <c r="F7" s="4190">
        <f>SUM(C7:E7)</f>
        <v>880.94</v>
      </c>
      <c r="G7" s="4186">
        <f>SUM('Произв. прогр. Стоки'!L12)</f>
        <v>1016.3486562499999</v>
      </c>
      <c r="H7" s="4187">
        <v>511.28</v>
      </c>
      <c r="I7" s="4188">
        <v>386.87</v>
      </c>
      <c r="J7" s="4189">
        <v>422.29</v>
      </c>
      <c r="K7" s="4191">
        <f>SUM(H7:J7)</f>
        <v>1320.44</v>
      </c>
      <c r="L7" s="4192">
        <f>SUM(G7+B7)</f>
        <v>2068.9887187499999</v>
      </c>
      <c r="M7" s="4192">
        <f>SUM(K7+F7)</f>
        <v>2201.38</v>
      </c>
      <c r="N7" s="4192">
        <f>SUM(M7-L7)</f>
        <v>132.39128125000025</v>
      </c>
      <c r="O7" s="4186">
        <f>SUM('Произв. прогр. Стоки'!Q12)</f>
        <v>994.50528124999994</v>
      </c>
      <c r="P7" s="4187">
        <v>436.89</v>
      </c>
      <c r="Q7" s="4188">
        <v>319.39</v>
      </c>
      <c r="R7" s="4189">
        <v>342.74</v>
      </c>
      <c r="S7" s="4193">
        <f>SUM(P7:R7)</f>
        <v>1099.02</v>
      </c>
      <c r="T7" s="4192">
        <f>SUM(L7+O7)</f>
        <v>3063.4939999999997</v>
      </c>
      <c r="U7" s="4192">
        <f>SUM(M7+S7)</f>
        <v>3300.4</v>
      </c>
      <c r="V7" s="4192">
        <f>SUM(U7-T7)</f>
        <v>236.9060000000004</v>
      </c>
      <c r="W7" s="4186">
        <f>SUM('Произв. прогр. Стоки'!V12)</f>
        <v>1056.1935000000001</v>
      </c>
      <c r="X7" s="4194"/>
      <c r="Y7" s="4194"/>
      <c r="Z7" s="4195"/>
      <c r="AA7" s="4196">
        <f>SUM(X7:Z7)</f>
        <v>0</v>
      </c>
      <c r="AB7" s="4192">
        <f>SUM(W7+T7)</f>
        <v>4119.6875</v>
      </c>
      <c r="AC7" s="4192">
        <f>SUM(AA7+U7)</f>
        <v>3300.4</v>
      </c>
      <c r="AD7" s="4192">
        <f>SUM(AC7-AB7)</f>
        <v>-819.28749999999991</v>
      </c>
    </row>
    <row r="8" spans="1:30" ht="18.75" customHeight="1">
      <c r="A8" s="4197" t="s">
        <v>1772</v>
      </c>
      <c r="B8" s="4186">
        <f>SUM('Произв. прогр. Стоки'!H13)</f>
        <v>842.11205000000007</v>
      </c>
      <c r="C8" s="4198">
        <f>SUM(C9:C11)</f>
        <v>257.02000000000004</v>
      </c>
      <c r="D8" s="4198">
        <f>SUM(D9:D11)</f>
        <v>271.67999999999995</v>
      </c>
      <c r="E8" s="4169">
        <f>SUM(E9:E11)</f>
        <v>261.83000000000004</v>
      </c>
      <c r="F8" s="4169">
        <f>SUM(C8:E8)</f>
        <v>790.53000000000009</v>
      </c>
      <c r="G8" s="4186">
        <f>SUM('Произв. прогр. Стоки'!L13)</f>
        <v>813.07892499999991</v>
      </c>
      <c r="H8" s="4198">
        <f>SUM(H9:H11)</f>
        <v>285.02999999999997</v>
      </c>
      <c r="I8" s="4198">
        <f>SUM(I9:I11)</f>
        <v>266.5</v>
      </c>
      <c r="J8" s="4169">
        <f>SUM(J9:J11)</f>
        <v>259.78999999999996</v>
      </c>
      <c r="K8" s="4169">
        <f>SUM(H8:J8)</f>
        <v>811.31999999999994</v>
      </c>
      <c r="L8" s="4192">
        <f>SUM(G8+B8)</f>
        <v>1655.190975</v>
      </c>
      <c r="M8" s="4192">
        <f>SUM(K8+F8)</f>
        <v>1601.85</v>
      </c>
      <c r="N8" s="4192">
        <f>SUM(M8-L8)</f>
        <v>-53.340975000000071</v>
      </c>
      <c r="O8" s="4186">
        <f>SUM('Произв. прогр. Стоки'!Q13)</f>
        <v>795.60422499999993</v>
      </c>
      <c r="P8" s="4198">
        <f>SUM(P9:P11)</f>
        <v>232.16</v>
      </c>
      <c r="Q8" s="4198">
        <f>SUM(Q9:Q11)</f>
        <v>244.42</v>
      </c>
      <c r="R8" s="4199">
        <f>SUM(R9:R11)</f>
        <v>260.64999999999998</v>
      </c>
      <c r="S8" s="4169">
        <f>SUM(P8:R8)</f>
        <v>737.23</v>
      </c>
      <c r="T8" s="4192">
        <f>SUM(L8+O8)</f>
        <v>2450.7952</v>
      </c>
      <c r="U8" s="4192">
        <f>SUM(M8+S8)</f>
        <v>2339.08</v>
      </c>
      <c r="V8" s="4192">
        <f>SUM(U8-T8)</f>
        <v>-111.7152000000001</v>
      </c>
      <c r="W8" s="4186">
        <f>SUM('Произв. прогр. Стоки'!V13)</f>
        <v>844.95480000000009</v>
      </c>
      <c r="X8" s="4198">
        <f>SUM(X9:X11)</f>
        <v>0</v>
      </c>
      <c r="Y8" s="4198">
        <f>SUM(Y9:Y11)</f>
        <v>0</v>
      </c>
      <c r="Z8" s="4169">
        <f>SUM(Z9:Z11)</f>
        <v>0</v>
      </c>
      <c r="AA8" s="4169">
        <f>SUM(X8:Z8)</f>
        <v>0</v>
      </c>
      <c r="AB8" s="4192">
        <f>SUM(W8+T8)</f>
        <v>3295.75</v>
      </c>
      <c r="AC8" s="4192">
        <f>SUM(AA8+U8)</f>
        <v>2339.08</v>
      </c>
      <c r="AD8" s="4192">
        <f>SUM(AC8-AB8)</f>
        <v>-956.67000000000007</v>
      </c>
    </row>
    <row r="9" spans="1:30" ht="18.75" customHeight="1">
      <c r="A9" s="4166" t="s">
        <v>264</v>
      </c>
      <c r="B9" s="4200">
        <f>SUM('Произв. прогр. Стоки'!H14)</f>
        <v>589.71999999999991</v>
      </c>
      <c r="C9" s="4201">
        <v>194.83</v>
      </c>
      <c r="D9" s="4201">
        <v>199.7</v>
      </c>
      <c r="E9" s="4158">
        <v>197.02</v>
      </c>
      <c r="F9" s="4157">
        <f t="shared" ref="F9:F11" si="0">SUM(C9:E9)</f>
        <v>591.54999999999995</v>
      </c>
      <c r="G9" s="4200">
        <f>SUM('Произв. прогр. Стоки'!L14)</f>
        <v>563.95999999999992</v>
      </c>
      <c r="H9" s="4201">
        <v>219.04</v>
      </c>
      <c r="I9" s="4201">
        <v>201.74</v>
      </c>
      <c r="J9" s="4158">
        <v>191.13</v>
      </c>
      <c r="K9" s="4157">
        <f>SUM(H9:J9)</f>
        <v>611.91</v>
      </c>
      <c r="L9" s="4202">
        <f t="shared" ref="L9:L11" si="1">SUM(G9+B9)</f>
        <v>1153.6799999999998</v>
      </c>
      <c r="M9" s="4202">
        <f>SUM(K9+F9)</f>
        <v>1203.46</v>
      </c>
      <c r="N9" s="4202">
        <f t="shared" ref="N9:N11" si="2">SUM(M9-L9)</f>
        <v>49.7800000000002</v>
      </c>
      <c r="O9" s="4200">
        <f>SUM('Произв. прогр. Стоки'!Q14)</f>
        <v>557.05999999999995</v>
      </c>
      <c r="P9" s="4201">
        <v>176.35</v>
      </c>
      <c r="Q9" s="4201">
        <v>187.29</v>
      </c>
      <c r="R9" s="4203">
        <v>190.12</v>
      </c>
      <c r="S9" s="4157">
        <f t="shared" ref="S9:S11" si="3">SUM(P9:R9)</f>
        <v>553.76</v>
      </c>
      <c r="T9" s="4202">
        <f t="shared" ref="T9:T11" si="4">SUM(L9+O9)</f>
        <v>1710.7399999999998</v>
      </c>
      <c r="U9" s="4202">
        <f t="shared" ref="U9:U11" si="5">SUM(M9+S9)</f>
        <v>1757.22</v>
      </c>
      <c r="V9" s="4202">
        <f t="shared" ref="V9:V11" si="6">SUM(U9-T9)</f>
        <v>46.480000000000246</v>
      </c>
      <c r="W9" s="4200">
        <f>SUM('Произв. прогр. Стоки'!V14)</f>
        <v>589.26</v>
      </c>
      <c r="X9" s="4201"/>
      <c r="Y9" s="4201"/>
      <c r="Z9" s="4158"/>
      <c r="AA9" s="4157">
        <f t="shared" ref="AA9:AA11" si="7">SUM(X9:Z9)</f>
        <v>0</v>
      </c>
      <c r="AB9" s="4202">
        <f t="shared" ref="AB9:AB11" si="8">SUM(W9+T9)</f>
        <v>2300</v>
      </c>
      <c r="AC9" s="4202">
        <f t="shared" ref="AC9:AC11" si="9">SUM(AA9+U9)</f>
        <v>1757.22</v>
      </c>
      <c r="AD9" s="4202">
        <f t="shared" ref="AD9:AD11" si="10">SUM(AC9-AB9)</f>
        <v>-542.78</v>
      </c>
    </row>
    <row r="10" spans="1:30" ht="18.75" customHeight="1">
      <c r="A10" s="4166" t="s">
        <v>1773</v>
      </c>
      <c r="B10" s="4200">
        <f>SUM('Произв. прогр. Стоки'!H15)</f>
        <v>5.8971999999999998</v>
      </c>
      <c r="C10" s="4201">
        <v>0.31</v>
      </c>
      <c r="D10" s="4201">
        <v>0.32</v>
      </c>
      <c r="E10" s="4158">
        <v>3.77</v>
      </c>
      <c r="F10" s="4157">
        <f t="shared" si="0"/>
        <v>4.4000000000000004</v>
      </c>
      <c r="G10" s="4200">
        <f>SUM('Произв. прогр. Стоки'!L15)</f>
        <v>5.6395999999999997</v>
      </c>
      <c r="H10" s="4201">
        <v>0.43</v>
      </c>
      <c r="I10" s="4201">
        <v>0.39</v>
      </c>
      <c r="J10" s="4158">
        <v>4.07</v>
      </c>
      <c r="K10" s="4157">
        <f t="shared" ref="K10:K11" si="11">SUM(H10:J10)</f>
        <v>4.8900000000000006</v>
      </c>
      <c r="L10" s="4202">
        <f t="shared" si="1"/>
        <v>11.536799999999999</v>
      </c>
      <c r="M10" s="4202">
        <f t="shared" ref="M10:M11" si="12">SUM(K10+F10)</f>
        <v>9.2900000000000009</v>
      </c>
      <c r="N10" s="4202">
        <f t="shared" si="2"/>
        <v>-2.2467999999999986</v>
      </c>
      <c r="O10" s="4200">
        <f>SUM('Произв. прогр. Стоки'!Q15)</f>
        <v>5.5705999999999998</v>
      </c>
      <c r="P10" s="4201">
        <v>0.46</v>
      </c>
      <c r="Q10" s="4201">
        <v>0.48</v>
      </c>
      <c r="R10" s="4203">
        <v>4</v>
      </c>
      <c r="S10" s="4157">
        <f t="shared" si="3"/>
        <v>4.9399999999999995</v>
      </c>
      <c r="T10" s="4202">
        <f t="shared" si="4"/>
        <v>17.107399999999998</v>
      </c>
      <c r="U10" s="4202">
        <f t="shared" si="5"/>
        <v>14.23</v>
      </c>
      <c r="V10" s="4202">
        <f t="shared" si="6"/>
        <v>-2.877399999999998</v>
      </c>
      <c r="W10" s="4200">
        <f>SUM('Произв. прогр. Стоки'!V15)</f>
        <v>5.8925999999999989</v>
      </c>
      <c r="X10" s="4201"/>
      <c r="Y10" s="4201"/>
      <c r="Z10" s="4158"/>
      <c r="AA10" s="4157">
        <f t="shared" si="7"/>
        <v>0</v>
      </c>
      <c r="AB10" s="4202">
        <f t="shared" si="8"/>
        <v>22.999999999999996</v>
      </c>
      <c r="AC10" s="4202">
        <f t="shared" si="9"/>
        <v>14.23</v>
      </c>
      <c r="AD10" s="4202">
        <f t="shared" si="10"/>
        <v>-8.769999999999996</v>
      </c>
    </row>
    <row r="11" spans="1:30" ht="18.75" customHeight="1">
      <c r="A11" s="4166" t="s">
        <v>1774</v>
      </c>
      <c r="B11" s="4200">
        <f>SUM('Произв. прогр. Стоки'!H16)</f>
        <v>246.49485000000001</v>
      </c>
      <c r="C11" s="4201">
        <v>61.88</v>
      </c>
      <c r="D11" s="4201">
        <v>71.66</v>
      </c>
      <c r="E11" s="4158">
        <v>61.04</v>
      </c>
      <c r="F11" s="4157">
        <f t="shared" si="0"/>
        <v>194.57999999999998</v>
      </c>
      <c r="G11" s="4200">
        <f>SUM('Произв. прогр. Стоки'!L16)</f>
        <v>243.47932499999996</v>
      </c>
      <c r="H11" s="4201">
        <v>65.56</v>
      </c>
      <c r="I11" s="4201">
        <v>64.37</v>
      </c>
      <c r="J11" s="4158">
        <v>64.59</v>
      </c>
      <c r="K11" s="4157">
        <f t="shared" si="11"/>
        <v>194.52</v>
      </c>
      <c r="L11" s="4202">
        <f t="shared" si="1"/>
        <v>489.97417499999995</v>
      </c>
      <c r="M11" s="4202">
        <f t="shared" si="12"/>
        <v>389.1</v>
      </c>
      <c r="N11" s="4202">
        <f t="shared" si="2"/>
        <v>-100.87417499999992</v>
      </c>
      <c r="O11" s="4200">
        <f>SUM('Произв. прогр. Стоки'!Q16)</f>
        <v>232.973625</v>
      </c>
      <c r="P11" s="4201">
        <v>55.35</v>
      </c>
      <c r="Q11" s="4201">
        <v>56.65</v>
      </c>
      <c r="R11" s="4203">
        <v>66.53</v>
      </c>
      <c r="S11" s="4157">
        <f t="shared" si="3"/>
        <v>178.53</v>
      </c>
      <c r="T11" s="4202">
        <f t="shared" si="4"/>
        <v>722.94779999999992</v>
      </c>
      <c r="U11" s="4202">
        <f t="shared" si="5"/>
        <v>567.63</v>
      </c>
      <c r="V11" s="4202">
        <f t="shared" si="6"/>
        <v>-155.31779999999992</v>
      </c>
      <c r="W11" s="4200">
        <f>SUM('Произв. прогр. Стоки'!V16)</f>
        <v>249.80220000000003</v>
      </c>
      <c r="X11" s="4201"/>
      <c r="Y11" s="4201"/>
      <c r="Z11" s="4158"/>
      <c r="AA11" s="4157">
        <f t="shared" si="7"/>
        <v>0</v>
      </c>
      <c r="AB11" s="4202">
        <f t="shared" si="8"/>
        <v>972.75</v>
      </c>
      <c r="AC11" s="4202">
        <f t="shared" si="9"/>
        <v>567.63</v>
      </c>
      <c r="AD11" s="4202">
        <f t="shared" si="10"/>
        <v>-405.12</v>
      </c>
    </row>
    <row r="12" spans="1:30" ht="18.75" customHeight="1">
      <c r="A12" s="4135" t="s">
        <v>1878</v>
      </c>
      <c r="B12" s="4204"/>
      <c r="C12" s="4204"/>
      <c r="D12" s="4177"/>
      <c r="E12" s="4177"/>
      <c r="F12" s="4177"/>
      <c r="G12" s="4177"/>
      <c r="H12" s="4177"/>
      <c r="I12" s="4177"/>
      <c r="J12" s="4177"/>
      <c r="K12" s="4177"/>
      <c r="L12" s="4177"/>
      <c r="M12" s="4177"/>
      <c r="N12" s="4177"/>
      <c r="O12" s="4177"/>
      <c r="P12" s="4177"/>
      <c r="Q12" s="4177"/>
      <c r="R12" s="4177"/>
      <c r="S12" s="4177"/>
      <c r="T12" s="4177"/>
      <c r="U12" s="4177"/>
      <c r="V12" s="4177"/>
      <c r="W12" s="4177"/>
      <c r="X12" s="4177"/>
      <c r="Y12" s="4177"/>
      <c r="Z12" s="4178"/>
      <c r="AA12" s="4178"/>
      <c r="AB12" s="4178"/>
      <c r="AC12" s="4178"/>
      <c r="AD12" s="4179"/>
    </row>
    <row r="13" spans="1:30" ht="18.75" customHeight="1">
      <c r="A13" s="4304" t="s">
        <v>546</v>
      </c>
      <c r="B13" s="4328" t="s">
        <v>1869</v>
      </c>
      <c r="C13" s="4329"/>
      <c r="D13" s="4329"/>
      <c r="E13" s="4329"/>
      <c r="F13" s="4330"/>
      <c r="G13" s="4322" t="s">
        <v>1870</v>
      </c>
      <c r="H13" s="4323"/>
      <c r="I13" s="4323"/>
      <c r="J13" s="4323"/>
      <c r="K13" s="4324"/>
      <c r="L13" s="4325" t="s">
        <v>1871</v>
      </c>
      <c r="M13" s="4326"/>
      <c r="N13" s="4326"/>
      <c r="O13" s="4322" t="s">
        <v>1872</v>
      </c>
      <c r="P13" s="4323"/>
      <c r="Q13" s="4323"/>
      <c r="R13" s="4323"/>
      <c r="S13" s="4324"/>
      <c r="T13" s="4325" t="s">
        <v>1873</v>
      </c>
      <c r="U13" s="4326"/>
      <c r="V13" s="4326"/>
      <c r="W13" s="4322" t="s">
        <v>1874</v>
      </c>
      <c r="X13" s="4323"/>
      <c r="Y13" s="4323"/>
      <c r="Z13" s="4323"/>
      <c r="AA13" s="4324"/>
      <c r="AB13" s="4325" t="s">
        <v>887</v>
      </c>
      <c r="AC13" s="4326"/>
      <c r="AD13" s="4327"/>
    </row>
    <row r="14" spans="1:30" ht="25.5" customHeight="1">
      <c r="A14" s="4304"/>
      <c r="B14" s="4180" t="s">
        <v>1875</v>
      </c>
      <c r="C14" s="4180" t="s">
        <v>587</v>
      </c>
      <c r="D14" s="4180" t="s">
        <v>588</v>
      </c>
      <c r="E14" s="4181" t="s">
        <v>589</v>
      </c>
      <c r="F14" s="4181" t="s">
        <v>1876</v>
      </c>
      <c r="G14" s="4182" t="s">
        <v>1875</v>
      </c>
      <c r="H14" s="4182" t="s">
        <v>1563</v>
      </c>
      <c r="I14" s="4182" t="s">
        <v>591</v>
      </c>
      <c r="J14" s="4183" t="s">
        <v>592</v>
      </c>
      <c r="K14" s="4183" t="s">
        <v>1876</v>
      </c>
      <c r="L14" s="4184" t="s">
        <v>1875</v>
      </c>
      <c r="M14" s="4184" t="s">
        <v>1876</v>
      </c>
      <c r="N14" s="4184" t="s">
        <v>1877</v>
      </c>
      <c r="O14" s="4182" t="s">
        <v>1875</v>
      </c>
      <c r="P14" s="4182" t="s">
        <v>593</v>
      </c>
      <c r="Q14" s="4182" t="s">
        <v>594</v>
      </c>
      <c r="R14" s="4183" t="s">
        <v>595</v>
      </c>
      <c r="S14" s="4183" t="s">
        <v>1876</v>
      </c>
      <c r="T14" s="4184" t="s">
        <v>1875</v>
      </c>
      <c r="U14" s="4184" t="s">
        <v>1876</v>
      </c>
      <c r="V14" s="4184" t="s">
        <v>1877</v>
      </c>
      <c r="W14" s="4182" t="s">
        <v>1875</v>
      </c>
      <c r="X14" s="4182" t="s">
        <v>596</v>
      </c>
      <c r="Y14" s="4182" t="s">
        <v>597</v>
      </c>
      <c r="Z14" s="4183" t="s">
        <v>598</v>
      </c>
      <c r="AA14" s="4183" t="s">
        <v>1876</v>
      </c>
      <c r="AB14" s="4184" t="s">
        <v>1875</v>
      </c>
      <c r="AC14" s="4184" t="s">
        <v>1876</v>
      </c>
      <c r="AD14" s="4184" t="s">
        <v>1877</v>
      </c>
    </row>
    <row r="15" spans="1:30" ht="18.75" customHeight="1">
      <c r="A15" s="4139" t="s">
        <v>0</v>
      </c>
      <c r="B15" s="4172">
        <f>SUM('Произв. прогр. Стоки'!H34)</f>
        <v>3318.0840492306347</v>
      </c>
      <c r="C15" s="4172">
        <f>SUM(C16:C21)+C23</f>
        <v>1070.77</v>
      </c>
      <c r="D15" s="4172">
        <f t="shared" ref="D15:E15" si="13">SUM(D16:D21)+D23</f>
        <v>942.54</v>
      </c>
      <c r="E15" s="4172">
        <f t="shared" si="13"/>
        <v>1101.98</v>
      </c>
      <c r="F15" s="4172">
        <f>SUM(F16:F21)+F23</f>
        <v>3115.2899999999995</v>
      </c>
      <c r="G15" s="4172">
        <f>SUM('Произв. прогр. Стоки'!L34)</f>
        <v>3305.2001222053618</v>
      </c>
      <c r="H15" s="4172">
        <f>SUM(H16:H21)+H23</f>
        <v>1000.81</v>
      </c>
      <c r="I15" s="4172">
        <f t="shared" ref="I15" si="14">SUM(I16:I21)+I23</f>
        <v>1204.24</v>
      </c>
      <c r="J15" s="4172">
        <f>SUM(J16:J21)+J23</f>
        <v>1026.53</v>
      </c>
      <c r="K15" s="4172">
        <f>SUM(K16:K21)+K23</f>
        <v>3231.58</v>
      </c>
      <c r="L15" s="4192">
        <f t="shared" ref="L15:L21" si="15">SUM(G15+B15)</f>
        <v>6623.2841714359965</v>
      </c>
      <c r="M15" s="4192">
        <f t="shared" ref="M15:M21" si="16">SUM(K15+F15)</f>
        <v>6346.869999999999</v>
      </c>
      <c r="N15" s="4192">
        <f t="shared" ref="N15:N78" si="17">SUM(M15-L15)</f>
        <v>-276.41417143599756</v>
      </c>
      <c r="O15" s="4172">
        <f>SUM('Произв. прогр. Стоки'!Q34)</f>
        <v>3489.7916725219807</v>
      </c>
      <c r="P15" s="4172">
        <f>SUM(P16:P21)+P23</f>
        <v>1004.9300000000001</v>
      </c>
      <c r="Q15" s="4172">
        <f t="shared" ref="Q15" si="18">SUM(Q16:Q21)+Q23</f>
        <v>1122.78</v>
      </c>
      <c r="R15" s="4172">
        <f t="shared" ref="R15" si="19">SUM(R16:R21)+R23</f>
        <v>1046.71</v>
      </c>
      <c r="S15" s="4172">
        <f>SUM(S16:S21)+S23</f>
        <v>3174.42</v>
      </c>
      <c r="T15" s="4192">
        <f t="shared" ref="T15:T21" si="20">SUM(L15+O15)</f>
        <v>10113.075843957977</v>
      </c>
      <c r="U15" s="4192">
        <f t="shared" ref="U15:U21" si="21">SUM(M15+S15)</f>
        <v>9521.2899999999991</v>
      </c>
      <c r="V15" s="4192">
        <f t="shared" ref="V15:V78" si="22">SUM(U15-T15)</f>
        <v>-591.7858439579777</v>
      </c>
      <c r="W15" s="4172">
        <f>SUM('Произв. прогр. Стоки'!V34)</f>
        <v>3513.2715563718998</v>
      </c>
      <c r="X15" s="4172">
        <f>SUM(X16:X21)+X23</f>
        <v>0</v>
      </c>
      <c r="Y15" s="4172">
        <f t="shared" ref="Y15" si="23">SUM(Y16:Y21)+Y23</f>
        <v>0</v>
      </c>
      <c r="Z15" s="4172">
        <f t="shared" ref="Z15" si="24">SUM(Z16:Z21)+Z23</f>
        <v>0</v>
      </c>
      <c r="AA15" s="4172">
        <f>SUM(AA16:AA21)+AA23</f>
        <v>0</v>
      </c>
      <c r="AB15" s="4192">
        <f t="shared" ref="AB15:AB21" si="25">SUM(W15+T15)</f>
        <v>13626.347400329876</v>
      </c>
      <c r="AC15" s="4192">
        <f t="shared" ref="AC15:AC21" si="26">SUM(AA15+U15)</f>
        <v>9521.2899999999991</v>
      </c>
      <c r="AD15" s="4192">
        <f t="shared" ref="AD15:AD78" si="27">SUM(AC15-AB15)</f>
        <v>-4105.0574003298771</v>
      </c>
    </row>
    <row r="16" spans="1:30" ht="18.75" customHeight="1">
      <c r="A16" s="4143" t="s">
        <v>1</v>
      </c>
      <c r="B16" s="4205">
        <f>SUM('Произв. прогр. Стоки'!H35)</f>
        <v>386.8535872892104</v>
      </c>
      <c r="C16" s="4206">
        <v>71.87</v>
      </c>
      <c r="D16" s="4206">
        <v>68.150000000000006</v>
      </c>
      <c r="E16" s="4206">
        <v>75.099999999999994</v>
      </c>
      <c r="F16" s="4157">
        <f>SUM(C16:E16)</f>
        <v>215.12</v>
      </c>
      <c r="G16" s="4205">
        <f>SUM('Произв. прогр. Стоки'!L35)</f>
        <v>373.51620711935522</v>
      </c>
      <c r="H16" s="4206">
        <v>80.760000000000005</v>
      </c>
      <c r="I16" s="4206">
        <v>62.64</v>
      </c>
      <c r="J16" s="4206">
        <v>56.04</v>
      </c>
      <c r="K16" s="4157">
        <f>SUM(H16:J16)</f>
        <v>199.44</v>
      </c>
      <c r="L16" s="4202">
        <f t="shared" si="15"/>
        <v>760.36979440856567</v>
      </c>
      <c r="M16" s="4202">
        <f t="shared" si="16"/>
        <v>414.56</v>
      </c>
      <c r="N16" s="4202">
        <f t="shared" si="17"/>
        <v>-345.80979440856566</v>
      </c>
      <c r="O16" s="4205">
        <f>SUM('Произв. прогр. Стоки'!Q35)</f>
        <v>390.94997470305844</v>
      </c>
      <c r="P16" s="4206">
        <v>73.099999999999994</v>
      </c>
      <c r="Q16" s="4206">
        <v>58.79</v>
      </c>
      <c r="R16" s="4206">
        <v>66.11</v>
      </c>
      <c r="S16" s="4157">
        <f>SUM(P16:R16)</f>
        <v>198</v>
      </c>
      <c r="T16" s="4202">
        <f t="shared" si="20"/>
        <v>1151.3197691116241</v>
      </c>
      <c r="U16" s="4202">
        <f t="shared" si="21"/>
        <v>612.55999999999995</v>
      </c>
      <c r="V16" s="4202">
        <f t="shared" si="22"/>
        <v>-538.75976911162411</v>
      </c>
      <c r="W16" s="4205">
        <f>SUM('Произв. прогр. Стоки'!V35)</f>
        <v>415.20023059860932</v>
      </c>
      <c r="X16" s="4206"/>
      <c r="Y16" s="4206"/>
      <c r="Z16" s="4206"/>
      <c r="AA16" s="4157">
        <f>SUM(X16:Z16)</f>
        <v>0</v>
      </c>
      <c r="AB16" s="4202">
        <f t="shared" si="25"/>
        <v>1566.5199997102334</v>
      </c>
      <c r="AC16" s="4202">
        <f t="shared" si="26"/>
        <v>612.55999999999995</v>
      </c>
      <c r="AD16" s="4202">
        <f t="shared" si="27"/>
        <v>-953.95999971023343</v>
      </c>
    </row>
    <row r="17" spans="1:30" ht="18.75" customHeight="1">
      <c r="A17" s="4143" t="s">
        <v>2</v>
      </c>
      <c r="B17" s="4205">
        <f>SUM('Произв. прогр. Стоки'!H36)</f>
        <v>105.5675</v>
      </c>
      <c r="C17" s="4206">
        <v>43.06</v>
      </c>
      <c r="D17" s="4206">
        <v>43.06</v>
      </c>
      <c r="E17" s="4206">
        <v>43.06</v>
      </c>
      <c r="F17" s="4157">
        <f t="shared" ref="F17:F21" si="28">SUM(C17:E17)</f>
        <v>129.18</v>
      </c>
      <c r="G17" s="4205">
        <f>SUM('Произв. прогр. Стоки'!L36)</f>
        <v>105.5675</v>
      </c>
      <c r="H17" s="4206">
        <v>43.06</v>
      </c>
      <c r="I17" s="4206">
        <v>43.06</v>
      </c>
      <c r="J17" s="4206">
        <v>43.06</v>
      </c>
      <c r="K17" s="4157">
        <f t="shared" ref="K17:K21" si="29">SUM(H17:J17)</f>
        <v>129.18</v>
      </c>
      <c r="L17" s="4202">
        <f t="shared" si="15"/>
        <v>211.13499999999999</v>
      </c>
      <c r="M17" s="4202">
        <f t="shared" si="16"/>
        <v>258.36</v>
      </c>
      <c r="N17" s="4202">
        <f t="shared" si="17"/>
        <v>47.225000000000023</v>
      </c>
      <c r="O17" s="4205">
        <f>SUM('Произв. прогр. Стоки'!Q36)</f>
        <v>105.5675</v>
      </c>
      <c r="P17" s="4206">
        <v>40.43</v>
      </c>
      <c r="Q17" s="4206">
        <v>40.020000000000003</v>
      </c>
      <c r="R17" s="4206">
        <v>40.020000000000003</v>
      </c>
      <c r="S17" s="4157">
        <f t="shared" ref="S17:S21" si="30">SUM(P17:R17)</f>
        <v>120.47</v>
      </c>
      <c r="T17" s="4202">
        <f t="shared" si="20"/>
        <v>316.70249999999999</v>
      </c>
      <c r="U17" s="4202">
        <f t="shared" si="21"/>
        <v>378.83000000000004</v>
      </c>
      <c r="V17" s="4202">
        <f t="shared" si="22"/>
        <v>62.127500000000055</v>
      </c>
      <c r="W17" s="4205">
        <f>SUM('Произв. прогр. Стоки'!V36)</f>
        <v>105.5675</v>
      </c>
      <c r="X17" s="4206"/>
      <c r="Y17" s="4206"/>
      <c r="Z17" s="4206"/>
      <c r="AA17" s="4157">
        <f t="shared" ref="AA17:AA21" si="31">SUM(X17:Z17)</f>
        <v>0</v>
      </c>
      <c r="AB17" s="4202">
        <f t="shared" si="25"/>
        <v>422.27</v>
      </c>
      <c r="AC17" s="4202">
        <f t="shared" si="26"/>
        <v>378.83000000000004</v>
      </c>
      <c r="AD17" s="4202">
        <f t="shared" si="27"/>
        <v>-43.439999999999941</v>
      </c>
    </row>
    <row r="18" spans="1:30" ht="18.75" customHeight="1">
      <c r="A18" s="4143" t="s">
        <v>219</v>
      </c>
      <c r="B18" s="4205">
        <f>SUM('Произв. прогр. Стоки'!H37)</f>
        <v>0</v>
      </c>
      <c r="C18" s="4206"/>
      <c r="D18" s="4206"/>
      <c r="E18" s="4206"/>
      <c r="F18" s="4157">
        <f t="shared" si="28"/>
        <v>0</v>
      </c>
      <c r="G18" s="4205">
        <f>SUM('Произв. прогр. Стоки'!L37)</f>
        <v>0</v>
      </c>
      <c r="H18" s="4206"/>
      <c r="I18" s="4206"/>
      <c r="J18" s="4206"/>
      <c r="K18" s="4157">
        <f t="shared" si="29"/>
        <v>0</v>
      </c>
      <c r="L18" s="4202">
        <f t="shared" si="15"/>
        <v>0</v>
      </c>
      <c r="M18" s="4202">
        <f t="shared" si="16"/>
        <v>0</v>
      </c>
      <c r="N18" s="4202">
        <f t="shared" si="17"/>
        <v>0</v>
      </c>
      <c r="O18" s="4205">
        <f>SUM('Произв. прогр. Стоки'!Q37)</f>
        <v>0</v>
      </c>
      <c r="P18" s="4206"/>
      <c r="Q18" s="4206"/>
      <c r="R18" s="4206"/>
      <c r="S18" s="4157">
        <f t="shared" si="30"/>
        <v>0</v>
      </c>
      <c r="T18" s="4202">
        <f t="shared" si="20"/>
        <v>0</v>
      </c>
      <c r="U18" s="4202">
        <f t="shared" si="21"/>
        <v>0</v>
      </c>
      <c r="V18" s="4202">
        <f t="shared" si="22"/>
        <v>0</v>
      </c>
      <c r="W18" s="4205">
        <f>SUM('Произв. прогр. Стоки'!V37)</f>
        <v>0</v>
      </c>
      <c r="X18" s="4206"/>
      <c r="Y18" s="4206"/>
      <c r="Z18" s="4206"/>
      <c r="AA18" s="4157">
        <f t="shared" si="31"/>
        <v>0</v>
      </c>
      <c r="AB18" s="4202">
        <f t="shared" si="25"/>
        <v>0</v>
      </c>
      <c r="AC18" s="4202">
        <f t="shared" si="26"/>
        <v>0</v>
      </c>
      <c r="AD18" s="4202">
        <f t="shared" si="27"/>
        <v>0</v>
      </c>
    </row>
    <row r="19" spans="1:30" ht="18.75" customHeight="1">
      <c r="A19" s="4143" t="s">
        <v>3</v>
      </c>
      <c r="B19" s="4205">
        <f>SUM('Произв. прогр. Стоки'!H38)</f>
        <v>0</v>
      </c>
      <c r="C19" s="4206">
        <f>3.5+8.62</f>
        <v>12.12</v>
      </c>
      <c r="D19" s="4206">
        <v>34.659999999999997</v>
      </c>
      <c r="E19" s="4206">
        <v>31.14</v>
      </c>
      <c r="F19" s="4157">
        <f t="shared" si="28"/>
        <v>77.919999999999987</v>
      </c>
      <c r="G19" s="4205">
        <f>SUM('Произв. прогр. Стоки'!L38)</f>
        <v>0</v>
      </c>
      <c r="H19" s="4206">
        <v>1.73</v>
      </c>
      <c r="I19" s="4206">
        <f>92+9.19</f>
        <v>101.19</v>
      </c>
      <c r="J19" s="4206">
        <v>6.66</v>
      </c>
      <c r="K19" s="4157">
        <f t="shared" si="29"/>
        <v>109.58</v>
      </c>
      <c r="L19" s="4202">
        <f t="shared" si="15"/>
        <v>0</v>
      </c>
      <c r="M19" s="4202">
        <f t="shared" si="16"/>
        <v>187.5</v>
      </c>
      <c r="N19" s="4202">
        <f t="shared" si="17"/>
        <v>187.5</v>
      </c>
      <c r="O19" s="4205">
        <f>SUM('Произв. прогр. Стоки'!Q38)</f>
        <v>0</v>
      </c>
      <c r="P19" s="4206">
        <v>19.41</v>
      </c>
      <c r="Q19" s="4206">
        <f>1.66+30.42+18.36</f>
        <v>50.44</v>
      </c>
      <c r="R19" s="4206">
        <v>26.71</v>
      </c>
      <c r="S19" s="4157">
        <f t="shared" si="30"/>
        <v>96.56</v>
      </c>
      <c r="T19" s="4202">
        <f t="shared" si="20"/>
        <v>0</v>
      </c>
      <c r="U19" s="4202">
        <f t="shared" si="21"/>
        <v>284.06</v>
      </c>
      <c r="V19" s="4202">
        <f t="shared" si="22"/>
        <v>284.06</v>
      </c>
      <c r="W19" s="4205">
        <f>SUM('Произв. прогр. Стоки'!V38)</f>
        <v>0</v>
      </c>
      <c r="X19" s="4206"/>
      <c r="Y19" s="4206"/>
      <c r="Z19" s="4206"/>
      <c r="AA19" s="4157">
        <f t="shared" si="31"/>
        <v>0</v>
      </c>
      <c r="AB19" s="4202">
        <f t="shared" si="25"/>
        <v>0</v>
      </c>
      <c r="AC19" s="4202">
        <f t="shared" si="26"/>
        <v>284.06</v>
      </c>
      <c r="AD19" s="4202">
        <f t="shared" si="27"/>
        <v>284.06</v>
      </c>
    </row>
    <row r="20" spans="1:30" ht="18.75" customHeight="1">
      <c r="A20" s="4143" t="s">
        <v>4</v>
      </c>
      <c r="B20" s="4205">
        <f>SUM('Произв. прогр. Стоки'!H39)</f>
        <v>2021.8185898558456</v>
      </c>
      <c r="C20" s="4206">
        <v>679.71</v>
      </c>
      <c r="D20" s="4206">
        <v>609.66</v>
      </c>
      <c r="E20" s="4206">
        <v>728.93</v>
      </c>
      <c r="F20" s="4157">
        <f t="shared" si="28"/>
        <v>2018.2999999999997</v>
      </c>
      <c r="G20" s="4205">
        <f>SUM('Произв. прогр. Стоки'!L39)</f>
        <v>2021.8185898558456</v>
      </c>
      <c r="H20" s="4206">
        <v>669.21</v>
      </c>
      <c r="I20" s="4206">
        <v>736.09</v>
      </c>
      <c r="J20" s="4206">
        <v>704.65</v>
      </c>
      <c r="K20" s="4157">
        <f t="shared" si="29"/>
        <v>2109.9500000000003</v>
      </c>
      <c r="L20" s="4202">
        <f t="shared" si="15"/>
        <v>4043.6371797116913</v>
      </c>
      <c r="M20" s="4202">
        <f t="shared" si="16"/>
        <v>4128.25</v>
      </c>
      <c r="N20" s="4202">
        <f t="shared" si="17"/>
        <v>84.61282028830874</v>
      </c>
      <c r="O20" s="4205">
        <f>SUM('Произв. прогр. Стоки'!Q39)</f>
        <v>2143.7342508241527</v>
      </c>
      <c r="P20" s="4206">
        <v>668.55</v>
      </c>
      <c r="Q20" s="4206">
        <v>739.52</v>
      </c>
      <c r="R20" s="4206">
        <v>629.41999999999996</v>
      </c>
      <c r="S20" s="4157">
        <f t="shared" si="30"/>
        <v>2037.4899999999998</v>
      </c>
      <c r="T20" s="4202">
        <f t="shared" si="20"/>
        <v>6187.3714305358444</v>
      </c>
      <c r="U20" s="4202">
        <f t="shared" si="21"/>
        <v>6165.74</v>
      </c>
      <c r="V20" s="4202">
        <f t="shared" si="22"/>
        <v>-21.631430535844629</v>
      </c>
      <c r="W20" s="4205">
        <f>SUM('Произв. прогр. Стоки'!V39)</f>
        <v>2143.7342508241527</v>
      </c>
      <c r="X20" s="4206"/>
      <c r="Y20" s="4206"/>
      <c r="Z20" s="4206"/>
      <c r="AA20" s="4157">
        <f t="shared" si="31"/>
        <v>0</v>
      </c>
      <c r="AB20" s="4202">
        <f t="shared" si="25"/>
        <v>8331.1056813599971</v>
      </c>
      <c r="AC20" s="4202">
        <f t="shared" si="26"/>
        <v>6165.74</v>
      </c>
      <c r="AD20" s="4202">
        <f t="shared" si="27"/>
        <v>-2165.3656813599973</v>
      </c>
    </row>
    <row r="21" spans="1:30" ht="18.75" customHeight="1">
      <c r="A21" s="4143" t="s">
        <v>121</v>
      </c>
      <c r="B21" s="4205">
        <f>SUM('Произв. прогр. Стоки'!H40)</f>
        <v>604.17565716045453</v>
      </c>
      <c r="C21" s="4206">
        <v>203.68</v>
      </c>
      <c r="D21" s="4206">
        <v>181.91</v>
      </c>
      <c r="E21" s="4206">
        <v>215.43</v>
      </c>
      <c r="F21" s="4157">
        <f t="shared" si="28"/>
        <v>601.02</v>
      </c>
      <c r="G21" s="4205">
        <f>SUM('Произв. прогр. Стоки'!L40)</f>
        <v>604.17565716045453</v>
      </c>
      <c r="H21" s="4206">
        <v>202.88</v>
      </c>
      <c r="I21" s="4206">
        <v>221.29</v>
      </c>
      <c r="J21" s="4206">
        <v>212.77</v>
      </c>
      <c r="K21" s="4157">
        <f t="shared" si="29"/>
        <v>636.93999999999994</v>
      </c>
      <c r="L21" s="4202">
        <f t="shared" si="15"/>
        <v>1208.3513143209091</v>
      </c>
      <c r="M21" s="4202">
        <f t="shared" si="16"/>
        <v>1237.96</v>
      </c>
      <c r="N21" s="4202">
        <f t="shared" si="17"/>
        <v>29.608685679090968</v>
      </c>
      <c r="O21" s="4205">
        <f>SUM('Произв. прогр. Стоки'!Q40)</f>
        <v>640.60744928722988</v>
      </c>
      <c r="P21" s="4206">
        <v>201.1</v>
      </c>
      <c r="Q21" s="4206">
        <v>223</v>
      </c>
      <c r="R21" s="4206">
        <v>190.1</v>
      </c>
      <c r="S21" s="4157">
        <f t="shared" si="30"/>
        <v>614.20000000000005</v>
      </c>
      <c r="T21" s="4202">
        <f t="shared" si="20"/>
        <v>1848.958763608139</v>
      </c>
      <c r="U21" s="4202">
        <f t="shared" si="21"/>
        <v>1852.16</v>
      </c>
      <c r="V21" s="4202">
        <f t="shared" si="22"/>
        <v>3.20123639186113</v>
      </c>
      <c r="W21" s="4205">
        <f>SUM('Произв. прогр. Стоки'!V40)</f>
        <v>640.60744928722988</v>
      </c>
      <c r="X21" s="4206"/>
      <c r="Y21" s="4206"/>
      <c r="Z21" s="4206"/>
      <c r="AA21" s="4157">
        <f t="shared" si="31"/>
        <v>0</v>
      </c>
      <c r="AB21" s="4202">
        <f t="shared" si="25"/>
        <v>2489.5662128953691</v>
      </c>
      <c r="AC21" s="4202">
        <f t="shared" si="26"/>
        <v>1852.16</v>
      </c>
      <c r="AD21" s="4202">
        <f t="shared" si="27"/>
        <v>-637.40621289536898</v>
      </c>
    </row>
    <row r="22" spans="1:30" ht="18.75" customHeight="1">
      <c r="A22" s="4145" t="s">
        <v>322</v>
      </c>
      <c r="B22" s="4160">
        <f>SUM('Произв. прогр. Стоки'!H41)</f>
        <v>0.29882782767544536</v>
      </c>
      <c r="C22" s="4160">
        <f>SUM(C21/C20)</f>
        <v>0.29965720674993745</v>
      </c>
      <c r="D22" s="4160">
        <f t="shared" ref="D22:F22" si="32">SUM(D21/D20)</f>
        <v>0.29837942459731653</v>
      </c>
      <c r="E22" s="4160">
        <f t="shared" si="32"/>
        <v>0.29554278188577782</v>
      </c>
      <c r="F22" s="4160">
        <f t="shared" si="32"/>
        <v>0.29778526482683448</v>
      </c>
      <c r="G22" s="4160">
        <f>SUM('Произв. прогр. Стоки'!L41)</f>
        <v>0.29882782767544536</v>
      </c>
      <c r="H22" s="4160">
        <f>SUM(H21/H20)</f>
        <v>0.30316343150879393</v>
      </c>
      <c r="I22" s="4160">
        <f t="shared" ref="I22:M22" si="33">SUM(I21/I20)</f>
        <v>0.30062899917129698</v>
      </c>
      <c r="J22" s="4160">
        <f t="shared" si="33"/>
        <v>0.30195132335201874</v>
      </c>
      <c r="K22" s="4160">
        <f t="shared" si="33"/>
        <v>0.3018744520012322</v>
      </c>
      <c r="L22" s="4161">
        <f t="shared" si="33"/>
        <v>0.29882782767544536</v>
      </c>
      <c r="M22" s="4161">
        <f t="shared" si="33"/>
        <v>0.29987524980318536</v>
      </c>
      <c r="N22" s="4207">
        <f t="shared" si="17"/>
        <v>1.0474221277400053E-3</v>
      </c>
      <c r="O22" s="4160">
        <f>SUM('Произв. прогр. Стоки'!Q41)</f>
        <v>0.29882782767544536</v>
      </c>
      <c r="P22" s="4160">
        <f>SUM(P21/P20)</f>
        <v>0.30080023932390998</v>
      </c>
      <c r="Q22" s="4160">
        <f t="shared" ref="Q22:S22" si="34">SUM(Q21/Q20)</f>
        <v>0.30154694937256599</v>
      </c>
      <c r="R22" s="4160">
        <f t="shared" si="34"/>
        <v>0.30202408566616884</v>
      </c>
      <c r="S22" s="4160">
        <f t="shared" si="34"/>
        <v>0.30144933226666148</v>
      </c>
      <c r="T22" s="4161">
        <f>SUM(T21/T20)</f>
        <v>0.2988278276754453</v>
      </c>
      <c r="U22" s="4161">
        <f>SUM(U21/U20)</f>
        <v>0.30039541076983461</v>
      </c>
      <c r="V22" s="4207">
        <f t="shared" si="22"/>
        <v>1.5675830943893132E-3</v>
      </c>
      <c r="W22" s="4160">
        <f>SUM('Произв. прогр. Стоки'!V41)</f>
        <v>0.29882782767544536</v>
      </c>
      <c r="X22" s="4160" t="e">
        <f>SUM(X21/X20)</f>
        <v>#DIV/0!</v>
      </c>
      <c r="Y22" s="4160" t="e">
        <f t="shared" ref="Y22:AC22" si="35">SUM(Y21/Y20)</f>
        <v>#DIV/0!</v>
      </c>
      <c r="Z22" s="4160" t="e">
        <f t="shared" si="35"/>
        <v>#DIV/0!</v>
      </c>
      <c r="AA22" s="4160" t="e">
        <f t="shared" si="35"/>
        <v>#DIV/0!</v>
      </c>
      <c r="AB22" s="4161">
        <f t="shared" si="35"/>
        <v>0.29882782767544536</v>
      </c>
      <c r="AC22" s="4161">
        <f t="shared" si="35"/>
        <v>0.30039541076983461</v>
      </c>
      <c r="AD22" s="4207">
        <f t="shared" si="27"/>
        <v>1.5675830943892577E-3</v>
      </c>
    </row>
    <row r="23" spans="1:30" ht="18.75" customHeight="1">
      <c r="A23" s="4171" t="s">
        <v>1742</v>
      </c>
      <c r="B23" s="4172">
        <f>SUM('Произв. прогр. Стоки'!H42)</f>
        <v>199.66871492512402</v>
      </c>
      <c r="C23" s="4172">
        <f>SUM(C24:C29)+C32</f>
        <v>60.330000000000005</v>
      </c>
      <c r="D23" s="4172">
        <f>SUM(D24:D29)+D32</f>
        <v>5.1000000000000005</v>
      </c>
      <c r="E23" s="4172">
        <f>SUM(E24:E29)+E32</f>
        <v>8.32</v>
      </c>
      <c r="F23" s="4172">
        <f>SUM(F24:F29)+F32</f>
        <v>73.750000000000014</v>
      </c>
      <c r="G23" s="4172">
        <f>SUM('Произв. прогр. Стоки'!L42)</f>
        <v>200.12216806970685</v>
      </c>
      <c r="H23" s="4172">
        <f>SUM(H24:H29)+H32</f>
        <v>3.17</v>
      </c>
      <c r="I23" s="4172">
        <f>SUM(I24:I29)+I32</f>
        <v>39.97</v>
      </c>
      <c r="J23" s="4172">
        <f>SUM(J24:J29)+J32</f>
        <v>3.35</v>
      </c>
      <c r="K23" s="4172">
        <f>SUM(K24:K29)+K32</f>
        <v>46.49</v>
      </c>
      <c r="L23" s="4192">
        <f t="shared" ref="L23:L41" si="36">SUM(G23+B23)</f>
        <v>399.79088299483089</v>
      </c>
      <c r="M23" s="4192">
        <f t="shared" ref="M23:M41" si="37">SUM(K23+F23)</f>
        <v>120.24000000000001</v>
      </c>
      <c r="N23" s="4192">
        <f t="shared" si="17"/>
        <v>-279.55088299483089</v>
      </c>
      <c r="O23" s="4172">
        <f>SUM('Произв. прогр. Стоки'!Q42)</f>
        <v>208.93249770753954</v>
      </c>
      <c r="P23" s="4172">
        <f>SUM(P24:P29)+P32</f>
        <v>2.34</v>
      </c>
      <c r="Q23" s="4172">
        <f>SUM(Q24:Q29)+Q32</f>
        <v>11.01</v>
      </c>
      <c r="R23" s="4172">
        <f>SUM(R24:R29)+R32</f>
        <v>94.35</v>
      </c>
      <c r="S23" s="4172">
        <f>SUM(S24:S29)+S32</f>
        <v>107.69999999999999</v>
      </c>
      <c r="T23" s="4192">
        <f t="shared" ref="T23:T41" si="38">SUM(L23+O23)</f>
        <v>608.72338070237038</v>
      </c>
      <c r="U23" s="4192">
        <f t="shared" ref="U23:U41" si="39">SUM(M23+S23)</f>
        <v>227.94</v>
      </c>
      <c r="V23" s="4192">
        <f t="shared" si="22"/>
        <v>-380.78338070237038</v>
      </c>
      <c r="W23" s="4172">
        <f>SUM('Произв. прогр. Стоки'!V42)</f>
        <v>208.16212566190768</v>
      </c>
      <c r="X23" s="4172">
        <f>SUM(X24:X29)+X32</f>
        <v>0</v>
      </c>
      <c r="Y23" s="4172">
        <f>SUM(Y24:Y29)+Y32</f>
        <v>0</v>
      </c>
      <c r="Z23" s="4172">
        <f>SUM(Z24:Z29)+Z32</f>
        <v>0</v>
      </c>
      <c r="AA23" s="4172">
        <f>SUM(AA24:AA29)+AA32</f>
        <v>0</v>
      </c>
      <c r="AB23" s="4192">
        <f t="shared" ref="AB23:AB41" si="40">SUM(W23+T23)</f>
        <v>816.88550636427806</v>
      </c>
      <c r="AC23" s="4192">
        <f t="shared" ref="AC23:AC41" si="41">SUM(AA23+U23)</f>
        <v>227.94</v>
      </c>
      <c r="AD23" s="4192">
        <f t="shared" si="27"/>
        <v>-588.94550636427812</v>
      </c>
    </row>
    <row r="24" spans="1:30" ht="18.75" customHeight="1">
      <c r="A24" s="4208" t="s">
        <v>72</v>
      </c>
      <c r="B24" s="4205">
        <f>SUM('Произв. прогр. Стоки'!H43)</f>
        <v>108.18192030844696</v>
      </c>
      <c r="C24" s="4206">
        <v>41.31</v>
      </c>
      <c r="D24" s="4206"/>
      <c r="E24" s="4206"/>
      <c r="F24" s="4157">
        <f t="shared" ref="F24:F41" si="42">SUM(C24:E24)</f>
        <v>41.31</v>
      </c>
      <c r="G24" s="4205">
        <f>SUM('Произв. прогр. Стоки'!L43)</f>
        <v>108.18192030844696</v>
      </c>
      <c r="H24" s="4206"/>
      <c r="I24" s="4206"/>
      <c r="J24" s="4206"/>
      <c r="K24" s="4157">
        <f t="shared" ref="K24:K28" si="43">SUM(H24:J24)</f>
        <v>0</v>
      </c>
      <c r="L24" s="4202">
        <f t="shared" si="36"/>
        <v>216.36384061689392</v>
      </c>
      <c r="M24" s="4202">
        <f t="shared" si="37"/>
        <v>41.31</v>
      </c>
      <c r="N24" s="4202">
        <f t="shared" si="17"/>
        <v>-175.05384061689392</v>
      </c>
      <c r="O24" s="4205">
        <f>SUM('Произв. прогр. Стоки'!Q43)</f>
        <v>114.70529010304628</v>
      </c>
      <c r="P24" s="4206"/>
      <c r="Q24" s="4206"/>
      <c r="R24" s="4206"/>
      <c r="S24" s="4157">
        <f t="shared" ref="S24:S27" si="44">SUM(P24:R24)</f>
        <v>0</v>
      </c>
      <c r="T24" s="4202">
        <f t="shared" si="38"/>
        <v>331.06913071994018</v>
      </c>
      <c r="U24" s="4202">
        <f t="shared" si="39"/>
        <v>41.31</v>
      </c>
      <c r="V24" s="4202">
        <f t="shared" si="22"/>
        <v>-289.75913071994017</v>
      </c>
      <c r="W24" s="4205">
        <f>SUM('Произв. прогр. Стоки'!V43)</f>
        <v>114.70529010304628</v>
      </c>
      <c r="X24" s="4206"/>
      <c r="Y24" s="4206"/>
      <c r="Z24" s="4206"/>
      <c r="AA24" s="4157">
        <f t="shared" ref="AA24:AA27" si="45">SUM(X24:Z24)</f>
        <v>0</v>
      </c>
      <c r="AB24" s="4202">
        <f t="shared" si="40"/>
        <v>445.77442082298649</v>
      </c>
      <c r="AC24" s="4202">
        <f t="shared" si="41"/>
        <v>41.31</v>
      </c>
      <c r="AD24" s="4202">
        <f t="shared" si="27"/>
        <v>-404.46442082298648</v>
      </c>
    </row>
    <row r="25" spans="1:30" ht="18.75" customHeight="1">
      <c r="A25" s="4208" t="s">
        <v>121</v>
      </c>
      <c r="B25" s="4205">
        <f>SUM('Произв. прогр. Стоки'!H44)</f>
        <v>32.67066239111611</v>
      </c>
      <c r="C25" s="4206">
        <v>12.48</v>
      </c>
      <c r="D25" s="4206"/>
      <c r="E25" s="4206"/>
      <c r="F25" s="4157">
        <f t="shared" si="42"/>
        <v>12.48</v>
      </c>
      <c r="G25" s="4205">
        <f>SUM('Произв. прогр. Стоки'!L44)</f>
        <v>32.67066239111611</v>
      </c>
      <c r="H25" s="4206"/>
      <c r="I25" s="4206"/>
      <c r="J25" s="4206"/>
      <c r="K25" s="4157">
        <f t="shared" si="43"/>
        <v>0</v>
      </c>
      <c r="L25" s="4202">
        <f t="shared" si="36"/>
        <v>65.341324782232221</v>
      </c>
      <c r="M25" s="4202">
        <f t="shared" si="37"/>
        <v>12.48</v>
      </c>
      <c r="N25" s="4202">
        <f t="shared" si="17"/>
        <v>-52.861324782232217</v>
      </c>
      <c r="O25" s="4205">
        <f>SUM('Произв. прогр. Стоки'!Q44)</f>
        <v>34.640703333300408</v>
      </c>
      <c r="P25" s="4206"/>
      <c r="Q25" s="4206"/>
      <c r="R25" s="4206"/>
      <c r="S25" s="4157">
        <f t="shared" si="44"/>
        <v>0</v>
      </c>
      <c r="T25" s="4202">
        <f t="shared" si="38"/>
        <v>99.982028115532628</v>
      </c>
      <c r="U25" s="4202">
        <f t="shared" si="39"/>
        <v>12.48</v>
      </c>
      <c r="V25" s="4202">
        <f t="shared" si="22"/>
        <v>-87.502028115532624</v>
      </c>
      <c r="W25" s="4205">
        <f>SUM('Произв. прогр. Стоки'!V44)</f>
        <v>34.640703333300408</v>
      </c>
      <c r="X25" s="4206"/>
      <c r="Y25" s="4206"/>
      <c r="Z25" s="4206"/>
      <c r="AA25" s="4157">
        <f t="shared" si="45"/>
        <v>0</v>
      </c>
      <c r="AB25" s="4202">
        <f t="shared" si="40"/>
        <v>134.62273144883304</v>
      </c>
      <c r="AC25" s="4202">
        <f t="shared" si="41"/>
        <v>12.48</v>
      </c>
      <c r="AD25" s="4202">
        <f t="shared" si="27"/>
        <v>-122.14273144883303</v>
      </c>
    </row>
    <row r="26" spans="1:30" ht="18.75" customHeight="1">
      <c r="A26" s="4208" t="s">
        <v>52</v>
      </c>
      <c r="B26" s="4205">
        <f>SUM('Произв. прогр. Стоки'!H45)</f>
        <v>3.7985176045938935</v>
      </c>
      <c r="C26" s="4206">
        <v>1.26</v>
      </c>
      <c r="D26" s="4206">
        <v>1.3</v>
      </c>
      <c r="E26" s="4206">
        <v>1.57</v>
      </c>
      <c r="F26" s="4157">
        <f t="shared" si="42"/>
        <v>4.13</v>
      </c>
      <c r="G26" s="4205">
        <f>SUM('Произв. прогр. Стоки'!L45)</f>
        <v>3.7985176045938935</v>
      </c>
      <c r="H26" s="4206">
        <v>1.46</v>
      </c>
      <c r="I26" s="4206">
        <v>1.41</v>
      </c>
      <c r="J26" s="4206">
        <v>1.26</v>
      </c>
      <c r="K26" s="4157">
        <f t="shared" si="43"/>
        <v>4.13</v>
      </c>
      <c r="L26" s="4202">
        <f t="shared" si="36"/>
        <v>7.5970352091877871</v>
      </c>
      <c r="M26" s="4202">
        <f t="shared" si="37"/>
        <v>8.26</v>
      </c>
      <c r="N26" s="4202">
        <f t="shared" si="17"/>
        <v>0.66296479081221271</v>
      </c>
      <c r="O26" s="4205">
        <f>SUM('Произв. прогр. Стоки'!Q45)</f>
        <v>3.7985176045938935</v>
      </c>
      <c r="P26" s="4206">
        <v>1.27</v>
      </c>
      <c r="Q26" s="4206">
        <v>1.29</v>
      </c>
      <c r="R26" s="4206">
        <v>1.29</v>
      </c>
      <c r="S26" s="4157">
        <f t="shared" si="44"/>
        <v>3.85</v>
      </c>
      <c r="T26" s="4202">
        <f t="shared" si="38"/>
        <v>11.395552813781681</v>
      </c>
      <c r="U26" s="4202">
        <f t="shared" si="39"/>
        <v>12.11</v>
      </c>
      <c r="V26" s="4202">
        <f t="shared" si="22"/>
        <v>0.71444718621831882</v>
      </c>
      <c r="W26" s="4205">
        <f>SUM('Произв. прогр. Стоки'!V45)</f>
        <v>3.7985176045938935</v>
      </c>
      <c r="X26" s="4206"/>
      <c r="Y26" s="4206"/>
      <c r="Z26" s="4206"/>
      <c r="AA26" s="4157">
        <f t="shared" si="45"/>
        <v>0</v>
      </c>
      <c r="AB26" s="4202">
        <f t="shared" si="40"/>
        <v>15.194070418375574</v>
      </c>
      <c r="AC26" s="4202">
        <f t="shared" si="41"/>
        <v>12.11</v>
      </c>
      <c r="AD26" s="4202">
        <f t="shared" si="27"/>
        <v>-3.0840704183755747</v>
      </c>
    </row>
    <row r="27" spans="1:30" ht="18.75" customHeight="1">
      <c r="A27" s="4208" t="s">
        <v>606</v>
      </c>
      <c r="B27" s="4205">
        <f>SUM('Произв. прогр. Стоки'!H46)</f>
        <v>3.6759847786392514</v>
      </c>
      <c r="C27" s="4206">
        <v>4.4000000000000004</v>
      </c>
      <c r="D27" s="4206">
        <v>3.56</v>
      </c>
      <c r="E27" s="4206">
        <v>5.17</v>
      </c>
      <c r="F27" s="4157">
        <f t="shared" si="42"/>
        <v>13.13</v>
      </c>
      <c r="G27" s="4205">
        <f>SUM('Произв. прогр. Стоки'!L46)</f>
        <v>3.6759847786392514</v>
      </c>
      <c r="H27" s="4206">
        <v>0.93</v>
      </c>
      <c r="I27" s="4206">
        <v>38.56</v>
      </c>
      <c r="J27" s="4206">
        <v>1.73</v>
      </c>
      <c r="K27" s="4157">
        <f t="shared" si="43"/>
        <v>41.22</v>
      </c>
      <c r="L27" s="4202">
        <f t="shared" si="36"/>
        <v>7.3519695572785029</v>
      </c>
      <c r="M27" s="4202">
        <f t="shared" si="37"/>
        <v>54.35</v>
      </c>
      <c r="N27" s="4202">
        <f t="shared" si="17"/>
        <v>46.9980304427215</v>
      </c>
      <c r="O27" s="4205">
        <f>SUM('Произв. прогр. Стоки'!Q46)</f>
        <v>3.6759847786392514</v>
      </c>
      <c r="P27" s="4206">
        <v>1.07</v>
      </c>
      <c r="Q27" s="4206">
        <v>3.49</v>
      </c>
      <c r="R27" s="4206">
        <v>0.83</v>
      </c>
      <c r="S27" s="4157">
        <f t="shared" si="44"/>
        <v>5.3900000000000006</v>
      </c>
      <c r="T27" s="4202">
        <f t="shared" si="38"/>
        <v>11.027954335917755</v>
      </c>
      <c r="U27" s="4202">
        <f t="shared" si="39"/>
        <v>59.74</v>
      </c>
      <c r="V27" s="4202">
        <f t="shared" si="22"/>
        <v>48.712045664082247</v>
      </c>
      <c r="W27" s="4205">
        <f>SUM('Произв. прогр. Стоки'!V46)</f>
        <v>3.6759847786392514</v>
      </c>
      <c r="X27" s="4206"/>
      <c r="Y27" s="4206"/>
      <c r="Z27" s="4206"/>
      <c r="AA27" s="4157">
        <f t="shared" si="45"/>
        <v>0</v>
      </c>
      <c r="AB27" s="4202">
        <f t="shared" si="40"/>
        <v>14.703939114557006</v>
      </c>
      <c r="AC27" s="4202">
        <f t="shared" si="41"/>
        <v>59.74</v>
      </c>
      <c r="AD27" s="4202">
        <f t="shared" si="27"/>
        <v>45.036060885442993</v>
      </c>
    </row>
    <row r="28" spans="1:30" ht="18.75" customHeight="1">
      <c r="A28" s="4208" t="s">
        <v>1595</v>
      </c>
      <c r="B28" s="4205">
        <f>SUM('Произв. прогр. Стоки'!H47)</f>
        <v>46.766695239354917</v>
      </c>
      <c r="C28" s="4206"/>
      <c r="D28" s="4206"/>
      <c r="E28" s="4206"/>
      <c r="F28" s="4157">
        <f t="shared" ref="F28" si="46">SUM(C28:E28)</f>
        <v>0</v>
      </c>
      <c r="G28" s="4205">
        <f>SUM('Произв. прогр. Стоки'!L47)</f>
        <v>46.766695239354917</v>
      </c>
      <c r="H28" s="4206"/>
      <c r="I28" s="4206"/>
      <c r="J28" s="4206"/>
      <c r="K28" s="4157">
        <f t="shared" si="43"/>
        <v>0</v>
      </c>
      <c r="L28" s="4202">
        <f t="shared" ref="L28" si="47">SUM(G28+B28)</f>
        <v>93.533390478709833</v>
      </c>
      <c r="M28" s="4202">
        <f t="shared" si="37"/>
        <v>0</v>
      </c>
      <c r="N28" s="4202">
        <f t="shared" si="17"/>
        <v>-93.533390478709833</v>
      </c>
      <c r="O28" s="4205">
        <f>SUM('Произв. прогр. Стоки'!Q47)</f>
        <v>46.766695239354917</v>
      </c>
      <c r="P28" s="4206"/>
      <c r="Q28" s="4206"/>
      <c r="R28" s="4206"/>
      <c r="S28" s="4157">
        <f t="shared" ref="S28" si="48">SUM(P28:R28)</f>
        <v>0</v>
      </c>
      <c r="T28" s="4202">
        <f t="shared" ref="T28" si="49">SUM(L28+O28)</f>
        <v>140.30008571806474</v>
      </c>
      <c r="U28" s="4202">
        <f t="shared" si="39"/>
        <v>0</v>
      </c>
      <c r="V28" s="4202">
        <f t="shared" si="22"/>
        <v>-140.30008571806474</v>
      </c>
      <c r="W28" s="4205">
        <f>SUM('Произв. прогр. Стоки'!V47)</f>
        <v>46.766695239354917</v>
      </c>
      <c r="X28" s="4206"/>
      <c r="Y28" s="4206"/>
      <c r="Z28" s="4206"/>
      <c r="AA28" s="4157">
        <f t="shared" ref="AA28" si="50">SUM(X28:Z28)</f>
        <v>0</v>
      </c>
      <c r="AB28" s="4202">
        <f t="shared" ref="AB28" si="51">SUM(W28+T28)</f>
        <v>187.06678095741967</v>
      </c>
      <c r="AC28" s="4202">
        <f t="shared" si="41"/>
        <v>0</v>
      </c>
      <c r="AD28" s="4202">
        <f t="shared" si="27"/>
        <v>-187.06678095741967</v>
      </c>
    </row>
    <row r="29" spans="1:30" ht="18.75" customHeight="1">
      <c r="A29" s="4208" t="s">
        <v>607</v>
      </c>
      <c r="B29" s="4205">
        <f>SUM('Произв. прогр. Стоки'!H48)</f>
        <v>2.3893901061155134</v>
      </c>
      <c r="C29" s="4205">
        <f>SUM(C30:C31)</f>
        <v>0.87999999999999989</v>
      </c>
      <c r="D29" s="4205">
        <f t="shared" ref="D29:F29" si="52">SUM(D30:D31)</f>
        <v>0.24</v>
      </c>
      <c r="E29" s="4205">
        <f t="shared" si="52"/>
        <v>1.58</v>
      </c>
      <c r="F29" s="4205">
        <f t="shared" si="52"/>
        <v>2.7</v>
      </c>
      <c r="G29" s="4205">
        <f>SUM('Произв. прогр. Стоки'!L48)</f>
        <v>2.3893901061155134</v>
      </c>
      <c r="H29" s="4205">
        <f>SUM(H30:H31)</f>
        <v>0.78</v>
      </c>
      <c r="I29" s="4205">
        <f t="shared" ref="I29:K29" si="53">SUM(I30:I31)</f>
        <v>0</v>
      </c>
      <c r="J29" s="4205">
        <f t="shared" si="53"/>
        <v>0.36</v>
      </c>
      <c r="K29" s="4205">
        <f t="shared" si="53"/>
        <v>1.1400000000000001</v>
      </c>
      <c r="L29" s="4202">
        <f t="shared" si="36"/>
        <v>4.7787802122310268</v>
      </c>
      <c r="M29" s="4202">
        <f t="shared" si="37"/>
        <v>3.8400000000000003</v>
      </c>
      <c r="N29" s="4202">
        <f t="shared" si="17"/>
        <v>-0.93878021223102648</v>
      </c>
      <c r="O29" s="4205">
        <f>SUM('Произв. прогр. Стоки'!Q48)</f>
        <v>2.3893901061155134</v>
      </c>
      <c r="P29" s="4205">
        <f>SUM(P30:P31)</f>
        <v>0</v>
      </c>
      <c r="Q29" s="4205">
        <f t="shared" ref="Q29:S29" si="54">SUM(Q30:Q31)</f>
        <v>0.05</v>
      </c>
      <c r="R29" s="4205">
        <f t="shared" si="54"/>
        <v>0.34</v>
      </c>
      <c r="S29" s="4205">
        <f t="shared" si="54"/>
        <v>0.39</v>
      </c>
      <c r="T29" s="4202">
        <f t="shared" si="38"/>
        <v>7.1681703183465402</v>
      </c>
      <c r="U29" s="4202">
        <f t="shared" si="39"/>
        <v>4.2300000000000004</v>
      </c>
      <c r="V29" s="4202">
        <f t="shared" si="22"/>
        <v>-2.9381703183465397</v>
      </c>
      <c r="W29" s="4205">
        <f>SUM('Произв. прогр. Стоки'!V48)</f>
        <v>2.3893901061155134</v>
      </c>
      <c r="X29" s="4205">
        <f>SUM(X30:X31)</f>
        <v>0</v>
      </c>
      <c r="Y29" s="4205">
        <f t="shared" ref="Y29:AA29" si="55">SUM(Y30:Y31)</f>
        <v>0</v>
      </c>
      <c r="Z29" s="4205">
        <f t="shared" si="55"/>
        <v>0</v>
      </c>
      <c r="AA29" s="4205">
        <f t="shared" si="55"/>
        <v>0</v>
      </c>
      <c r="AB29" s="4202">
        <f t="shared" si="40"/>
        <v>9.5575604244620536</v>
      </c>
      <c r="AC29" s="4202">
        <f t="shared" si="41"/>
        <v>4.2300000000000004</v>
      </c>
      <c r="AD29" s="4202">
        <f t="shared" si="27"/>
        <v>-5.3275604244620531</v>
      </c>
    </row>
    <row r="30" spans="1:30" ht="18.75" customHeight="1">
      <c r="A30" s="4125" t="s">
        <v>565</v>
      </c>
      <c r="B30" s="4165">
        <f>SUM('Произв. прогр. Стоки'!H49)</f>
        <v>1.6337710127285561</v>
      </c>
      <c r="C30" s="4209">
        <v>0.59</v>
      </c>
      <c r="D30" s="4209">
        <v>0.24</v>
      </c>
      <c r="E30" s="4209">
        <v>1.58</v>
      </c>
      <c r="F30" s="4164">
        <f t="shared" si="42"/>
        <v>2.41</v>
      </c>
      <c r="G30" s="4165">
        <f>SUM('Произв. прогр. Стоки'!L49)</f>
        <v>1.6337710127285561</v>
      </c>
      <c r="H30" s="4209">
        <v>0.78</v>
      </c>
      <c r="I30" s="4209"/>
      <c r="J30" s="4209">
        <v>0.36</v>
      </c>
      <c r="K30" s="4164">
        <f t="shared" ref="K30:K31" si="56">SUM(H30:J30)</f>
        <v>1.1400000000000001</v>
      </c>
      <c r="L30" s="4210">
        <f t="shared" si="36"/>
        <v>3.2675420254571121</v>
      </c>
      <c r="M30" s="4210">
        <f t="shared" si="37"/>
        <v>3.5500000000000003</v>
      </c>
      <c r="N30" s="4210">
        <f t="shared" si="17"/>
        <v>0.28245797454288812</v>
      </c>
      <c r="O30" s="4165">
        <f>SUM('Произв. прогр. Стоки'!Q49)</f>
        <v>1.6337710127285561</v>
      </c>
      <c r="P30" s="4209"/>
      <c r="Q30" s="4209">
        <v>0.05</v>
      </c>
      <c r="R30" s="4209">
        <v>0.34</v>
      </c>
      <c r="S30" s="4164">
        <f t="shared" ref="S30:S31" si="57">SUM(P30:R30)</f>
        <v>0.39</v>
      </c>
      <c r="T30" s="4210">
        <f t="shared" si="38"/>
        <v>4.901313038185668</v>
      </c>
      <c r="U30" s="4210">
        <f t="shared" si="39"/>
        <v>3.9400000000000004</v>
      </c>
      <c r="V30" s="4210">
        <f t="shared" si="22"/>
        <v>-0.9613130381856676</v>
      </c>
      <c r="W30" s="4165">
        <f>SUM('Произв. прогр. Стоки'!V49)</f>
        <v>1.6337710127285561</v>
      </c>
      <c r="X30" s="4209"/>
      <c r="Y30" s="4209"/>
      <c r="Z30" s="4209"/>
      <c r="AA30" s="4164">
        <f t="shared" ref="AA30:AA31" si="58">SUM(X30:Z30)</f>
        <v>0</v>
      </c>
      <c r="AB30" s="4210">
        <f t="shared" si="40"/>
        <v>6.5350840509142243</v>
      </c>
      <c r="AC30" s="4210">
        <f t="shared" si="41"/>
        <v>3.9400000000000004</v>
      </c>
      <c r="AD30" s="4210">
        <f t="shared" si="27"/>
        <v>-2.5950840509142239</v>
      </c>
    </row>
    <row r="31" spans="1:30" ht="18.75" customHeight="1">
      <c r="A31" s="4125" t="s">
        <v>566</v>
      </c>
      <c r="B31" s="4165">
        <f>SUM('Произв. прогр. Стоки'!H50)</f>
        <v>0.75561909338695721</v>
      </c>
      <c r="C31" s="4209">
        <v>0.28999999999999998</v>
      </c>
      <c r="D31" s="4209"/>
      <c r="E31" s="4209"/>
      <c r="F31" s="4164">
        <f t="shared" si="42"/>
        <v>0.28999999999999998</v>
      </c>
      <c r="G31" s="4165">
        <f>SUM('Произв. прогр. Стоки'!L50)</f>
        <v>0.75561909338695721</v>
      </c>
      <c r="H31" s="4209"/>
      <c r="I31" s="4209"/>
      <c r="J31" s="4209"/>
      <c r="K31" s="4164">
        <f t="shared" si="56"/>
        <v>0</v>
      </c>
      <c r="L31" s="4210">
        <f t="shared" si="36"/>
        <v>1.5112381867739144</v>
      </c>
      <c r="M31" s="4210">
        <f t="shared" si="37"/>
        <v>0.28999999999999998</v>
      </c>
      <c r="N31" s="4210">
        <f t="shared" si="17"/>
        <v>-1.2212381867739144</v>
      </c>
      <c r="O31" s="4165">
        <f>SUM('Произв. прогр. Стоки'!Q50)</f>
        <v>0.75561909338695721</v>
      </c>
      <c r="P31" s="4209"/>
      <c r="Q31" s="4209"/>
      <c r="R31" s="4209"/>
      <c r="S31" s="4164">
        <f t="shared" si="57"/>
        <v>0</v>
      </c>
      <c r="T31" s="4210">
        <f t="shared" si="38"/>
        <v>2.2668572801608717</v>
      </c>
      <c r="U31" s="4210">
        <f t="shared" si="39"/>
        <v>0.28999999999999998</v>
      </c>
      <c r="V31" s="4210">
        <f t="shared" si="22"/>
        <v>-1.9768572801608717</v>
      </c>
      <c r="W31" s="4165">
        <f>SUM('Произв. прогр. Стоки'!V50)</f>
        <v>0.75561909338695721</v>
      </c>
      <c r="X31" s="4209"/>
      <c r="Y31" s="4209"/>
      <c r="Z31" s="4209"/>
      <c r="AA31" s="4164">
        <f t="shared" si="58"/>
        <v>0</v>
      </c>
      <c r="AB31" s="4210">
        <f t="shared" si="40"/>
        <v>3.0224763735478288</v>
      </c>
      <c r="AC31" s="4210">
        <f t="shared" si="41"/>
        <v>0.28999999999999998</v>
      </c>
      <c r="AD31" s="4210">
        <f t="shared" si="27"/>
        <v>-2.7324763735478288</v>
      </c>
    </row>
    <row r="32" spans="1:30" ht="18.75" customHeight="1">
      <c r="A32" s="4208" t="s">
        <v>610</v>
      </c>
      <c r="B32" s="4205">
        <f>SUM('Произв. прогр. Стоки'!H51)</f>
        <v>2.1855444968573714</v>
      </c>
      <c r="C32" s="4205">
        <f>SUM(C33)</f>
        <v>0</v>
      </c>
      <c r="D32" s="4205">
        <f t="shared" ref="D32:F32" si="59">SUM(D33)</f>
        <v>0</v>
      </c>
      <c r="E32" s="4205">
        <f t="shared" si="59"/>
        <v>0</v>
      </c>
      <c r="F32" s="4205">
        <f t="shared" si="59"/>
        <v>0</v>
      </c>
      <c r="G32" s="4205">
        <f>SUM('Произв. прогр. Стоки'!L51)</f>
        <v>2.6389976414401821</v>
      </c>
      <c r="H32" s="4205">
        <f>SUM(H33)</f>
        <v>0</v>
      </c>
      <c r="I32" s="4205">
        <f t="shared" ref="I32:K32" si="60">SUM(I33)</f>
        <v>0</v>
      </c>
      <c r="J32" s="4205">
        <f t="shared" si="60"/>
        <v>0</v>
      </c>
      <c r="K32" s="4205">
        <f t="shared" si="60"/>
        <v>0</v>
      </c>
      <c r="L32" s="4202">
        <f t="shared" si="36"/>
        <v>4.824542138297554</v>
      </c>
      <c r="M32" s="4202">
        <f t="shared" si="37"/>
        <v>0</v>
      </c>
      <c r="N32" s="4202">
        <f t="shared" si="17"/>
        <v>-4.824542138297554</v>
      </c>
      <c r="O32" s="4205">
        <f>SUM('Произв. прогр. Стоки'!Q51)</f>
        <v>2.9559165424892671</v>
      </c>
      <c r="P32" s="4205">
        <f>SUM(P33)</f>
        <v>0</v>
      </c>
      <c r="Q32" s="4205">
        <f t="shared" ref="Q32:S32" si="61">SUM(Q33)</f>
        <v>6.18</v>
      </c>
      <c r="R32" s="4205">
        <f t="shared" si="61"/>
        <v>91.89</v>
      </c>
      <c r="S32" s="4205">
        <f t="shared" si="61"/>
        <v>98.07</v>
      </c>
      <c r="T32" s="4202">
        <f t="shared" si="38"/>
        <v>7.780458680786821</v>
      </c>
      <c r="U32" s="4202">
        <f t="shared" si="39"/>
        <v>98.07</v>
      </c>
      <c r="V32" s="4202">
        <f t="shared" si="22"/>
        <v>90.289541319213171</v>
      </c>
      <c r="W32" s="4205">
        <f>SUM('Произв. прогр. Стоки'!V51)</f>
        <v>2.1855444968573714</v>
      </c>
      <c r="X32" s="4205">
        <f>SUM(X33)</f>
        <v>0</v>
      </c>
      <c r="Y32" s="4205">
        <f t="shared" ref="Y32:AA32" si="62">SUM(Y33)</f>
        <v>0</v>
      </c>
      <c r="Z32" s="4205">
        <f t="shared" si="62"/>
        <v>0</v>
      </c>
      <c r="AA32" s="4205">
        <f t="shared" si="62"/>
        <v>0</v>
      </c>
      <c r="AB32" s="4202">
        <f t="shared" si="40"/>
        <v>9.9660031776441933</v>
      </c>
      <c r="AC32" s="4202">
        <f t="shared" si="41"/>
        <v>98.07</v>
      </c>
      <c r="AD32" s="4202">
        <f t="shared" si="27"/>
        <v>88.103996822355796</v>
      </c>
    </row>
    <row r="33" spans="1:30" ht="18.75" customHeight="1">
      <c r="A33" s="4125" t="s">
        <v>552</v>
      </c>
      <c r="B33" s="4165">
        <f>SUM('Произв. прогр. Стоки'!H52)</f>
        <v>2.1855444968573714</v>
      </c>
      <c r="C33" s="4209"/>
      <c r="D33" s="4209"/>
      <c r="E33" s="4209"/>
      <c r="F33" s="4164">
        <f t="shared" si="42"/>
        <v>0</v>
      </c>
      <c r="G33" s="4165">
        <f>SUM('Произв. прогр. Стоки'!L52)</f>
        <v>2.6389976414401821</v>
      </c>
      <c r="H33" s="4209"/>
      <c r="I33" s="4209"/>
      <c r="J33" s="4209"/>
      <c r="K33" s="4164">
        <f t="shared" ref="K33" si="63">SUM(H33:J33)</f>
        <v>0</v>
      </c>
      <c r="L33" s="4210">
        <f t="shared" si="36"/>
        <v>4.824542138297554</v>
      </c>
      <c r="M33" s="4210">
        <f t="shared" si="37"/>
        <v>0</v>
      </c>
      <c r="N33" s="4210">
        <f t="shared" si="17"/>
        <v>-4.824542138297554</v>
      </c>
      <c r="O33" s="4165">
        <f>SUM('Произв. прогр. Стоки'!Q52)</f>
        <v>2.9559165424892671</v>
      </c>
      <c r="P33" s="4209"/>
      <c r="Q33" s="4209">
        <f>3.79+2.42-0.03</f>
        <v>6.18</v>
      </c>
      <c r="R33" s="4209">
        <v>91.89</v>
      </c>
      <c r="S33" s="4164">
        <f t="shared" ref="S33" si="64">SUM(P33:R33)</f>
        <v>98.07</v>
      </c>
      <c r="T33" s="4210">
        <f t="shared" si="38"/>
        <v>7.780458680786821</v>
      </c>
      <c r="U33" s="4210">
        <f t="shared" si="39"/>
        <v>98.07</v>
      </c>
      <c r="V33" s="4210">
        <f t="shared" si="22"/>
        <v>90.289541319213171</v>
      </c>
      <c r="W33" s="4165">
        <f>SUM('Произв. прогр. Стоки'!V52)</f>
        <v>2.1855444968573714</v>
      </c>
      <c r="X33" s="4209"/>
      <c r="Y33" s="4209"/>
      <c r="Z33" s="4209"/>
      <c r="AA33" s="4164">
        <f t="shared" ref="AA33" si="65">SUM(X33:Z33)</f>
        <v>0</v>
      </c>
      <c r="AB33" s="4210">
        <f t="shared" si="40"/>
        <v>9.9660031776441933</v>
      </c>
      <c r="AC33" s="4210">
        <f t="shared" si="41"/>
        <v>98.07</v>
      </c>
      <c r="AD33" s="4210">
        <f t="shared" si="27"/>
        <v>88.103996822355796</v>
      </c>
    </row>
    <row r="34" spans="1:30" ht="18.75" customHeight="1">
      <c r="A34" s="4139" t="s">
        <v>7</v>
      </c>
      <c r="B34" s="4172">
        <f>SUM('Произв. прогр. Стоки'!H53)</f>
        <v>9413.865579375095</v>
      </c>
      <c r="C34" s="4172">
        <f>SUM(C35:C41)+C43</f>
        <v>3261.22</v>
      </c>
      <c r="D34" s="4172">
        <f t="shared" ref="D34:F34" si="66">SUM(D35:D41)+D43</f>
        <v>2918.7299999999996</v>
      </c>
      <c r="E34" s="4172">
        <f t="shared" si="66"/>
        <v>3511.58</v>
      </c>
      <c r="F34" s="4172">
        <f t="shared" si="66"/>
        <v>9691.5300000000007</v>
      </c>
      <c r="G34" s="4172">
        <f>SUM('Произв. прогр. Стоки'!L53)</f>
        <v>9246.9103295208351</v>
      </c>
      <c r="H34" s="4172">
        <f>SUM(H35:H41)+H43</f>
        <v>3888.0299999999993</v>
      </c>
      <c r="I34" s="4172">
        <f t="shared" ref="I34" si="67">SUM(I35:I41)+I43</f>
        <v>3298.83</v>
      </c>
      <c r="J34" s="4172">
        <f>SUM(J35:J41)+J43</f>
        <v>3534.8900000000003</v>
      </c>
      <c r="K34" s="4172">
        <f t="shared" ref="K34" si="68">SUM(K35:K41)+K43</f>
        <v>10721.75</v>
      </c>
      <c r="L34" s="4192">
        <f t="shared" si="36"/>
        <v>18660.775908895928</v>
      </c>
      <c r="M34" s="4192">
        <f t="shared" si="37"/>
        <v>20413.28</v>
      </c>
      <c r="N34" s="4192">
        <f t="shared" si="17"/>
        <v>1752.5040911040705</v>
      </c>
      <c r="O34" s="4172">
        <f>SUM('Произв. прогр. Стоки'!Q53)</f>
        <v>9705.9425871208168</v>
      </c>
      <c r="P34" s="4172">
        <f>SUM(P35:P41)+P43</f>
        <v>3104.11</v>
      </c>
      <c r="Q34" s="4172">
        <f t="shared" ref="Q34" si="69">SUM(Q35:Q41)+Q43</f>
        <v>3629.6799999999994</v>
      </c>
      <c r="R34" s="4172">
        <f t="shared" ref="R34" si="70">SUM(R35:R41)+R43</f>
        <v>3404.68</v>
      </c>
      <c r="S34" s="4172">
        <f t="shared" ref="S34" si="71">SUM(S35:S41)+S43</f>
        <v>10138.469999999999</v>
      </c>
      <c r="T34" s="4192">
        <f t="shared" si="38"/>
        <v>28366.718496016743</v>
      </c>
      <c r="U34" s="4192">
        <f t="shared" si="39"/>
        <v>30551.75</v>
      </c>
      <c r="V34" s="4192">
        <f t="shared" si="22"/>
        <v>2185.0315039832567</v>
      </c>
      <c r="W34" s="4172">
        <f>SUM('Произв. прогр. Стоки'!V53)</f>
        <v>9919.3233558494376</v>
      </c>
      <c r="X34" s="4172">
        <f>SUM(X35:X41)+X43</f>
        <v>0</v>
      </c>
      <c r="Y34" s="4172">
        <f t="shared" ref="Y34" si="72">SUM(Y35:Y41)+Y43</f>
        <v>0</v>
      </c>
      <c r="Z34" s="4172">
        <f t="shared" ref="Z34" si="73">SUM(Z35:Z41)+Z43</f>
        <v>0</v>
      </c>
      <c r="AA34" s="4172">
        <f t="shared" ref="AA34" si="74">SUM(AA35:AA41)+AA43</f>
        <v>0</v>
      </c>
      <c r="AB34" s="4192">
        <f t="shared" si="40"/>
        <v>38286.041851866183</v>
      </c>
      <c r="AC34" s="4192">
        <f t="shared" si="41"/>
        <v>30551.75</v>
      </c>
      <c r="AD34" s="4192">
        <f t="shared" si="27"/>
        <v>-7734.2918518661827</v>
      </c>
    </row>
    <row r="35" spans="1:30" ht="18.75" customHeight="1">
      <c r="A35" s="4143" t="s">
        <v>1</v>
      </c>
      <c r="B35" s="4205">
        <f>SUM('Произв. прогр. Стоки'!H54)</f>
        <v>1474.2708401753666</v>
      </c>
      <c r="C35" s="4206">
        <v>855.98</v>
      </c>
      <c r="D35" s="4206">
        <v>743.32</v>
      </c>
      <c r="E35" s="4206">
        <v>857.78</v>
      </c>
      <c r="F35" s="4157">
        <f t="shared" si="42"/>
        <v>2457.08</v>
      </c>
      <c r="G35" s="4205">
        <f>SUM('Произв. прогр. Стоки'!L54)</f>
        <v>1423.4430559313735</v>
      </c>
      <c r="H35" s="4206">
        <v>857.14</v>
      </c>
      <c r="I35" s="4206">
        <v>843.68</v>
      </c>
      <c r="J35" s="4206">
        <v>736.1</v>
      </c>
      <c r="K35" s="4157">
        <f t="shared" ref="K35:K41" si="75">SUM(H35:J35)</f>
        <v>2436.92</v>
      </c>
      <c r="L35" s="4202">
        <f t="shared" si="36"/>
        <v>2897.7138961067403</v>
      </c>
      <c r="M35" s="4202">
        <f t="shared" si="37"/>
        <v>4894</v>
      </c>
      <c r="N35" s="4202">
        <f t="shared" si="17"/>
        <v>1996.2861038932597</v>
      </c>
      <c r="O35" s="4205">
        <f>SUM('Произв. прогр. Стоки'!Q54)</f>
        <v>1489.8898247356442</v>
      </c>
      <c r="P35" s="4206">
        <v>842.97</v>
      </c>
      <c r="Q35" s="4206">
        <v>814.92</v>
      </c>
      <c r="R35" s="4206">
        <v>854.06</v>
      </c>
      <c r="S35" s="4157">
        <f t="shared" ref="S35:S41" si="76">SUM(P35:R35)</f>
        <v>2511.9499999999998</v>
      </c>
      <c r="T35" s="4202">
        <f t="shared" si="38"/>
        <v>4387.6037208423841</v>
      </c>
      <c r="U35" s="4202">
        <f t="shared" si="39"/>
        <v>7405.95</v>
      </c>
      <c r="V35" s="4202">
        <f t="shared" si="22"/>
        <v>3018.3462791576158</v>
      </c>
      <c r="W35" s="4205">
        <f>SUM('Произв. прогр. Стоки'!V54)</f>
        <v>1582.3062765680281</v>
      </c>
      <c r="X35" s="4206"/>
      <c r="Y35" s="4206"/>
      <c r="Z35" s="4206"/>
      <c r="AA35" s="4157">
        <f t="shared" ref="AA35:AA41" si="77">SUM(X35:Z35)</f>
        <v>0</v>
      </c>
      <c r="AB35" s="4202">
        <f t="shared" si="40"/>
        <v>5969.909997410412</v>
      </c>
      <c r="AC35" s="4202">
        <f t="shared" si="41"/>
        <v>7405.95</v>
      </c>
      <c r="AD35" s="4202">
        <f t="shared" si="27"/>
        <v>1436.0400025895879</v>
      </c>
    </row>
    <row r="36" spans="1:30" ht="18.75" customHeight="1">
      <c r="A36" s="4143" t="s">
        <v>8</v>
      </c>
      <c r="B36" s="4205">
        <f>SUM('Произв. прогр. Стоки'!H55)</f>
        <v>77.502312246440368</v>
      </c>
      <c r="C36" s="4206">
        <v>31.4</v>
      </c>
      <c r="D36" s="4206">
        <v>28.26</v>
      </c>
      <c r="E36" s="4206">
        <v>20.149999999999999</v>
      </c>
      <c r="F36" s="4157">
        <f t="shared" si="42"/>
        <v>79.81</v>
      </c>
      <c r="G36" s="4205">
        <f>SUM('Произв. прогр. Стоки'!L55)</f>
        <v>77.502312246440368</v>
      </c>
      <c r="H36" s="4206">
        <v>20.67</v>
      </c>
      <c r="I36" s="4206">
        <f>68.89+20.79</f>
        <v>89.68</v>
      </c>
      <c r="J36" s="4206">
        <v>70.900000000000006</v>
      </c>
      <c r="K36" s="4157">
        <f t="shared" si="75"/>
        <v>181.25</v>
      </c>
      <c r="L36" s="4202">
        <f t="shared" si="36"/>
        <v>155.00462449288074</v>
      </c>
      <c r="M36" s="4202">
        <f t="shared" si="37"/>
        <v>261.06</v>
      </c>
      <c r="N36" s="4202">
        <f t="shared" si="17"/>
        <v>106.05537550711927</v>
      </c>
      <c r="O36" s="4205">
        <f>SUM('Произв. прогр. Стоки'!Q55)</f>
        <v>77.502312246440368</v>
      </c>
      <c r="P36" s="4206">
        <v>39.31</v>
      </c>
      <c r="Q36" s="4206">
        <v>31.65</v>
      </c>
      <c r="R36" s="4206">
        <v>83.66</v>
      </c>
      <c r="S36" s="4157">
        <f t="shared" si="76"/>
        <v>154.62</v>
      </c>
      <c r="T36" s="4202">
        <f t="shared" si="38"/>
        <v>232.50693673932111</v>
      </c>
      <c r="U36" s="4202">
        <f t="shared" si="39"/>
        <v>415.68</v>
      </c>
      <c r="V36" s="4202">
        <f t="shared" si="22"/>
        <v>183.1730632606789</v>
      </c>
      <c r="W36" s="4205">
        <f>SUM('Произв. прогр. Стоки'!V55)</f>
        <v>77.502312246440368</v>
      </c>
      <c r="X36" s="4206"/>
      <c r="Y36" s="4206"/>
      <c r="Z36" s="4206"/>
      <c r="AA36" s="4157">
        <f t="shared" si="77"/>
        <v>0</v>
      </c>
      <c r="AB36" s="4202">
        <f t="shared" si="40"/>
        <v>310.00924898576147</v>
      </c>
      <c r="AC36" s="4202">
        <f t="shared" si="41"/>
        <v>415.68</v>
      </c>
      <c r="AD36" s="4202">
        <f t="shared" si="27"/>
        <v>105.67075101423853</v>
      </c>
    </row>
    <row r="37" spans="1:30" ht="18.75" customHeight="1">
      <c r="A37" s="4143" t="s">
        <v>2</v>
      </c>
      <c r="B37" s="4205">
        <f>SUM('Произв. прогр. Стоки'!H56)</f>
        <v>179.2525</v>
      </c>
      <c r="C37" s="4206">
        <f>42.73+2.31</f>
        <v>45.04</v>
      </c>
      <c r="D37" s="4206">
        <v>45.04</v>
      </c>
      <c r="E37" s="4206">
        <v>45.04</v>
      </c>
      <c r="F37" s="4157">
        <f t="shared" si="42"/>
        <v>135.12</v>
      </c>
      <c r="G37" s="4205">
        <f>SUM('Произв. прогр. Стоки'!L56)</f>
        <v>179.2525</v>
      </c>
      <c r="H37" s="4206">
        <v>45.03</v>
      </c>
      <c r="I37" s="4206">
        <f>43.19+2.31</f>
        <v>45.5</v>
      </c>
      <c r="J37" s="4206">
        <v>45.5</v>
      </c>
      <c r="K37" s="4157">
        <f t="shared" si="75"/>
        <v>136.03</v>
      </c>
      <c r="L37" s="4202">
        <f t="shared" si="36"/>
        <v>358.505</v>
      </c>
      <c r="M37" s="4202">
        <f t="shared" si="37"/>
        <v>271.14999999999998</v>
      </c>
      <c r="N37" s="4202">
        <f t="shared" si="17"/>
        <v>-87.355000000000018</v>
      </c>
      <c r="O37" s="4205">
        <f>SUM('Произв. прогр. Стоки'!Q56)</f>
        <v>179.2525</v>
      </c>
      <c r="P37" s="4206">
        <f>43.19+2.31</f>
        <v>45.5</v>
      </c>
      <c r="Q37" s="4206">
        <f>42.96+2.31</f>
        <v>45.27</v>
      </c>
      <c r="R37" s="4206">
        <v>37.869999999999997</v>
      </c>
      <c r="S37" s="4157">
        <f t="shared" si="76"/>
        <v>128.64000000000001</v>
      </c>
      <c r="T37" s="4202">
        <f t="shared" si="38"/>
        <v>537.75749999999994</v>
      </c>
      <c r="U37" s="4202">
        <f t="shared" si="39"/>
        <v>399.78999999999996</v>
      </c>
      <c r="V37" s="4202">
        <f t="shared" si="22"/>
        <v>-137.96749999999997</v>
      </c>
      <c r="W37" s="4205">
        <f>SUM('Произв. прогр. Стоки'!V56)</f>
        <v>179.2525</v>
      </c>
      <c r="X37" s="4206"/>
      <c r="Y37" s="4206"/>
      <c r="Z37" s="4206"/>
      <c r="AA37" s="4157">
        <f t="shared" si="77"/>
        <v>0</v>
      </c>
      <c r="AB37" s="4202">
        <f t="shared" si="40"/>
        <v>717.01</v>
      </c>
      <c r="AC37" s="4202">
        <f t="shared" si="41"/>
        <v>399.78999999999996</v>
      </c>
      <c r="AD37" s="4202">
        <f t="shared" si="27"/>
        <v>-317.22000000000003</v>
      </c>
    </row>
    <row r="38" spans="1:30" ht="18.75" customHeight="1">
      <c r="A38" s="4143" t="s">
        <v>69</v>
      </c>
      <c r="B38" s="4205">
        <f>SUM('Произв. прогр. Стоки'!H57)</f>
        <v>0</v>
      </c>
      <c r="C38" s="4206"/>
      <c r="D38" s="4206"/>
      <c r="E38" s="4206"/>
      <c r="F38" s="4157">
        <f t="shared" si="42"/>
        <v>0</v>
      </c>
      <c r="G38" s="4205">
        <f>SUM('Произв. прогр. Стоки'!L57)</f>
        <v>0</v>
      </c>
      <c r="H38" s="4206"/>
      <c r="I38" s="4206"/>
      <c r="J38" s="4206"/>
      <c r="K38" s="4157">
        <f t="shared" si="75"/>
        <v>0</v>
      </c>
      <c r="L38" s="4202">
        <f t="shared" si="36"/>
        <v>0</v>
      </c>
      <c r="M38" s="4202">
        <f t="shared" si="37"/>
        <v>0</v>
      </c>
      <c r="N38" s="4202">
        <f t="shared" si="17"/>
        <v>0</v>
      </c>
      <c r="O38" s="4205">
        <f>SUM('Произв. прогр. Стоки'!Q57)</f>
        <v>0</v>
      </c>
      <c r="P38" s="4206"/>
      <c r="Q38" s="4206"/>
      <c r="R38" s="4206"/>
      <c r="S38" s="4157">
        <f t="shared" si="76"/>
        <v>0</v>
      </c>
      <c r="T38" s="4202">
        <f t="shared" si="38"/>
        <v>0</v>
      </c>
      <c r="U38" s="4202">
        <f t="shared" si="39"/>
        <v>0</v>
      </c>
      <c r="V38" s="4202">
        <f t="shared" si="22"/>
        <v>0</v>
      </c>
      <c r="W38" s="4205">
        <f>SUM('Произв. прогр. Стоки'!V57)</f>
        <v>0</v>
      </c>
      <c r="X38" s="4206"/>
      <c r="Y38" s="4206"/>
      <c r="Z38" s="4206"/>
      <c r="AA38" s="4157">
        <f t="shared" si="77"/>
        <v>0</v>
      </c>
      <c r="AB38" s="4202">
        <f t="shared" si="40"/>
        <v>0</v>
      </c>
      <c r="AC38" s="4202">
        <f t="shared" si="41"/>
        <v>0</v>
      </c>
      <c r="AD38" s="4202">
        <f t="shared" si="27"/>
        <v>0</v>
      </c>
    </row>
    <row r="39" spans="1:30" ht="18.75" customHeight="1">
      <c r="A39" s="4143" t="s">
        <v>3</v>
      </c>
      <c r="B39" s="4205">
        <f>SUM('Произв. прогр. Стоки'!H58)</f>
        <v>0</v>
      </c>
      <c r="C39" s="4206">
        <f>3.5+14.18</f>
        <v>17.68</v>
      </c>
      <c r="D39" s="4206">
        <v>4.03</v>
      </c>
      <c r="E39" s="4206">
        <v>6.82</v>
      </c>
      <c r="F39" s="4157">
        <f t="shared" si="42"/>
        <v>28.53</v>
      </c>
      <c r="G39" s="4205">
        <f>SUM('Произв. прогр. Стоки'!L58)</f>
        <v>0</v>
      </c>
      <c r="H39" s="4206">
        <v>663.09</v>
      </c>
      <c r="I39" s="4206">
        <v>2.68</v>
      </c>
      <c r="J39" s="4206">
        <v>26.24</v>
      </c>
      <c r="K39" s="4157">
        <f t="shared" si="75"/>
        <v>692.01</v>
      </c>
      <c r="L39" s="4202">
        <f t="shared" si="36"/>
        <v>0</v>
      </c>
      <c r="M39" s="4202">
        <f t="shared" si="37"/>
        <v>720.54</v>
      </c>
      <c r="N39" s="4202">
        <f t="shared" si="17"/>
        <v>720.54</v>
      </c>
      <c r="O39" s="4205">
        <f>SUM('Произв. прогр. Стоки'!Q58)</f>
        <v>0</v>
      </c>
      <c r="P39" s="4206">
        <v>17</v>
      </c>
      <c r="Q39" s="4206">
        <v>13.73</v>
      </c>
      <c r="R39" s="4206">
        <v>9.77</v>
      </c>
      <c r="S39" s="4157">
        <f t="shared" si="76"/>
        <v>40.5</v>
      </c>
      <c r="T39" s="4202">
        <f t="shared" si="38"/>
        <v>0</v>
      </c>
      <c r="U39" s="4202">
        <f t="shared" si="39"/>
        <v>761.04</v>
      </c>
      <c r="V39" s="4202">
        <f t="shared" si="22"/>
        <v>761.04</v>
      </c>
      <c r="W39" s="4205">
        <f>SUM('Произв. прогр. Стоки'!V58)</f>
        <v>0</v>
      </c>
      <c r="X39" s="4206"/>
      <c r="Y39" s="4206"/>
      <c r="Z39" s="4206"/>
      <c r="AA39" s="4157">
        <f t="shared" si="77"/>
        <v>0</v>
      </c>
      <c r="AB39" s="4202">
        <f t="shared" si="40"/>
        <v>0</v>
      </c>
      <c r="AC39" s="4202">
        <f t="shared" si="41"/>
        <v>761.04</v>
      </c>
      <c r="AD39" s="4202">
        <f t="shared" si="27"/>
        <v>761.04</v>
      </c>
    </row>
    <row r="40" spans="1:30" ht="18.75" customHeight="1">
      <c r="A40" s="4143" t="s">
        <v>4</v>
      </c>
      <c r="B40" s="4205">
        <f>SUM('Произв. прогр. Стоки'!H59)</f>
        <v>4516.4265787720233</v>
      </c>
      <c r="C40" s="4206">
        <v>1387.38</v>
      </c>
      <c r="D40" s="4206">
        <v>1147.28</v>
      </c>
      <c r="E40" s="4206">
        <v>1469.46</v>
      </c>
      <c r="F40" s="4157">
        <f t="shared" si="42"/>
        <v>4004.12</v>
      </c>
      <c r="G40" s="4205">
        <f>SUM('Произв. прогр. Стоки'!L59)</f>
        <v>4516.4265787720233</v>
      </c>
      <c r="H40" s="4206">
        <v>1298.0899999999999</v>
      </c>
      <c r="I40" s="4206">
        <v>1361.98</v>
      </c>
      <c r="J40" s="4206">
        <v>1412.69</v>
      </c>
      <c r="K40" s="4157">
        <f t="shared" si="75"/>
        <v>4072.7599999999998</v>
      </c>
      <c r="L40" s="4202">
        <f t="shared" si="36"/>
        <v>9032.8531575440466</v>
      </c>
      <c r="M40" s="4202">
        <f t="shared" si="37"/>
        <v>8076.8799999999992</v>
      </c>
      <c r="N40" s="4202">
        <f t="shared" si="17"/>
        <v>-955.97315754404735</v>
      </c>
      <c r="O40" s="4205">
        <f>SUM('Произв. прогр. Стоки'!Q59)</f>
        <v>4788.7671014719763</v>
      </c>
      <c r="P40" s="4206">
        <v>1365.15</v>
      </c>
      <c r="Q40" s="4206">
        <v>1641.92</v>
      </c>
      <c r="R40" s="4206">
        <f>1326.96+14.57</f>
        <v>1341.53</v>
      </c>
      <c r="S40" s="4157">
        <f t="shared" si="76"/>
        <v>4348.6000000000004</v>
      </c>
      <c r="T40" s="4202">
        <f t="shared" si="38"/>
        <v>13821.620259016023</v>
      </c>
      <c r="U40" s="4202">
        <f t="shared" si="39"/>
        <v>12425.48</v>
      </c>
      <c r="V40" s="4202">
        <f t="shared" si="22"/>
        <v>-1396.1402590160233</v>
      </c>
      <c r="W40" s="4205">
        <f>SUM('Произв. прогр. Стоки'!V59)</f>
        <v>4788.7671014719763</v>
      </c>
      <c r="X40" s="4206"/>
      <c r="Y40" s="4206"/>
      <c r="Z40" s="4206"/>
      <c r="AA40" s="4157">
        <f t="shared" si="77"/>
        <v>0</v>
      </c>
      <c r="AB40" s="4202">
        <f t="shared" si="40"/>
        <v>18610.387360487999</v>
      </c>
      <c r="AC40" s="4202">
        <f t="shared" si="41"/>
        <v>12425.48</v>
      </c>
      <c r="AD40" s="4202">
        <f t="shared" si="27"/>
        <v>-6184.9073604879995</v>
      </c>
    </row>
    <row r="41" spans="1:30" ht="18.75" customHeight="1">
      <c r="A41" s="4143" t="s">
        <v>121</v>
      </c>
      <c r="B41" s="4205">
        <f>SUM('Произв. прогр. Стоки'!H60)</f>
        <v>1360.5294541640483</v>
      </c>
      <c r="C41" s="4206">
        <v>418.04</v>
      </c>
      <c r="D41" s="4206">
        <v>344.01</v>
      </c>
      <c r="E41" s="4206">
        <v>439.83</v>
      </c>
      <c r="F41" s="4157">
        <f t="shared" si="42"/>
        <v>1201.8799999999999</v>
      </c>
      <c r="G41" s="4205">
        <f>SUM('Произв. прогр. Стоки'!L60)</f>
        <v>1360.5294541640483</v>
      </c>
      <c r="H41" s="4206">
        <v>385.45</v>
      </c>
      <c r="I41" s="4206">
        <v>412.1</v>
      </c>
      <c r="J41" s="4206">
        <v>430.95</v>
      </c>
      <c r="K41" s="4157">
        <f t="shared" si="75"/>
        <v>1228.5</v>
      </c>
      <c r="L41" s="4202">
        <f t="shared" si="36"/>
        <v>2721.0589083280965</v>
      </c>
      <c r="M41" s="4202">
        <f t="shared" si="37"/>
        <v>2430.38</v>
      </c>
      <c r="N41" s="4202">
        <f t="shared" si="17"/>
        <v>-290.67890832809644</v>
      </c>
      <c r="O41" s="4205">
        <f>SUM('Произв. прогр. Стоки'!Q60)</f>
        <v>1442.5693802501403</v>
      </c>
      <c r="P41" s="4206">
        <v>410.78</v>
      </c>
      <c r="Q41" s="4206">
        <v>497.2</v>
      </c>
      <c r="R41" s="4206">
        <v>405.6</v>
      </c>
      <c r="S41" s="4157">
        <f t="shared" si="76"/>
        <v>1313.58</v>
      </c>
      <c r="T41" s="4202">
        <f t="shared" si="38"/>
        <v>4163.6282885782366</v>
      </c>
      <c r="U41" s="4202">
        <f t="shared" si="39"/>
        <v>3743.96</v>
      </c>
      <c r="V41" s="4202">
        <f t="shared" si="22"/>
        <v>-419.66828857823657</v>
      </c>
      <c r="W41" s="4205">
        <f>SUM('Произв. прогр. Стоки'!V60)</f>
        <v>1442.5693802501403</v>
      </c>
      <c r="X41" s="4206"/>
      <c r="Y41" s="4206"/>
      <c r="Z41" s="4206"/>
      <c r="AA41" s="4157">
        <f t="shared" si="77"/>
        <v>0</v>
      </c>
      <c r="AB41" s="4202">
        <f t="shared" si="40"/>
        <v>5606.1976688283767</v>
      </c>
      <c r="AC41" s="4202">
        <f t="shared" si="41"/>
        <v>3743.96</v>
      </c>
      <c r="AD41" s="4202">
        <f t="shared" si="27"/>
        <v>-1862.2376688283766</v>
      </c>
    </row>
    <row r="42" spans="1:30" ht="18.75" customHeight="1">
      <c r="A42" s="4145" t="str">
        <f>A22</f>
        <v>то же в %</v>
      </c>
      <c r="B42" s="4160">
        <f>SUM('Произв. прогр. Стоки'!H61)</f>
        <v>0.30124024611819644</v>
      </c>
      <c r="C42" s="4160">
        <f>SUM(C41/C40)</f>
        <v>0.30131614986521355</v>
      </c>
      <c r="D42" s="4160">
        <f t="shared" ref="D42:F42" si="78">SUM(D41/D40)</f>
        <v>0.29984833693605745</v>
      </c>
      <c r="E42" s="4160">
        <f t="shared" si="78"/>
        <v>0.29931403372667509</v>
      </c>
      <c r="F42" s="4160">
        <f t="shared" si="78"/>
        <v>0.30016083434062912</v>
      </c>
      <c r="G42" s="4160">
        <f>SUM('Произв. прогр. Стоки'!L61)</f>
        <v>0.30124024611819644</v>
      </c>
      <c r="H42" s="4160">
        <f>SUM(H41/H40)</f>
        <v>0.29693626790130118</v>
      </c>
      <c r="I42" s="4160">
        <f t="shared" ref="I42:M42" si="79">SUM(I41/I40)</f>
        <v>0.30257419345364839</v>
      </c>
      <c r="J42" s="4160">
        <f t="shared" si="79"/>
        <v>0.30505631100949249</v>
      </c>
      <c r="K42" s="4160">
        <f t="shared" si="79"/>
        <v>0.30163820112159817</v>
      </c>
      <c r="L42" s="4161">
        <f t="shared" si="79"/>
        <v>0.30124024611819644</v>
      </c>
      <c r="M42" s="4161">
        <f t="shared" si="79"/>
        <v>0.30090579530709882</v>
      </c>
      <c r="N42" s="4207">
        <f t="shared" si="17"/>
        <v>-3.3445081109761965E-4</v>
      </c>
      <c r="O42" s="4160">
        <f>SUM('Произв. прогр. Стоки'!Q61)</f>
        <v>0.30124024611819644</v>
      </c>
      <c r="P42" s="4160">
        <f>SUM(P41/P40)</f>
        <v>0.30090466249130127</v>
      </c>
      <c r="Q42" s="4160">
        <f t="shared" ref="Q42:S42" si="80">SUM(Q41/Q40)</f>
        <v>0.30281621516273627</v>
      </c>
      <c r="R42" s="4160">
        <f t="shared" si="80"/>
        <v>0.30234135651084959</v>
      </c>
      <c r="S42" s="4160">
        <f t="shared" si="80"/>
        <v>0.30206963160557415</v>
      </c>
      <c r="T42" s="4161">
        <f>SUM(T41/T40)</f>
        <v>0.30124024611819644</v>
      </c>
      <c r="U42" s="4161">
        <f>SUM(U41/U40)</f>
        <v>0.30131310822600016</v>
      </c>
      <c r="V42" s="4207">
        <f t="shared" si="22"/>
        <v>7.2862107803717269E-5</v>
      </c>
      <c r="W42" s="4160">
        <f>SUM('Произв. прогр. Стоки'!V61)</f>
        <v>0.30124024611819644</v>
      </c>
      <c r="X42" s="4160" t="e">
        <f>SUM(X41/X40)</f>
        <v>#DIV/0!</v>
      </c>
      <c r="Y42" s="4160" t="e">
        <f t="shared" ref="Y42:AC42" si="81">SUM(Y41/Y40)</f>
        <v>#DIV/0!</v>
      </c>
      <c r="Z42" s="4160" t="e">
        <f t="shared" si="81"/>
        <v>#DIV/0!</v>
      </c>
      <c r="AA42" s="4160" t="e">
        <f t="shared" si="81"/>
        <v>#DIV/0!</v>
      </c>
      <c r="AB42" s="4161">
        <f t="shared" si="81"/>
        <v>0.30124024611819644</v>
      </c>
      <c r="AC42" s="4161">
        <f t="shared" si="81"/>
        <v>0.30131310822600016</v>
      </c>
      <c r="AD42" s="4207">
        <f t="shared" si="27"/>
        <v>7.2862107803717269E-5</v>
      </c>
    </row>
    <row r="43" spans="1:30" ht="18.75" customHeight="1">
      <c r="A43" s="4171" t="s">
        <v>1742</v>
      </c>
      <c r="B43" s="4172">
        <f>SUM('Произв. прогр. Стоки'!H62)</f>
        <v>1805.8838940172163</v>
      </c>
      <c r="C43" s="4172">
        <f>SUM(C44:C59)+C64</f>
        <v>505.7</v>
      </c>
      <c r="D43" s="4172">
        <f t="shared" ref="D43:F43" si="82">SUM(D44:D59)+D64</f>
        <v>606.79000000000008</v>
      </c>
      <c r="E43" s="4172">
        <f t="shared" si="82"/>
        <v>672.5</v>
      </c>
      <c r="F43" s="4172">
        <f t="shared" si="82"/>
        <v>1784.9900000000002</v>
      </c>
      <c r="G43" s="4172">
        <f>SUM('Произв. прогр. Стоки'!L62)</f>
        <v>1689.7564284069492</v>
      </c>
      <c r="H43" s="4172">
        <f>SUM(H44:H59)+H64</f>
        <v>618.55999999999995</v>
      </c>
      <c r="I43" s="4172">
        <f t="shared" ref="I43" si="83">SUM(I44:I59)+I64</f>
        <v>543.20999999999992</v>
      </c>
      <c r="J43" s="4172">
        <f>SUM(J44:J59)+J64</f>
        <v>812.5100000000001</v>
      </c>
      <c r="K43" s="4172">
        <f t="shared" ref="K43" si="84">SUM(K44:K59)+K64</f>
        <v>1974.2799999999997</v>
      </c>
      <c r="L43" s="4192">
        <f t="shared" ref="L43:L72" si="85">SUM(G43+B43)</f>
        <v>3495.6403224241658</v>
      </c>
      <c r="M43" s="4192">
        <f t="shared" ref="M43:M72" si="86">SUM(K43+F43)</f>
        <v>3759.27</v>
      </c>
      <c r="N43" s="4192">
        <f t="shared" si="17"/>
        <v>263.62967757583419</v>
      </c>
      <c r="O43" s="4172">
        <f>SUM('Произв. прогр. Стоки'!Q62)</f>
        <v>1727.9614684166156</v>
      </c>
      <c r="P43" s="4172">
        <f>SUM(P44:P59)+P64</f>
        <v>383.40000000000003</v>
      </c>
      <c r="Q43" s="4172">
        <f t="shared" ref="Q43" si="87">SUM(Q44:Q59)+Q64</f>
        <v>584.99</v>
      </c>
      <c r="R43" s="4172">
        <f t="shared" ref="R43" si="88">SUM(R44:R59)+R64</f>
        <v>672.18999999999994</v>
      </c>
      <c r="S43" s="4172">
        <f t="shared" ref="S43" si="89">SUM(S44:S59)+S64</f>
        <v>1640.58</v>
      </c>
      <c r="T43" s="4192">
        <f t="shared" ref="T43:T72" si="90">SUM(L43+O43)</f>
        <v>5223.6017908407812</v>
      </c>
      <c r="U43" s="4192">
        <f t="shared" ref="U43:U72" si="91">SUM(M43+S43)</f>
        <v>5399.85</v>
      </c>
      <c r="V43" s="4192">
        <f t="shared" si="22"/>
        <v>176.24820915921919</v>
      </c>
      <c r="W43" s="4172">
        <f>SUM('Произв. прогр. Стоки'!V62)</f>
        <v>1848.925785312854</v>
      </c>
      <c r="X43" s="4172">
        <f>SUM(X44:X59)+X64</f>
        <v>0</v>
      </c>
      <c r="Y43" s="4172">
        <f t="shared" ref="Y43" si="92">SUM(Y44:Y59)+Y64</f>
        <v>0</v>
      </c>
      <c r="Z43" s="4172">
        <f t="shared" ref="Z43" si="93">SUM(Z44:Z59)+Z64</f>
        <v>0</v>
      </c>
      <c r="AA43" s="4172">
        <f t="shared" ref="AA43" si="94">SUM(AA44:AA59)+AA64</f>
        <v>0</v>
      </c>
      <c r="AB43" s="4192">
        <f t="shared" ref="AB43:AB72" si="95">SUM(W43+T43)</f>
        <v>7072.527576153635</v>
      </c>
      <c r="AC43" s="4192">
        <f t="shared" ref="AC43:AC72" si="96">SUM(AA43+U43)</f>
        <v>5399.85</v>
      </c>
      <c r="AD43" s="4192">
        <f t="shared" si="27"/>
        <v>-1672.6775761536346</v>
      </c>
    </row>
    <row r="44" spans="1:30" ht="18.75" customHeight="1">
      <c r="A44" s="4208" t="s">
        <v>72</v>
      </c>
      <c r="B44" s="4205">
        <f>SUM('Произв. прогр. Стоки'!H63)</f>
        <v>798.80462406977176</v>
      </c>
      <c r="C44" s="4206">
        <v>259.07</v>
      </c>
      <c r="D44" s="4206">
        <v>333.43</v>
      </c>
      <c r="E44" s="4206">
        <v>293.20999999999998</v>
      </c>
      <c r="F44" s="4157">
        <f t="shared" ref="F44:F93" si="97">SUM(C44:E44)</f>
        <v>885.71</v>
      </c>
      <c r="G44" s="4205">
        <f>SUM('Произв. прогр. Стоки'!L63)</f>
        <v>798.80462406977176</v>
      </c>
      <c r="H44" s="4206">
        <v>361.28</v>
      </c>
      <c r="I44" s="4206">
        <v>263.33999999999997</v>
      </c>
      <c r="J44" s="4206">
        <v>340.01</v>
      </c>
      <c r="K44" s="4157">
        <f t="shared" ref="K44:K58" si="98">SUM(H44:J44)</f>
        <v>964.62999999999988</v>
      </c>
      <c r="L44" s="4202">
        <f t="shared" si="85"/>
        <v>1597.6092481395435</v>
      </c>
      <c r="M44" s="4202">
        <f t="shared" si="86"/>
        <v>1850.34</v>
      </c>
      <c r="N44" s="4202">
        <f t="shared" si="17"/>
        <v>252.73075186045639</v>
      </c>
      <c r="O44" s="4205">
        <f>SUM('Произв. прогр. Стоки'!Q63)</f>
        <v>846.97254290117917</v>
      </c>
      <c r="P44" s="4206">
        <v>184.52</v>
      </c>
      <c r="Q44" s="4206">
        <v>342.33</v>
      </c>
      <c r="R44" s="4206">
        <v>276.69</v>
      </c>
      <c r="S44" s="4157">
        <f t="shared" ref="S44:S58" si="99">SUM(P44:R44)</f>
        <v>803.54</v>
      </c>
      <c r="T44" s="4202">
        <f t="shared" si="90"/>
        <v>2444.5817910407227</v>
      </c>
      <c r="U44" s="4202">
        <f t="shared" si="91"/>
        <v>2653.88</v>
      </c>
      <c r="V44" s="4202">
        <f t="shared" si="22"/>
        <v>209.29820895927742</v>
      </c>
      <c r="W44" s="4205">
        <f>SUM('Произв. прогр. Стоки'!V63)</f>
        <v>846.97254290117917</v>
      </c>
      <c r="X44" s="4206"/>
      <c r="Y44" s="4206"/>
      <c r="Z44" s="4206"/>
      <c r="AA44" s="4157">
        <f t="shared" ref="AA44:AA58" si="100">SUM(X44:Z44)</f>
        <v>0</v>
      </c>
      <c r="AB44" s="4202">
        <f t="shared" si="95"/>
        <v>3291.5543339419019</v>
      </c>
      <c r="AC44" s="4202">
        <f t="shared" si="96"/>
        <v>2653.88</v>
      </c>
      <c r="AD44" s="4202">
        <f t="shared" si="27"/>
        <v>-637.67433394190175</v>
      </c>
    </row>
    <row r="45" spans="1:30" ht="18.75" customHeight="1">
      <c r="A45" s="4208" t="s">
        <v>121</v>
      </c>
      <c r="B45" s="4205">
        <f>SUM('Произв. прогр. Стоки'!H64)</f>
        <v>239.26378297233819</v>
      </c>
      <c r="C45" s="4206">
        <v>78.209999999999994</v>
      </c>
      <c r="D45" s="4206">
        <v>100.66</v>
      </c>
      <c r="E45" s="4206">
        <v>88.51</v>
      </c>
      <c r="F45" s="4157">
        <f t="shared" si="97"/>
        <v>267.38</v>
      </c>
      <c r="G45" s="4205">
        <f>SUM('Произв. прогр. Стоки'!L64)</f>
        <v>239.26378297233819</v>
      </c>
      <c r="H45" s="4206">
        <v>107.69</v>
      </c>
      <c r="I45" s="4206">
        <v>79.52</v>
      </c>
      <c r="J45" s="4206">
        <v>102.65</v>
      </c>
      <c r="K45" s="4157">
        <f t="shared" si="98"/>
        <v>289.86</v>
      </c>
      <c r="L45" s="4202">
        <f t="shared" si="85"/>
        <v>478.52756594467638</v>
      </c>
      <c r="M45" s="4202">
        <f t="shared" si="86"/>
        <v>557.24</v>
      </c>
      <c r="N45" s="4202">
        <f t="shared" si="17"/>
        <v>78.712434055323627</v>
      </c>
      <c r="O45" s="4205">
        <f>SUM('Произв. прогр. Стоки'!Q64)</f>
        <v>253.69138908557019</v>
      </c>
      <c r="P45" s="4206">
        <v>54.33</v>
      </c>
      <c r="Q45" s="4206">
        <v>101.99</v>
      </c>
      <c r="R45" s="4206">
        <v>83.52</v>
      </c>
      <c r="S45" s="4157">
        <f t="shared" si="99"/>
        <v>239.83999999999997</v>
      </c>
      <c r="T45" s="4202">
        <f t="shared" si="90"/>
        <v>732.21895503024655</v>
      </c>
      <c r="U45" s="4202">
        <f t="shared" si="91"/>
        <v>797.07999999999993</v>
      </c>
      <c r="V45" s="4202">
        <f t="shared" si="22"/>
        <v>64.86104496975338</v>
      </c>
      <c r="W45" s="4205">
        <f>SUM('Произв. прогр. Стоки'!V64)</f>
        <v>253.69138908557019</v>
      </c>
      <c r="X45" s="4206"/>
      <c r="Y45" s="4206"/>
      <c r="Z45" s="4206"/>
      <c r="AA45" s="4157">
        <f t="shared" si="100"/>
        <v>0</v>
      </c>
      <c r="AB45" s="4202">
        <f t="shared" si="95"/>
        <v>985.91034411581677</v>
      </c>
      <c r="AC45" s="4202">
        <f t="shared" si="96"/>
        <v>797.07999999999993</v>
      </c>
      <c r="AD45" s="4202">
        <f t="shared" si="27"/>
        <v>-188.83034411581684</v>
      </c>
    </row>
    <row r="46" spans="1:30" ht="18.75" customHeight="1">
      <c r="A46" s="4208" t="s">
        <v>52</v>
      </c>
      <c r="B46" s="4205">
        <f>SUM('Произв. прогр. Стоки'!H65)</f>
        <v>6.365274818538273</v>
      </c>
      <c r="C46" s="4206">
        <v>1.44</v>
      </c>
      <c r="D46" s="4206">
        <v>1.36</v>
      </c>
      <c r="E46" s="4206">
        <v>1.43</v>
      </c>
      <c r="F46" s="4157">
        <f t="shared" si="97"/>
        <v>4.2299999999999995</v>
      </c>
      <c r="G46" s="4205">
        <f>SUM('Произв. прогр. Стоки'!L65)</f>
        <v>6.365274818538273</v>
      </c>
      <c r="H46" s="4206">
        <v>1.43</v>
      </c>
      <c r="I46" s="4206">
        <v>1.26</v>
      </c>
      <c r="J46" s="4206">
        <v>1.6</v>
      </c>
      <c r="K46" s="4157">
        <f t="shared" si="98"/>
        <v>4.29</v>
      </c>
      <c r="L46" s="4202">
        <f t="shared" si="85"/>
        <v>12.730549637076546</v>
      </c>
      <c r="M46" s="4202">
        <f t="shared" si="86"/>
        <v>8.52</v>
      </c>
      <c r="N46" s="4202">
        <f t="shared" si="17"/>
        <v>-4.2105496370765465</v>
      </c>
      <c r="O46" s="4205">
        <f>SUM('Произв. прогр. Стоки'!Q65)</f>
        <v>6.365274818538273</v>
      </c>
      <c r="P46" s="4206">
        <v>1.26</v>
      </c>
      <c r="Q46" s="4206">
        <v>1.66</v>
      </c>
      <c r="R46" s="4206">
        <v>1.46</v>
      </c>
      <c r="S46" s="4157">
        <f t="shared" si="99"/>
        <v>4.38</v>
      </c>
      <c r="T46" s="4202">
        <f t="shared" si="90"/>
        <v>19.095824455614817</v>
      </c>
      <c r="U46" s="4202">
        <f t="shared" si="91"/>
        <v>12.899999999999999</v>
      </c>
      <c r="V46" s="4202">
        <f t="shared" si="22"/>
        <v>-6.1958244556148188</v>
      </c>
      <c r="W46" s="4205">
        <f>SUM('Произв. прогр. Стоки'!V65)</f>
        <v>6.365274818538273</v>
      </c>
      <c r="X46" s="4206"/>
      <c r="Y46" s="4206"/>
      <c r="Z46" s="4206"/>
      <c r="AA46" s="4157">
        <f t="shared" si="100"/>
        <v>0</v>
      </c>
      <c r="AB46" s="4202">
        <f t="shared" si="95"/>
        <v>25.461099274153092</v>
      </c>
      <c r="AC46" s="4202">
        <f t="shared" si="96"/>
        <v>12.899999999999999</v>
      </c>
      <c r="AD46" s="4202">
        <f t="shared" si="27"/>
        <v>-12.561099274153094</v>
      </c>
    </row>
    <row r="47" spans="1:30" ht="18.75" customHeight="1">
      <c r="A47" s="4208" t="s">
        <v>638</v>
      </c>
      <c r="B47" s="4205">
        <f>SUM('Произв. прогр. Стоки'!H66)</f>
        <v>172.39285966874488</v>
      </c>
      <c r="C47" s="4206"/>
      <c r="D47" s="4206"/>
      <c r="E47" s="4206"/>
      <c r="F47" s="4157">
        <f t="shared" si="97"/>
        <v>0</v>
      </c>
      <c r="G47" s="4205">
        <f>SUM('Произв. прогр. Стоки'!L66)</f>
        <v>172.39285966874488</v>
      </c>
      <c r="H47" s="4206"/>
      <c r="I47" s="4206"/>
      <c r="J47" s="4206"/>
      <c r="K47" s="4157">
        <f t="shared" si="98"/>
        <v>0</v>
      </c>
      <c r="L47" s="4202">
        <f t="shared" si="85"/>
        <v>344.78571933748975</v>
      </c>
      <c r="M47" s="4202">
        <f t="shared" si="86"/>
        <v>0</v>
      </c>
      <c r="N47" s="4202">
        <f t="shared" si="17"/>
        <v>-344.78571933748975</v>
      </c>
      <c r="O47" s="4205">
        <f>SUM('Произв. прогр. Стоки'!Q66)</f>
        <v>172.39285966874488</v>
      </c>
      <c r="P47" s="4206"/>
      <c r="Q47" s="4206"/>
      <c r="R47" s="4206"/>
      <c r="S47" s="4157">
        <f t="shared" si="99"/>
        <v>0</v>
      </c>
      <c r="T47" s="4202">
        <f t="shared" si="90"/>
        <v>517.1785790062346</v>
      </c>
      <c r="U47" s="4202">
        <f t="shared" si="91"/>
        <v>0</v>
      </c>
      <c r="V47" s="4202">
        <f t="shared" si="22"/>
        <v>-517.1785790062346</v>
      </c>
      <c r="W47" s="4205">
        <f>SUM('Произв. прогр. Стоки'!V66)</f>
        <v>172.39285966874488</v>
      </c>
      <c r="X47" s="4206"/>
      <c r="Y47" s="4206"/>
      <c r="Z47" s="4206"/>
      <c r="AA47" s="4157">
        <f t="shared" si="100"/>
        <v>0</v>
      </c>
      <c r="AB47" s="4202">
        <f t="shared" si="95"/>
        <v>689.5714386749795</v>
      </c>
      <c r="AC47" s="4202">
        <f t="shared" si="96"/>
        <v>0</v>
      </c>
      <c r="AD47" s="4202">
        <f t="shared" si="27"/>
        <v>-689.5714386749795</v>
      </c>
    </row>
    <row r="48" spans="1:30" ht="18.75" customHeight="1">
      <c r="A48" s="4208" t="s">
        <v>640</v>
      </c>
      <c r="B48" s="4205">
        <f>SUM('Произв. прогр. Стоки'!H67)</f>
        <v>24.930659705941565</v>
      </c>
      <c r="C48" s="4206">
        <v>2.88</v>
      </c>
      <c r="D48" s="4206">
        <v>2.88</v>
      </c>
      <c r="E48" s="4206">
        <v>2.88</v>
      </c>
      <c r="F48" s="4157">
        <f t="shared" si="97"/>
        <v>8.64</v>
      </c>
      <c r="G48" s="4205">
        <f>SUM('Произв. прогр. Стоки'!L67)</f>
        <v>24.930659705941565</v>
      </c>
      <c r="H48" s="4206">
        <v>2.87</v>
      </c>
      <c r="I48" s="4206">
        <v>2.8</v>
      </c>
      <c r="J48" s="4206">
        <v>2.38</v>
      </c>
      <c r="K48" s="4157">
        <f t="shared" si="98"/>
        <v>8.0500000000000007</v>
      </c>
      <c r="L48" s="4202">
        <f t="shared" si="85"/>
        <v>49.86131941188313</v>
      </c>
      <c r="M48" s="4202">
        <f t="shared" si="86"/>
        <v>16.690000000000001</v>
      </c>
      <c r="N48" s="4202">
        <f t="shared" si="17"/>
        <v>-33.171319411883132</v>
      </c>
      <c r="O48" s="4205">
        <f>SUM('Произв. прогр. Стоки'!Q67)</f>
        <v>24.930659705941565</v>
      </c>
      <c r="P48" s="4206">
        <v>2.38</v>
      </c>
      <c r="Q48" s="4206">
        <v>2.38</v>
      </c>
      <c r="R48" s="4206">
        <v>2.35</v>
      </c>
      <c r="S48" s="4157">
        <f t="shared" si="99"/>
        <v>7.1099999999999994</v>
      </c>
      <c r="T48" s="4202">
        <f t="shared" si="90"/>
        <v>74.791979117824695</v>
      </c>
      <c r="U48" s="4202">
        <f t="shared" si="91"/>
        <v>23.8</v>
      </c>
      <c r="V48" s="4202">
        <f t="shared" si="22"/>
        <v>-50.991979117824698</v>
      </c>
      <c r="W48" s="4205">
        <f>SUM('Произв. прогр. Стоки'!V67)</f>
        <v>24.930659705941565</v>
      </c>
      <c r="X48" s="4206"/>
      <c r="Y48" s="4206"/>
      <c r="Z48" s="4206"/>
      <c r="AA48" s="4157">
        <f t="shared" si="100"/>
        <v>0</v>
      </c>
      <c r="AB48" s="4202">
        <f t="shared" si="95"/>
        <v>99.72263882376626</v>
      </c>
      <c r="AC48" s="4202">
        <f t="shared" si="96"/>
        <v>23.8</v>
      </c>
      <c r="AD48" s="4202">
        <f t="shared" si="27"/>
        <v>-75.922638823766263</v>
      </c>
    </row>
    <row r="49" spans="1:30" ht="18.75" customHeight="1">
      <c r="A49" s="4208" t="s">
        <v>606</v>
      </c>
      <c r="B49" s="4205">
        <f>SUM('Произв. прогр. Стоки'!H68)</f>
        <v>156.83329900120685</v>
      </c>
      <c r="C49" s="4206">
        <f>12.95+0.81</f>
        <v>13.76</v>
      </c>
      <c r="D49" s="4206">
        <v>16.87</v>
      </c>
      <c r="E49" s="4206">
        <v>22.58</v>
      </c>
      <c r="F49" s="4157">
        <f t="shared" si="97"/>
        <v>53.21</v>
      </c>
      <c r="G49" s="4205">
        <f>SUM('Произв. прогр. Стоки'!L68)</f>
        <v>156.83329900120685</v>
      </c>
      <c r="H49" s="4206">
        <v>17.809999999999999</v>
      </c>
      <c r="I49" s="4206">
        <f>61.5+7.62</f>
        <v>69.12</v>
      </c>
      <c r="J49" s="4206">
        <v>17.760000000000002</v>
      </c>
      <c r="K49" s="4157">
        <f t="shared" si="98"/>
        <v>104.69000000000001</v>
      </c>
      <c r="L49" s="4202">
        <f t="shared" si="85"/>
        <v>313.66659800241371</v>
      </c>
      <c r="M49" s="4202">
        <f t="shared" si="86"/>
        <v>157.9</v>
      </c>
      <c r="N49" s="4202">
        <f t="shared" si="17"/>
        <v>-155.7665980024137</v>
      </c>
      <c r="O49" s="4205">
        <f>SUM('Произв. прогр. Стоки'!Q68)</f>
        <v>156.83329900120685</v>
      </c>
      <c r="P49" s="4206">
        <f>18.66+2.13</f>
        <v>20.79</v>
      </c>
      <c r="Q49" s="4206">
        <f>17.57+2.4</f>
        <v>19.97</v>
      </c>
      <c r="R49" s="4206">
        <v>131.05000000000001</v>
      </c>
      <c r="S49" s="4157">
        <f t="shared" si="99"/>
        <v>171.81</v>
      </c>
      <c r="T49" s="4202">
        <f t="shared" si="90"/>
        <v>470.49989700362056</v>
      </c>
      <c r="U49" s="4202">
        <f t="shared" si="91"/>
        <v>329.71000000000004</v>
      </c>
      <c r="V49" s="4202">
        <f t="shared" si="22"/>
        <v>-140.78989700362052</v>
      </c>
      <c r="W49" s="4205">
        <f>SUM('Произв. прогр. Стоки'!V68)</f>
        <v>156.83329900120685</v>
      </c>
      <c r="X49" s="4206"/>
      <c r="Y49" s="4206"/>
      <c r="Z49" s="4206"/>
      <c r="AA49" s="4157">
        <f t="shared" si="100"/>
        <v>0</v>
      </c>
      <c r="AB49" s="4202">
        <f t="shared" si="95"/>
        <v>627.33319600482741</v>
      </c>
      <c r="AC49" s="4202">
        <f t="shared" si="96"/>
        <v>329.71000000000004</v>
      </c>
      <c r="AD49" s="4202">
        <f t="shared" si="27"/>
        <v>-297.62319600482738</v>
      </c>
    </row>
    <row r="50" spans="1:30" ht="18.75" customHeight="1">
      <c r="A50" s="4208" t="s">
        <v>42</v>
      </c>
      <c r="B50" s="4205">
        <f>SUM('Произв. прогр. Стоки'!H69)</f>
        <v>9.901538606615091</v>
      </c>
      <c r="C50" s="4206"/>
      <c r="D50" s="4206"/>
      <c r="E50" s="4206">
        <v>6.41</v>
      </c>
      <c r="F50" s="4157">
        <f t="shared" si="97"/>
        <v>6.41</v>
      </c>
      <c r="G50" s="4205">
        <f>SUM('Произв. прогр. Стоки'!L69)</f>
        <v>9.901538606615091</v>
      </c>
      <c r="H50" s="4206"/>
      <c r="I50" s="4206"/>
      <c r="J50" s="4206">
        <v>5.4</v>
      </c>
      <c r="K50" s="4157">
        <f t="shared" si="98"/>
        <v>5.4</v>
      </c>
      <c r="L50" s="4202">
        <f t="shared" si="85"/>
        <v>19.803077213230182</v>
      </c>
      <c r="M50" s="4202">
        <f t="shared" si="86"/>
        <v>11.81</v>
      </c>
      <c r="N50" s="4202">
        <f t="shared" si="17"/>
        <v>-7.9930772132301815</v>
      </c>
      <c r="O50" s="4205">
        <f>SUM('Произв. прогр. Стоки'!Q69)</f>
        <v>9.901538606615091</v>
      </c>
      <c r="P50" s="4206"/>
      <c r="Q50" s="4206"/>
      <c r="R50" s="4206">
        <v>16.03</v>
      </c>
      <c r="S50" s="4157">
        <f t="shared" si="99"/>
        <v>16.03</v>
      </c>
      <c r="T50" s="4202">
        <f t="shared" si="90"/>
        <v>29.704615819845273</v>
      </c>
      <c r="U50" s="4202">
        <f t="shared" si="91"/>
        <v>27.840000000000003</v>
      </c>
      <c r="V50" s="4202">
        <f t="shared" si="22"/>
        <v>-1.8646158198452696</v>
      </c>
      <c r="W50" s="4205">
        <f>SUM('Произв. прогр. Стоки'!V69)</f>
        <v>9.901538606615091</v>
      </c>
      <c r="X50" s="4206"/>
      <c r="Y50" s="4206"/>
      <c r="Z50" s="4206"/>
      <c r="AA50" s="4157">
        <f t="shared" si="100"/>
        <v>0</v>
      </c>
      <c r="AB50" s="4202">
        <f t="shared" si="95"/>
        <v>39.606154426460364</v>
      </c>
      <c r="AC50" s="4202">
        <f t="shared" si="96"/>
        <v>27.840000000000003</v>
      </c>
      <c r="AD50" s="4202">
        <f t="shared" si="27"/>
        <v>-11.766154426460361</v>
      </c>
    </row>
    <row r="51" spans="1:30" ht="18.75" customHeight="1">
      <c r="A51" s="4208" t="s">
        <v>38</v>
      </c>
      <c r="B51" s="4205">
        <f>SUM('Произв. прогр. Стоки'!H70)</f>
        <v>0</v>
      </c>
      <c r="C51" s="4206"/>
      <c r="D51" s="4206">
        <v>16.760000000000002</v>
      </c>
      <c r="E51" s="4206"/>
      <c r="F51" s="4157">
        <f t="shared" ref="F51" si="101">SUM(C51:E51)</f>
        <v>16.760000000000002</v>
      </c>
      <c r="G51" s="4205">
        <f>SUM('Произв. прогр. Стоки'!L70)</f>
        <v>0</v>
      </c>
      <c r="H51" s="4206"/>
      <c r="I51" s="4206"/>
      <c r="J51" s="4206"/>
      <c r="K51" s="4157">
        <f t="shared" si="98"/>
        <v>0</v>
      </c>
      <c r="L51" s="4202">
        <f t="shared" ref="L51" si="102">SUM(G51+B51)</f>
        <v>0</v>
      </c>
      <c r="M51" s="4202">
        <f t="shared" si="86"/>
        <v>16.760000000000002</v>
      </c>
      <c r="N51" s="4202">
        <f t="shared" si="17"/>
        <v>16.760000000000002</v>
      </c>
      <c r="O51" s="4205">
        <f>SUM('Произв. прогр. Стоки'!Q70)</f>
        <v>0</v>
      </c>
      <c r="P51" s="4206"/>
      <c r="Q51" s="4206"/>
      <c r="R51" s="4206"/>
      <c r="S51" s="4157">
        <f t="shared" ref="S51" si="103">SUM(P51:R51)</f>
        <v>0</v>
      </c>
      <c r="T51" s="4202">
        <f t="shared" ref="T51" si="104">SUM(L51+O51)</f>
        <v>0</v>
      </c>
      <c r="U51" s="4202">
        <f t="shared" si="91"/>
        <v>16.760000000000002</v>
      </c>
      <c r="V51" s="4202">
        <f t="shared" si="22"/>
        <v>16.760000000000002</v>
      </c>
      <c r="W51" s="4205">
        <f>SUM('Произв. прогр. Стоки'!V70)</f>
        <v>0</v>
      </c>
      <c r="X51" s="4206"/>
      <c r="Y51" s="4206"/>
      <c r="Z51" s="4206"/>
      <c r="AA51" s="4157">
        <f t="shared" ref="AA51" si="105">SUM(X51:Z51)</f>
        <v>0</v>
      </c>
      <c r="AB51" s="4202">
        <f t="shared" ref="AB51" si="106">SUM(W51+T51)</f>
        <v>0</v>
      </c>
      <c r="AC51" s="4202">
        <f t="shared" si="96"/>
        <v>16.760000000000002</v>
      </c>
      <c r="AD51" s="4202">
        <f t="shared" si="27"/>
        <v>16.760000000000002</v>
      </c>
    </row>
    <row r="52" spans="1:30" ht="18.75" customHeight="1">
      <c r="A52" s="4208" t="s">
        <v>608</v>
      </c>
      <c r="B52" s="4205">
        <f>SUM('Произв. прогр. Стоки'!H71)</f>
        <v>25.63791246355693</v>
      </c>
      <c r="C52" s="4206">
        <v>6.93</v>
      </c>
      <c r="D52" s="4206">
        <v>6.93</v>
      </c>
      <c r="E52" s="4206">
        <v>6.93</v>
      </c>
      <c r="F52" s="4157">
        <f t="shared" si="97"/>
        <v>20.79</v>
      </c>
      <c r="G52" s="4205">
        <f>SUM('Произв. прогр. Стоки'!L71)</f>
        <v>25.63791246355693</v>
      </c>
      <c r="H52" s="4206">
        <v>6.93</v>
      </c>
      <c r="I52" s="4206">
        <v>6.93</v>
      </c>
      <c r="J52" s="4206">
        <v>6.93</v>
      </c>
      <c r="K52" s="4157">
        <f t="shared" si="98"/>
        <v>20.79</v>
      </c>
      <c r="L52" s="4202">
        <f t="shared" si="85"/>
        <v>51.27582492711386</v>
      </c>
      <c r="M52" s="4202">
        <f t="shared" si="86"/>
        <v>41.58</v>
      </c>
      <c r="N52" s="4202">
        <f t="shared" si="17"/>
        <v>-9.6958249271138612</v>
      </c>
      <c r="O52" s="4205">
        <f>SUM('Произв. прогр. Стоки'!Q71)</f>
        <v>25.63791246355693</v>
      </c>
      <c r="P52" s="4206">
        <v>6.93</v>
      </c>
      <c r="Q52" s="4206">
        <v>6.93</v>
      </c>
      <c r="R52" s="4206">
        <v>6.93</v>
      </c>
      <c r="S52" s="4157">
        <f t="shared" si="99"/>
        <v>20.79</v>
      </c>
      <c r="T52" s="4202">
        <f t="shared" si="90"/>
        <v>76.913737390670789</v>
      </c>
      <c r="U52" s="4202">
        <f t="shared" si="91"/>
        <v>62.37</v>
      </c>
      <c r="V52" s="4202">
        <f t="shared" si="22"/>
        <v>-14.543737390670792</v>
      </c>
      <c r="W52" s="4205">
        <f>SUM('Произв. прогр. Стоки'!V71)</f>
        <v>25.63791246355693</v>
      </c>
      <c r="X52" s="4206"/>
      <c r="Y52" s="4206"/>
      <c r="Z52" s="4206"/>
      <c r="AA52" s="4157">
        <f t="shared" si="100"/>
        <v>0</v>
      </c>
      <c r="AB52" s="4202">
        <f t="shared" si="95"/>
        <v>102.55164985422772</v>
      </c>
      <c r="AC52" s="4202">
        <f t="shared" si="96"/>
        <v>62.37</v>
      </c>
      <c r="AD52" s="4202">
        <f t="shared" si="27"/>
        <v>-40.181649854227722</v>
      </c>
    </row>
    <row r="53" spans="1:30" ht="18.75" customHeight="1">
      <c r="A53" s="4208" t="s">
        <v>98</v>
      </c>
      <c r="B53" s="4205">
        <f>SUM('Произв. прогр. Стоки'!H72)</f>
        <v>22.632088243691637</v>
      </c>
      <c r="C53" s="4206"/>
      <c r="D53" s="4206"/>
      <c r="E53" s="4206">
        <v>20.68</v>
      </c>
      <c r="F53" s="4157">
        <f t="shared" si="97"/>
        <v>20.68</v>
      </c>
      <c r="G53" s="4205">
        <f>SUM('Произв. прогр. Стоки'!L72)</f>
        <v>22.632088243691637</v>
      </c>
      <c r="H53" s="4206"/>
      <c r="I53" s="4206"/>
      <c r="J53" s="4206">
        <v>20.68</v>
      </c>
      <c r="K53" s="4157">
        <f t="shared" si="98"/>
        <v>20.68</v>
      </c>
      <c r="L53" s="4202">
        <f t="shared" si="85"/>
        <v>45.264176487383274</v>
      </c>
      <c r="M53" s="4202">
        <f t="shared" si="86"/>
        <v>41.36</v>
      </c>
      <c r="N53" s="4202">
        <f t="shared" si="17"/>
        <v>-3.9041764873832747</v>
      </c>
      <c r="O53" s="4205">
        <f>SUM('Произв. прогр. Стоки'!Q72)</f>
        <v>22.632088243691637</v>
      </c>
      <c r="P53" s="4206"/>
      <c r="Q53" s="4206"/>
      <c r="R53" s="4206">
        <v>20.67</v>
      </c>
      <c r="S53" s="4157">
        <f t="shared" si="99"/>
        <v>20.67</v>
      </c>
      <c r="T53" s="4202">
        <f t="shared" si="90"/>
        <v>67.896264731074908</v>
      </c>
      <c r="U53" s="4202">
        <f t="shared" si="91"/>
        <v>62.03</v>
      </c>
      <c r="V53" s="4202">
        <f t="shared" si="22"/>
        <v>-5.8662647310749065</v>
      </c>
      <c r="W53" s="4205">
        <f>SUM('Произв. прогр. Стоки'!V72)</f>
        <v>22.632088243691637</v>
      </c>
      <c r="X53" s="4206"/>
      <c r="Y53" s="4206"/>
      <c r="Z53" s="4206"/>
      <c r="AA53" s="4157">
        <f t="shared" si="100"/>
        <v>0</v>
      </c>
      <c r="AB53" s="4202">
        <f t="shared" si="95"/>
        <v>90.528352974766548</v>
      </c>
      <c r="AC53" s="4202">
        <f t="shared" si="96"/>
        <v>62.03</v>
      </c>
      <c r="AD53" s="4202">
        <f t="shared" si="27"/>
        <v>-28.498352974766547</v>
      </c>
    </row>
    <row r="54" spans="1:30" ht="18.75" customHeight="1">
      <c r="A54" s="4208" t="s">
        <v>609</v>
      </c>
      <c r="B54" s="4205">
        <f>SUM('Произв. прогр. Стоки'!H73)</f>
        <v>17.150879372172568</v>
      </c>
      <c r="C54" s="4206"/>
      <c r="D54" s="4206"/>
      <c r="E54" s="4206">
        <v>1.0900000000000001</v>
      </c>
      <c r="F54" s="4157">
        <f t="shared" si="97"/>
        <v>1.0900000000000001</v>
      </c>
      <c r="G54" s="4205">
        <f>SUM('Произв. прогр. Стоки'!L73)</f>
        <v>17.150879372172568</v>
      </c>
      <c r="H54" s="4206">
        <v>1.69</v>
      </c>
      <c r="I54" s="4206"/>
      <c r="J54" s="4206">
        <v>1</v>
      </c>
      <c r="K54" s="4157">
        <f t="shared" si="98"/>
        <v>2.69</v>
      </c>
      <c r="L54" s="4202">
        <f t="shared" si="85"/>
        <v>34.301758744345136</v>
      </c>
      <c r="M54" s="4202">
        <f t="shared" si="86"/>
        <v>3.7800000000000002</v>
      </c>
      <c r="N54" s="4202">
        <f t="shared" si="17"/>
        <v>-30.521758744345135</v>
      </c>
      <c r="O54" s="4205">
        <f>SUM('Произв. прогр. Стоки'!Q73)</f>
        <v>17.150879372172568</v>
      </c>
      <c r="P54" s="4206"/>
      <c r="Q54" s="4206">
        <v>25.81</v>
      </c>
      <c r="R54" s="4206"/>
      <c r="S54" s="4157">
        <f t="shared" si="99"/>
        <v>25.81</v>
      </c>
      <c r="T54" s="4202">
        <f t="shared" si="90"/>
        <v>51.452638116517704</v>
      </c>
      <c r="U54" s="4202">
        <f t="shared" si="91"/>
        <v>29.59</v>
      </c>
      <c r="V54" s="4202">
        <f t="shared" si="22"/>
        <v>-21.862638116517704</v>
      </c>
      <c r="W54" s="4205">
        <f>SUM('Произв. прогр. Стоки'!V73)</f>
        <v>17.150879372172568</v>
      </c>
      <c r="X54" s="4206"/>
      <c r="Y54" s="4206"/>
      <c r="Z54" s="4206"/>
      <c r="AA54" s="4157">
        <f t="shared" si="100"/>
        <v>0</v>
      </c>
      <c r="AB54" s="4202">
        <f t="shared" si="95"/>
        <v>68.603517488690272</v>
      </c>
      <c r="AC54" s="4202">
        <f t="shared" si="96"/>
        <v>29.59</v>
      </c>
      <c r="AD54" s="4202">
        <f t="shared" si="27"/>
        <v>-39.013517488690269</v>
      </c>
    </row>
    <row r="55" spans="1:30" ht="18.75" customHeight="1">
      <c r="A55" s="4208" t="s">
        <v>1911</v>
      </c>
      <c r="B55" s="4205">
        <f>SUM('Произв. прогр. Стоки'!H74)</f>
        <v>6.8957143867497965</v>
      </c>
      <c r="C55" s="4206">
        <f>0.58</f>
        <v>0.57999999999999996</v>
      </c>
      <c r="D55" s="4206">
        <v>0.57999999999999996</v>
      </c>
      <c r="E55" s="4206">
        <v>0.57999999999999996</v>
      </c>
      <c r="F55" s="4157">
        <f t="shared" si="97"/>
        <v>1.7399999999999998</v>
      </c>
      <c r="G55" s="4205">
        <f>SUM('Произв. прогр. Стоки'!L74)</f>
        <v>6.8957143867497965</v>
      </c>
      <c r="H55" s="4206">
        <v>4.58</v>
      </c>
      <c r="I55" s="4206">
        <v>0.57999999999999996</v>
      </c>
      <c r="J55" s="4206">
        <v>49.82</v>
      </c>
      <c r="K55" s="4157">
        <f t="shared" si="98"/>
        <v>54.980000000000004</v>
      </c>
      <c r="L55" s="4202">
        <f t="shared" si="85"/>
        <v>13.791428773499593</v>
      </c>
      <c r="M55" s="4202">
        <f t="shared" si="86"/>
        <v>56.720000000000006</v>
      </c>
      <c r="N55" s="4202">
        <f t="shared" si="17"/>
        <v>42.928571226500409</v>
      </c>
      <c r="O55" s="4205">
        <f>SUM('Произв. прогр. Стоки'!Q74)</f>
        <v>6.8957143867497965</v>
      </c>
      <c r="P55" s="4206">
        <f>0.55</f>
        <v>0.55000000000000004</v>
      </c>
      <c r="Q55" s="4206">
        <v>0.35</v>
      </c>
      <c r="R55" s="4206">
        <v>0.35</v>
      </c>
      <c r="S55" s="4157">
        <f t="shared" si="99"/>
        <v>1.25</v>
      </c>
      <c r="T55" s="4202">
        <f t="shared" si="90"/>
        <v>20.687143160249391</v>
      </c>
      <c r="U55" s="4202">
        <f t="shared" si="91"/>
        <v>57.970000000000006</v>
      </c>
      <c r="V55" s="4202">
        <f t="shared" si="22"/>
        <v>37.282856839750615</v>
      </c>
      <c r="W55" s="4205">
        <f>SUM('Произв. прогр. Стоки'!V74)</f>
        <v>6.8957143867497965</v>
      </c>
      <c r="X55" s="4206"/>
      <c r="Y55" s="4206"/>
      <c r="Z55" s="4206"/>
      <c r="AA55" s="4157">
        <f t="shared" si="100"/>
        <v>0</v>
      </c>
      <c r="AB55" s="4202">
        <f t="shared" si="95"/>
        <v>27.582857546999186</v>
      </c>
      <c r="AC55" s="4202">
        <f t="shared" si="96"/>
        <v>57.970000000000006</v>
      </c>
      <c r="AD55" s="4202">
        <f t="shared" si="27"/>
        <v>30.38714245300082</v>
      </c>
    </row>
    <row r="56" spans="1:30" ht="18.75" customHeight="1">
      <c r="A56" s="4208" t="s">
        <v>616</v>
      </c>
      <c r="B56" s="4205">
        <f>SUM('Произв. прогр. Стоки'!H75)</f>
        <v>0</v>
      </c>
      <c r="C56" s="4206">
        <v>49.78</v>
      </c>
      <c r="D56" s="4206">
        <v>48.32</v>
      </c>
      <c r="E56" s="4206">
        <v>51.84</v>
      </c>
      <c r="F56" s="4157">
        <f t="shared" si="97"/>
        <v>149.94</v>
      </c>
      <c r="G56" s="4205">
        <f>SUM('Произв. прогр. Стоки'!L75)</f>
        <v>0</v>
      </c>
      <c r="H56" s="4206">
        <v>47.33</v>
      </c>
      <c r="I56" s="4206">
        <v>49.25</v>
      </c>
      <c r="J56" s="4206">
        <v>46.52</v>
      </c>
      <c r="K56" s="4157">
        <f t="shared" si="98"/>
        <v>143.1</v>
      </c>
      <c r="L56" s="4202">
        <f t="shared" si="85"/>
        <v>0</v>
      </c>
      <c r="M56" s="4202">
        <f t="shared" si="86"/>
        <v>293.03999999999996</v>
      </c>
      <c r="N56" s="4202">
        <f t="shared" si="17"/>
        <v>293.03999999999996</v>
      </c>
      <c r="O56" s="4205">
        <f>SUM('Произв. прогр. Стоки'!Q75)</f>
        <v>0</v>
      </c>
      <c r="P56" s="4206">
        <v>46.24</v>
      </c>
      <c r="Q56" s="4206">
        <v>43.97</v>
      </c>
      <c r="R56" s="4206">
        <v>45.56</v>
      </c>
      <c r="S56" s="4157">
        <f t="shared" si="99"/>
        <v>135.77000000000001</v>
      </c>
      <c r="T56" s="4202">
        <f t="shared" si="90"/>
        <v>0</v>
      </c>
      <c r="U56" s="4202">
        <f t="shared" si="91"/>
        <v>428.80999999999995</v>
      </c>
      <c r="V56" s="4202">
        <f t="shared" si="22"/>
        <v>428.80999999999995</v>
      </c>
      <c r="W56" s="4205">
        <f>SUM('Произв. прогр. Стоки'!V75)</f>
        <v>0</v>
      </c>
      <c r="X56" s="4206"/>
      <c r="Y56" s="4206"/>
      <c r="Z56" s="4206"/>
      <c r="AA56" s="4157">
        <f t="shared" si="100"/>
        <v>0</v>
      </c>
      <c r="AB56" s="4202">
        <f t="shared" si="95"/>
        <v>0</v>
      </c>
      <c r="AC56" s="4202">
        <f t="shared" si="96"/>
        <v>428.80999999999995</v>
      </c>
      <c r="AD56" s="4202">
        <f t="shared" si="27"/>
        <v>428.80999999999995</v>
      </c>
    </row>
    <row r="57" spans="1:30" ht="18.75" customHeight="1">
      <c r="A57" s="4208" t="s">
        <v>613</v>
      </c>
      <c r="B57" s="4205">
        <f>SUM('Произв. прогр. Стоки'!H76)</f>
        <v>0</v>
      </c>
      <c r="C57" s="4206">
        <v>25.29</v>
      </c>
      <c r="D57" s="4206">
        <v>25.65</v>
      </c>
      <c r="E57" s="4206">
        <v>19.88</v>
      </c>
      <c r="F57" s="4157">
        <f t="shared" si="97"/>
        <v>70.819999999999993</v>
      </c>
      <c r="G57" s="4205">
        <f>SUM('Произв. прогр. Стоки'!L76)</f>
        <v>0</v>
      </c>
      <c r="H57" s="4206">
        <v>32.64</v>
      </c>
      <c r="I57" s="4206">
        <v>26.01</v>
      </c>
      <c r="J57" s="4206">
        <v>26.58</v>
      </c>
      <c r="K57" s="4157">
        <f t="shared" si="98"/>
        <v>85.23</v>
      </c>
      <c r="L57" s="4202">
        <f t="shared" si="85"/>
        <v>0</v>
      </c>
      <c r="M57" s="4202">
        <f t="shared" si="86"/>
        <v>156.05000000000001</v>
      </c>
      <c r="N57" s="4202">
        <f t="shared" si="17"/>
        <v>156.05000000000001</v>
      </c>
      <c r="O57" s="4205">
        <f>SUM('Произв. прогр. Стоки'!Q76)</f>
        <v>0</v>
      </c>
      <c r="P57" s="4206">
        <v>26.33</v>
      </c>
      <c r="Q57" s="4206">
        <v>26.4</v>
      </c>
      <c r="R57" s="4206">
        <v>29.73</v>
      </c>
      <c r="S57" s="4157">
        <f t="shared" si="99"/>
        <v>82.46</v>
      </c>
      <c r="T57" s="4202">
        <f t="shared" si="90"/>
        <v>0</v>
      </c>
      <c r="U57" s="4202">
        <f t="shared" si="91"/>
        <v>238.51</v>
      </c>
      <c r="V57" s="4202">
        <f t="shared" si="22"/>
        <v>238.51</v>
      </c>
      <c r="W57" s="4205">
        <f>SUM('Произв. прогр. Стоки'!V76)</f>
        <v>0</v>
      </c>
      <c r="X57" s="4206"/>
      <c r="Y57" s="4206"/>
      <c r="Z57" s="4206"/>
      <c r="AA57" s="4157">
        <f t="shared" si="100"/>
        <v>0</v>
      </c>
      <c r="AB57" s="4202">
        <f t="shared" si="95"/>
        <v>0</v>
      </c>
      <c r="AC57" s="4202">
        <f t="shared" si="96"/>
        <v>238.51</v>
      </c>
      <c r="AD57" s="4202">
        <f t="shared" si="27"/>
        <v>238.51</v>
      </c>
    </row>
    <row r="58" spans="1:30" ht="18.75" customHeight="1">
      <c r="A58" s="4208" t="s">
        <v>32</v>
      </c>
      <c r="B58" s="4205">
        <f>SUM('Произв. прогр. Стоки'!H77)</f>
        <v>5.1275824927113858</v>
      </c>
      <c r="C58" s="4206"/>
      <c r="D58" s="4206"/>
      <c r="E58" s="4206"/>
      <c r="F58" s="4157">
        <f t="shared" si="97"/>
        <v>0</v>
      </c>
      <c r="G58" s="4205">
        <f>SUM('Произв. прогр. Стоки'!L77)</f>
        <v>5.1275824927113858</v>
      </c>
      <c r="H58" s="4206"/>
      <c r="I58" s="4206"/>
      <c r="J58" s="4206"/>
      <c r="K58" s="4157">
        <f t="shared" si="98"/>
        <v>0</v>
      </c>
      <c r="L58" s="4202">
        <f t="shared" si="85"/>
        <v>10.255164985422772</v>
      </c>
      <c r="M58" s="4202">
        <f t="shared" si="86"/>
        <v>0</v>
      </c>
      <c r="N58" s="4202">
        <f t="shared" si="17"/>
        <v>-10.255164985422772</v>
      </c>
      <c r="O58" s="4205">
        <f>SUM('Произв. прогр. Стоки'!Q77)</f>
        <v>5.1275824927113858</v>
      </c>
      <c r="P58" s="4206"/>
      <c r="Q58" s="4206"/>
      <c r="R58" s="4206"/>
      <c r="S58" s="4157">
        <f t="shared" si="99"/>
        <v>0</v>
      </c>
      <c r="T58" s="4202">
        <f t="shared" si="90"/>
        <v>15.382747478134156</v>
      </c>
      <c r="U58" s="4202">
        <f t="shared" si="91"/>
        <v>0</v>
      </c>
      <c r="V58" s="4202">
        <f t="shared" si="22"/>
        <v>-15.382747478134156</v>
      </c>
      <c r="W58" s="4205">
        <f>SUM('Произв. прогр. Стоки'!V77)</f>
        <v>5.1275824927113858</v>
      </c>
      <c r="X58" s="4206"/>
      <c r="Y58" s="4206"/>
      <c r="Z58" s="4206"/>
      <c r="AA58" s="4157">
        <f t="shared" si="100"/>
        <v>0</v>
      </c>
      <c r="AB58" s="4202">
        <f t="shared" si="95"/>
        <v>20.510329970845543</v>
      </c>
      <c r="AC58" s="4202">
        <f t="shared" si="96"/>
        <v>0</v>
      </c>
      <c r="AD58" s="4202">
        <f t="shared" si="27"/>
        <v>-20.510329970845543</v>
      </c>
    </row>
    <row r="59" spans="1:30" ht="18.75" customHeight="1">
      <c r="A59" s="4208" t="s">
        <v>607</v>
      </c>
      <c r="B59" s="4205">
        <f>SUM('Произв. прогр. Стоки'!H78)</f>
        <v>209.41743927701532</v>
      </c>
      <c r="C59" s="4205">
        <f>SUM(C60:C63)</f>
        <v>67.760000000000005</v>
      </c>
      <c r="D59" s="4205">
        <f t="shared" ref="D59:F59" si="107">SUM(D60:D63)</f>
        <v>53.349999999999994</v>
      </c>
      <c r="E59" s="4205">
        <f t="shared" si="107"/>
        <v>48.39</v>
      </c>
      <c r="F59" s="4205">
        <f t="shared" si="107"/>
        <v>169.5</v>
      </c>
      <c r="G59" s="4205">
        <f>SUM('Произв. прогр. Стоки'!L78)</f>
        <v>85.985113559717675</v>
      </c>
      <c r="H59" s="4205">
        <f>SUM(H60:H63)</f>
        <v>31.91</v>
      </c>
      <c r="I59" s="4205">
        <f t="shared" ref="I59:K59" si="108">SUM(I60:I63)</f>
        <v>36.22</v>
      </c>
      <c r="J59" s="4205">
        <f>SUM(J60:J63)</f>
        <v>4.71</v>
      </c>
      <c r="K59" s="4205">
        <f t="shared" si="108"/>
        <v>72.84</v>
      </c>
      <c r="L59" s="4202">
        <f t="shared" si="85"/>
        <v>295.40255283673298</v>
      </c>
      <c r="M59" s="4202">
        <f t="shared" si="86"/>
        <v>242.34</v>
      </c>
      <c r="N59" s="4202">
        <f t="shared" si="17"/>
        <v>-53.062552836732976</v>
      </c>
      <c r="O59" s="4205">
        <f>SUM('Произв. прогр. Стоки'!Q78)</f>
        <v>56.489253868622292</v>
      </c>
      <c r="P59" s="4205">
        <f>SUM(P60:P63)</f>
        <v>4.59</v>
      </c>
      <c r="Q59" s="4205">
        <f t="shared" ref="Q59:S59" si="109">SUM(Q60:Q63)</f>
        <v>2.8000000000000003</v>
      </c>
      <c r="R59" s="4205">
        <f t="shared" si="109"/>
        <v>18.32</v>
      </c>
      <c r="S59" s="4205">
        <f t="shared" si="109"/>
        <v>25.71</v>
      </c>
      <c r="T59" s="4202">
        <f t="shared" si="90"/>
        <v>351.89180670535529</v>
      </c>
      <c r="U59" s="4202">
        <f t="shared" si="91"/>
        <v>268.05</v>
      </c>
      <c r="V59" s="4202">
        <f t="shared" si="22"/>
        <v>-83.841806705355282</v>
      </c>
      <c r="W59" s="4205">
        <f>SUM('Произв. прогр. Стоки'!V78)</f>
        <v>189.86380562801321</v>
      </c>
      <c r="X59" s="4205">
        <f>SUM(X60:X63)</f>
        <v>0</v>
      </c>
      <c r="Y59" s="4205">
        <f t="shared" ref="Y59:AA59" si="110">SUM(Y60:Y63)</f>
        <v>0</v>
      </c>
      <c r="Z59" s="4205">
        <f t="shared" si="110"/>
        <v>0</v>
      </c>
      <c r="AA59" s="4205">
        <f t="shared" si="110"/>
        <v>0</v>
      </c>
      <c r="AB59" s="4202">
        <f t="shared" si="95"/>
        <v>541.7556123333685</v>
      </c>
      <c r="AC59" s="4202">
        <f t="shared" si="96"/>
        <v>268.05</v>
      </c>
      <c r="AD59" s="4202">
        <f t="shared" si="27"/>
        <v>-273.70561233336849</v>
      </c>
    </row>
    <row r="60" spans="1:30" ht="18.75" customHeight="1">
      <c r="A60" s="4125" t="s">
        <v>652</v>
      </c>
      <c r="B60" s="4165">
        <f>SUM('Произв. прогр. Стоки'!H79)</f>
        <v>168.75040571413194</v>
      </c>
      <c r="C60" s="4209">
        <v>58.92</v>
      </c>
      <c r="D60" s="4209">
        <v>51.68</v>
      </c>
      <c r="E60" s="4209">
        <v>42.09</v>
      </c>
      <c r="F60" s="4164">
        <f t="shared" si="97"/>
        <v>152.69</v>
      </c>
      <c r="G60" s="4165">
        <f>SUM('Произв. прогр. Стоки'!L79)</f>
        <v>45.318079996834271</v>
      </c>
      <c r="H60" s="4209">
        <v>31.82</v>
      </c>
      <c r="I60" s="4209">
        <v>25.34</v>
      </c>
      <c r="J60" s="4209"/>
      <c r="K60" s="4164">
        <f t="shared" ref="K60:K63" si="111">SUM(H60:J60)</f>
        <v>57.16</v>
      </c>
      <c r="L60" s="4210">
        <f t="shared" si="85"/>
        <v>214.06848571096623</v>
      </c>
      <c r="M60" s="4210">
        <f t="shared" si="86"/>
        <v>209.85</v>
      </c>
      <c r="N60" s="4210">
        <f t="shared" si="17"/>
        <v>-4.2184857109662346</v>
      </c>
      <c r="O60" s="4165">
        <f>SUM('Произв. прогр. Стоки'!Q79)</f>
        <v>15.82222030573889</v>
      </c>
      <c r="P60" s="4209"/>
      <c r="Q60" s="4209"/>
      <c r="R60" s="4209">
        <v>10.53</v>
      </c>
      <c r="S60" s="4164">
        <f t="shared" ref="S60:S63" si="112">SUM(P60:R60)</f>
        <v>10.53</v>
      </c>
      <c r="T60" s="4210">
        <f t="shared" si="90"/>
        <v>229.89070601670511</v>
      </c>
      <c r="U60" s="4210">
        <f t="shared" si="91"/>
        <v>220.38</v>
      </c>
      <c r="V60" s="4210">
        <f t="shared" si="22"/>
        <v>-9.5107060167051145</v>
      </c>
      <c r="W60" s="4165">
        <f>SUM('Произв. прогр. Стоки'!V79)</f>
        <v>149.19677206512978</v>
      </c>
      <c r="X60" s="4209"/>
      <c r="Y60" s="4209"/>
      <c r="Z60" s="4209"/>
      <c r="AA60" s="4164">
        <f t="shared" ref="AA60:AA63" si="113">SUM(X60:Z60)</f>
        <v>0</v>
      </c>
      <c r="AB60" s="4210">
        <f t="shared" si="95"/>
        <v>379.08747808183489</v>
      </c>
      <c r="AC60" s="4210">
        <f t="shared" si="96"/>
        <v>220.38</v>
      </c>
      <c r="AD60" s="4210">
        <f t="shared" si="27"/>
        <v>-158.70747808183489</v>
      </c>
    </row>
    <row r="61" spans="1:30" ht="18.75" customHeight="1">
      <c r="A61" s="4125" t="s">
        <v>565</v>
      </c>
      <c r="B61" s="4165">
        <f>SUM('Произв. прогр. Стоки'!H80)</f>
        <v>33.417692797325927</v>
      </c>
      <c r="C61" s="4209">
        <v>7.17</v>
      </c>
      <c r="D61" s="4209">
        <v>0.94</v>
      </c>
      <c r="E61" s="4209">
        <v>4.32</v>
      </c>
      <c r="F61" s="4164">
        <f t="shared" si="97"/>
        <v>12.43</v>
      </c>
      <c r="G61" s="4165">
        <f>SUM('Произв. прогр. Стоки'!L80)</f>
        <v>33.417692797325927</v>
      </c>
      <c r="H61" s="4209">
        <v>0.09</v>
      </c>
      <c r="I61" s="4209">
        <f>2.44+3.27</f>
        <v>5.71</v>
      </c>
      <c r="J61" s="4209">
        <v>2.0299999999999998</v>
      </c>
      <c r="K61" s="4164">
        <f t="shared" si="111"/>
        <v>7.83</v>
      </c>
      <c r="L61" s="4210">
        <f t="shared" si="85"/>
        <v>66.835385594651854</v>
      </c>
      <c r="M61" s="4210">
        <f t="shared" si="86"/>
        <v>20.259999999999998</v>
      </c>
      <c r="N61" s="4210">
        <f t="shared" si="17"/>
        <v>-46.575385594651856</v>
      </c>
      <c r="O61" s="4165">
        <f>SUM('Произв. прогр. Стоки'!Q80)</f>
        <v>33.417692797325927</v>
      </c>
      <c r="P61" s="4209">
        <v>1.8</v>
      </c>
      <c r="Q61" s="4209">
        <v>0.14000000000000001</v>
      </c>
      <c r="R61" s="4209">
        <v>3.73</v>
      </c>
      <c r="S61" s="4164">
        <f t="shared" si="112"/>
        <v>5.67</v>
      </c>
      <c r="T61" s="4210">
        <f t="shared" si="90"/>
        <v>100.25307839197778</v>
      </c>
      <c r="U61" s="4210">
        <f t="shared" si="91"/>
        <v>25.93</v>
      </c>
      <c r="V61" s="4210">
        <f t="shared" si="22"/>
        <v>-74.323078391977788</v>
      </c>
      <c r="W61" s="4165">
        <f>SUM('Произв. прогр. Стоки'!V80)</f>
        <v>33.417692797325927</v>
      </c>
      <c r="X61" s="4209"/>
      <c r="Y61" s="4209"/>
      <c r="Z61" s="4209"/>
      <c r="AA61" s="4164">
        <f t="shared" si="113"/>
        <v>0</v>
      </c>
      <c r="AB61" s="4210">
        <f t="shared" si="95"/>
        <v>133.67077118930371</v>
      </c>
      <c r="AC61" s="4210">
        <f t="shared" si="96"/>
        <v>25.93</v>
      </c>
      <c r="AD61" s="4210">
        <f t="shared" si="27"/>
        <v>-107.7407711893037</v>
      </c>
    </row>
    <row r="62" spans="1:30" ht="18.75" customHeight="1">
      <c r="A62" s="4125" t="s">
        <v>564</v>
      </c>
      <c r="B62" s="4165">
        <f>SUM('Произв. прогр. Стоки'!H81)</f>
        <v>0.17681318940384091</v>
      </c>
      <c r="C62" s="4209"/>
      <c r="D62" s="4209"/>
      <c r="E62" s="4209"/>
      <c r="F62" s="4164">
        <f t="shared" si="97"/>
        <v>0</v>
      </c>
      <c r="G62" s="4165">
        <f>SUM('Произв. прогр. Стоки'!L81)</f>
        <v>0.17681318940384091</v>
      </c>
      <c r="H62" s="4209"/>
      <c r="I62" s="4209">
        <v>5.17</v>
      </c>
      <c r="J62" s="4209"/>
      <c r="K62" s="4164">
        <f t="shared" si="111"/>
        <v>5.17</v>
      </c>
      <c r="L62" s="4210">
        <f t="shared" si="85"/>
        <v>0.35362637880768183</v>
      </c>
      <c r="M62" s="4210">
        <f t="shared" si="86"/>
        <v>5.17</v>
      </c>
      <c r="N62" s="4210">
        <f t="shared" si="17"/>
        <v>4.8163736211923185</v>
      </c>
      <c r="O62" s="4165">
        <f>SUM('Произв. прогр. Стоки'!Q81)</f>
        <v>0.17681318940384091</v>
      </c>
      <c r="P62" s="4209"/>
      <c r="Q62" s="4209"/>
      <c r="R62" s="4209"/>
      <c r="S62" s="4164">
        <f t="shared" si="112"/>
        <v>0</v>
      </c>
      <c r="T62" s="4210">
        <f t="shared" si="90"/>
        <v>0.53043956821152272</v>
      </c>
      <c r="U62" s="4210">
        <f t="shared" si="91"/>
        <v>5.17</v>
      </c>
      <c r="V62" s="4210">
        <f t="shared" si="22"/>
        <v>4.6395604317884773</v>
      </c>
      <c r="W62" s="4165">
        <f>SUM('Произв. прогр. Стоки'!V81)</f>
        <v>0.17681318940384091</v>
      </c>
      <c r="X62" s="4209"/>
      <c r="Y62" s="4209"/>
      <c r="Z62" s="4209"/>
      <c r="AA62" s="4164">
        <f t="shared" si="113"/>
        <v>0</v>
      </c>
      <c r="AB62" s="4210">
        <f t="shared" si="95"/>
        <v>0.70725275761536366</v>
      </c>
      <c r="AC62" s="4210">
        <f t="shared" si="96"/>
        <v>5.17</v>
      </c>
      <c r="AD62" s="4210">
        <f t="shared" si="27"/>
        <v>4.4627472423846362</v>
      </c>
    </row>
    <row r="63" spans="1:30" ht="18.75" customHeight="1">
      <c r="A63" s="4125" t="s">
        <v>566</v>
      </c>
      <c r="B63" s="4165">
        <f>SUM('Произв. прогр. Стоки'!H82)</f>
        <v>7.0725275761536359</v>
      </c>
      <c r="C63" s="4209">
        <v>1.67</v>
      </c>
      <c r="D63" s="4209">
        <v>0.73</v>
      </c>
      <c r="E63" s="4209">
        <v>1.98</v>
      </c>
      <c r="F63" s="4164">
        <f t="shared" si="97"/>
        <v>4.38</v>
      </c>
      <c r="G63" s="4165">
        <f>SUM('Произв. прогр. Стоки'!L82)</f>
        <v>7.0725275761536359</v>
      </c>
      <c r="H63" s="4209"/>
      <c r="I63" s="4209"/>
      <c r="J63" s="4209">
        <v>2.68</v>
      </c>
      <c r="K63" s="4164">
        <f t="shared" si="111"/>
        <v>2.68</v>
      </c>
      <c r="L63" s="4210">
        <f t="shared" si="85"/>
        <v>14.145055152307272</v>
      </c>
      <c r="M63" s="4210">
        <f t="shared" si="86"/>
        <v>7.0600000000000005</v>
      </c>
      <c r="N63" s="4210">
        <f t="shared" si="17"/>
        <v>-7.0850551523072713</v>
      </c>
      <c r="O63" s="4165">
        <f>SUM('Произв. прогр. Стоки'!Q82)</f>
        <v>7.0725275761536359</v>
      </c>
      <c r="P63" s="4209">
        <v>2.79</v>
      </c>
      <c r="Q63" s="4209">
        <v>2.66</v>
      </c>
      <c r="R63" s="4209">
        <v>4.0599999999999996</v>
      </c>
      <c r="S63" s="4164">
        <f t="shared" si="112"/>
        <v>9.51</v>
      </c>
      <c r="T63" s="4210">
        <f t="shared" si="90"/>
        <v>21.217582728460908</v>
      </c>
      <c r="U63" s="4210">
        <f t="shared" si="91"/>
        <v>16.57</v>
      </c>
      <c r="V63" s="4210">
        <f t="shared" si="22"/>
        <v>-4.6475827284609075</v>
      </c>
      <c r="W63" s="4165">
        <f>SUM('Произв. прогр. Стоки'!V82)</f>
        <v>7.0725275761536359</v>
      </c>
      <c r="X63" s="4209"/>
      <c r="Y63" s="4209"/>
      <c r="Z63" s="4209"/>
      <c r="AA63" s="4164">
        <f t="shared" si="113"/>
        <v>0</v>
      </c>
      <c r="AB63" s="4210">
        <f t="shared" si="95"/>
        <v>28.290110304614544</v>
      </c>
      <c r="AC63" s="4210">
        <f t="shared" si="96"/>
        <v>16.57</v>
      </c>
      <c r="AD63" s="4210">
        <f t="shared" si="27"/>
        <v>-11.720110304614543</v>
      </c>
    </row>
    <row r="64" spans="1:30" ht="18.75" customHeight="1">
      <c r="A64" s="4208" t="s">
        <v>610</v>
      </c>
      <c r="B64" s="4205">
        <f>SUM('Произв. прогр. Стоки'!H83)</f>
        <v>110.53023893816237</v>
      </c>
      <c r="C64" s="4205">
        <f>SUM(C65:C68)</f>
        <v>0</v>
      </c>
      <c r="D64" s="4205">
        <f t="shared" ref="D64:F64" si="114">SUM(D65:D68)</f>
        <v>0</v>
      </c>
      <c r="E64" s="4205">
        <f t="shared" si="114"/>
        <v>108.09</v>
      </c>
      <c r="F64" s="4205">
        <f t="shared" si="114"/>
        <v>108.09</v>
      </c>
      <c r="G64" s="4205">
        <f>SUM('Произв. прогр. Стоки'!L83)</f>
        <v>117.83509904519268</v>
      </c>
      <c r="H64" s="4205">
        <f>SUM(H65:H68)</f>
        <v>2.4</v>
      </c>
      <c r="I64" s="4205">
        <f t="shared" ref="I64:K64" si="115">SUM(I65:I68)</f>
        <v>8.18</v>
      </c>
      <c r="J64" s="4205">
        <f>SUM(J65:J68)</f>
        <v>186.47</v>
      </c>
      <c r="K64" s="4205">
        <f t="shared" si="115"/>
        <v>197.05</v>
      </c>
      <c r="L64" s="4202">
        <f t="shared" si="85"/>
        <v>228.36533798335506</v>
      </c>
      <c r="M64" s="4202">
        <f t="shared" si="86"/>
        <v>305.14</v>
      </c>
      <c r="N64" s="4202">
        <f t="shared" si="17"/>
        <v>76.774662016644925</v>
      </c>
      <c r="O64" s="4205">
        <f>SUM('Произв. прогр. Стоки'!Q83)</f>
        <v>122.94047380131494</v>
      </c>
      <c r="P64" s="4205">
        <f>SUM(P65:P68)</f>
        <v>35.480000000000004</v>
      </c>
      <c r="Q64" s="4205">
        <f t="shared" ref="Q64:S64" si="116">SUM(Q65:Q68)</f>
        <v>10.4</v>
      </c>
      <c r="R64" s="4205">
        <f t="shared" si="116"/>
        <v>39.53</v>
      </c>
      <c r="S64" s="4205">
        <f t="shared" si="116"/>
        <v>85.41</v>
      </c>
      <c r="T64" s="4202">
        <f t="shared" si="90"/>
        <v>351.30581178467003</v>
      </c>
      <c r="U64" s="4202">
        <f t="shared" si="91"/>
        <v>390.54999999999995</v>
      </c>
      <c r="V64" s="4202">
        <f t="shared" si="22"/>
        <v>39.244188215329928</v>
      </c>
      <c r="W64" s="4205">
        <f>SUM('Произв. прогр. Стоки'!V83)</f>
        <v>110.53023893816237</v>
      </c>
      <c r="X64" s="4205">
        <f>SUM(X65:X68)</f>
        <v>0</v>
      </c>
      <c r="Y64" s="4205">
        <f t="shared" ref="Y64:AA64" si="117">SUM(Y65:Y68)</f>
        <v>0</v>
      </c>
      <c r="Z64" s="4205">
        <f t="shared" si="117"/>
        <v>0</v>
      </c>
      <c r="AA64" s="4205">
        <f t="shared" si="117"/>
        <v>0</v>
      </c>
      <c r="AB64" s="4202">
        <f t="shared" si="95"/>
        <v>461.8360507228324</v>
      </c>
      <c r="AC64" s="4202">
        <f t="shared" si="96"/>
        <v>390.54999999999995</v>
      </c>
      <c r="AD64" s="4202">
        <f t="shared" si="27"/>
        <v>-71.286050722832442</v>
      </c>
    </row>
    <row r="65" spans="1:30" ht="18.75" customHeight="1">
      <c r="A65" s="4125" t="s">
        <v>552</v>
      </c>
      <c r="B65" s="4165">
        <f>SUM('Произв. прогр. Стоки'!H84)</f>
        <v>35.207820252126176</v>
      </c>
      <c r="C65" s="4209"/>
      <c r="D65" s="4209"/>
      <c r="E65" s="4209">
        <v>18.98</v>
      </c>
      <c r="F65" s="4164">
        <f t="shared" si="97"/>
        <v>18.98</v>
      </c>
      <c r="G65" s="4165">
        <f>SUM('Произв. прогр. Стоки'!L84)</f>
        <v>42.512680359156462</v>
      </c>
      <c r="H65" s="4209"/>
      <c r="I65" s="4209"/>
      <c r="J65" s="4209"/>
      <c r="K65" s="4164">
        <f t="shared" ref="K65:K68" si="118">SUM(H65:J65)</f>
        <v>0</v>
      </c>
      <c r="L65" s="4210">
        <f t="shared" si="85"/>
        <v>77.720500611282631</v>
      </c>
      <c r="M65" s="4210">
        <f t="shared" si="86"/>
        <v>18.98</v>
      </c>
      <c r="N65" s="4210">
        <f t="shared" si="17"/>
        <v>-58.740500611282627</v>
      </c>
      <c r="O65" s="4165">
        <f>SUM('Произв. прогр. Стоки'!Q84)</f>
        <v>47.618055115278729</v>
      </c>
      <c r="P65" s="4209">
        <f>2.12+1.81+17.84+8.51</f>
        <v>30.28</v>
      </c>
      <c r="Q65" s="4209"/>
      <c r="R65" s="4209">
        <v>39.53</v>
      </c>
      <c r="S65" s="4164">
        <f t="shared" ref="S65:S68" si="119">SUM(P65:R65)</f>
        <v>69.81</v>
      </c>
      <c r="T65" s="4210">
        <f t="shared" si="90"/>
        <v>125.33855572656137</v>
      </c>
      <c r="U65" s="4210">
        <f t="shared" si="91"/>
        <v>88.79</v>
      </c>
      <c r="V65" s="4210">
        <f t="shared" si="22"/>
        <v>-36.548555726561361</v>
      </c>
      <c r="W65" s="4165">
        <f>SUM('Произв. прогр. Стоки'!V84)</f>
        <v>35.207820252126176</v>
      </c>
      <c r="X65" s="4209"/>
      <c r="Y65" s="4209"/>
      <c r="Z65" s="4209"/>
      <c r="AA65" s="4164">
        <f t="shared" ref="AA65:AA68" si="120">SUM(X65:Z65)</f>
        <v>0</v>
      </c>
      <c r="AB65" s="4210">
        <f t="shared" si="95"/>
        <v>160.54637597868754</v>
      </c>
      <c r="AC65" s="4210">
        <f t="shared" si="96"/>
        <v>88.79</v>
      </c>
      <c r="AD65" s="4210">
        <f t="shared" si="27"/>
        <v>-71.756375978687529</v>
      </c>
    </row>
    <row r="66" spans="1:30" ht="18.75" customHeight="1">
      <c r="A66" s="4125" t="s">
        <v>644</v>
      </c>
      <c r="B66" s="4165">
        <f>SUM('Произв. прогр. Стоки'!H85)</f>
        <v>73.907913170805486</v>
      </c>
      <c r="C66" s="4209"/>
      <c r="D66" s="4209"/>
      <c r="E66" s="4209">
        <v>80.08</v>
      </c>
      <c r="F66" s="4164">
        <f t="shared" si="97"/>
        <v>80.08</v>
      </c>
      <c r="G66" s="4165">
        <f>SUM('Произв. прогр. Стоки'!L85)</f>
        <v>73.907913170805486</v>
      </c>
      <c r="H66" s="4209">
        <v>2.4</v>
      </c>
      <c r="I66" s="4209"/>
      <c r="J66" s="4209">
        <v>169.07</v>
      </c>
      <c r="K66" s="4164">
        <f t="shared" si="118"/>
        <v>171.47</v>
      </c>
      <c r="L66" s="4210">
        <f t="shared" si="85"/>
        <v>147.81582634161097</v>
      </c>
      <c r="M66" s="4210">
        <f t="shared" si="86"/>
        <v>251.55</v>
      </c>
      <c r="N66" s="4210">
        <f t="shared" si="17"/>
        <v>103.73417365838904</v>
      </c>
      <c r="O66" s="4165">
        <f>SUM('Произв. прогр. Стоки'!Q85)</f>
        <v>73.907913170805486</v>
      </c>
      <c r="P66" s="4209">
        <v>5.2</v>
      </c>
      <c r="Q66" s="4209">
        <f>5.2+5.2</f>
        <v>10.4</v>
      </c>
      <c r="R66" s="4209"/>
      <c r="S66" s="4164">
        <f t="shared" si="119"/>
        <v>15.600000000000001</v>
      </c>
      <c r="T66" s="4210">
        <f t="shared" si="90"/>
        <v>221.72373951241644</v>
      </c>
      <c r="U66" s="4210">
        <f t="shared" si="91"/>
        <v>267.15000000000003</v>
      </c>
      <c r="V66" s="4210">
        <f t="shared" si="22"/>
        <v>45.42626048758359</v>
      </c>
      <c r="W66" s="4165">
        <f>SUM('Произв. прогр. Стоки'!V85)</f>
        <v>73.907913170805486</v>
      </c>
      <c r="X66" s="4209"/>
      <c r="Y66" s="4209"/>
      <c r="Z66" s="4209"/>
      <c r="AA66" s="4164">
        <f t="shared" si="120"/>
        <v>0</v>
      </c>
      <c r="AB66" s="4210">
        <f t="shared" si="95"/>
        <v>295.63165268322194</v>
      </c>
      <c r="AC66" s="4210">
        <f t="shared" si="96"/>
        <v>267.15000000000003</v>
      </c>
      <c r="AD66" s="4210">
        <f t="shared" si="27"/>
        <v>-28.48165268322191</v>
      </c>
    </row>
    <row r="67" spans="1:30" ht="18.75" customHeight="1">
      <c r="A67" s="4125" t="s">
        <v>560</v>
      </c>
      <c r="B67" s="4165">
        <f>SUM('Произв. прогр. Стоки'!H86)</f>
        <v>1.2376923258268864</v>
      </c>
      <c r="C67" s="4209"/>
      <c r="D67" s="4209"/>
      <c r="E67" s="4209">
        <v>9.0299999999999994</v>
      </c>
      <c r="F67" s="4164">
        <f t="shared" si="97"/>
        <v>9.0299999999999994</v>
      </c>
      <c r="G67" s="4165">
        <f>SUM('Произв. прогр. Стоки'!L86)</f>
        <v>1.2376923258268864</v>
      </c>
      <c r="H67" s="4209"/>
      <c r="I67" s="4209">
        <f>6.18+2</f>
        <v>8.18</v>
      </c>
      <c r="J67" s="4209">
        <v>17.399999999999999</v>
      </c>
      <c r="K67" s="4164">
        <f t="shared" si="118"/>
        <v>25.58</v>
      </c>
      <c r="L67" s="4210">
        <f t="shared" si="85"/>
        <v>2.4753846516537727</v>
      </c>
      <c r="M67" s="4210">
        <f t="shared" si="86"/>
        <v>34.61</v>
      </c>
      <c r="N67" s="4210">
        <f t="shared" si="17"/>
        <v>32.13461534834623</v>
      </c>
      <c r="O67" s="4165">
        <f>SUM('Произв. прогр. Стоки'!Q86)</f>
        <v>1.2376923258268864</v>
      </c>
      <c r="P67" s="4209"/>
      <c r="Q67" s="4209"/>
      <c r="R67" s="4209"/>
      <c r="S67" s="4164">
        <f t="shared" si="119"/>
        <v>0</v>
      </c>
      <c r="T67" s="4210">
        <f t="shared" si="90"/>
        <v>3.7130769774806591</v>
      </c>
      <c r="U67" s="4210">
        <f t="shared" si="91"/>
        <v>34.61</v>
      </c>
      <c r="V67" s="4210">
        <f t="shared" si="22"/>
        <v>30.896923022519339</v>
      </c>
      <c r="W67" s="4165">
        <f>SUM('Произв. прогр. Стоки'!V86)</f>
        <v>1.2376923258268864</v>
      </c>
      <c r="X67" s="4209"/>
      <c r="Y67" s="4209"/>
      <c r="Z67" s="4209"/>
      <c r="AA67" s="4164">
        <f t="shared" si="120"/>
        <v>0</v>
      </c>
      <c r="AB67" s="4210">
        <f t="shared" si="95"/>
        <v>4.9507693033075455</v>
      </c>
      <c r="AC67" s="4210">
        <f t="shared" si="96"/>
        <v>34.61</v>
      </c>
      <c r="AD67" s="4210">
        <f t="shared" si="27"/>
        <v>29.659230696692454</v>
      </c>
    </row>
    <row r="68" spans="1:30" ht="18.75" customHeight="1">
      <c r="A68" s="4125" t="s">
        <v>614</v>
      </c>
      <c r="B68" s="4165">
        <f>SUM('Произв. прогр. Стоки'!H87)</f>
        <v>0.17681318940384091</v>
      </c>
      <c r="C68" s="4209"/>
      <c r="D68" s="4209"/>
      <c r="E68" s="4209"/>
      <c r="F68" s="4164">
        <f t="shared" si="97"/>
        <v>0</v>
      </c>
      <c r="G68" s="4165">
        <f>SUM('Произв. прогр. Стоки'!L87)</f>
        <v>0.17681318940384091</v>
      </c>
      <c r="H68" s="4209"/>
      <c r="I68" s="4209"/>
      <c r="J68" s="4209"/>
      <c r="K68" s="4164">
        <f t="shared" si="118"/>
        <v>0</v>
      </c>
      <c r="L68" s="4210">
        <f t="shared" si="85"/>
        <v>0.35362637880768183</v>
      </c>
      <c r="M68" s="4210">
        <f t="shared" si="86"/>
        <v>0</v>
      </c>
      <c r="N68" s="4210">
        <f t="shared" si="17"/>
        <v>-0.35362637880768183</v>
      </c>
      <c r="O68" s="4165">
        <f>SUM('Произв. прогр. Стоки'!Q87)</f>
        <v>0.17681318940384091</v>
      </c>
      <c r="P68" s="4209"/>
      <c r="Q68" s="4209"/>
      <c r="R68" s="4209"/>
      <c r="S68" s="4164">
        <f t="shared" si="119"/>
        <v>0</v>
      </c>
      <c r="T68" s="4210">
        <f t="shared" si="90"/>
        <v>0.53043956821152272</v>
      </c>
      <c r="U68" s="4210">
        <f t="shared" si="91"/>
        <v>0</v>
      </c>
      <c r="V68" s="4210">
        <f t="shared" si="22"/>
        <v>-0.53043956821152272</v>
      </c>
      <c r="W68" s="4165">
        <f>SUM('Произв. прогр. Стоки'!V87)</f>
        <v>0.17681318940384091</v>
      </c>
      <c r="X68" s="4209"/>
      <c r="Y68" s="4209"/>
      <c r="Z68" s="4209"/>
      <c r="AA68" s="4164">
        <f t="shared" si="120"/>
        <v>0</v>
      </c>
      <c r="AB68" s="4210">
        <f t="shared" si="95"/>
        <v>0.70725275761536366</v>
      </c>
      <c r="AC68" s="4210">
        <f t="shared" si="96"/>
        <v>0</v>
      </c>
      <c r="AD68" s="4210">
        <f t="shared" si="27"/>
        <v>-0.70725275761536366</v>
      </c>
    </row>
    <row r="69" spans="1:30" ht="18.75" customHeight="1">
      <c r="A69" s="4139" t="s">
        <v>550</v>
      </c>
      <c r="B69" s="4172">
        <f>SUM('Произв. прогр. Стоки'!H88)</f>
        <v>795.01481889388185</v>
      </c>
      <c r="C69" s="4172">
        <f t="shared" ref="C69:F69" si="121">SUM(C70+C71+C72+C74+C75)</f>
        <v>291.37</v>
      </c>
      <c r="D69" s="4172">
        <f t="shared" si="121"/>
        <v>173.08999999999997</v>
      </c>
      <c r="E69" s="4172">
        <f t="shared" si="121"/>
        <v>284.98</v>
      </c>
      <c r="F69" s="4172">
        <f t="shared" si="121"/>
        <v>749.44</v>
      </c>
      <c r="G69" s="4172">
        <f>SUM('Произв. прогр. Стоки'!L88)</f>
        <v>795.01481889388185</v>
      </c>
      <c r="H69" s="4172">
        <f t="shared" ref="H69:K69" si="122">SUM(H70+H71+H72+H74+H75)</f>
        <v>249.21999999999997</v>
      </c>
      <c r="I69" s="4172">
        <f t="shared" si="122"/>
        <v>278.31</v>
      </c>
      <c r="J69" s="4172">
        <f t="shared" si="122"/>
        <v>310.36</v>
      </c>
      <c r="K69" s="4172">
        <f t="shared" si="122"/>
        <v>837.89</v>
      </c>
      <c r="L69" s="4192">
        <f t="shared" si="85"/>
        <v>1590.0296377877637</v>
      </c>
      <c r="M69" s="4192">
        <f t="shared" si="86"/>
        <v>1587.33</v>
      </c>
      <c r="N69" s="4192">
        <f t="shared" si="17"/>
        <v>-2.6996377877637769</v>
      </c>
      <c r="O69" s="4172">
        <f>SUM('Произв. прогр. Стоки'!Q88)</f>
        <v>828.28148358787928</v>
      </c>
      <c r="P69" s="4172">
        <f t="shared" ref="P69:S69" si="123">SUM(P70+P71+P72+P74+P75)</f>
        <v>288.60000000000002</v>
      </c>
      <c r="Q69" s="4172">
        <f t="shared" si="123"/>
        <v>362.67999999999995</v>
      </c>
      <c r="R69" s="4172">
        <f t="shared" si="123"/>
        <v>156.17999999999998</v>
      </c>
      <c r="S69" s="4172">
        <f t="shared" si="123"/>
        <v>807.46</v>
      </c>
      <c r="T69" s="4192">
        <f t="shared" si="90"/>
        <v>2418.3111213756429</v>
      </c>
      <c r="U69" s="4192">
        <f t="shared" si="91"/>
        <v>2394.79</v>
      </c>
      <c r="V69" s="4192">
        <f t="shared" si="22"/>
        <v>-23.521121375642906</v>
      </c>
      <c r="W69" s="4172">
        <f>SUM('Произв. прогр. Стоки'!V88)</f>
        <v>828.28148358787928</v>
      </c>
      <c r="X69" s="4172">
        <f t="shared" ref="X69:AA69" si="124">SUM(X70+X71+X72+X74+X75)</f>
        <v>0</v>
      </c>
      <c r="Y69" s="4172">
        <f t="shared" si="124"/>
        <v>0</v>
      </c>
      <c r="Z69" s="4172">
        <f t="shared" si="124"/>
        <v>0</v>
      </c>
      <c r="AA69" s="4172">
        <f t="shared" si="124"/>
        <v>0</v>
      </c>
      <c r="AB69" s="4192">
        <f t="shared" si="95"/>
        <v>3246.5926049635223</v>
      </c>
      <c r="AC69" s="4192">
        <f t="shared" si="96"/>
        <v>2394.79</v>
      </c>
      <c r="AD69" s="4192">
        <f t="shared" si="27"/>
        <v>-851.8026049635223</v>
      </c>
    </row>
    <row r="70" spans="1:30" ht="18.75" customHeight="1">
      <c r="A70" s="4143" t="s">
        <v>3</v>
      </c>
      <c r="B70" s="4205">
        <f>SUM('Произв. прогр. Стоки'!H89)</f>
        <v>35.112033494999991</v>
      </c>
      <c r="C70" s="4206">
        <f>22.08</f>
        <v>22.08</v>
      </c>
      <c r="D70" s="4206">
        <v>4.58</v>
      </c>
      <c r="E70" s="4206">
        <v>25.82</v>
      </c>
      <c r="F70" s="4157">
        <f t="shared" si="97"/>
        <v>52.48</v>
      </c>
      <c r="G70" s="4205">
        <f>SUM('Произв. прогр. Стоки'!L89)</f>
        <v>35.112033494999991</v>
      </c>
      <c r="H70" s="4206">
        <v>43.29</v>
      </c>
      <c r="I70" s="4206">
        <v>4.88</v>
      </c>
      <c r="J70" s="4206">
        <v>64.7</v>
      </c>
      <c r="K70" s="4157">
        <f t="shared" ref="K70:K72" si="125">SUM(H70:J70)</f>
        <v>112.87</v>
      </c>
      <c r="L70" s="4202">
        <f t="shared" si="85"/>
        <v>70.224066989999983</v>
      </c>
      <c r="M70" s="4202">
        <f t="shared" si="86"/>
        <v>165.35</v>
      </c>
      <c r="N70" s="4202">
        <f t="shared" si="17"/>
        <v>95.125933010000011</v>
      </c>
      <c r="O70" s="4205">
        <f>SUM('Произв. прогр. Стоки'!Q89)</f>
        <v>35.112033494999991</v>
      </c>
      <c r="P70" s="4206">
        <f>3.04+0.12</f>
        <v>3.16</v>
      </c>
      <c r="Q70" s="4206">
        <f>106.73+0.16</f>
        <v>106.89</v>
      </c>
      <c r="R70" s="4206">
        <v>2.64</v>
      </c>
      <c r="S70" s="4157">
        <f t="shared" ref="S70:S72" si="126">SUM(P70:R70)</f>
        <v>112.69</v>
      </c>
      <c r="T70" s="4202">
        <f t="shared" si="90"/>
        <v>105.33610048499997</v>
      </c>
      <c r="U70" s="4202">
        <f t="shared" si="91"/>
        <v>278.03999999999996</v>
      </c>
      <c r="V70" s="4202">
        <f t="shared" si="22"/>
        <v>172.70389951499999</v>
      </c>
      <c r="W70" s="4205">
        <f>SUM('Произв. прогр. Стоки'!V89)</f>
        <v>35.112033494999991</v>
      </c>
      <c r="X70" s="4206"/>
      <c r="Y70" s="4206"/>
      <c r="Z70" s="4206"/>
      <c r="AA70" s="4163">
        <f t="shared" ref="AA70:AA72" si="127">SUM(X70:Z70)</f>
        <v>0</v>
      </c>
      <c r="AB70" s="4202">
        <f t="shared" si="95"/>
        <v>140.44813397999997</v>
      </c>
      <c r="AC70" s="4202">
        <f t="shared" si="96"/>
        <v>278.03999999999996</v>
      </c>
      <c r="AD70" s="4202">
        <f t="shared" si="27"/>
        <v>137.59186602</v>
      </c>
    </row>
    <row r="71" spans="1:30" ht="18.75" customHeight="1">
      <c r="A71" s="4143" t="s">
        <v>4</v>
      </c>
      <c r="B71" s="4205">
        <f>SUM('Произв. прогр. Стоки'!H90)</f>
        <v>424.08937652963186</v>
      </c>
      <c r="C71" s="4206">
        <v>152.44</v>
      </c>
      <c r="D71" s="4206">
        <v>70.48</v>
      </c>
      <c r="E71" s="4206">
        <v>141.06</v>
      </c>
      <c r="F71" s="4157">
        <f t="shared" si="97"/>
        <v>363.98</v>
      </c>
      <c r="G71" s="4205">
        <f>SUM('Произв. прогр. Стоки'!L90)</f>
        <v>424.08937652963186</v>
      </c>
      <c r="H71" s="4206">
        <v>102.61</v>
      </c>
      <c r="I71" s="4206">
        <v>124.46</v>
      </c>
      <c r="J71" s="4206">
        <v>126.38</v>
      </c>
      <c r="K71" s="4157">
        <f t="shared" si="125"/>
        <v>353.45</v>
      </c>
      <c r="L71" s="4202">
        <f t="shared" si="85"/>
        <v>848.17875305926373</v>
      </c>
      <c r="M71" s="4202">
        <f t="shared" si="86"/>
        <v>717.43000000000006</v>
      </c>
      <c r="N71" s="4202">
        <f t="shared" si="17"/>
        <v>-130.74875305926366</v>
      </c>
      <c r="O71" s="4205">
        <f>SUM('Произв. прогр. Стоки'!Q90)</f>
        <v>449.66196593436848</v>
      </c>
      <c r="P71" s="4206">
        <v>138.24</v>
      </c>
      <c r="Q71" s="4206">
        <v>124.66</v>
      </c>
      <c r="R71" s="4206">
        <v>52.33</v>
      </c>
      <c r="S71" s="4157">
        <f t="shared" si="126"/>
        <v>315.22999999999996</v>
      </c>
      <c r="T71" s="4202">
        <f t="shared" si="90"/>
        <v>1297.8407189936322</v>
      </c>
      <c r="U71" s="4202">
        <f t="shared" si="91"/>
        <v>1032.6600000000001</v>
      </c>
      <c r="V71" s="4202">
        <f t="shared" si="22"/>
        <v>-265.18071899363213</v>
      </c>
      <c r="W71" s="4205">
        <f>SUM('Произв. прогр. Стоки'!V90)</f>
        <v>449.66196593436848</v>
      </c>
      <c r="X71" s="4206"/>
      <c r="Y71" s="4206"/>
      <c r="Z71" s="4206"/>
      <c r="AA71" s="4163">
        <f t="shared" si="127"/>
        <v>0</v>
      </c>
      <c r="AB71" s="4202">
        <f t="shared" si="95"/>
        <v>1747.5026849280007</v>
      </c>
      <c r="AC71" s="4202">
        <f t="shared" si="96"/>
        <v>1032.6600000000001</v>
      </c>
      <c r="AD71" s="4202">
        <f t="shared" si="27"/>
        <v>-714.84268492800061</v>
      </c>
    </row>
    <row r="72" spans="1:30" ht="18.75" customHeight="1">
      <c r="A72" s="4143" t="s">
        <v>121</v>
      </c>
      <c r="B72" s="4205">
        <f>SUM('Произв. прогр. Стоки'!H91)</f>
        <v>127.59660512870302</v>
      </c>
      <c r="C72" s="4206">
        <v>46.04</v>
      </c>
      <c r="D72" s="4206">
        <v>21.29</v>
      </c>
      <c r="E72" s="4206">
        <v>42.6</v>
      </c>
      <c r="F72" s="4157">
        <f t="shared" si="97"/>
        <v>109.93</v>
      </c>
      <c r="G72" s="4205">
        <f>SUM('Произв. прогр. Стоки'!L91)</f>
        <v>127.59660512870302</v>
      </c>
      <c r="H72" s="4206">
        <v>30.2</v>
      </c>
      <c r="I72" s="4206">
        <v>37.590000000000003</v>
      </c>
      <c r="J72" s="4206">
        <v>38.17</v>
      </c>
      <c r="K72" s="4157">
        <f t="shared" si="125"/>
        <v>105.96000000000001</v>
      </c>
      <c r="L72" s="4202">
        <f t="shared" si="85"/>
        <v>255.19321025740604</v>
      </c>
      <c r="M72" s="4202">
        <f t="shared" si="86"/>
        <v>215.89000000000001</v>
      </c>
      <c r="N72" s="4202">
        <f t="shared" si="17"/>
        <v>-39.303210257406022</v>
      </c>
      <c r="O72" s="4205">
        <f>SUM('Произв. прогр. Стоки'!Q91)</f>
        <v>135.29068041796376</v>
      </c>
      <c r="P72" s="4206">
        <v>41.75</v>
      </c>
      <c r="Q72" s="4206">
        <v>37.65</v>
      </c>
      <c r="R72" s="4206">
        <v>15.8</v>
      </c>
      <c r="S72" s="4157">
        <f t="shared" si="126"/>
        <v>95.2</v>
      </c>
      <c r="T72" s="4202">
        <f t="shared" si="90"/>
        <v>390.48389067536982</v>
      </c>
      <c r="U72" s="4202">
        <f t="shared" si="91"/>
        <v>311.09000000000003</v>
      </c>
      <c r="V72" s="4202">
        <f t="shared" si="22"/>
        <v>-79.393890675369789</v>
      </c>
      <c r="W72" s="4205">
        <f>SUM('Произв. прогр. Стоки'!V91)</f>
        <v>135.29068041796376</v>
      </c>
      <c r="X72" s="4206"/>
      <c r="Y72" s="4206"/>
      <c r="Z72" s="4206"/>
      <c r="AA72" s="4163">
        <f t="shared" si="127"/>
        <v>0</v>
      </c>
      <c r="AB72" s="4202">
        <f t="shared" si="95"/>
        <v>525.77457109333363</v>
      </c>
      <c r="AC72" s="4202">
        <f t="shared" si="96"/>
        <v>311.09000000000003</v>
      </c>
      <c r="AD72" s="4202">
        <f t="shared" si="27"/>
        <v>-214.6845710933336</v>
      </c>
    </row>
    <row r="73" spans="1:30" ht="18.75" customHeight="1">
      <c r="A73" s="4145" t="str">
        <f>A42</f>
        <v>то же в %</v>
      </c>
      <c r="B73" s="4160">
        <f>SUM('Произв. прогр. Стоки'!H92)</f>
        <v>0.30087196753863421</v>
      </c>
      <c r="C73" s="4160">
        <f>SUM(C72/C71)</f>
        <v>0.30202046706901076</v>
      </c>
      <c r="D73" s="4160">
        <f t="shared" ref="D73:F73" si="128">SUM(D72/D71)</f>
        <v>0.30207150964812712</v>
      </c>
      <c r="E73" s="4160">
        <f t="shared" si="128"/>
        <v>0.30199914929817101</v>
      </c>
      <c r="F73" s="4160">
        <f t="shared" si="128"/>
        <v>0.30202208912577616</v>
      </c>
      <c r="G73" s="4160">
        <f>SUM('Произв. прогр. Стоки'!L92)</f>
        <v>0.30087196753863421</v>
      </c>
      <c r="H73" s="4160">
        <f>SUM(H72/H71)</f>
        <v>0.29431829256407754</v>
      </c>
      <c r="I73" s="4160">
        <f t="shared" ref="I73:M73" si="129">SUM(I72/I71)</f>
        <v>0.30202474690663672</v>
      </c>
      <c r="J73" s="4160">
        <f t="shared" si="129"/>
        <v>0.30202563696787471</v>
      </c>
      <c r="K73" s="4160">
        <f t="shared" si="129"/>
        <v>0.29978780591314191</v>
      </c>
      <c r="L73" s="4161">
        <f t="shared" si="129"/>
        <v>0.30087196753863421</v>
      </c>
      <c r="M73" s="4161">
        <f t="shared" si="129"/>
        <v>0.30092134424264388</v>
      </c>
      <c r="N73" s="4207">
        <f t="shared" si="17"/>
        <v>4.9376704009673755E-5</v>
      </c>
      <c r="O73" s="4160">
        <f>SUM('Произв. прогр. Стоки'!Q92)</f>
        <v>0.30087196753863421</v>
      </c>
      <c r="P73" s="4160">
        <f>SUM(P72/P71)</f>
        <v>0.30201099537037035</v>
      </c>
      <c r="Q73" s="4160">
        <f t="shared" ref="Q73:S73" si="130">SUM(Q72/Q71)</f>
        <v>0.3020214984758543</v>
      </c>
      <c r="R73" s="4160">
        <f t="shared" si="130"/>
        <v>0.30193005923944205</v>
      </c>
      <c r="S73" s="4160">
        <f t="shared" si="130"/>
        <v>0.3020017130349269</v>
      </c>
      <c r="T73" s="4161">
        <f>SUM(T72/T71)</f>
        <v>0.30087196753863421</v>
      </c>
      <c r="U73" s="4161">
        <f>SUM(U72/U71)</f>
        <v>0.30125113783820423</v>
      </c>
      <c r="V73" s="4207">
        <f t="shared" si="22"/>
        <v>3.7917029957001969E-4</v>
      </c>
      <c r="W73" s="4160">
        <f>SUM('Произв. прогр. Стоки'!V92)</f>
        <v>0.30087196753863421</v>
      </c>
      <c r="X73" s="4160" t="e">
        <f>SUM(X72/X71)</f>
        <v>#DIV/0!</v>
      </c>
      <c r="Y73" s="4160" t="e">
        <f t="shared" ref="Y73:AC73" si="131">SUM(Y72/Y71)</f>
        <v>#DIV/0!</v>
      </c>
      <c r="Z73" s="4160" t="e">
        <f t="shared" si="131"/>
        <v>#DIV/0!</v>
      </c>
      <c r="AA73" s="4160" t="e">
        <f t="shared" si="131"/>
        <v>#DIV/0!</v>
      </c>
      <c r="AB73" s="4161">
        <f t="shared" si="131"/>
        <v>0.30087196753863427</v>
      </c>
      <c r="AC73" s="4161">
        <f t="shared" si="131"/>
        <v>0.30125113783820423</v>
      </c>
      <c r="AD73" s="4207">
        <f t="shared" si="27"/>
        <v>3.7917029956996418E-4</v>
      </c>
    </row>
    <row r="74" spans="1:30" ht="18.75" customHeight="1">
      <c r="A74" s="4143" t="s">
        <v>2</v>
      </c>
      <c r="B74" s="4205">
        <f>SUM('Произв. прогр. Стоки'!H93)</f>
        <v>6.375</v>
      </c>
      <c r="C74" s="4206">
        <v>5.71</v>
      </c>
      <c r="D74" s="4206">
        <v>5.71</v>
      </c>
      <c r="E74" s="4206">
        <v>5.71</v>
      </c>
      <c r="F74" s="4157">
        <f t="shared" si="97"/>
        <v>17.13</v>
      </c>
      <c r="G74" s="4205">
        <f>SUM('Произв. прогр. Стоки'!L93)</f>
        <v>6.375</v>
      </c>
      <c r="H74" s="4206">
        <v>5.73</v>
      </c>
      <c r="I74" s="4206">
        <v>5.71</v>
      </c>
      <c r="J74" s="4206">
        <v>5.71</v>
      </c>
      <c r="K74" s="4157">
        <f t="shared" ref="K74" si="132">SUM(H74:J74)</f>
        <v>17.150000000000002</v>
      </c>
      <c r="L74" s="4202">
        <f t="shared" ref="L74:L93" si="133">SUM(G74+B74)</f>
        <v>12.75</v>
      </c>
      <c r="M74" s="4202">
        <f t="shared" ref="M74:M93" si="134">SUM(K74+F74)</f>
        <v>34.28</v>
      </c>
      <c r="N74" s="4202">
        <f t="shared" si="17"/>
        <v>21.53</v>
      </c>
      <c r="O74" s="4205">
        <f>SUM('Произв. прогр. Стоки'!Q93)</f>
        <v>6.375</v>
      </c>
      <c r="P74" s="4206">
        <v>5.71</v>
      </c>
      <c r="Q74" s="4206">
        <v>5.71</v>
      </c>
      <c r="R74" s="4206">
        <v>5.71</v>
      </c>
      <c r="S74" s="4157">
        <f t="shared" ref="S74" si="135">SUM(P74:R74)</f>
        <v>17.13</v>
      </c>
      <c r="T74" s="4202">
        <f t="shared" ref="T74:T93" si="136">SUM(L74+O74)</f>
        <v>19.125</v>
      </c>
      <c r="U74" s="4202">
        <f t="shared" ref="U74:U93" si="137">SUM(M74+S74)</f>
        <v>51.41</v>
      </c>
      <c r="V74" s="4202">
        <f t="shared" si="22"/>
        <v>32.284999999999997</v>
      </c>
      <c r="W74" s="4205">
        <f>SUM('Произв. прогр. Стоки'!V93)</f>
        <v>6.375</v>
      </c>
      <c r="X74" s="4206"/>
      <c r="Y74" s="4206"/>
      <c r="Z74" s="4206"/>
      <c r="AA74" s="4157">
        <f t="shared" ref="AA74" si="138">SUM(X74:Z74)</f>
        <v>0</v>
      </c>
      <c r="AB74" s="4202">
        <f t="shared" ref="AB74:AB93" si="139">SUM(W74+T74)</f>
        <v>25.5</v>
      </c>
      <c r="AC74" s="4202">
        <f t="shared" ref="AC74:AC93" si="140">SUM(AA74+U74)</f>
        <v>51.41</v>
      </c>
      <c r="AD74" s="4202">
        <f t="shared" si="27"/>
        <v>25.909999999999997</v>
      </c>
    </row>
    <row r="75" spans="1:30" ht="18.75" customHeight="1">
      <c r="A75" s="4171" t="s">
        <v>1742</v>
      </c>
      <c r="B75" s="4172">
        <f>SUM('Произв. прогр. Стоки'!H94)</f>
        <v>201.84180374054714</v>
      </c>
      <c r="C75" s="4172">
        <f>SUM(C76:C84)+C86</f>
        <v>65.100000000000009</v>
      </c>
      <c r="D75" s="4172">
        <f t="shared" ref="D75:F75" si="141">SUM(D76:D84)+D86</f>
        <v>71.03</v>
      </c>
      <c r="E75" s="4172">
        <f t="shared" si="141"/>
        <v>69.790000000000006</v>
      </c>
      <c r="F75" s="4172">
        <f t="shared" si="141"/>
        <v>205.92000000000002</v>
      </c>
      <c r="G75" s="4172">
        <f>SUM('Произв. прогр. Стоки'!L94)</f>
        <v>201.84180374054714</v>
      </c>
      <c r="H75" s="4172">
        <f>SUM(H76:H84)+H86</f>
        <v>67.39</v>
      </c>
      <c r="I75" s="4172">
        <f t="shared" ref="I75" si="142">SUM(I76:I84)+I86</f>
        <v>105.67</v>
      </c>
      <c r="J75" s="4172">
        <f t="shared" ref="J75" si="143">SUM(J76:J84)+J86</f>
        <v>75.400000000000006</v>
      </c>
      <c r="K75" s="4172">
        <f t="shared" ref="K75" si="144">SUM(K76:K84)+K86</f>
        <v>248.46</v>
      </c>
      <c r="L75" s="4192">
        <f t="shared" si="133"/>
        <v>403.68360748109427</v>
      </c>
      <c r="M75" s="4192">
        <f t="shared" si="134"/>
        <v>454.38</v>
      </c>
      <c r="N75" s="4192">
        <f t="shared" si="17"/>
        <v>50.696392518905725</v>
      </c>
      <c r="O75" s="4172">
        <f>SUM('Произв. прогр. Стоки'!Q94)</f>
        <v>201.84180374054714</v>
      </c>
      <c r="P75" s="4172">
        <f>SUM(P76:P84)+P86</f>
        <v>99.740000000000009</v>
      </c>
      <c r="Q75" s="4172">
        <f t="shared" ref="Q75" si="145">SUM(Q76:Q84)+Q86</f>
        <v>87.77</v>
      </c>
      <c r="R75" s="4172">
        <f t="shared" ref="R75" si="146">SUM(R76:R84)+R86</f>
        <v>79.699999999999989</v>
      </c>
      <c r="S75" s="4172">
        <f t="shared" ref="S75" si="147">SUM(S76:S84)+S86</f>
        <v>267.20999999999998</v>
      </c>
      <c r="T75" s="4192">
        <f t="shared" si="136"/>
        <v>605.52541122164143</v>
      </c>
      <c r="U75" s="4192">
        <f t="shared" si="137"/>
        <v>721.58999999999992</v>
      </c>
      <c r="V75" s="4192">
        <f t="shared" si="22"/>
        <v>116.06458877835848</v>
      </c>
      <c r="W75" s="4172">
        <f>SUM('Произв. прогр. Стоки'!V94)</f>
        <v>201.84180374054714</v>
      </c>
      <c r="X75" s="4172">
        <f>SUM(X76:X84)+X86</f>
        <v>0</v>
      </c>
      <c r="Y75" s="4172">
        <f t="shared" ref="Y75" si="148">SUM(Y76:Y84)+Y86</f>
        <v>0</v>
      </c>
      <c r="Z75" s="4172">
        <f t="shared" ref="Z75" si="149">SUM(Z76:Z84)+Z86</f>
        <v>0</v>
      </c>
      <c r="AA75" s="4172">
        <f t="shared" ref="AA75" si="150">SUM(AA76:AA84)+AA86</f>
        <v>0</v>
      </c>
      <c r="AB75" s="4192">
        <f t="shared" si="139"/>
        <v>807.36721496218854</v>
      </c>
      <c r="AC75" s="4192">
        <f t="shared" si="140"/>
        <v>721.58999999999992</v>
      </c>
      <c r="AD75" s="4192">
        <f t="shared" si="27"/>
        <v>-85.777214962188623</v>
      </c>
    </row>
    <row r="76" spans="1:30" ht="18.75" customHeight="1">
      <c r="A76" s="4208" t="s">
        <v>72</v>
      </c>
      <c r="B76" s="4205">
        <f>SUM('Произв. прогр. Стоки'!H95)</f>
        <v>0</v>
      </c>
      <c r="C76" s="4206"/>
      <c r="D76" s="4206"/>
      <c r="E76" s="4206"/>
      <c r="F76" s="4157">
        <f t="shared" si="97"/>
        <v>0</v>
      </c>
      <c r="G76" s="4205">
        <f>SUM('Произв. прогр. Стоки'!L95)</f>
        <v>0</v>
      </c>
      <c r="H76" s="4206"/>
      <c r="I76" s="4206"/>
      <c r="J76" s="4206"/>
      <c r="K76" s="4157">
        <f t="shared" ref="K76:K83" si="151">SUM(H76:J76)</f>
        <v>0</v>
      </c>
      <c r="L76" s="4202">
        <f t="shared" si="133"/>
        <v>0</v>
      </c>
      <c r="M76" s="4202">
        <f t="shared" si="134"/>
        <v>0</v>
      </c>
      <c r="N76" s="4202">
        <f t="shared" si="17"/>
        <v>0</v>
      </c>
      <c r="O76" s="4205">
        <f>SUM('Произв. прогр. Стоки'!Q95)</f>
        <v>0</v>
      </c>
      <c r="P76" s="4206"/>
      <c r="Q76" s="4206"/>
      <c r="R76" s="4206"/>
      <c r="S76" s="4157">
        <f t="shared" ref="S76:S83" si="152">SUM(P76:R76)</f>
        <v>0</v>
      </c>
      <c r="T76" s="4202">
        <f t="shared" si="136"/>
        <v>0</v>
      </c>
      <c r="U76" s="4202">
        <f t="shared" si="137"/>
        <v>0</v>
      </c>
      <c r="V76" s="4202">
        <f t="shared" si="22"/>
        <v>0</v>
      </c>
      <c r="W76" s="4205">
        <f>SUM('Произв. прогр. Стоки'!V95)</f>
        <v>0</v>
      </c>
      <c r="X76" s="4206"/>
      <c r="Y76" s="4206"/>
      <c r="Z76" s="4206"/>
      <c r="AA76" s="4157">
        <f t="shared" ref="AA76:AA83" si="153">SUM(X76:Z76)</f>
        <v>0</v>
      </c>
      <c r="AB76" s="4202">
        <f t="shared" si="139"/>
        <v>0</v>
      </c>
      <c r="AC76" s="4202">
        <f t="shared" si="140"/>
        <v>0</v>
      </c>
      <c r="AD76" s="4202">
        <f t="shared" si="27"/>
        <v>0</v>
      </c>
    </row>
    <row r="77" spans="1:30" ht="18.75" customHeight="1">
      <c r="A77" s="4208" t="s">
        <v>121</v>
      </c>
      <c r="B77" s="4205">
        <f>SUM('Произв. прогр. Стоки'!H96)</f>
        <v>0</v>
      </c>
      <c r="C77" s="4206"/>
      <c r="D77" s="4206"/>
      <c r="E77" s="4206"/>
      <c r="F77" s="4157">
        <f t="shared" si="97"/>
        <v>0</v>
      </c>
      <c r="G77" s="4205">
        <f>SUM('Произв. прогр. Стоки'!L96)</f>
        <v>0</v>
      </c>
      <c r="H77" s="4206"/>
      <c r="I77" s="4206"/>
      <c r="J77" s="4206"/>
      <c r="K77" s="4157">
        <f t="shared" si="151"/>
        <v>0</v>
      </c>
      <c r="L77" s="4202">
        <f t="shared" si="133"/>
        <v>0</v>
      </c>
      <c r="M77" s="4202">
        <f t="shared" si="134"/>
        <v>0</v>
      </c>
      <c r="N77" s="4202">
        <f t="shared" si="17"/>
        <v>0</v>
      </c>
      <c r="O77" s="4205">
        <f>SUM('Произв. прогр. Стоки'!Q96)</f>
        <v>0</v>
      </c>
      <c r="P77" s="4206"/>
      <c r="Q77" s="4206"/>
      <c r="R77" s="4206"/>
      <c r="S77" s="4157">
        <f t="shared" si="152"/>
        <v>0</v>
      </c>
      <c r="T77" s="4202">
        <f t="shared" si="136"/>
        <v>0</v>
      </c>
      <c r="U77" s="4202">
        <f t="shared" si="137"/>
        <v>0</v>
      </c>
      <c r="V77" s="4202">
        <f t="shared" si="22"/>
        <v>0</v>
      </c>
      <c r="W77" s="4205">
        <f>SUM('Произв. прогр. Стоки'!V96)</f>
        <v>0</v>
      </c>
      <c r="X77" s="4206"/>
      <c r="Y77" s="4206"/>
      <c r="Z77" s="4206"/>
      <c r="AA77" s="4157">
        <f t="shared" si="153"/>
        <v>0</v>
      </c>
      <c r="AB77" s="4202">
        <f t="shared" si="139"/>
        <v>0</v>
      </c>
      <c r="AC77" s="4202">
        <f t="shared" si="140"/>
        <v>0</v>
      </c>
      <c r="AD77" s="4202">
        <f t="shared" si="27"/>
        <v>0</v>
      </c>
    </row>
    <row r="78" spans="1:30" ht="18.75" customHeight="1">
      <c r="A78" s="4208" t="s">
        <v>52</v>
      </c>
      <c r="B78" s="4205">
        <f>SUM('Произв. прогр. Стоки'!H97)</f>
        <v>0</v>
      </c>
      <c r="C78" s="4206">
        <v>0.59</v>
      </c>
      <c r="D78" s="4206">
        <v>0.22</v>
      </c>
      <c r="E78" s="4206">
        <v>0.28000000000000003</v>
      </c>
      <c r="F78" s="4157">
        <f t="shared" ref="F78" si="154">SUM(C78:E78)</f>
        <v>1.0899999999999999</v>
      </c>
      <c r="G78" s="4205">
        <f>SUM('Произв. прогр. Стоки'!L97)</f>
        <v>0</v>
      </c>
      <c r="H78" s="4206">
        <v>0.27</v>
      </c>
      <c r="I78" s="4206"/>
      <c r="J78" s="4206">
        <v>0.54</v>
      </c>
      <c r="K78" s="4157">
        <f t="shared" si="151"/>
        <v>0.81</v>
      </c>
      <c r="L78" s="4202">
        <f t="shared" ref="L78" si="155">SUM(G78+B78)</f>
        <v>0</v>
      </c>
      <c r="M78" s="4202">
        <f t="shared" si="134"/>
        <v>1.9</v>
      </c>
      <c r="N78" s="4202">
        <f t="shared" si="17"/>
        <v>1.9</v>
      </c>
      <c r="O78" s="4205">
        <f>SUM('Произв. прогр. Стоки'!Q97)</f>
        <v>0</v>
      </c>
      <c r="P78" s="4206"/>
      <c r="Q78" s="4206">
        <v>0.63</v>
      </c>
      <c r="R78" s="4206">
        <v>0.28000000000000003</v>
      </c>
      <c r="S78" s="4157">
        <f t="shared" ref="S78" si="156">SUM(P78:R78)</f>
        <v>0.91</v>
      </c>
      <c r="T78" s="4202">
        <f t="shared" si="136"/>
        <v>0</v>
      </c>
      <c r="U78" s="4202">
        <f t="shared" si="137"/>
        <v>2.81</v>
      </c>
      <c r="V78" s="4202">
        <f t="shared" si="22"/>
        <v>2.81</v>
      </c>
      <c r="W78" s="4205">
        <f>SUM('Произв. прогр. Стоки'!V97)</f>
        <v>0</v>
      </c>
      <c r="X78" s="4206"/>
      <c r="Y78" s="4206"/>
      <c r="Z78" s="4206"/>
      <c r="AA78" s="4157">
        <f t="shared" ref="AA78" si="157">SUM(X78:Z78)</f>
        <v>0</v>
      </c>
      <c r="AB78" s="4202">
        <f t="shared" si="139"/>
        <v>0</v>
      </c>
      <c r="AC78" s="4202">
        <f t="shared" si="140"/>
        <v>2.81</v>
      </c>
      <c r="AD78" s="4202">
        <f t="shared" si="27"/>
        <v>2.81</v>
      </c>
    </row>
    <row r="79" spans="1:30" ht="18.75" customHeight="1">
      <c r="A79" s="4208" t="s">
        <v>604</v>
      </c>
      <c r="B79" s="4205">
        <f>SUM('Произв. прогр. Стоки'!H98)</f>
        <v>178.89239065524691</v>
      </c>
      <c r="C79" s="4206">
        <f>1.25+55.84</f>
        <v>57.09</v>
      </c>
      <c r="D79" s="4206">
        <v>52.58</v>
      </c>
      <c r="E79" s="4206">
        <v>63</v>
      </c>
      <c r="F79" s="4157">
        <f t="shared" si="97"/>
        <v>172.67000000000002</v>
      </c>
      <c r="G79" s="4205">
        <f>SUM('Произв. прогр. Стоки'!L98)</f>
        <v>178.89239065524691</v>
      </c>
      <c r="H79" s="4206">
        <v>61.5</v>
      </c>
      <c r="I79" s="4206">
        <v>88.54</v>
      </c>
      <c r="J79" s="4206">
        <v>59.98</v>
      </c>
      <c r="K79" s="4157">
        <f t="shared" si="151"/>
        <v>210.02</v>
      </c>
      <c r="L79" s="4202">
        <f t="shared" si="133"/>
        <v>357.78478131049383</v>
      </c>
      <c r="M79" s="4202">
        <f t="shared" si="134"/>
        <v>382.69000000000005</v>
      </c>
      <c r="N79" s="4202">
        <f t="shared" ref="N79:N121" si="158">SUM(M79-L79)</f>
        <v>24.905218689506228</v>
      </c>
      <c r="O79" s="4205">
        <f>SUM('Произв. прогр. Стоки'!Q98)</f>
        <v>178.89239065524691</v>
      </c>
      <c r="P79" s="4206">
        <f>0.31+0.31+73.59</f>
        <v>74.210000000000008</v>
      </c>
      <c r="Q79" s="4206">
        <f>0.31+78.87</f>
        <v>79.180000000000007</v>
      </c>
      <c r="R79" s="4206">
        <v>64.319999999999993</v>
      </c>
      <c r="S79" s="4157">
        <f t="shared" si="152"/>
        <v>217.71</v>
      </c>
      <c r="T79" s="4202">
        <f t="shared" si="136"/>
        <v>536.67717196574074</v>
      </c>
      <c r="U79" s="4202">
        <f t="shared" si="137"/>
        <v>600.40000000000009</v>
      </c>
      <c r="V79" s="4202">
        <f t="shared" ref="V79:V121" si="159">SUM(U79-T79)</f>
        <v>63.722828034259351</v>
      </c>
      <c r="W79" s="4205">
        <f>SUM('Произв. прогр. Стоки'!V98)</f>
        <v>178.89239065524691</v>
      </c>
      <c r="X79" s="4206"/>
      <c r="Y79" s="4206"/>
      <c r="Z79" s="4206"/>
      <c r="AA79" s="4157">
        <f t="shared" si="153"/>
        <v>0</v>
      </c>
      <c r="AB79" s="4202">
        <f t="shared" si="139"/>
        <v>715.56956262098765</v>
      </c>
      <c r="AC79" s="4202">
        <f t="shared" si="140"/>
        <v>600.40000000000009</v>
      </c>
      <c r="AD79" s="4202">
        <f t="shared" ref="AD79:AD126" si="160">SUM(AC79-AB79)</f>
        <v>-115.16956262098756</v>
      </c>
    </row>
    <row r="80" spans="1:30" ht="18.75" customHeight="1">
      <c r="A80" s="4208" t="s">
        <v>606</v>
      </c>
      <c r="B80" s="4205">
        <f>SUM('Произв. прогр. Стоки'!H99)</f>
        <v>13.927084458097756</v>
      </c>
      <c r="C80" s="4206">
        <v>2.3199999999999998</v>
      </c>
      <c r="D80" s="4206">
        <v>14.83</v>
      </c>
      <c r="E80" s="4206">
        <v>1.69</v>
      </c>
      <c r="F80" s="4157">
        <f t="shared" si="97"/>
        <v>18.84</v>
      </c>
      <c r="G80" s="4205">
        <f>SUM('Произв. прогр. Стоки'!L99)</f>
        <v>13.927084458097756</v>
      </c>
      <c r="H80" s="4206">
        <v>2.08</v>
      </c>
      <c r="I80" s="4206">
        <v>7.21</v>
      </c>
      <c r="J80" s="4206">
        <v>7.56</v>
      </c>
      <c r="K80" s="4157">
        <f t="shared" si="151"/>
        <v>16.849999999999998</v>
      </c>
      <c r="L80" s="4202">
        <f t="shared" si="133"/>
        <v>27.854168916195512</v>
      </c>
      <c r="M80" s="4202">
        <f t="shared" si="134"/>
        <v>35.69</v>
      </c>
      <c r="N80" s="4202">
        <f t="shared" si="158"/>
        <v>7.8358310838044858</v>
      </c>
      <c r="O80" s="4205">
        <f>SUM('Произв. прогр. Стоки'!Q99)</f>
        <v>13.927084458097756</v>
      </c>
      <c r="P80" s="4206">
        <v>2.44</v>
      </c>
      <c r="Q80" s="4206">
        <v>2.92</v>
      </c>
      <c r="R80" s="4206">
        <v>5.96</v>
      </c>
      <c r="S80" s="4157">
        <f t="shared" si="152"/>
        <v>11.32</v>
      </c>
      <c r="T80" s="4202">
        <f t="shared" si="136"/>
        <v>41.781253374293271</v>
      </c>
      <c r="U80" s="4202">
        <f t="shared" si="137"/>
        <v>47.01</v>
      </c>
      <c r="V80" s="4202">
        <f t="shared" si="159"/>
        <v>5.2287466257067265</v>
      </c>
      <c r="W80" s="4205">
        <f>SUM('Произв. прогр. Стоки'!V99)</f>
        <v>13.927084458097756</v>
      </c>
      <c r="X80" s="4206"/>
      <c r="Y80" s="4206"/>
      <c r="Z80" s="4206"/>
      <c r="AA80" s="4157">
        <f t="shared" si="153"/>
        <v>0</v>
      </c>
      <c r="AB80" s="4202">
        <f t="shared" si="139"/>
        <v>55.708337832391024</v>
      </c>
      <c r="AC80" s="4202">
        <f t="shared" si="140"/>
        <v>47.01</v>
      </c>
      <c r="AD80" s="4202">
        <f t="shared" si="160"/>
        <v>-8.6983378323910259</v>
      </c>
    </row>
    <row r="81" spans="1:30" ht="18.75" customHeight="1">
      <c r="A81" s="4208" t="s">
        <v>605</v>
      </c>
      <c r="B81" s="4205">
        <f>SUM('Произв. прогр. Стоки'!H100)</f>
        <v>4.6019931252844746</v>
      </c>
      <c r="C81" s="4206">
        <v>2.42</v>
      </c>
      <c r="D81" s="4206">
        <v>2.42</v>
      </c>
      <c r="E81" s="4206">
        <v>2.42</v>
      </c>
      <c r="F81" s="4157">
        <f t="shared" si="97"/>
        <v>7.26</v>
      </c>
      <c r="G81" s="4205">
        <f>SUM('Произв. прогр. Стоки'!L100)</f>
        <v>4.6019931252844746</v>
      </c>
      <c r="H81" s="4206">
        <v>2.42</v>
      </c>
      <c r="I81" s="4206">
        <v>2.42</v>
      </c>
      <c r="J81" s="4206">
        <v>2.42</v>
      </c>
      <c r="K81" s="4157">
        <f t="shared" si="151"/>
        <v>7.26</v>
      </c>
      <c r="L81" s="4202">
        <f t="shared" si="133"/>
        <v>9.2039862505689491</v>
      </c>
      <c r="M81" s="4202">
        <f t="shared" si="134"/>
        <v>14.52</v>
      </c>
      <c r="N81" s="4202">
        <f t="shared" si="158"/>
        <v>5.3160137494310504</v>
      </c>
      <c r="O81" s="4205">
        <f>SUM('Произв. прогр. Стоки'!Q100)</f>
        <v>4.6019931252844746</v>
      </c>
      <c r="P81" s="4206">
        <v>3.28</v>
      </c>
      <c r="Q81" s="4206">
        <v>3.69</v>
      </c>
      <c r="R81" s="4206">
        <v>3.69</v>
      </c>
      <c r="S81" s="4157">
        <f t="shared" si="152"/>
        <v>10.66</v>
      </c>
      <c r="T81" s="4202">
        <f t="shared" si="136"/>
        <v>13.805979375853424</v>
      </c>
      <c r="U81" s="4202">
        <f t="shared" si="137"/>
        <v>25.18</v>
      </c>
      <c r="V81" s="4202">
        <f t="shared" si="159"/>
        <v>11.374020624146576</v>
      </c>
      <c r="W81" s="4205">
        <f>SUM('Произв. прогр. Стоки'!V100)</f>
        <v>4.6019931252844746</v>
      </c>
      <c r="X81" s="4206"/>
      <c r="Y81" s="4206"/>
      <c r="Z81" s="4206"/>
      <c r="AA81" s="4157">
        <f t="shared" si="153"/>
        <v>0</v>
      </c>
      <c r="AB81" s="4202">
        <f t="shared" si="139"/>
        <v>18.407972501137898</v>
      </c>
      <c r="AC81" s="4202">
        <f t="shared" si="140"/>
        <v>25.18</v>
      </c>
      <c r="AD81" s="4202">
        <f t="shared" si="160"/>
        <v>6.7720274988621014</v>
      </c>
    </row>
    <row r="82" spans="1:30" ht="18.75" customHeight="1">
      <c r="A82" s="4208" t="s">
        <v>615</v>
      </c>
      <c r="B82" s="4205">
        <f>SUM('Произв. прогр. Стоки'!H101)</f>
        <v>2.2404440215200734</v>
      </c>
      <c r="C82" s="4206"/>
      <c r="D82" s="4206"/>
      <c r="E82" s="4206"/>
      <c r="F82" s="4157">
        <f t="shared" si="97"/>
        <v>0</v>
      </c>
      <c r="G82" s="4205">
        <f>SUM('Произв. прогр. Стоки'!L101)</f>
        <v>2.2404440215200734</v>
      </c>
      <c r="H82" s="4206"/>
      <c r="I82" s="4206"/>
      <c r="J82" s="4206"/>
      <c r="K82" s="4157">
        <f t="shared" si="151"/>
        <v>0</v>
      </c>
      <c r="L82" s="4202">
        <f t="shared" si="133"/>
        <v>4.4808880430401468</v>
      </c>
      <c r="M82" s="4202">
        <f t="shared" si="134"/>
        <v>0</v>
      </c>
      <c r="N82" s="4202">
        <f t="shared" si="158"/>
        <v>-4.4808880430401468</v>
      </c>
      <c r="O82" s="4205">
        <f>SUM('Произв. прогр. Стоки'!Q101)</f>
        <v>2.2404440215200734</v>
      </c>
      <c r="P82" s="4206">
        <v>1.36</v>
      </c>
      <c r="Q82" s="4206"/>
      <c r="R82" s="4206">
        <v>2.52</v>
      </c>
      <c r="S82" s="4157">
        <f t="shared" si="152"/>
        <v>3.88</v>
      </c>
      <c r="T82" s="4202">
        <f t="shared" si="136"/>
        <v>6.7213320645602206</v>
      </c>
      <c r="U82" s="4202">
        <f t="shared" si="137"/>
        <v>3.88</v>
      </c>
      <c r="V82" s="4202">
        <f t="shared" si="159"/>
        <v>-2.8413320645602207</v>
      </c>
      <c r="W82" s="4205">
        <f>SUM('Произв. прогр. Стоки'!V101)</f>
        <v>2.2404440215200734</v>
      </c>
      <c r="X82" s="4206"/>
      <c r="Y82" s="4206"/>
      <c r="Z82" s="4206"/>
      <c r="AA82" s="4157">
        <f t="shared" si="153"/>
        <v>0</v>
      </c>
      <c r="AB82" s="4202">
        <f t="shared" si="139"/>
        <v>8.9617760860802935</v>
      </c>
      <c r="AC82" s="4202">
        <f t="shared" si="140"/>
        <v>3.88</v>
      </c>
      <c r="AD82" s="4202">
        <f t="shared" si="160"/>
        <v>-5.0817760860802936</v>
      </c>
    </row>
    <row r="83" spans="1:30" ht="18.75" customHeight="1">
      <c r="A83" s="4208" t="s">
        <v>32</v>
      </c>
      <c r="B83" s="4205">
        <f>SUM('Произв. прогр. Стоки'!H102)</f>
        <v>1.5339977084281582</v>
      </c>
      <c r="C83" s="4206"/>
      <c r="D83" s="4206"/>
      <c r="E83" s="4206">
        <v>2.4</v>
      </c>
      <c r="F83" s="4157">
        <f t="shared" si="97"/>
        <v>2.4</v>
      </c>
      <c r="G83" s="4205">
        <f>SUM('Произв. прогр. Стоки'!L102)</f>
        <v>1.5339977084281582</v>
      </c>
      <c r="H83" s="4206"/>
      <c r="I83" s="4206">
        <v>7.5</v>
      </c>
      <c r="J83" s="4206">
        <v>2.4</v>
      </c>
      <c r="K83" s="4157">
        <f t="shared" si="151"/>
        <v>9.9</v>
      </c>
      <c r="L83" s="4202">
        <f t="shared" si="133"/>
        <v>3.0679954168563164</v>
      </c>
      <c r="M83" s="4202">
        <f t="shared" si="134"/>
        <v>12.3</v>
      </c>
      <c r="N83" s="4202">
        <f t="shared" si="158"/>
        <v>9.2320045831436843</v>
      </c>
      <c r="O83" s="4205">
        <f>SUM('Произв. прогр. Стоки'!Q102)</f>
        <v>1.5339977084281582</v>
      </c>
      <c r="P83" s="4206"/>
      <c r="Q83" s="4206"/>
      <c r="R83" s="4206">
        <v>2.4</v>
      </c>
      <c r="S83" s="4157">
        <f t="shared" si="152"/>
        <v>2.4</v>
      </c>
      <c r="T83" s="4202">
        <f t="shared" si="136"/>
        <v>4.6019931252844746</v>
      </c>
      <c r="U83" s="4202">
        <f t="shared" si="137"/>
        <v>14.700000000000001</v>
      </c>
      <c r="V83" s="4202">
        <f t="shared" si="159"/>
        <v>10.098006874715526</v>
      </c>
      <c r="W83" s="4205">
        <f>SUM('Произв. прогр. Стоки'!V102)</f>
        <v>1.5339977084281582</v>
      </c>
      <c r="X83" s="4206"/>
      <c r="Y83" s="4206"/>
      <c r="Z83" s="4206"/>
      <c r="AA83" s="4157">
        <f t="shared" si="153"/>
        <v>0</v>
      </c>
      <c r="AB83" s="4202">
        <f t="shared" si="139"/>
        <v>6.1359908337126328</v>
      </c>
      <c r="AC83" s="4202">
        <f t="shared" si="140"/>
        <v>14.700000000000001</v>
      </c>
      <c r="AD83" s="4202">
        <f t="shared" si="160"/>
        <v>8.5640091662873683</v>
      </c>
    </row>
    <row r="84" spans="1:30" ht="18.75" customHeight="1">
      <c r="A84" s="4208" t="s">
        <v>607</v>
      </c>
      <c r="B84" s="4205">
        <f>SUM('Произв. прогр. Стоки'!H103)</f>
        <v>0.60552541122164139</v>
      </c>
      <c r="C84" s="4205">
        <f>SUM(C85)</f>
        <v>2.68</v>
      </c>
      <c r="D84" s="4205">
        <f t="shared" ref="D84:F84" si="161">SUM(D85)</f>
        <v>0.98</v>
      </c>
      <c r="E84" s="4205">
        <f t="shared" si="161"/>
        <v>0</v>
      </c>
      <c r="F84" s="4205">
        <f t="shared" si="161"/>
        <v>3.66</v>
      </c>
      <c r="G84" s="4205">
        <f>SUM('Произв. прогр. Стоки'!L103)</f>
        <v>0.60552541122164139</v>
      </c>
      <c r="H84" s="4205">
        <f>SUM(H85)</f>
        <v>1.1200000000000001</v>
      </c>
      <c r="I84" s="4205">
        <f t="shared" ref="I84:K84" si="162">SUM(I85)</f>
        <v>0</v>
      </c>
      <c r="J84" s="4205">
        <f t="shared" si="162"/>
        <v>2.5</v>
      </c>
      <c r="K84" s="4205">
        <f t="shared" si="162"/>
        <v>3.62</v>
      </c>
      <c r="L84" s="4202">
        <f t="shared" si="133"/>
        <v>1.2110508224432828</v>
      </c>
      <c r="M84" s="4202">
        <f t="shared" si="134"/>
        <v>7.28</v>
      </c>
      <c r="N84" s="4202">
        <f t="shared" si="158"/>
        <v>6.0689491775567177</v>
      </c>
      <c r="O84" s="4205">
        <f>SUM('Произв. прогр. Стоки'!Q103)</f>
        <v>0.60552541122164139</v>
      </c>
      <c r="P84" s="4205">
        <f>SUM(P85)</f>
        <v>18.45</v>
      </c>
      <c r="Q84" s="4205">
        <f t="shared" ref="Q84:S84" si="163">SUM(Q85)</f>
        <v>1.35</v>
      </c>
      <c r="R84" s="4205">
        <f t="shared" si="163"/>
        <v>0.53</v>
      </c>
      <c r="S84" s="4205">
        <f t="shared" si="163"/>
        <v>20.330000000000002</v>
      </c>
      <c r="T84" s="4202">
        <f t="shared" si="136"/>
        <v>1.8165762336649243</v>
      </c>
      <c r="U84" s="4202">
        <f t="shared" si="137"/>
        <v>27.610000000000003</v>
      </c>
      <c r="V84" s="4202">
        <f t="shared" si="159"/>
        <v>25.793423766335078</v>
      </c>
      <c r="W84" s="4205">
        <f>SUM('Произв. прогр. Стоки'!V103)</f>
        <v>0.60552541122164139</v>
      </c>
      <c r="X84" s="4205">
        <f>SUM(X85)</f>
        <v>0</v>
      </c>
      <c r="Y84" s="4205">
        <f t="shared" ref="Y84:AA84" si="164">SUM(Y85)</f>
        <v>0</v>
      </c>
      <c r="Z84" s="4205">
        <f t="shared" si="164"/>
        <v>0</v>
      </c>
      <c r="AA84" s="4205">
        <f t="shared" si="164"/>
        <v>0</v>
      </c>
      <c r="AB84" s="4202">
        <f t="shared" si="139"/>
        <v>2.4221016448865655</v>
      </c>
      <c r="AC84" s="4202">
        <f t="shared" si="140"/>
        <v>27.610000000000003</v>
      </c>
      <c r="AD84" s="4202">
        <f t="shared" si="160"/>
        <v>25.187898355113436</v>
      </c>
    </row>
    <row r="85" spans="1:30" ht="18.75" customHeight="1">
      <c r="A85" s="4125" t="s">
        <v>565</v>
      </c>
      <c r="B85" s="4165">
        <f>SUM('Произв. прогр. Стоки'!H104)</f>
        <v>0.60552541122164139</v>
      </c>
      <c r="C85" s="4209">
        <v>2.68</v>
      </c>
      <c r="D85" s="4209">
        <v>0.98</v>
      </c>
      <c r="E85" s="4209"/>
      <c r="F85" s="4164">
        <f t="shared" si="97"/>
        <v>3.66</v>
      </c>
      <c r="G85" s="4165">
        <f>SUM('Произв. прогр. Стоки'!L104)</f>
        <v>0.60552541122164139</v>
      </c>
      <c r="H85" s="4209">
        <v>1.1200000000000001</v>
      </c>
      <c r="I85" s="4209"/>
      <c r="J85" s="4209">
        <v>2.5</v>
      </c>
      <c r="K85" s="4164">
        <f t="shared" ref="K85" si="165">SUM(H85:J85)</f>
        <v>3.62</v>
      </c>
      <c r="L85" s="4210">
        <f t="shared" si="133"/>
        <v>1.2110508224432828</v>
      </c>
      <c r="M85" s="4302">
        <f t="shared" si="134"/>
        <v>7.28</v>
      </c>
      <c r="N85" s="4210">
        <f t="shared" si="158"/>
        <v>6.0689491775567177</v>
      </c>
      <c r="O85" s="4165">
        <f>SUM('Произв. прогр. Стоки'!Q104)</f>
        <v>0.60552541122164139</v>
      </c>
      <c r="P85" s="4209">
        <v>18.45</v>
      </c>
      <c r="Q85" s="4209">
        <v>1.35</v>
      </c>
      <c r="R85" s="4209">
        <v>0.53</v>
      </c>
      <c r="S85" s="4164">
        <f t="shared" ref="S85" si="166">SUM(P85:R85)</f>
        <v>20.330000000000002</v>
      </c>
      <c r="T85" s="4210">
        <f t="shared" si="136"/>
        <v>1.8165762336649243</v>
      </c>
      <c r="U85" s="4210">
        <f t="shared" si="137"/>
        <v>27.610000000000003</v>
      </c>
      <c r="V85" s="4210">
        <f t="shared" si="159"/>
        <v>25.793423766335078</v>
      </c>
      <c r="W85" s="4165">
        <f>SUM('Произв. прогр. Стоки'!V104)</f>
        <v>0.60552541122164139</v>
      </c>
      <c r="X85" s="4209"/>
      <c r="Y85" s="4209"/>
      <c r="Z85" s="4209"/>
      <c r="AA85" s="4164">
        <f t="shared" ref="AA85" si="167">SUM(X85:Z85)</f>
        <v>0</v>
      </c>
      <c r="AB85" s="4210">
        <f t="shared" si="139"/>
        <v>2.4221016448865655</v>
      </c>
      <c r="AC85" s="4210">
        <f t="shared" si="140"/>
        <v>27.610000000000003</v>
      </c>
      <c r="AD85" s="4210">
        <f t="shared" si="160"/>
        <v>25.187898355113436</v>
      </c>
    </row>
    <row r="86" spans="1:30" ht="18.75" customHeight="1">
      <c r="A86" s="4208" t="s">
        <v>610</v>
      </c>
      <c r="B86" s="4205">
        <f>SUM('Произв. прогр. Стоки'!H105)</f>
        <v>4.0368360748109428E-2</v>
      </c>
      <c r="C86" s="4205">
        <f>SUM(C87)</f>
        <v>0</v>
      </c>
      <c r="D86" s="4205">
        <f t="shared" ref="D86:F86" si="168">SUM(D87)</f>
        <v>0</v>
      </c>
      <c r="E86" s="4205">
        <f t="shared" si="168"/>
        <v>0</v>
      </c>
      <c r="F86" s="4205">
        <f t="shared" si="168"/>
        <v>0</v>
      </c>
      <c r="G86" s="4205">
        <f>SUM('Произв. прогр. Стоки'!L105)</f>
        <v>4.0368360748109428E-2</v>
      </c>
      <c r="H86" s="4205">
        <f>SUM(H87)</f>
        <v>0</v>
      </c>
      <c r="I86" s="4205">
        <f t="shared" ref="I86:K86" si="169">SUM(I87)</f>
        <v>0</v>
      </c>
      <c r="J86" s="4205">
        <f t="shared" si="169"/>
        <v>0</v>
      </c>
      <c r="K86" s="4205">
        <f t="shared" si="169"/>
        <v>0</v>
      </c>
      <c r="L86" s="4202">
        <f t="shared" si="133"/>
        <v>8.0736721496218855E-2</v>
      </c>
      <c r="M86" s="4202">
        <f t="shared" si="134"/>
        <v>0</v>
      </c>
      <c r="N86" s="4202">
        <f t="shared" si="158"/>
        <v>-8.0736721496218855E-2</v>
      </c>
      <c r="O86" s="4205">
        <f>SUM('Произв. прогр. Стоки'!Q105)</f>
        <v>4.0368360748109428E-2</v>
      </c>
      <c r="P86" s="4205">
        <f>SUM(P87)</f>
        <v>0</v>
      </c>
      <c r="Q86" s="4205">
        <f t="shared" ref="Q86:S86" si="170">SUM(Q87)</f>
        <v>0</v>
      </c>
      <c r="R86" s="4205">
        <f t="shared" si="170"/>
        <v>0</v>
      </c>
      <c r="S86" s="4205">
        <f t="shared" si="170"/>
        <v>0</v>
      </c>
      <c r="T86" s="4202">
        <f t="shared" si="136"/>
        <v>0.12110508224432828</v>
      </c>
      <c r="U86" s="4202">
        <f t="shared" si="137"/>
        <v>0</v>
      </c>
      <c r="V86" s="4202">
        <f t="shared" si="159"/>
        <v>-0.12110508224432828</v>
      </c>
      <c r="W86" s="4205">
        <f>SUM('Произв. прогр. Стоки'!V105)</f>
        <v>4.0368360748109428E-2</v>
      </c>
      <c r="X86" s="4205">
        <f>SUM(X87)</f>
        <v>0</v>
      </c>
      <c r="Y86" s="4205">
        <f t="shared" ref="Y86:AA86" si="171">SUM(Y87)</f>
        <v>0</v>
      </c>
      <c r="Z86" s="4205">
        <f t="shared" si="171"/>
        <v>0</v>
      </c>
      <c r="AA86" s="4205">
        <f t="shared" si="171"/>
        <v>0</v>
      </c>
      <c r="AB86" s="4202">
        <f t="shared" si="139"/>
        <v>0.16147344299243771</v>
      </c>
      <c r="AC86" s="4202">
        <f t="shared" si="140"/>
        <v>0</v>
      </c>
      <c r="AD86" s="4202">
        <f t="shared" si="160"/>
        <v>-0.16147344299243771</v>
      </c>
    </row>
    <row r="87" spans="1:30" ht="18.75" customHeight="1">
      <c r="A87" s="4125" t="s">
        <v>614</v>
      </c>
      <c r="B87" s="4165">
        <f>SUM('Произв. прогр. Стоки'!H106)</f>
        <v>4.0368360748109428E-2</v>
      </c>
      <c r="C87" s="4209"/>
      <c r="D87" s="4209"/>
      <c r="E87" s="4209"/>
      <c r="F87" s="4164">
        <f t="shared" si="97"/>
        <v>0</v>
      </c>
      <c r="G87" s="4165">
        <f>SUM('Произв. прогр. Стоки'!L106)</f>
        <v>4.0368360748109428E-2</v>
      </c>
      <c r="H87" s="4209"/>
      <c r="I87" s="4209"/>
      <c r="J87" s="4209"/>
      <c r="K87" s="4164">
        <f t="shared" ref="K87" si="172">SUM(H87:J87)</f>
        <v>0</v>
      </c>
      <c r="L87" s="4210">
        <f t="shared" si="133"/>
        <v>8.0736721496218855E-2</v>
      </c>
      <c r="M87" s="4210">
        <f t="shared" si="134"/>
        <v>0</v>
      </c>
      <c r="N87" s="4210">
        <f t="shared" si="158"/>
        <v>-8.0736721496218855E-2</v>
      </c>
      <c r="O87" s="4165">
        <f>SUM('Произв. прогр. Стоки'!Q106)</f>
        <v>4.0368360748109428E-2</v>
      </c>
      <c r="P87" s="4209"/>
      <c r="Q87" s="4209"/>
      <c r="R87" s="4209"/>
      <c r="S87" s="4164">
        <f t="shared" ref="S87" si="173">SUM(P87:R87)</f>
        <v>0</v>
      </c>
      <c r="T87" s="4210">
        <f t="shared" si="136"/>
        <v>0.12110508224432828</v>
      </c>
      <c r="U87" s="4210">
        <f t="shared" si="137"/>
        <v>0</v>
      </c>
      <c r="V87" s="4210">
        <f t="shared" si="159"/>
        <v>-0.12110508224432828</v>
      </c>
      <c r="W87" s="4165">
        <f>SUM('Произв. прогр. Стоки'!V106)</f>
        <v>4.0368360748109428E-2</v>
      </c>
      <c r="X87" s="4209"/>
      <c r="Y87" s="4209"/>
      <c r="Z87" s="4209"/>
      <c r="AA87" s="4164">
        <f t="shared" ref="AA87" si="174">SUM(X87:Z87)</f>
        <v>0</v>
      </c>
      <c r="AB87" s="4210">
        <f t="shared" si="139"/>
        <v>0.16147344299243771</v>
      </c>
      <c r="AC87" s="4210">
        <f t="shared" si="140"/>
        <v>0</v>
      </c>
      <c r="AD87" s="4210">
        <f t="shared" si="160"/>
        <v>-0.16147344299243771</v>
      </c>
    </row>
    <row r="88" spans="1:30" ht="18.75" customHeight="1">
      <c r="A88" s="4139" t="s">
        <v>542</v>
      </c>
      <c r="B88" s="4172">
        <f>SUM('Произв. прогр. Стоки'!H107)</f>
        <v>3358.3693171252744</v>
      </c>
      <c r="C88" s="4172">
        <f>SUM(C89:C93)+C95</f>
        <v>1167.82</v>
      </c>
      <c r="D88" s="4172">
        <f t="shared" ref="D88:F88" si="175">SUM(D89:D93)+D95</f>
        <v>909.56000000000006</v>
      </c>
      <c r="E88" s="4172">
        <f t="shared" si="175"/>
        <v>1079.3399999999999</v>
      </c>
      <c r="F88" s="4172">
        <f t="shared" si="175"/>
        <v>3156.72</v>
      </c>
      <c r="G88" s="4172">
        <f>SUM('Произв. прогр. Стоки'!L107)</f>
        <v>3360.3519763234913</v>
      </c>
      <c r="H88" s="4172">
        <f>SUM(H89:H93)+H95</f>
        <v>976.70999999999992</v>
      </c>
      <c r="I88" s="4172">
        <f t="shared" ref="I88" si="176">SUM(I89:I93)+I95</f>
        <v>1035.6400000000001</v>
      </c>
      <c r="J88" s="4172">
        <f t="shared" ref="J88" si="177">SUM(J89:J93)+J95</f>
        <v>1005.51</v>
      </c>
      <c r="K88" s="4172">
        <f t="shared" ref="K88" si="178">SUM(K89:K93)+K95</f>
        <v>3017.8600000000006</v>
      </c>
      <c r="L88" s="4192">
        <f t="shared" si="133"/>
        <v>6718.7212934487652</v>
      </c>
      <c r="M88" s="4192">
        <f t="shared" si="134"/>
        <v>6174.58</v>
      </c>
      <c r="N88" s="4192">
        <f t="shared" si="158"/>
        <v>-544.14129344876528</v>
      </c>
      <c r="O88" s="4172">
        <f>SUM('Произв. прогр. Стоки'!Q107)</f>
        <v>3497.928704708308</v>
      </c>
      <c r="P88" s="4172">
        <f>SUM(P89:P93)+P95</f>
        <v>1119.23</v>
      </c>
      <c r="Q88" s="4172">
        <f t="shared" ref="Q88" si="179">SUM(Q89:Q93)+Q95</f>
        <v>1127.1600000000001</v>
      </c>
      <c r="R88" s="4172">
        <f t="shared" ref="R88" si="180">SUM(R89:R93)+R95</f>
        <v>1124.9499999999998</v>
      </c>
      <c r="S88" s="4172">
        <f t="shared" ref="S88" si="181">SUM(S89:S93)+S95</f>
        <v>3371.3399999999997</v>
      </c>
      <c r="T88" s="4192">
        <f t="shared" si="136"/>
        <v>10216.649998157074</v>
      </c>
      <c r="U88" s="4192">
        <f t="shared" si="137"/>
        <v>9545.92</v>
      </c>
      <c r="V88" s="4192">
        <f t="shared" si="159"/>
        <v>-670.72999815707408</v>
      </c>
      <c r="W88" s="4172">
        <f>SUM('Произв. прогр. Стоки'!V107)</f>
        <v>3494.5603628177105</v>
      </c>
      <c r="X88" s="4172">
        <f>SUM(X89:X93)+X95</f>
        <v>0</v>
      </c>
      <c r="Y88" s="4172">
        <f t="shared" ref="Y88" si="182">SUM(Y89:Y93)+Y95</f>
        <v>0</v>
      </c>
      <c r="Z88" s="4172">
        <f t="shared" ref="Z88" si="183">SUM(Z89:Z93)+Z95</f>
        <v>0</v>
      </c>
      <c r="AA88" s="4172">
        <f t="shared" ref="AA88" si="184">SUM(AA89:AA93)+AA95</f>
        <v>0</v>
      </c>
      <c r="AB88" s="4192">
        <f t="shared" si="139"/>
        <v>13711.210360974785</v>
      </c>
      <c r="AC88" s="4192">
        <f t="shared" si="140"/>
        <v>9545.92</v>
      </c>
      <c r="AD88" s="4192">
        <f t="shared" si="160"/>
        <v>-4165.2903609747846</v>
      </c>
    </row>
    <row r="89" spans="1:30" ht="18.75" customHeight="1">
      <c r="A89" s="4143" t="s">
        <v>2</v>
      </c>
      <c r="B89" s="4205">
        <f>SUM('Произв. прогр. Стоки'!H108)</f>
        <v>1003.9824999999998</v>
      </c>
      <c r="C89" s="4206">
        <v>327.12</v>
      </c>
      <c r="D89" s="4206">
        <v>327.12</v>
      </c>
      <c r="E89" s="4206">
        <v>327.12</v>
      </c>
      <c r="F89" s="4157">
        <f t="shared" si="97"/>
        <v>981.36</v>
      </c>
      <c r="G89" s="4205">
        <f>SUM('Произв. прогр. Стоки'!L108)</f>
        <v>1003.9824999999998</v>
      </c>
      <c r="H89" s="4206">
        <v>327.13</v>
      </c>
      <c r="I89" s="4206">
        <v>327.12</v>
      </c>
      <c r="J89" s="4206">
        <v>327.12</v>
      </c>
      <c r="K89" s="4157">
        <f t="shared" ref="K89:K93" si="185">SUM(H89:J89)</f>
        <v>981.37</v>
      </c>
      <c r="L89" s="4202">
        <f t="shared" si="133"/>
        <v>2007.9649999999997</v>
      </c>
      <c r="M89" s="4202">
        <f t="shared" si="134"/>
        <v>1962.73</v>
      </c>
      <c r="N89" s="4202">
        <f t="shared" si="158"/>
        <v>-45.234999999999673</v>
      </c>
      <c r="O89" s="4205">
        <f>SUM('Произв. прогр. Стоки'!Q108)</f>
        <v>1003.9824999999998</v>
      </c>
      <c r="P89" s="4206">
        <v>327.12</v>
      </c>
      <c r="Q89" s="4206">
        <v>327.12</v>
      </c>
      <c r="R89" s="4303">
        <v>327.12</v>
      </c>
      <c r="S89" s="4157">
        <f t="shared" ref="S89:S93" si="186">SUM(P89:R89)</f>
        <v>981.36</v>
      </c>
      <c r="T89" s="4202">
        <f t="shared" si="136"/>
        <v>3011.9474999999993</v>
      </c>
      <c r="U89" s="4202">
        <f t="shared" si="137"/>
        <v>2944.09</v>
      </c>
      <c r="V89" s="4202">
        <f t="shared" si="159"/>
        <v>-67.857499999999163</v>
      </c>
      <c r="W89" s="4205">
        <f>SUM('Произв. прогр. Стоки'!V108)</f>
        <v>1003.9824999999998</v>
      </c>
      <c r="X89" s="4206"/>
      <c r="Y89" s="4206"/>
      <c r="Z89" s="4206"/>
      <c r="AA89" s="4157">
        <f t="shared" ref="AA89:AA93" si="187">SUM(X89:Z89)</f>
        <v>0</v>
      </c>
      <c r="AB89" s="4202">
        <f t="shared" si="139"/>
        <v>4015.9299999999994</v>
      </c>
      <c r="AC89" s="4202">
        <f t="shared" si="140"/>
        <v>2944.09</v>
      </c>
      <c r="AD89" s="4202">
        <f t="shared" si="160"/>
        <v>-1071.8399999999992</v>
      </c>
    </row>
    <row r="90" spans="1:30" ht="18.75" customHeight="1">
      <c r="A90" s="4143" t="s">
        <v>69</v>
      </c>
      <c r="B90" s="4205">
        <f>SUM('Произв. прогр. Стоки'!H109)</f>
        <v>0</v>
      </c>
      <c r="C90" s="4206"/>
      <c r="D90" s="4206"/>
      <c r="E90" s="4206"/>
      <c r="F90" s="4157">
        <f t="shared" si="97"/>
        <v>0</v>
      </c>
      <c r="G90" s="4205">
        <f>SUM('Произв. прогр. Стоки'!L109)</f>
        <v>0</v>
      </c>
      <c r="H90" s="4206"/>
      <c r="I90" s="4206"/>
      <c r="J90" s="4206"/>
      <c r="K90" s="4157">
        <f t="shared" si="185"/>
        <v>0</v>
      </c>
      <c r="L90" s="4202">
        <f t="shared" si="133"/>
        <v>0</v>
      </c>
      <c r="M90" s="4202">
        <f t="shared" si="134"/>
        <v>0</v>
      </c>
      <c r="N90" s="4202">
        <f t="shared" si="158"/>
        <v>0</v>
      </c>
      <c r="O90" s="4205">
        <f>SUM('Произв. прогр. Стоки'!Q109)</f>
        <v>0</v>
      </c>
      <c r="P90" s="4206"/>
      <c r="Q90" s="4206"/>
      <c r="R90" s="4206"/>
      <c r="S90" s="4157">
        <f t="shared" si="186"/>
        <v>0</v>
      </c>
      <c r="T90" s="4202">
        <f t="shared" si="136"/>
        <v>0</v>
      </c>
      <c r="U90" s="4202">
        <f t="shared" si="137"/>
        <v>0</v>
      </c>
      <c r="V90" s="4202">
        <f t="shared" si="159"/>
        <v>0</v>
      </c>
      <c r="W90" s="4205">
        <f>SUM('Произв. прогр. Стоки'!V109)</f>
        <v>0</v>
      </c>
      <c r="X90" s="4206"/>
      <c r="Y90" s="4206"/>
      <c r="Z90" s="4206"/>
      <c r="AA90" s="4157">
        <f t="shared" si="187"/>
        <v>0</v>
      </c>
      <c r="AB90" s="4202">
        <f t="shared" si="139"/>
        <v>0</v>
      </c>
      <c r="AC90" s="4202">
        <f t="shared" si="140"/>
        <v>0</v>
      </c>
      <c r="AD90" s="4202">
        <f t="shared" si="160"/>
        <v>0</v>
      </c>
    </row>
    <row r="91" spans="1:30" ht="18.75" customHeight="1">
      <c r="A91" s="4143" t="s">
        <v>3</v>
      </c>
      <c r="B91" s="4205">
        <f>SUM('Произв. прогр. Стоки'!H110)</f>
        <v>44.747832203389827</v>
      </c>
      <c r="C91" s="4206">
        <f>11.09</f>
        <v>11.09</v>
      </c>
      <c r="D91" s="4206">
        <v>0.3</v>
      </c>
      <c r="E91" s="4206">
        <v>1.77</v>
      </c>
      <c r="F91" s="4157">
        <f t="shared" si="97"/>
        <v>13.16</v>
      </c>
      <c r="G91" s="4205">
        <f>SUM('Произв. прогр. Стоки'!L110)</f>
        <v>44.747832203389827</v>
      </c>
      <c r="H91" s="4206">
        <v>17.059999999999999</v>
      </c>
      <c r="I91" s="4206">
        <f>15.07+11.07+0.58</f>
        <v>26.72</v>
      </c>
      <c r="J91" s="4206">
        <v>14.4</v>
      </c>
      <c r="K91" s="4157">
        <f t="shared" si="185"/>
        <v>58.18</v>
      </c>
      <c r="L91" s="4202">
        <f t="shared" si="133"/>
        <v>89.495664406779653</v>
      </c>
      <c r="M91" s="4202">
        <f t="shared" si="134"/>
        <v>71.34</v>
      </c>
      <c r="N91" s="4202">
        <f t="shared" si="158"/>
        <v>-18.15566440677965</v>
      </c>
      <c r="O91" s="4205">
        <f>SUM('Произв. прогр. Стоки'!Q110)</f>
        <v>44.747832203389827</v>
      </c>
      <c r="P91" s="4206">
        <v>14.12</v>
      </c>
      <c r="Q91" s="4206">
        <v>21.23</v>
      </c>
      <c r="R91" s="4206">
        <v>24.06</v>
      </c>
      <c r="S91" s="4157">
        <f t="shared" si="186"/>
        <v>59.41</v>
      </c>
      <c r="T91" s="4202">
        <f t="shared" si="136"/>
        <v>134.24349661016947</v>
      </c>
      <c r="U91" s="4202">
        <f t="shared" si="137"/>
        <v>130.75</v>
      </c>
      <c r="V91" s="4202">
        <f t="shared" si="159"/>
        <v>-3.4934966101694727</v>
      </c>
      <c r="W91" s="4205">
        <f>SUM('Произв. прогр. Стоки'!V110)</f>
        <v>44.747832203389827</v>
      </c>
      <c r="X91" s="4206"/>
      <c r="Y91" s="4206"/>
      <c r="Z91" s="4206"/>
      <c r="AA91" s="4157">
        <f t="shared" si="187"/>
        <v>0</v>
      </c>
      <c r="AB91" s="4202">
        <f t="shared" si="139"/>
        <v>178.99132881355931</v>
      </c>
      <c r="AC91" s="4202">
        <f t="shared" si="140"/>
        <v>130.75</v>
      </c>
      <c r="AD91" s="4202">
        <f t="shared" si="160"/>
        <v>-48.241328813559306</v>
      </c>
    </row>
    <row r="92" spans="1:30" ht="18.75" customHeight="1">
      <c r="A92" s="4143" t="s">
        <v>4</v>
      </c>
      <c r="B92" s="4205">
        <f>SUM('Произв. прогр. Стоки'!H111)</f>
        <v>1340.7710714224202</v>
      </c>
      <c r="C92" s="4206">
        <v>396.64</v>
      </c>
      <c r="D92" s="4206">
        <v>364.47</v>
      </c>
      <c r="E92" s="4206">
        <v>496.28</v>
      </c>
      <c r="F92" s="4157">
        <f t="shared" si="97"/>
        <v>1257.3899999999999</v>
      </c>
      <c r="G92" s="4205">
        <f>SUM('Произв. прогр. Стоки'!L111)</f>
        <v>1340.7710714224202</v>
      </c>
      <c r="H92" s="4206">
        <v>361.35</v>
      </c>
      <c r="I92" s="4206">
        <v>450.47</v>
      </c>
      <c r="J92" s="4206">
        <v>376.39</v>
      </c>
      <c r="K92" s="4157">
        <f t="shared" si="185"/>
        <v>1188.21</v>
      </c>
      <c r="L92" s="4202">
        <f t="shared" si="133"/>
        <v>2681.5421428448403</v>
      </c>
      <c r="M92" s="4202">
        <f t="shared" si="134"/>
        <v>2445.6</v>
      </c>
      <c r="N92" s="4202">
        <f t="shared" si="158"/>
        <v>-235.94214284484042</v>
      </c>
      <c r="O92" s="4205">
        <f>SUM('Произв. прогр. Стоки'!Q111)</f>
        <v>1421.619567029192</v>
      </c>
      <c r="P92" s="4206">
        <v>436.77</v>
      </c>
      <c r="Q92" s="4206">
        <v>447.44</v>
      </c>
      <c r="R92" s="4206">
        <v>352.55</v>
      </c>
      <c r="S92" s="4157">
        <f t="shared" si="186"/>
        <v>1236.76</v>
      </c>
      <c r="T92" s="4202">
        <f t="shared" si="136"/>
        <v>4103.1617098740326</v>
      </c>
      <c r="U92" s="4202">
        <f t="shared" si="137"/>
        <v>3682.3599999999997</v>
      </c>
      <c r="V92" s="4202">
        <f t="shared" si="159"/>
        <v>-420.80170987403289</v>
      </c>
      <c r="W92" s="4205">
        <f>SUM('Произв. прогр. Стоки'!V111)</f>
        <v>1421.619567029192</v>
      </c>
      <c r="X92" s="4206"/>
      <c r="Y92" s="4206"/>
      <c r="Z92" s="4206"/>
      <c r="AA92" s="4157">
        <f t="shared" si="187"/>
        <v>0</v>
      </c>
      <c r="AB92" s="4202">
        <f t="shared" si="139"/>
        <v>5524.7812769032244</v>
      </c>
      <c r="AC92" s="4202">
        <f t="shared" si="140"/>
        <v>3682.3599999999997</v>
      </c>
      <c r="AD92" s="4202">
        <f t="shared" si="160"/>
        <v>-1842.4212769032247</v>
      </c>
    </row>
    <row r="93" spans="1:30" ht="18.75" customHeight="1">
      <c r="A93" s="4143" t="s">
        <v>121</v>
      </c>
      <c r="B93" s="4205">
        <f>SUM('Произв. прогр. Стоки'!H112)</f>
        <v>400.1285543870988</v>
      </c>
      <c r="C93" s="4206">
        <v>120.92</v>
      </c>
      <c r="D93" s="4206">
        <v>111.88</v>
      </c>
      <c r="E93" s="4206">
        <v>149.51</v>
      </c>
      <c r="F93" s="4157">
        <f t="shared" si="97"/>
        <v>382.31</v>
      </c>
      <c r="G93" s="4205">
        <f>SUM('Произв. прогр. Стоки'!L112)</f>
        <v>400.1285543870988</v>
      </c>
      <c r="H93" s="4206">
        <v>112.28</v>
      </c>
      <c r="I93" s="4206">
        <v>137.55000000000001</v>
      </c>
      <c r="J93" s="4206">
        <v>113.28</v>
      </c>
      <c r="K93" s="4157">
        <f t="shared" si="185"/>
        <v>363.11</v>
      </c>
      <c r="L93" s="4202">
        <f t="shared" si="133"/>
        <v>800.2571087741976</v>
      </c>
      <c r="M93" s="4202">
        <f t="shared" si="134"/>
        <v>745.42000000000007</v>
      </c>
      <c r="N93" s="4202">
        <f t="shared" si="158"/>
        <v>-54.837108774197532</v>
      </c>
      <c r="O93" s="4205">
        <f>SUM('Произв. прогр. Стоки'!Q112)</f>
        <v>424.25630621664078</v>
      </c>
      <c r="P93" s="4206">
        <v>133.97</v>
      </c>
      <c r="Q93" s="4206">
        <v>135.33000000000001</v>
      </c>
      <c r="R93" s="4206">
        <v>106.78</v>
      </c>
      <c r="S93" s="4157">
        <f t="shared" si="186"/>
        <v>376.08000000000004</v>
      </c>
      <c r="T93" s="4202">
        <f t="shared" si="136"/>
        <v>1224.5134149908383</v>
      </c>
      <c r="U93" s="4202">
        <f t="shared" si="137"/>
        <v>1121.5</v>
      </c>
      <c r="V93" s="4202">
        <f t="shared" si="159"/>
        <v>-103.01341499083833</v>
      </c>
      <c r="W93" s="4205">
        <f>SUM('Произв. прогр. Стоки'!V112)</f>
        <v>424.25630621664078</v>
      </c>
      <c r="X93" s="4206"/>
      <c r="Y93" s="4206"/>
      <c r="Z93" s="4206"/>
      <c r="AA93" s="4157">
        <f t="shared" si="187"/>
        <v>0</v>
      </c>
      <c r="AB93" s="4202">
        <f t="shared" si="139"/>
        <v>1648.7697212074791</v>
      </c>
      <c r="AC93" s="4202">
        <f t="shared" si="140"/>
        <v>1121.5</v>
      </c>
      <c r="AD93" s="4202">
        <f t="shared" si="160"/>
        <v>-527.26972120747905</v>
      </c>
    </row>
    <row r="94" spans="1:30" ht="18.75" customHeight="1">
      <c r="A94" s="4145" t="str">
        <f>A73</f>
        <v>то же в %</v>
      </c>
      <c r="B94" s="4160">
        <f>SUM('Произв. прогр. Стоки'!H113)</f>
        <v>0.29843167332257814</v>
      </c>
      <c r="C94" s="4160">
        <f>SUM(C93/C92)</f>
        <v>0.30486083098023398</v>
      </c>
      <c r="D94" s="4160">
        <f t="shared" ref="D94:F94" si="188">SUM(D93/D92)</f>
        <v>0.30696627980355035</v>
      </c>
      <c r="E94" s="4160">
        <f t="shared" si="188"/>
        <v>0.30126138470218428</v>
      </c>
      <c r="F94" s="4160">
        <f t="shared" si="188"/>
        <v>0.30405045371762146</v>
      </c>
      <c r="G94" s="4160">
        <f>SUM('Произв. прогр. Стоки'!L113)</f>
        <v>0.29843167332257814</v>
      </c>
      <c r="H94" s="4160">
        <f>SUM(H93/H92)</f>
        <v>0.31072367510723675</v>
      </c>
      <c r="I94" s="4160">
        <f t="shared" ref="I94:M94" si="189">SUM(I93/I92)</f>
        <v>0.30534774790774083</v>
      </c>
      <c r="J94" s="4160">
        <f t="shared" si="189"/>
        <v>0.30096442519726879</v>
      </c>
      <c r="K94" s="4160">
        <f t="shared" si="189"/>
        <v>0.30559412898393384</v>
      </c>
      <c r="L94" s="4161">
        <f t="shared" si="189"/>
        <v>0.29843167332257814</v>
      </c>
      <c r="M94" s="4161">
        <f t="shared" si="189"/>
        <v>0.30480045796532551</v>
      </c>
      <c r="N94" s="4207">
        <f t="shared" si="158"/>
        <v>6.3687846427473715E-3</v>
      </c>
      <c r="O94" s="4160">
        <f>SUM('Произв. прогр. Стоки'!Q113)</f>
        <v>0.29843167332257814</v>
      </c>
      <c r="P94" s="4160">
        <f>SUM(P93/P92)</f>
        <v>0.30672894200609019</v>
      </c>
      <c r="Q94" s="4160">
        <f t="shared" ref="Q94:S94" si="190">SUM(Q93/Q92)</f>
        <v>0.3024539603075273</v>
      </c>
      <c r="R94" s="4160">
        <f t="shared" si="190"/>
        <v>0.30287902425187918</v>
      </c>
      <c r="S94" s="4160">
        <f t="shared" si="190"/>
        <v>0.30408486691031406</v>
      </c>
      <c r="T94" s="4161">
        <f>SUM(T93/T92)</f>
        <v>0.29843167332257814</v>
      </c>
      <c r="U94" s="4161">
        <f>SUM(U93/U92)</f>
        <v>0.30456011905408492</v>
      </c>
      <c r="V94" s="4207">
        <f t="shared" si="159"/>
        <v>6.128445731506782E-3</v>
      </c>
      <c r="W94" s="4160">
        <f>SUM('Произв. прогр. Стоки'!V113)</f>
        <v>0.29843167332257814</v>
      </c>
      <c r="X94" s="4160" t="e">
        <f>SUM(X93/X92)</f>
        <v>#DIV/0!</v>
      </c>
      <c r="Y94" s="4160" t="e">
        <f t="shared" ref="Y94:AC94" si="191">SUM(Y93/Y92)</f>
        <v>#DIV/0!</v>
      </c>
      <c r="Z94" s="4160" t="e">
        <f t="shared" si="191"/>
        <v>#DIV/0!</v>
      </c>
      <c r="AA94" s="4160" t="e">
        <f t="shared" si="191"/>
        <v>#DIV/0!</v>
      </c>
      <c r="AB94" s="4161">
        <f t="shared" si="191"/>
        <v>0.29843167332257814</v>
      </c>
      <c r="AC94" s="4161">
        <f t="shared" si="191"/>
        <v>0.30456011905408492</v>
      </c>
      <c r="AD94" s="4207">
        <f t="shared" si="160"/>
        <v>6.128445731506782E-3</v>
      </c>
    </row>
    <row r="95" spans="1:30" ht="18.75" customHeight="1">
      <c r="A95" s="4171" t="s">
        <v>1742</v>
      </c>
      <c r="B95" s="4172">
        <f>SUM('Произв. прогр. Стоки'!H114)</f>
        <v>568.73935911236526</v>
      </c>
      <c r="C95" s="4172">
        <f>SUM(C96:C100)+C102</f>
        <v>312.05</v>
      </c>
      <c r="D95" s="4172">
        <f t="shared" ref="D95:F95" si="192">SUM(D96:D100)+D102</f>
        <v>105.79</v>
      </c>
      <c r="E95" s="4172">
        <f t="shared" si="192"/>
        <v>104.66</v>
      </c>
      <c r="F95" s="4172">
        <f t="shared" si="192"/>
        <v>522.50000000000011</v>
      </c>
      <c r="G95" s="4172">
        <f>SUM('Произв. прогр. Стоки'!L114)</f>
        <v>570.72201831058214</v>
      </c>
      <c r="H95" s="4172">
        <f>SUM(H96:H100)+H102</f>
        <v>158.88999999999999</v>
      </c>
      <c r="I95" s="4172">
        <f t="shared" ref="I95" si="193">SUM(I96:I100)+I102</f>
        <v>93.78</v>
      </c>
      <c r="J95" s="4172">
        <f t="shared" ref="J95" si="194">SUM(J96:J100)+J102</f>
        <v>174.32000000000002</v>
      </c>
      <c r="K95" s="4172">
        <f t="shared" ref="K95" si="195">SUM(K96:K100)+K102</f>
        <v>426.99</v>
      </c>
      <c r="L95" s="4192">
        <f t="shared" ref="L95:L121" si="196">SUM(G95+B95)</f>
        <v>1139.4613774229474</v>
      </c>
      <c r="M95" s="4192">
        <f t="shared" ref="M95:M121" si="197">SUM(K95+F95)</f>
        <v>949.49000000000012</v>
      </c>
      <c r="N95" s="4192">
        <f t="shared" si="158"/>
        <v>-189.97137742294728</v>
      </c>
      <c r="O95" s="4172">
        <f>SUM('Произв. прогр. Стоки'!Q114)</f>
        <v>603.32249925908548</v>
      </c>
      <c r="P95" s="4172">
        <f>SUM(P96:P100)+P102</f>
        <v>207.25</v>
      </c>
      <c r="Q95" s="4172">
        <f t="shared" ref="Q95" si="198">SUM(Q96:Q100)+Q102</f>
        <v>196.04000000000002</v>
      </c>
      <c r="R95" s="4172">
        <f t="shared" ref="R95" si="199">SUM(R96:R100)+R102</f>
        <v>314.43999999999994</v>
      </c>
      <c r="S95" s="4172">
        <f t="shared" ref="S95" si="200">SUM(S96:S100)+S102</f>
        <v>717.7299999999999</v>
      </c>
      <c r="T95" s="4192">
        <f t="shared" ref="T95:T120" si="201">SUM(L95+O95)</f>
        <v>1742.7838766820328</v>
      </c>
      <c r="U95" s="4192">
        <f t="shared" ref="U95:U121" si="202">SUM(M95+S95)</f>
        <v>1667.22</v>
      </c>
      <c r="V95" s="4192">
        <f t="shared" si="159"/>
        <v>-75.563876682032742</v>
      </c>
      <c r="W95" s="4172">
        <f>SUM('Произв. прогр. Стоки'!V114)</f>
        <v>599.95415736848827</v>
      </c>
      <c r="X95" s="4172">
        <f>SUM(X96:X100)+X102</f>
        <v>0</v>
      </c>
      <c r="Y95" s="4172">
        <f t="shared" ref="Y95" si="203">SUM(Y96:Y100)+Y102</f>
        <v>0</v>
      </c>
      <c r="Z95" s="4172">
        <f t="shared" ref="Z95" si="204">SUM(Z96:Z100)+Z102</f>
        <v>0</v>
      </c>
      <c r="AA95" s="4172">
        <f t="shared" ref="AA95" si="205">SUM(AA96:AA100)+AA102</f>
        <v>0</v>
      </c>
      <c r="AB95" s="4192">
        <f t="shared" ref="AB95:AB118" si="206">SUM(W95+T95)</f>
        <v>2342.738034050521</v>
      </c>
      <c r="AC95" s="4192">
        <f t="shared" ref="AC95:AC121" si="207">SUM(AA95+U95)</f>
        <v>1667.22</v>
      </c>
      <c r="AD95" s="4192">
        <f t="shared" si="160"/>
        <v>-675.51803405052101</v>
      </c>
    </row>
    <row r="96" spans="1:30" ht="18.75" customHeight="1">
      <c r="A96" s="4208" t="s">
        <v>72</v>
      </c>
      <c r="B96" s="4205">
        <f>SUM('Произв. прогр. Стоки'!H115)</f>
        <v>398.03691152714896</v>
      </c>
      <c r="C96" s="4206">
        <v>227.54</v>
      </c>
      <c r="D96" s="4206">
        <v>68.75</v>
      </c>
      <c r="E96" s="4206">
        <v>68.22</v>
      </c>
      <c r="F96" s="4157">
        <f t="shared" ref="F96:F119" si="208">SUM(C96:E96)</f>
        <v>364.51</v>
      </c>
      <c r="G96" s="4205">
        <f>SUM('Произв. прогр. Стоки'!L115)</f>
        <v>398.03691152714896</v>
      </c>
      <c r="H96" s="4206">
        <v>107.06</v>
      </c>
      <c r="I96" s="4206">
        <v>48.46</v>
      </c>
      <c r="J96" s="4206">
        <v>112.13</v>
      </c>
      <c r="K96" s="4157">
        <f t="shared" ref="K96:K99" si="209">SUM(H96:J96)</f>
        <v>267.64999999999998</v>
      </c>
      <c r="L96" s="4202">
        <f t="shared" si="196"/>
        <v>796.07382305429792</v>
      </c>
      <c r="M96" s="4202">
        <f t="shared" si="197"/>
        <v>632.16</v>
      </c>
      <c r="N96" s="4202">
        <f t="shared" si="158"/>
        <v>-163.91382305429795</v>
      </c>
      <c r="O96" s="4205">
        <f>SUM('Произв. прогр. Стоки'!Q115)</f>
        <v>422.03853729223601</v>
      </c>
      <c r="P96" s="4206">
        <v>133.06</v>
      </c>
      <c r="Q96" s="4206">
        <v>130.55000000000001</v>
      </c>
      <c r="R96" s="4206">
        <v>169.77</v>
      </c>
      <c r="S96" s="4157">
        <f t="shared" ref="S96:S99" si="210">SUM(P96:R96)</f>
        <v>433.38</v>
      </c>
      <c r="T96" s="4202">
        <f t="shared" si="201"/>
        <v>1218.1123603465339</v>
      </c>
      <c r="U96" s="4202">
        <f t="shared" si="202"/>
        <v>1065.54</v>
      </c>
      <c r="V96" s="4202">
        <f t="shared" si="159"/>
        <v>-152.57236034653397</v>
      </c>
      <c r="W96" s="4205">
        <f>SUM('Произв. прогр. Стоки'!V115)</f>
        <v>422.03853729223601</v>
      </c>
      <c r="X96" s="4206"/>
      <c r="Y96" s="4206"/>
      <c r="Z96" s="4206"/>
      <c r="AA96" s="4157">
        <f t="shared" ref="AA96:AA99" si="211">SUM(X96:Z96)</f>
        <v>0</v>
      </c>
      <c r="AB96" s="4202">
        <f t="shared" si="206"/>
        <v>1640.1508976387699</v>
      </c>
      <c r="AC96" s="4202">
        <f t="shared" si="207"/>
        <v>1065.54</v>
      </c>
      <c r="AD96" s="4202">
        <f t="shared" si="160"/>
        <v>-574.61089763876998</v>
      </c>
    </row>
    <row r="97" spans="1:30" ht="18.75" customHeight="1">
      <c r="A97" s="4208" t="s">
        <v>121</v>
      </c>
      <c r="B97" s="4205">
        <f>SUM('Произв. прогр. Стоки'!H116)</f>
        <v>119.62143434553941</v>
      </c>
      <c r="C97" s="4206">
        <v>68.72</v>
      </c>
      <c r="D97" s="4206">
        <v>20.76</v>
      </c>
      <c r="E97" s="4206">
        <v>20.6</v>
      </c>
      <c r="F97" s="4157">
        <f t="shared" si="208"/>
        <v>110.08000000000001</v>
      </c>
      <c r="G97" s="4205">
        <f>SUM('Произв. прогр. Стоки'!L116)</f>
        <v>119.62143434553941</v>
      </c>
      <c r="H97" s="4206">
        <v>32.33</v>
      </c>
      <c r="I97" s="4206">
        <v>14.63</v>
      </c>
      <c r="J97" s="4206">
        <v>33.86</v>
      </c>
      <c r="K97" s="4157">
        <f t="shared" si="209"/>
        <v>80.819999999999993</v>
      </c>
      <c r="L97" s="4202">
        <f t="shared" si="196"/>
        <v>239.24286869107883</v>
      </c>
      <c r="M97" s="4202">
        <f t="shared" si="197"/>
        <v>190.9</v>
      </c>
      <c r="N97" s="4202">
        <f t="shared" si="158"/>
        <v>-48.34286869107882</v>
      </c>
      <c r="O97" s="4205">
        <f>SUM('Произв. прогр. Стоки'!Q116)</f>
        <v>126.83460683657542</v>
      </c>
      <c r="P97" s="4206">
        <v>40.19</v>
      </c>
      <c r="Q97" s="4206">
        <v>39.43</v>
      </c>
      <c r="R97" s="4206">
        <v>51.27</v>
      </c>
      <c r="S97" s="4157">
        <f t="shared" si="210"/>
        <v>130.89000000000001</v>
      </c>
      <c r="T97" s="4202">
        <f t="shared" si="201"/>
        <v>366.07747552765426</v>
      </c>
      <c r="U97" s="4202">
        <f t="shared" si="202"/>
        <v>321.79000000000002</v>
      </c>
      <c r="V97" s="4202">
        <f t="shared" si="159"/>
        <v>-44.287475527654237</v>
      </c>
      <c r="W97" s="4205">
        <f>SUM('Произв. прогр. Стоки'!V116)</f>
        <v>126.83460683657542</v>
      </c>
      <c r="X97" s="4206"/>
      <c r="Y97" s="4206"/>
      <c r="Z97" s="4206"/>
      <c r="AA97" s="4157">
        <f t="shared" si="211"/>
        <v>0</v>
      </c>
      <c r="AB97" s="4202">
        <f t="shared" si="206"/>
        <v>492.91208236422966</v>
      </c>
      <c r="AC97" s="4202">
        <f t="shared" si="207"/>
        <v>321.79000000000002</v>
      </c>
      <c r="AD97" s="4202">
        <f t="shared" si="160"/>
        <v>-171.12208236422964</v>
      </c>
    </row>
    <row r="98" spans="1:30" ht="18.75" customHeight="1">
      <c r="A98" s="4208" t="s">
        <v>52</v>
      </c>
      <c r="B98" s="4205">
        <f>SUM('Произв. прогр. Стоки'!H117)</f>
        <v>1.0542321153227345</v>
      </c>
      <c r="C98" s="4206">
        <v>0.38</v>
      </c>
      <c r="D98" s="4206">
        <v>0.14000000000000001</v>
      </c>
      <c r="E98" s="4206">
        <v>0.27</v>
      </c>
      <c r="F98" s="4157">
        <f t="shared" si="208"/>
        <v>0.79</v>
      </c>
      <c r="G98" s="4205">
        <f>SUM('Произв. прогр. Стоки'!L117)</f>
        <v>1.0542321153227345</v>
      </c>
      <c r="H98" s="4206">
        <v>0.24</v>
      </c>
      <c r="I98" s="4206"/>
      <c r="J98" s="4206">
        <v>0.46</v>
      </c>
      <c r="K98" s="4157">
        <f t="shared" si="209"/>
        <v>0.7</v>
      </c>
      <c r="L98" s="4202">
        <f t="shared" si="196"/>
        <v>2.1084642306454691</v>
      </c>
      <c r="M98" s="4202">
        <f t="shared" si="197"/>
        <v>1.49</v>
      </c>
      <c r="N98" s="4202">
        <f t="shared" si="158"/>
        <v>-0.61846423064546907</v>
      </c>
      <c r="O98" s="4205">
        <f>SUM('Произв. прогр. Стоки'!Q117)</f>
        <v>1.0542321153227345</v>
      </c>
      <c r="P98" s="4206"/>
      <c r="Q98" s="4206">
        <v>0.46</v>
      </c>
      <c r="R98" s="4206">
        <v>0.24</v>
      </c>
      <c r="S98" s="4157">
        <f t="shared" si="210"/>
        <v>0.7</v>
      </c>
      <c r="T98" s="4202">
        <f t="shared" si="201"/>
        <v>3.1626963459682038</v>
      </c>
      <c r="U98" s="4202">
        <f t="shared" si="202"/>
        <v>2.19</v>
      </c>
      <c r="V98" s="4202">
        <f t="shared" si="159"/>
        <v>-0.97269634596820387</v>
      </c>
      <c r="W98" s="4205">
        <f>SUM('Произв. прогр. Стоки'!V117)</f>
        <v>1.0542321153227345</v>
      </c>
      <c r="X98" s="4206"/>
      <c r="Y98" s="4206"/>
      <c r="Z98" s="4206"/>
      <c r="AA98" s="4157">
        <f t="shared" si="211"/>
        <v>0</v>
      </c>
      <c r="AB98" s="4202">
        <f t="shared" si="206"/>
        <v>4.2169284612909381</v>
      </c>
      <c r="AC98" s="4202">
        <f t="shared" si="207"/>
        <v>2.19</v>
      </c>
      <c r="AD98" s="4202">
        <f t="shared" si="160"/>
        <v>-2.0269284612909382</v>
      </c>
    </row>
    <row r="99" spans="1:30" ht="18.75" customHeight="1">
      <c r="A99" s="4208" t="s">
        <v>606</v>
      </c>
      <c r="B99" s="4205">
        <f>SUM('Произв. прогр. Стоки'!H118)</f>
        <v>36.253871076931816</v>
      </c>
      <c r="C99" s="4206">
        <v>15.36</v>
      </c>
      <c r="D99" s="4206">
        <v>15.25</v>
      </c>
      <c r="E99" s="4206">
        <v>15.57</v>
      </c>
      <c r="F99" s="4157">
        <f t="shared" si="208"/>
        <v>46.18</v>
      </c>
      <c r="G99" s="4205">
        <f>SUM('Произв. прогр. Стоки'!L118)</f>
        <v>36.253871076931816</v>
      </c>
      <c r="H99" s="4206">
        <v>19.04</v>
      </c>
      <c r="I99" s="4206">
        <f>30.03+0.66</f>
        <v>30.69</v>
      </c>
      <c r="J99" s="4206">
        <v>22.49</v>
      </c>
      <c r="K99" s="4157">
        <f t="shared" si="209"/>
        <v>72.22</v>
      </c>
      <c r="L99" s="4202">
        <f t="shared" si="196"/>
        <v>72.507742153863632</v>
      </c>
      <c r="M99" s="4202">
        <f t="shared" si="197"/>
        <v>118.4</v>
      </c>
      <c r="N99" s="4202">
        <f t="shared" si="158"/>
        <v>45.892257846136374</v>
      </c>
      <c r="O99" s="4205">
        <f>SUM('Произв. прогр. Стоки'!Q118)</f>
        <v>36.253871076931816</v>
      </c>
      <c r="P99" s="4206">
        <v>26.4</v>
      </c>
      <c r="Q99" s="4206">
        <v>25.17</v>
      </c>
      <c r="R99" s="4206">
        <v>85.35</v>
      </c>
      <c r="S99" s="4157">
        <f t="shared" si="210"/>
        <v>136.91999999999999</v>
      </c>
      <c r="T99" s="4202">
        <f t="shared" si="201"/>
        <v>108.76161323079545</v>
      </c>
      <c r="U99" s="4202">
        <f t="shared" si="202"/>
        <v>255.32</v>
      </c>
      <c r="V99" s="4202">
        <f t="shared" si="159"/>
        <v>146.55838676920456</v>
      </c>
      <c r="W99" s="4205">
        <f>SUM('Произв. прогр. Стоки'!V118)</f>
        <v>36.253871076931816</v>
      </c>
      <c r="X99" s="4206"/>
      <c r="Y99" s="4206"/>
      <c r="Z99" s="4206"/>
      <c r="AA99" s="4157">
        <f t="shared" si="211"/>
        <v>0</v>
      </c>
      <c r="AB99" s="4202">
        <f t="shared" si="206"/>
        <v>145.01548430772726</v>
      </c>
      <c r="AC99" s="4202">
        <f t="shared" si="207"/>
        <v>255.32</v>
      </c>
      <c r="AD99" s="4202">
        <f t="shared" si="160"/>
        <v>110.30451569227273</v>
      </c>
    </row>
    <row r="100" spans="1:30" ht="18.75" customHeight="1">
      <c r="A100" s="4208" t="s">
        <v>607</v>
      </c>
      <c r="B100" s="4205">
        <f>SUM('Произв. прогр. Стоки'!H119)</f>
        <v>4.0997915595884118</v>
      </c>
      <c r="C100" s="4205">
        <f>SUM(C101)</f>
        <v>0.05</v>
      </c>
      <c r="D100" s="4205">
        <f t="shared" ref="D100:F100" si="212">SUM(D101)</f>
        <v>0.89</v>
      </c>
      <c r="E100" s="4205">
        <f t="shared" si="212"/>
        <v>0</v>
      </c>
      <c r="F100" s="4205">
        <f t="shared" si="212"/>
        <v>0.94000000000000006</v>
      </c>
      <c r="G100" s="4205">
        <f>SUM('Произв. прогр. Стоки'!L119)</f>
        <v>4.0997915595884118</v>
      </c>
      <c r="H100" s="4205">
        <f>SUM(H101)</f>
        <v>0.22</v>
      </c>
      <c r="I100" s="4205">
        <f t="shared" ref="I100:K100" si="213">SUM(I101)</f>
        <v>0</v>
      </c>
      <c r="J100" s="4205">
        <f t="shared" si="213"/>
        <v>5.38</v>
      </c>
      <c r="K100" s="4205">
        <f t="shared" si="213"/>
        <v>5.6</v>
      </c>
      <c r="L100" s="4202">
        <f t="shared" si="196"/>
        <v>8.1995831191768236</v>
      </c>
      <c r="M100" s="4202">
        <f t="shared" si="197"/>
        <v>6.54</v>
      </c>
      <c r="N100" s="4202">
        <f t="shared" si="158"/>
        <v>-1.6595831191768236</v>
      </c>
      <c r="O100" s="4205">
        <f>SUM('Произв. прогр. Стоки'!Q119)</f>
        <v>4.0997915595884118</v>
      </c>
      <c r="P100" s="4205">
        <f>SUM(P101)</f>
        <v>7.6</v>
      </c>
      <c r="Q100" s="4205">
        <f t="shared" ref="Q100:S100" si="214">SUM(Q101)</f>
        <v>0.43</v>
      </c>
      <c r="R100" s="4205">
        <f t="shared" si="214"/>
        <v>4.53</v>
      </c>
      <c r="S100" s="4205">
        <f t="shared" si="214"/>
        <v>12.559999999999999</v>
      </c>
      <c r="T100" s="4202">
        <f t="shared" si="201"/>
        <v>12.299374678765236</v>
      </c>
      <c r="U100" s="4202">
        <f t="shared" si="202"/>
        <v>19.099999999999998</v>
      </c>
      <c r="V100" s="4202">
        <f t="shared" si="159"/>
        <v>6.8006253212347616</v>
      </c>
      <c r="W100" s="4205">
        <f>SUM('Произв. прогр. Стоки'!V119)</f>
        <v>4.0997915595884118</v>
      </c>
      <c r="X100" s="4205">
        <f>SUM(X101)</f>
        <v>0</v>
      </c>
      <c r="Y100" s="4205">
        <f t="shared" ref="Y100:AA100" si="215">SUM(Y101)</f>
        <v>0</v>
      </c>
      <c r="Z100" s="4205">
        <f t="shared" si="215"/>
        <v>0</v>
      </c>
      <c r="AA100" s="4205">
        <f t="shared" si="215"/>
        <v>0</v>
      </c>
      <c r="AB100" s="4202">
        <f t="shared" si="206"/>
        <v>16.399166238353647</v>
      </c>
      <c r="AC100" s="4202">
        <f t="shared" si="207"/>
        <v>19.099999999999998</v>
      </c>
      <c r="AD100" s="4202">
        <f t="shared" si="160"/>
        <v>2.7008337616463507</v>
      </c>
    </row>
    <row r="101" spans="1:30" ht="18.75" customHeight="1">
      <c r="A101" s="4125" t="s">
        <v>565</v>
      </c>
      <c r="B101" s="4165">
        <f>SUM('Произв. прогр. Стоки'!H120)</f>
        <v>4.0997915595884118</v>
      </c>
      <c r="C101" s="4209">
        <v>0.05</v>
      </c>
      <c r="D101" s="4209">
        <v>0.89</v>
      </c>
      <c r="E101" s="4209"/>
      <c r="F101" s="4164">
        <f t="shared" si="208"/>
        <v>0.94000000000000006</v>
      </c>
      <c r="G101" s="4165">
        <f>SUM('Произв. прогр. Стоки'!L120)</f>
        <v>4.0997915595884118</v>
      </c>
      <c r="H101" s="4209">
        <v>0.22</v>
      </c>
      <c r="I101" s="4209"/>
      <c r="J101" s="4209">
        <v>5.38</v>
      </c>
      <c r="K101" s="4164">
        <f t="shared" ref="K101" si="216">SUM(H101:J101)</f>
        <v>5.6</v>
      </c>
      <c r="L101" s="4210">
        <f t="shared" si="196"/>
        <v>8.1995831191768236</v>
      </c>
      <c r="M101" s="4210">
        <f t="shared" si="197"/>
        <v>6.54</v>
      </c>
      <c r="N101" s="4210">
        <f t="shared" si="158"/>
        <v>-1.6595831191768236</v>
      </c>
      <c r="O101" s="4165">
        <f>SUM('Произв. прогр. Стоки'!Q120)</f>
        <v>4.0997915595884118</v>
      </c>
      <c r="P101" s="4209">
        <v>7.6</v>
      </c>
      <c r="Q101" s="4209">
        <v>0.43</v>
      </c>
      <c r="R101" s="4209">
        <v>4.53</v>
      </c>
      <c r="S101" s="4164">
        <f t="shared" ref="S101" si="217">SUM(P101:R101)</f>
        <v>12.559999999999999</v>
      </c>
      <c r="T101" s="4210">
        <f t="shared" si="201"/>
        <v>12.299374678765236</v>
      </c>
      <c r="U101" s="4210">
        <f t="shared" si="202"/>
        <v>19.099999999999998</v>
      </c>
      <c r="V101" s="4210">
        <f t="shared" si="159"/>
        <v>6.8006253212347616</v>
      </c>
      <c r="W101" s="4165">
        <f>SUM('Произв. прогр. Стоки'!V120)</f>
        <v>4.0997915595884118</v>
      </c>
      <c r="X101" s="4209"/>
      <c r="Y101" s="4209"/>
      <c r="Z101" s="4209"/>
      <c r="AA101" s="4164">
        <f t="shared" ref="AA101" si="218">SUM(X101:Z101)</f>
        <v>0</v>
      </c>
      <c r="AB101" s="4210">
        <f t="shared" si="206"/>
        <v>16.399166238353647</v>
      </c>
      <c r="AC101" s="4210">
        <f t="shared" si="207"/>
        <v>19.099999999999998</v>
      </c>
      <c r="AD101" s="4210">
        <f t="shared" si="160"/>
        <v>2.7008337616463507</v>
      </c>
    </row>
    <row r="102" spans="1:30" ht="18.75" customHeight="1">
      <c r="A102" s="4208" t="s">
        <v>610</v>
      </c>
      <c r="B102" s="4205">
        <f>SUM('Произв. прогр. Стоки'!H121)</f>
        <v>9.6731184878339214</v>
      </c>
      <c r="C102" s="4205">
        <f>SUM(C103:C104)</f>
        <v>0</v>
      </c>
      <c r="D102" s="4205">
        <f t="shared" ref="D102:F102" si="219">SUM(D103:D104)</f>
        <v>0</v>
      </c>
      <c r="E102" s="4205">
        <f t="shared" si="219"/>
        <v>0</v>
      </c>
      <c r="F102" s="4205">
        <f t="shared" si="219"/>
        <v>0</v>
      </c>
      <c r="G102" s="4205">
        <f>SUM('Произв. прогр. Стоки'!L121)</f>
        <v>11.655777686050877</v>
      </c>
      <c r="H102" s="4205">
        <f>SUM(H103:H104)</f>
        <v>0</v>
      </c>
      <c r="I102" s="4205">
        <f t="shared" ref="I102:K102" si="220">SUM(I103:I104)</f>
        <v>0</v>
      </c>
      <c r="J102" s="4205">
        <f t="shared" si="220"/>
        <v>0</v>
      </c>
      <c r="K102" s="4205">
        <f t="shared" si="220"/>
        <v>0</v>
      </c>
      <c r="L102" s="4202">
        <f t="shared" si="196"/>
        <v>21.3288961738848</v>
      </c>
      <c r="M102" s="4202">
        <f t="shared" si="197"/>
        <v>0</v>
      </c>
      <c r="N102" s="4202">
        <f t="shared" si="158"/>
        <v>-21.3288961738848</v>
      </c>
      <c r="O102" s="4205">
        <f>SUM('Произв. прогр. Стоки'!Q121)</f>
        <v>13.041460378431079</v>
      </c>
      <c r="P102" s="4205">
        <f>SUM(P103:P105)</f>
        <v>0</v>
      </c>
      <c r="Q102" s="4205">
        <f>SUM(Q103:Q105)</f>
        <v>0</v>
      </c>
      <c r="R102" s="4205">
        <f>SUM(R103:R105)</f>
        <v>3.28</v>
      </c>
      <c r="S102" s="4205">
        <f>SUM(S103:S105)</f>
        <v>3.28</v>
      </c>
      <c r="T102" s="4202">
        <f t="shared" si="201"/>
        <v>34.370356552315883</v>
      </c>
      <c r="U102" s="4202">
        <f t="shared" si="202"/>
        <v>3.28</v>
      </c>
      <c r="V102" s="4202">
        <f t="shared" si="159"/>
        <v>-31.090356552315882</v>
      </c>
      <c r="W102" s="4205">
        <f>SUM('Произв. прогр. Стоки'!V121)</f>
        <v>9.6731184878339214</v>
      </c>
      <c r="X102" s="4205">
        <f>SUM(X103:X105)</f>
        <v>0</v>
      </c>
      <c r="Y102" s="4205">
        <f>SUM(Y103:Y105)</f>
        <v>0</v>
      </c>
      <c r="Z102" s="4205">
        <f>SUM(Z103:Z105)</f>
        <v>0</v>
      </c>
      <c r="AA102" s="4205">
        <f t="shared" ref="AA102" si="221">SUM(AA103:AA104)</f>
        <v>0</v>
      </c>
      <c r="AB102" s="4202">
        <f t="shared" si="206"/>
        <v>44.043475040149801</v>
      </c>
      <c r="AC102" s="4202">
        <f t="shared" si="207"/>
        <v>3.28</v>
      </c>
      <c r="AD102" s="4202">
        <f t="shared" si="160"/>
        <v>-40.7634750401498</v>
      </c>
    </row>
    <row r="103" spans="1:30" ht="18.75" customHeight="1">
      <c r="A103" s="4125" t="s">
        <v>552</v>
      </c>
      <c r="B103" s="4165">
        <f>SUM('Произв. прогр. Стоки'!H122)</f>
        <v>9.555981586131395</v>
      </c>
      <c r="C103" s="4209"/>
      <c r="D103" s="4209"/>
      <c r="E103" s="4209"/>
      <c r="F103" s="4164">
        <f t="shared" si="208"/>
        <v>0</v>
      </c>
      <c r="G103" s="4165">
        <f>SUM('Произв. прогр. Стоки'!L122)</f>
        <v>11.538640784348352</v>
      </c>
      <c r="H103" s="4209"/>
      <c r="I103" s="4209"/>
      <c r="J103" s="4209"/>
      <c r="K103" s="4164">
        <f t="shared" ref="K103:K105" si="222">SUM(H103:J103)</f>
        <v>0</v>
      </c>
      <c r="L103" s="4210">
        <f t="shared" si="196"/>
        <v>21.094622370479748</v>
      </c>
      <c r="M103" s="4210">
        <f t="shared" si="197"/>
        <v>0</v>
      </c>
      <c r="N103" s="4210">
        <f t="shared" si="158"/>
        <v>-21.094622370479748</v>
      </c>
      <c r="O103" s="4165">
        <f>SUM('Произв. прогр. Стоки'!Q122)</f>
        <v>12.924323476728553</v>
      </c>
      <c r="P103" s="4209"/>
      <c r="Q103" s="4209"/>
      <c r="R103" s="4209">
        <v>3.28</v>
      </c>
      <c r="S103" s="4164">
        <f t="shared" ref="S103:S105" si="223">SUM(P103:R103)</f>
        <v>3.28</v>
      </c>
      <c r="T103" s="4210">
        <f t="shared" si="201"/>
        <v>34.0189458472083</v>
      </c>
      <c r="U103" s="4210">
        <f t="shared" si="202"/>
        <v>3.28</v>
      </c>
      <c r="V103" s="4210">
        <f t="shared" si="159"/>
        <v>-30.738945847208299</v>
      </c>
      <c r="W103" s="4165">
        <f>SUM('Произв. прогр. Стоки'!V122)</f>
        <v>9.555981586131395</v>
      </c>
      <c r="X103" s="4209"/>
      <c r="Y103" s="4209"/>
      <c r="Z103" s="4209"/>
      <c r="AA103" s="4164">
        <f t="shared" ref="AA103:AA105" si="224">SUM(X103:Z103)</f>
        <v>0</v>
      </c>
      <c r="AB103" s="4210">
        <f t="shared" si="206"/>
        <v>43.574927433339695</v>
      </c>
      <c r="AC103" s="4210">
        <f t="shared" si="207"/>
        <v>3.28</v>
      </c>
      <c r="AD103" s="4210">
        <f t="shared" si="160"/>
        <v>-40.294927433339694</v>
      </c>
    </row>
    <row r="104" spans="1:30" ht="18.75" customHeight="1">
      <c r="A104" s="4125" t="s">
        <v>614</v>
      </c>
      <c r="B104" s="4165">
        <f>SUM('Произв. прогр. Стоки'!H123)</f>
        <v>0.11713690170252605</v>
      </c>
      <c r="C104" s="4209"/>
      <c r="D104" s="4209"/>
      <c r="E104" s="4209"/>
      <c r="F104" s="4164">
        <f t="shared" si="208"/>
        <v>0</v>
      </c>
      <c r="G104" s="4165">
        <f>SUM('Произв. прогр. Стоки'!L123)</f>
        <v>0.11713690170252605</v>
      </c>
      <c r="H104" s="4209"/>
      <c r="I104" s="4209"/>
      <c r="J104" s="4209"/>
      <c r="K104" s="4164">
        <f t="shared" si="222"/>
        <v>0</v>
      </c>
      <c r="L104" s="4210">
        <f t="shared" si="196"/>
        <v>0.23427380340505211</v>
      </c>
      <c r="M104" s="4210">
        <f t="shared" si="197"/>
        <v>0</v>
      </c>
      <c r="N104" s="4210">
        <f t="shared" si="158"/>
        <v>-0.23427380340505211</v>
      </c>
      <c r="O104" s="4165">
        <f>SUM('Произв. прогр. Стоки'!Q123)</f>
        <v>0.11713690170252605</v>
      </c>
      <c r="P104" s="4209"/>
      <c r="Q104" s="4209"/>
      <c r="R104" s="4209"/>
      <c r="S104" s="4164">
        <f t="shared" si="223"/>
        <v>0</v>
      </c>
      <c r="T104" s="4210">
        <f t="shared" si="201"/>
        <v>0.35141070510757816</v>
      </c>
      <c r="U104" s="4210">
        <f t="shared" si="202"/>
        <v>0</v>
      </c>
      <c r="V104" s="4210">
        <f t="shared" si="159"/>
        <v>-0.35141070510757816</v>
      </c>
      <c r="W104" s="4165">
        <f>SUM('Произв. прогр. Стоки'!V123)</f>
        <v>0.11713690170252605</v>
      </c>
      <c r="X104" s="4209"/>
      <c r="Y104" s="4209"/>
      <c r="Z104" s="4209"/>
      <c r="AA104" s="4164">
        <f t="shared" si="224"/>
        <v>0</v>
      </c>
      <c r="AB104" s="4210">
        <f t="shared" si="206"/>
        <v>0.46854760681010421</v>
      </c>
      <c r="AC104" s="4210">
        <f t="shared" si="207"/>
        <v>0</v>
      </c>
      <c r="AD104" s="4210">
        <f t="shared" si="160"/>
        <v>-0.46854760681010421</v>
      </c>
    </row>
    <row r="105" spans="1:30" ht="18.75" customHeight="1">
      <c r="A105" s="4125" t="s">
        <v>1743</v>
      </c>
      <c r="B105" s="4165">
        <f>SUM('Произв. прогр. Стоки'!H124)</f>
        <v>0</v>
      </c>
      <c r="C105" s="4209"/>
      <c r="D105" s="4209"/>
      <c r="E105" s="4209"/>
      <c r="F105" s="4164">
        <f t="shared" si="208"/>
        <v>0</v>
      </c>
      <c r="G105" s="4165">
        <f>SUM('Произв. прогр. Стоки'!L124)</f>
        <v>0</v>
      </c>
      <c r="H105" s="4209"/>
      <c r="I105" s="4209"/>
      <c r="J105" s="4209"/>
      <c r="K105" s="4164">
        <f t="shared" si="222"/>
        <v>0</v>
      </c>
      <c r="L105" s="4210">
        <f t="shared" ref="L105" si="225">SUM(G105+B105)</f>
        <v>0</v>
      </c>
      <c r="M105" s="4210">
        <f t="shared" si="197"/>
        <v>0</v>
      </c>
      <c r="N105" s="4210">
        <f t="shared" si="158"/>
        <v>0</v>
      </c>
      <c r="O105" s="4165">
        <f>SUM('Произв. прогр. Стоки'!Q124)</f>
        <v>0</v>
      </c>
      <c r="P105" s="4209"/>
      <c r="Q105" s="4209"/>
      <c r="R105" s="4209"/>
      <c r="S105" s="4164">
        <f t="shared" si="223"/>
        <v>0</v>
      </c>
      <c r="T105" s="4210">
        <f t="shared" ref="T105" si="226">SUM(L105+O105)</f>
        <v>0</v>
      </c>
      <c r="U105" s="4210">
        <f t="shared" si="202"/>
        <v>0</v>
      </c>
      <c r="V105" s="4210">
        <f t="shared" ref="V105" si="227">SUM(U105-T105)</f>
        <v>0</v>
      </c>
      <c r="W105" s="4165">
        <f>SUM('Произв. прогр. Стоки'!V124)</f>
        <v>0</v>
      </c>
      <c r="X105" s="4209"/>
      <c r="Y105" s="4209"/>
      <c r="Z105" s="4209"/>
      <c r="AA105" s="4164">
        <f t="shared" si="224"/>
        <v>0</v>
      </c>
      <c r="AB105" s="4210">
        <f t="shared" ref="AB105" si="228">SUM(W105+T105)</f>
        <v>0</v>
      </c>
      <c r="AC105" s="4210">
        <f t="shared" si="207"/>
        <v>0</v>
      </c>
      <c r="AD105" s="4210">
        <f t="shared" ref="AD105" si="229">SUM(AC105-AB105)</f>
        <v>0</v>
      </c>
    </row>
    <row r="106" spans="1:30" ht="18.75" customHeight="1">
      <c r="A106" s="4171" t="s">
        <v>1744</v>
      </c>
      <c r="B106" s="4172">
        <f>SUM('Произв. прогр. Стоки'!H125)</f>
        <v>448.51</v>
      </c>
      <c r="C106" s="4172">
        <f>SUM(C107:C109)</f>
        <v>0</v>
      </c>
      <c r="D106" s="4172">
        <f t="shared" ref="D106:F106" si="230">SUM(D107:D109)</f>
        <v>0</v>
      </c>
      <c r="E106" s="4172">
        <f t="shared" si="230"/>
        <v>10.78</v>
      </c>
      <c r="F106" s="4172">
        <f t="shared" si="230"/>
        <v>10.78</v>
      </c>
      <c r="G106" s="4172">
        <f>SUM('Произв. прогр. Стоки'!L125)</f>
        <v>448.51</v>
      </c>
      <c r="H106" s="4172">
        <f>SUM(H107:H109)</f>
        <v>0</v>
      </c>
      <c r="I106" s="4172">
        <f t="shared" ref="I106:K106" si="231">SUM(I107:I109)</f>
        <v>0</v>
      </c>
      <c r="J106" s="4172">
        <f t="shared" si="231"/>
        <v>10.79</v>
      </c>
      <c r="K106" s="4172">
        <f t="shared" si="231"/>
        <v>10.79</v>
      </c>
      <c r="L106" s="4192">
        <f t="shared" si="196"/>
        <v>897.02</v>
      </c>
      <c r="M106" s="4192">
        <f t="shared" si="197"/>
        <v>21.57</v>
      </c>
      <c r="N106" s="4192">
        <f t="shared" si="158"/>
        <v>-875.44999999999993</v>
      </c>
      <c r="O106" s="4172">
        <f>SUM('Произв. прогр. Стоки'!Q125)</f>
        <v>448.51</v>
      </c>
      <c r="P106" s="4172">
        <f>SUM(P107:P109)</f>
        <v>0</v>
      </c>
      <c r="Q106" s="4172">
        <f t="shared" ref="Q106:S106" si="232">SUM(Q107:Q109)</f>
        <v>0</v>
      </c>
      <c r="R106" s="4172">
        <f t="shared" si="232"/>
        <v>10.79</v>
      </c>
      <c r="S106" s="4172">
        <f t="shared" si="232"/>
        <v>10.79</v>
      </c>
      <c r="T106" s="4192">
        <f t="shared" si="201"/>
        <v>1345.53</v>
      </c>
      <c r="U106" s="4192">
        <f t="shared" si="202"/>
        <v>32.36</v>
      </c>
      <c r="V106" s="4192">
        <f t="shared" si="159"/>
        <v>-1313.17</v>
      </c>
      <c r="W106" s="4172">
        <f>SUM('Произв. прогр. Стоки'!V125)</f>
        <v>448.51</v>
      </c>
      <c r="X106" s="4172">
        <f>SUM(X107:X109)</f>
        <v>0</v>
      </c>
      <c r="Y106" s="4172">
        <f t="shared" ref="Y106:AA106" si="233">SUM(Y107:Y109)</f>
        <v>0</v>
      </c>
      <c r="Z106" s="4172">
        <f t="shared" si="233"/>
        <v>0</v>
      </c>
      <c r="AA106" s="4172">
        <f t="shared" si="233"/>
        <v>0</v>
      </c>
      <c r="AB106" s="4192">
        <f t="shared" si="206"/>
        <v>1794.04</v>
      </c>
      <c r="AC106" s="4192">
        <f t="shared" si="207"/>
        <v>32.36</v>
      </c>
      <c r="AD106" s="4192">
        <f t="shared" si="160"/>
        <v>-1761.68</v>
      </c>
    </row>
    <row r="107" spans="1:30" ht="43.5" customHeight="1">
      <c r="A107" s="4145" t="s">
        <v>1776</v>
      </c>
      <c r="B107" s="4211">
        <f>SUM('Произв. прогр. Стоки'!H126)</f>
        <v>87.077500000000001</v>
      </c>
      <c r="C107" s="4124"/>
      <c r="D107" s="4124"/>
      <c r="E107" s="4124"/>
      <c r="F107" s="4148">
        <f t="shared" si="208"/>
        <v>0</v>
      </c>
      <c r="G107" s="4211">
        <f>SUM('Произв. прогр. Стоки'!L126)</f>
        <v>87.077500000000001</v>
      </c>
      <c r="H107" s="4124"/>
      <c r="I107" s="4124"/>
      <c r="J107" s="4124">
        <v>0.01</v>
      </c>
      <c r="K107" s="4148">
        <f t="shared" ref="K107:K109" si="234">SUM(H107:J107)</f>
        <v>0.01</v>
      </c>
      <c r="L107" s="4210">
        <f t="shared" si="196"/>
        <v>174.155</v>
      </c>
      <c r="M107" s="4210">
        <f t="shared" si="197"/>
        <v>0.01</v>
      </c>
      <c r="N107" s="4210">
        <f t="shared" si="158"/>
        <v>-174.14500000000001</v>
      </c>
      <c r="O107" s="4211">
        <f>SUM('Произв. прогр. Стоки'!Q126)</f>
        <v>87.077500000000001</v>
      </c>
      <c r="P107" s="4212"/>
      <c r="Q107" s="4212"/>
      <c r="R107" s="4212">
        <v>0.01</v>
      </c>
      <c r="S107" s="4148">
        <f t="shared" ref="S107:S109" si="235">SUM(P107:R107)</f>
        <v>0.01</v>
      </c>
      <c r="T107" s="4210">
        <f t="shared" si="201"/>
        <v>261.23250000000002</v>
      </c>
      <c r="U107" s="4210">
        <f t="shared" si="202"/>
        <v>0.02</v>
      </c>
      <c r="V107" s="4210">
        <f t="shared" si="159"/>
        <v>-261.21250000000003</v>
      </c>
      <c r="W107" s="4211">
        <f>SUM('Произв. прогр. Стоки'!V126)</f>
        <v>87.077500000000001</v>
      </c>
      <c r="X107" s="4124"/>
      <c r="Y107" s="4124"/>
      <c r="Z107" s="4124"/>
      <c r="AA107" s="4148">
        <f t="shared" ref="AA107:AA109" si="236">SUM(X107:Z107)</f>
        <v>0</v>
      </c>
      <c r="AB107" s="4210">
        <f t="shared" si="206"/>
        <v>348.31</v>
      </c>
      <c r="AC107" s="4210">
        <f t="shared" si="207"/>
        <v>0.02</v>
      </c>
      <c r="AD107" s="4210">
        <f t="shared" si="160"/>
        <v>-348.29</v>
      </c>
    </row>
    <row r="108" spans="1:30" ht="18.75" customHeight="1">
      <c r="A108" s="4145" t="s">
        <v>543</v>
      </c>
      <c r="B108" s="4165">
        <f>SUM('Произв. прогр. Стоки'!H127)</f>
        <v>6.5125000000000002</v>
      </c>
      <c r="C108" s="4209"/>
      <c r="D108" s="4209"/>
      <c r="E108" s="4209">
        <v>10.78</v>
      </c>
      <c r="F108" s="4164">
        <f t="shared" si="208"/>
        <v>10.78</v>
      </c>
      <c r="G108" s="4165">
        <f>SUM('Произв. прогр. Стоки'!L127)</f>
        <v>6.5125000000000002</v>
      </c>
      <c r="H108" s="4209"/>
      <c r="I108" s="4209"/>
      <c r="J108" s="4209">
        <v>10.78</v>
      </c>
      <c r="K108" s="4164">
        <f t="shared" si="234"/>
        <v>10.78</v>
      </c>
      <c r="L108" s="4210">
        <f t="shared" si="196"/>
        <v>13.025</v>
      </c>
      <c r="M108" s="4210">
        <f t="shared" si="197"/>
        <v>21.56</v>
      </c>
      <c r="N108" s="4210">
        <f t="shared" si="158"/>
        <v>8.5349999999999984</v>
      </c>
      <c r="O108" s="4165">
        <f>SUM('Произв. прогр. Стоки'!Q127)</f>
        <v>6.5125000000000002</v>
      </c>
      <c r="P108" s="4213"/>
      <c r="Q108" s="4213"/>
      <c r="R108" s="4213">
        <v>10.78</v>
      </c>
      <c r="S108" s="4164">
        <f t="shared" si="235"/>
        <v>10.78</v>
      </c>
      <c r="T108" s="4210">
        <f t="shared" si="201"/>
        <v>19.537500000000001</v>
      </c>
      <c r="U108" s="4210">
        <f t="shared" si="202"/>
        <v>32.339999999999996</v>
      </c>
      <c r="V108" s="4210">
        <f t="shared" si="159"/>
        <v>12.802499999999995</v>
      </c>
      <c r="W108" s="4165">
        <f>SUM('Произв. прогр. Стоки'!V127)</f>
        <v>6.5125000000000002</v>
      </c>
      <c r="X108" s="4209"/>
      <c r="Y108" s="4209"/>
      <c r="Z108" s="4209"/>
      <c r="AA108" s="4164">
        <f t="shared" si="236"/>
        <v>0</v>
      </c>
      <c r="AB108" s="4210">
        <f t="shared" si="206"/>
        <v>26.05</v>
      </c>
      <c r="AC108" s="4210">
        <f t="shared" si="207"/>
        <v>32.339999999999996</v>
      </c>
      <c r="AD108" s="4210">
        <f t="shared" si="160"/>
        <v>6.2899999999999956</v>
      </c>
    </row>
    <row r="109" spans="1:30" ht="18.75" customHeight="1">
      <c r="A109" s="4145" t="s">
        <v>545</v>
      </c>
      <c r="B109" s="4165">
        <f>SUM('Произв. прогр. Стоки'!H128)</f>
        <v>354.92</v>
      </c>
      <c r="C109" s="4209"/>
      <c r="D109" s="4209"/>
      <c r="E109" s="4209"/>
      <c r="F109" s="4164">
        <f t="shared" si="208"/>
        <v>0</v>
      </c>
      <c r="G109" s="4165">
        <f>SUM('Произв. прогр. Стоки'!L128)</f>
        <v>354.92</v>
      </c>
      <c r="H109" s="4209"/>
      <c r="I109" s="4209"/>
      <c r="J109" s="4209"/>
      <c r="K109" s="4164">
        <f t="shared" si="234"/>
        <v>0</v>
      </c>
      <c r="L109" s="4210">
        <f t="shared" si="196"/>
        <v>709.84</v>
      </c>
      <c r="M109" s="4210">
        <f t="shared" si="197"/>
        <v>0</v>
      </c>
      <c r="N109" s="4210">
        <f t="shared" si="158"/>
        <v>-709.84</v>
      </c>
      <c r="O109" s="4165">
        <f>SUM('Произв. прогр. Стоки'!Q128)</f>
        <v>354.92</v>
      </c>
      <c r="P109" s="4213"/>
      <c r="Q109" s="4213"/>
      <c r="R109" s="4209"/>
      <c r="S109" s="4164">
        <f t="shared" si="235"/>
        <v>0</v>
      </c>
      <c r="T109" s="4210">
        <f t="shared" si="201"/>
        <v>1064.76</v>
      </c>
      <c r="U109" s="4210">
        <f t="shared" si="202"/>
        <v>0</v>
      </c>
      <c r="V109" s="4210">
        <f t="shared" si="159"/>
        <v>-1064.76</v>
      </c>
      <c r="W109" s="4165">
        <f>SUM('Произв. прогр. Стоки'!V128)</f>
        <v>354.92</v>
      </c>
      <c r="X109" s="4209"/>
      <c r="Y109" s="4209"/>
      <c r="Z109" s="4209"/>
      <c r="AA109" s="4164">
        <f t="shared" si="236"/>
        <v>0</v>
      </c>
      <c r="AB109" s="4210">
        <f t="shared" si="206"/>
        <v>1419.68</v>
      </c>
      <c r="AC109" s="4210">
        <f t="shared" si="207"/>
        <v>0</v>
      </c>
      <c r="AD109" s="4210">
        <f t="shared" si="160"/>
        <v>-1419.68</v>
      </c>
    </row>
    <row r="110" spans="1:30" ht="18.75" customHeight="1">
      <c r="A110" s="4171" t="s">
        <v>1746</v>
      </c>
      <c r="B110" s="4172">
        <f>SUM('Произв. прогр. Стоки'!H129)</f>
        <v>3572.8898425617367</v>
      </c>
      <c r="C110" s="4172">
        <f>SUM(C111:C116)</f>
        <v>816.62999999999988</v>
      </c>
      <c r="D110" s="4172">
        <f t="shared" ref="D110:F110" si="237">SUM(D111:D116)</f>
        <v>784.6400000000001</v>
      </c>
      <c r="E110" s="4172">
        <f t="shared" si="237"/>
        <v>816.0200000000001</v>
      </c>
      <c r="F110" s="4172">
        <f t="shared" si="237"/>
        <v>2417.29</v>
      </c>
      <c r="G110" s="4172">
        <f>SUM('Произв. прогр. Стоки'!L129)</f>
        <v>3572.8898425617367</v>
      </c>
      <c r="H110" s="4172">
        <f>SUM(H111:H116)</f>
        <v>750.71</v>
      </c>
      <c r="I110" s="4172">
        <f t="shared" ref="I110:K110" si="238">SUM(I111:I116)</f>
        <v>762.30000000000007</v>
      </c>
      <c r="J110" s="4172">
        <f>SUM(J111:J116)</f>
        <v>888.58</v>
      </c>
      <c r="K110" s="4172">
        <f t="shared" si="238"/>
        <v>2401.59</v>
      </c>
      <c r="L110" s="4192">
        <f t="shared" si="196"/>
        <v>7145.7796851234734</v>
      </c>
      <c r="M110" s="4192">
        <f t="shared" si="197"/>
        <v>4818.88</v>
      </c>
      <c r="N110" s="4192">
        <f t="shared" si="158"/>
        <v>-2326.8996851234733</v>
      </c>
      <c r="O110" s="4172">
        <f>SUM('Произв. прогр. Стоки'!Q129)</f>
        <v>3768.1051574382636</v>
      </c>
      <c r="P110" s="4172">
        <f>SUM(P111:P116)</f>
        <v>784.13</v>
      </c>
      <c r="Q110" s="4172">
        <f t="shared" ref="Q110:S110" si="239">SUM(Q111:Q116)</f>
        <v>937.63</v>
      </c>
      <c r="R110" s="4172">
        <f t="shared" si="239"/>
        <v>842.19</v>
      </c>
      <c r="S110" s="4172">
        <f t="shared" si="239"/>
        <v>2563.9499999999998</v>
      </c>
      <c r="T110" s="4192">
        <f t="shared" si="201"/>
        <v>10913.884842561736</v>
      </c>
      <c r="U110" s="4192">
        <f t="shared" si="202"/>
        <v>7382.83</v>
      </c>
      <c r="V110" s="4192">
        <f t="shared" si="159"/>
        <v>-3531.0548425617362</v>
      </c>
      <c r="W110" s="4172">
        <f>SUM('Произв. прогр. Стоки'!V129)</f>
        <v>3768.1051574382636</v>
      </c>
      <c r="X110" s="4172">
        <f>SUM(X111:X116)</f>
        <v>0</v>
      </c>
      <c r="Y110" s="4172">
        <f t="shared" ref="Y110:AA110" si="240">SUM(Y111:Y116)</f>
        <v>0</v>
      </c>
      <c r="Z110" s="4172">
        <f t="shared" si="240"/>
        <v>0</v>
      </c>
      <c r="AA110" s="4172">
        <f t="shared" si="240"/>
        <v>0</v>
      </c>
      <c r="AB110" s="4192">
        <f t="shared" si="206"/>
        <v>14681.99</v>
      </c>
      <c r="AC110" s="4192">
        <f t="shared" si="207"/>
        <v>7382.83</v>
      </c>
      <c r="AD110" s="4192">
        <f t="shared" si="160"/>
        <v>-7299.16</v>
      </c>
    </row>
    <row r="111" spans="1:30" ht="18.75" customHeight="1">
      <c r="A111" s="4125" t="s">
        <v>1747</v>
      </c>
      <c r="B111" s="4165">
        <f>SUM('Произв. прогр. Стоки'!H130)</f>
        <v>2529.5578161465637</v>
      </c>
      <c r="C111" s="4209">
        <v>549.51</v>
      </c>
      <c r="D111" s="4209">
        <v>528.70000000000005</v>
      </c>
      <c r="E111" s="4209">
        <v>542.70000000000005</v>
      </c>
      <c r="F111" s="4164">
        <f t="shared" si="208"/>
        <v>1620.91</v>
      </c>
      <c r="G111" s="4165">
        <f>SUM('Произв. прогр. Стоки'!L130)</f>
        <v>2529.5578161465637</v>
      </c>
      <c r="H111" s="4209">
        <v>487.54</v>
      </c>
      <c r="I111" s="4209">
        <v>528.74</v>
      </c>
      <c r="J111" s="4209">
        <v>605.82000000000005</v>
      </c>
      <c r="K111" s="4164">
        <f t="shared" ref="K111:K116" si="241">SUM(H111:J111)</f>
        <v>1622.1</v>
      </c>
      <c r="L111" s="4210">
        <f t="shared" si="196"/>
        <v>5059.1156322931274</v>
      </c>
      <c r="M111" s="4210">
        <f t="shared" si="197"/>
        <v>3243.01</v>
      </c>
      <c r="N111" s="4210">
        <f t="shared" si="158"/>
        <v>-1816.1056322931272</v>
      </c>
      <c r="O111" s="4165">
        <f>SUM('Произв. прогр. Стоки'!Q130)</f>
        <v>2682.0901524602014</v>
      </c>
      <c r="P111" s="4209">
        <v>507.46</v>
      </c>
      <c r="Q111" s="4209">
        <v>607.24</v>
      </c>
      <c r="R111" s="4209">
        <v>500.91</v>
      </c>
      <c r="S111" s="4164">
        <f t="shared" ref="S111:S116" si="242">SUM(P111:R111)</f>
        <v>1615.6100000000001</v>
      </c>
      <c r="T111" s="4210">
        <f t="shared" si="201"/>
        <v>7741.2057847533288</v>
      </c>
      <c r="U111" s="4210">
        <f t="shared" si="202"/>
        <v>4858.6200000000008</v>
      </c>
      <c r="V111" s="4210">
        <f t="shared" si="159"/>
        <v>-2882.585784753328</v>
      </c>
      <c r="W111" s="4165">
        <f>SUM('Произв. прогр. Стоки'!V130)</f>
        <v>2682.0901524602014</v>
      </c>
      <c r="X111" s="4209"/>
      <c r="Y111" s="4209"/>
      <c r="Z111" s="4209"/>
      <c r="AA111" s="4164">
        <f t="shared" ref="AA111:AA116" si="243">SUM(X111:Z111)</f>
        <v>0</v>
      </c>
      <c r="AB111" s="4210">
        <f t="shared" si="206"/>
        <v>10423.29593721353</v>
      </c>
      <c r="AC111" s="4210">
        <f t="shared" si="207"/>
        <v>4858.6200000000008</v>
      </c>
      <c r="AD111" s="4210">
        <f t="shared" si="160"/>
        <v>-5564.6759372135293</v>
      </c>
    </row>
    <row r="112" spans="1:30" ht="18.75" customHeight="1">
      <c r="A112" s="4125" t="s">
        <v>1748</v>
      </c>
      <c r="B112" s="4165">
        <f>SUM('Произв. прогр. Стоки'!H131)</f>
        <v>707.84375726185078</v>
      </c>
      <c r="C112" s="4209">
        <v>165.46</v>
      </c>
      <c r="D112" s="4209">
        <v>158.62</v>
      </c>
      <c r="E112" s="4209">
        <v>163.37</v>
      </c>
      <c r="F112" s="4164">
        <f t="shared" si="208"/>
        <v>487.45000000000005</v>
      </c>
      <c r="G112" s="4165">
        <f>SUM('Произв. прогр. Стоки'!L131)</f>
        <v>707.84375726185078</v>
      </c>
      <c r="H112" s="4209">
        <v>147.22999999999999</v>
      </c>
      <c r="I112" s="4209">
        <v>159.63</v>
      </c>
      <c r="J112" s="4209">
        <v>180.73</v>
      </c>
      <c r="K112" s="4164">
        <f t="shared" si="241"/>
        <v>487.59000000000003</v>
      </c>
      <c r="L112" s="4210">
        <f t="shared" si="196"/>
        <v>1415.6875145237016</v>
      </c>
      <c r="M112" s="4210">
        <f t="shared" si="197"/>
        <v>975.04000000000008</v>
      </c>
      <c r="N112" s="4210">
        <f t="shared" si="158"/>
        <v>-440.64751452370149</v>
      </c>
      <c r="O112" s="4165">
        <f>SUM('Произв. прогр. Стоки'!Q131)</f>
        <v>750.52673582474029</v>
      </c>
      <c r="P112" s="4209">
        <v>151.19999999999999</v>
      </c>
      <c r="Q112" s="4209">
        <v>177.68</v>
      </c>
      <c r="R112" s="4209">
        <v>161.21</v>
      </c>
      <c r="S112" s="4164">
        <f t="shared" si="242"/>
        <v>490.09000000000003</v>
      </c>
      <c r="T112" s="4210">
        <f t="shared" si="201"/>
        <v>2166.214250348442</v>
      </c>
      <c r="U112" s="4210">
        <f t="shared" si="202"/>
        <v>1465.13</v>
      </c>
      <c r="V112" s="4210">
        <f t="shared" si="159"/>
        <v>-701.08425034844186</v>
      </c>
      <c r="W112" s="4165">
        <f>SUM('Произв. прогр. Стоки'!V131)</f>
        <v>750.52673582474029</v>
      </c>
      <c r="X112" s="4209"/>
      <c r="Y112" s="4209"/>
      <c r="Z112" s="4209"/>
      <c r="AA112" s="4164">
        <f t="shared" si="243"/>
        <v>0</v>
      </c>
      <c r="AB112" s="4210">
        <f t="shared" si="206"/>
        <v>2916.7409861731821</v>
      </c>
      <c r="AC112" s="4210">
        <f t="shared" si="207"/>
        <v>1465.13</v>
      </c>
      <c r="AD112" s="4210">
        <f t="shared" si="160"/>
        <v>-1451.610986173182</v>
      </c>
    </row>
    <row r="113" spans="1:32" ht="18.75" customHeight="1">
      <c r="A113" s="4125" t="s">
        <v>285</v>
      </c>
      <c r="B113" s="4165"/>
      <c r="C113" s="4209">
        <v>0.01</v>
      </c>
      <c r="D113" s="4209">
        <v>0.01</v>
      </c>
      <c r="E113" s="4209">
        <v>0.02</v>
      </c>
      <c r="F113" s="4164">
        <f t="shared" si="208"/>
        <v>0.04</v>
      </c>
      <c r="G113" s="4165"/>
      <c r="H113" s="4209">
        <v>0.01</v>
      </c>
      <c r="I113" s="4209">
        <v>0.01</v>
      </c>
      <c r="J113" s="4209">
        <v>0.01</v>
      </c>
      <c r="K113" s="4164">
        <f t="shared" si="241"/>
        <v>0.03</v>
      </c>
      <c r="L113" s="4210"/>
      <c r="M113" s="4210">
        <f t="shared" si="197"/>
        <v>7.0000000000000007E-2</v>
      </c>
      <c r="N113" s="4210"/>
      <c r="O113" s="4165"/>
      <c r="P113" s="4209">
        <v>0.4</v>
      </c>
      <c r="Q113" s="4209">
        <v>0.01</v>
      </c>
      <c r="R113" s="4209">
        <v>0.02</v>
      </c>
      <c r="S113" s="4164">
        <f t="shared" si="242"/>
        <v>0.43000000000000005</v>
      </c>
      <c r="T113" s="4210"/>
      <c r="U113" s="4210">
        <f>SUM(M113+S113)</f>
        <v>0.5</v>
      </c>
      <c r="V113" s="4210"/>
      <c r="W113" s="4165"/>
      <c r="X113" s="4209"/>
      <c r="Y113" s="4209"/>
      <c r="Z113" s="4209"/>
      <c r="AA113" s="4164">
        <f t="shared" si="243"/>
        <v>0</v>
      </c>
      <c r="AB113" s="4210"/>
      <c r="AC113" s="4210">
        <f t="shared" si="207"/>
        <v>0.5</v>
      </c>
      <c r="AD113" s="4210"/>
    </row>
    <row r="114" spans="1:32" ht="18.75" customHeight="1">
      <c r="A114" s="4125" t="s">
        <v>1882</v>
      </c>
      <c r="B114" s="4165"/>
      <c r="C114" s="4209">
        <v>7.8</v>
      </c>
      <c r="D114" s="4209">
        <v>6.35</v>
      </c>
      <c r="E114" s="4209">
        <v>6.08</v>
      </c>
      <c r="F114" s="4164">
        <f t="shared" si="208"/>
        <v>20.229999999999997</v>
      </c>
      <c r="G114" s="4165"/>
      <c r="H114" s="4209">
        <v>4.45</v>
      </c>
      <c r="I114" s="4209">
        <v>3.11</v>
      </c>
      <c r="J114" s="4209">
        <v>0</v>
      </c>
      <c r="K114" s="4164">
        <f t="shared" si="241"/>
        <v>7.5600000000000005</v>
      </c>
      <c r="L114" s="4210"/>
      <c r="M114" s="4210">
        <f t="shared" si="197"/>
        <v>27.79</v>
      </c>
      <c r="N114" s="4210"/>
      <c r="O114" s="4165"/>
      <c r="P114" s="4209">
        <v>0</v>
      </c>
      <c r="Q114" s="4209">
        <v>0</v>
      </c>
      <c r="R114" s="4209">
        <v>1.47</v>
      </c>
      <c r="S114" s="4164">
        <f t="shared" si="242"/>
        <v>1.47</v>
      </c>
      <c r="T114" s="4210"/>
      <c r="U114" s="4210">
        <f t="shared" si="202"/>
        <v>29.259999999999998</v>
      </c>
      <c r="V114" s="4210"/>
      <c r="W114" s="4165"/>
      <c r="X114" s="4209"/>
      <c r="Y114" s="4209"/>
      <c r="Z114" s="4209"/>
      <c r="AA114" s="4164">
        <f t="shared" si="243"/>
        <v>0</v>
      </c>
      <c r="AB114" s="4210"/>
      <c r="AC114" s="4210">
        <f t="shared" si="207"/>
        <v>29.259999999999998</v>
      </c>
      <c r="AD114" s="4210"/>
    </row>
    <row r="115" spans="1:32" ht="18.75" customHeight="1">
      <c r="A115" s="4125" t="s">
        <v>286</v>
      </c>
      <c r="B115" s="4165"/>
      <c r="C115" s="4209">
        <v>4.8099999999999996</v>
      </c>
      <c r="D115" s="4209">
        <v>4.45</v>
      </c>
      <c r="E115" s="4209">
        <v>4.76</v>
      </c>
      <c r="F115" s="4164">
        <f t="shared" si="208"/>
        <v>14.02</v>
      </c>
      <c r="G115" s="4165"/>
      <c r="H115" s="4209">
        <v>4.57</v>
      </c>
      <c r="I115" s="4209">
        <v>4.34</v>
      </c>
      <c r="J115" s="4209">
        <v>4.47</v>
      </c>
      <c r="K115" s="4164">
        <f t="shared" si="241"/>
        <v>13.379999999999999</v>
      </c>
      <c r="L115" s="4210"/>
      <c r="M115" s="4210">
        <f t="shared" si="197"/>
        <v>27.4</v>
      </c>
      <c r="N115" s="4210"/>
      <c r="O115" s="4165"/>
      <c r="P115" s="4209">
        <v>4.57</v>
      </c>
      <c r="Q115" s="4209">
        <v>4.78</v>
      </c>
      <c r="R115" s="4209">
        <v>4.45</v>
      </c>
      <c r="S115" s="4164">
        <f t="shared" si="242"/>
        <v>13.8</v>
      </c>
      <c r="T115" s="4210"/>
      <c r="U115" s="4210">
        <f t="shared" si="202"/>
        <v>41.2</v>
      </c>
      <c r="V115" s="4210"/>
      <c r="W115" s="4165"/>
      <c r="X115" s="4209"/>
      <c r="Y115" s="4209"/>
      <c r="Z115" s="4209"/>
      <c r="AA115" s="4164">
        <f t="shared" si="243"/>
        <v>0</v>
      </c>
      <c r="AB115" s="4210"/>
      <c r="AC115" s="4210">
        <f t="shared" si="207"/>
        <v>41.2</v>
      </c>
      <c r="AD115" s="4210"/>
    </row>
    <row r="116" spans="1:32" ht="18.75" customHeight="1">
      <c r="A116" s="4125" t="s">
        <v>1749</v>
      </c>
      <c r="B116" s="4165">
        <f>SUM('Произв. прогр. Стоки'!H132)</f>
        <v>335.48826915332188</v>
      </c>
      <c r="C116" s="4209">
        <v>89.04</v>
      </c>
      <c r="D116" s="4209">
        <v>86.51</v>
      </c>
      <c r="E116" s="4209">
        <v>99.09</v>
      </c>
      <c r="F116" s="4164">
        <f t="shared" si="208"/>
        <v>274.64</v>
      </c>
      <c r="G116" s="4165">
        <f>SUM('Произв. прогр. Стоки'!L132)</f>
        <v>335.48826915332188</v>
      </c>
      <c r="H116" s="4209">
        <v>106.91</v>
      </c>
      <c r="I116" s="4209">
        <v>66.47</v>
      </c>
      <c r="J116" s="4209">
        <v>97.55</v>
      </c>
      <c r="K116" s="4164">
        <f t="shared" si="241"/>
        <v>270.93</v>
      </c>
      <c r="L116" s="4210">
        <f t="shared" si="196"/>
        <v>670.97653830664376</v>
      </c>
      <c r="M116" s="4210">
        <f t="shared" si="197"/>
        <v>545.56999999999994</v>
      </c>
      <c r="N116" s="4210">
        <f t="shared" si="158"/>
        <v>-125.40653830664382</v>
      </c>
      <c r="O116" s="4165">
        <f>SUM('Произв. прогр. Стоки'!Q132)</f>
        <v>335.48826915332188</v>
      </c>
      <c r="P116" s="4209">
        <v>120.5</v>
      </c>
      <c r="Q116" s="4209">
        <v>147.91999999999999</v>
      </c>
      <c r="R116" s="4209">
        <v>174.13</v>
      </c>
      <c r="S116" s="4164">
        <f t="shared" si="242"/>
        <v>442.54999999999995</v>
      </c>
      <c r="T116" s="4210">
        <f t="shared" si="201"/>
        <v>1006.4648074599656</v>
      </c>
      <c r="U116" s="4210">
        <f t="shared" si="202"/>
        <v>988.11999999999989</v>
      </c>
      <c r="V116" s="4210">
        <f t="shared" si="159"/>
        <v>-18.34480745996575</v>
      </c>
      <c r="W116" s="4165">
        <f>SUM('Произв. прогр. Стоки'!V132)</f>
        <v>335.48826915332188</v>
      </c>
      <c r="X116" s="4209"/>
      <c r="Y116" s="4209"/>
      <c r="Z116" s="4209"/>
      <c r="AA116" s="4164">
        <f t="shared" si="243"/>
        <v>0</v>
      </c>
      <c r="AB116" s="4210">
        <f t="shared" si="206"/>
        <v>1341.9530766132875</v>
      </c>
      <c r="AC116" s="4210">
        <f t="shared" si="207"/>
        <v>988.11999999999989</v>
      </c>
      <c r="AD116" s="4210">
        <f t="shared" si="160"/>
        <v>-353.83307661328763</v>
      </c>
    </row>
    <row r="117" spans="1:32" ht="18.75" customHeight="1">
      <c r="A117" s="4139" t="s">
        <v>1750</v>
      </c>
      <c r="B117" s="4172">
        <f>SUM('Произв. прогр. Стоки'!H133)</f>
        <v>90.394999999999982</v>
      </c>
      <c r="C117" s="4214">
        <f>SUM(C118:C118)</f>
        <v>0</v>
      </c>
      <c r="D117" s="4214">
        <f>SUM(D118:D118)</f>
        <v>0</v>
      </c>
      <c r="E117" s="4214">
        <f>SUM(E118:E118)</f>
        <v>0</v>
      </c>
      <c r="F117" s="4214">
        <f>SUM(F118:F118)</f>
        <v>0</v>
      </c>
      <c r="G117" s="4172">
        <f>SUM('Произв. прогр. Стоки'!L133)</f>
        <v>90.394999999999982</v>
      </c>
      <c r="H117" s="4214">
        <f>SUM(H118:H118)</f>
        <v>0</v>
      </c>
      <c r="I117" s="4214">
        <f>SUM(I118:I118)</f>
        <v>0</v>
      </c>
      <c r="J117" s="4214">
        <f>SUM(J118:J118)</f>
        <v>0</v>
      </c>
      <c r="K117" s="4214">
        <f>SUM(K118:K118)</f>
        <v>0</v>
      </c>
      <c r="L117" s="4192">
        <f t="shared" si="196"/>
        <v>180.78999999999996</v>
      </c>
      <c r="M117" s="4192">
        <f t="shared" si="197"/>
        <v>0</v>
      </c>
      <c r="N117" s="4192">
        <f t="shared" si="158"/>
        <v>-180.78999999999996</v>
      </c>
      <c r="O117" s="4172">
        <f>SUM('Произв. прогр. Стоки'!Q133)</f>
        <v>90.394999999999982</v>
      </c>
      <c r="P117" s="4214">
        <f>SUM(P118:P118)</f>
        <v>0</v>
      </c>
      <c r="Q117" s="4214">
        <f>SUM(Q118:Q118)</f>
        <v>0</v>
      </c>
      <c r="R117" s="4214">
        <f>SUM(R118:R118)</f>
        <v>0</v>
      </c>
      <c r="S117" s="4214">
        <f>SUM(S118:S118)</f>
        <v>0</v>
      </c>
      <c r="T117" s="4192">
        <f t="shared" si="201"/>
        <v>271.18499999999995</v>
      </c>
      <c r="U117" s="4192">
        <f t="shared" si="202"/>
        <v>0</v>
      </c>
      <c r="V117" s="4192">
        <f t="shared" si="159"/>
        <v>-271.18499999999995</v>
      </c>
      <c r="W117" s="4172">
        <f>SUM('Произв. прогр. Стоки'!V133)</f>
        <v>90.394999999999982</v>
      </c>
      <c r="X117" s="4214">
        <f>SUM(X118:X118)</f>
        <v>0</v>
      </c>
      <c r="Y117" s="4214">
        <f>SUM(Y118:Y118)</f>
        <v>0</v>
      </c>
      <c r="Z117" s="4214">
        <f>SUM(Z118:Z118)</f>
        <v>0</v>
      </c>
      <c r="AA117" s="4214">
        <f>SUM(AA118:AA118)</f>
        <v>0</v>
      </c>
      <c r="AB117" s="4192">
        <f t="shared" si="206"/>
        <v>361.57999999999993</v>
      </c>
      <c r="AC117" s="4192">
        <f t="shared" si="207"/>
        <v>0</v>
      </c>
      <c r="AD117" s="4192">
        <f t="shared" si="160"/>
        <v>-361.57999999999993</v>
      </c>
    </row>
    <row r="118" spans="1:32" ht="18.75" customHeight="1">
      <c r="A118" s="4145" t="s">
        <v>286</v>
      </c>
      <c r="B118" s="4165">
        <f>SUM('Произв. прогр. Стоки'!H134)</f>
        <v>90.394999999999982</v>
      </c>
      <c r="C118" s="4209"/>
      <c r="D118" s="4209"/>
      <c r="E118" s="4209"/>
      <c r="F118" s="4164">
        <f t="shared" si="208"/>
        <v>0</v>
      </c>
      <c r="G118" s="4165">
        <f>SUM('Произв. прогр. Стоки'!L134)</f>
        <v>90.394999999999982</v>
      </c>
      <c r="H118" s="4209"/>
      <c r="I118" s="4209"/>
      <c r="J118" s="4209"/>
      <c r="K118" s="4164">
        <f t="shared" ref="K118:K119" si="244">SUM(H118:J118)</f>
        <v>0</v>
      </c>
      <c r="L118" s="4210">
        <f t="shared" si="196"/>
        <v>180.78999999999996</v>
      </c>
      <c r="M118" s="4210">
        <f t="shared" si="197"/>
        <v>0</v>
      </c>
      <c r="N118" s="4210">
        <f t="shared" si="158"/>
        <v>-180.78999999999996</v>
      </c>
      <c r="O118" s="4165">
        <f>SUM('Произв. прогр. Стоки'!Q134)</f>
        <v>90.394999999999982</v>
      </c>
      <c r="P118" s="4209"/>
      <c r="Q118" s="4209"/>
      <c r="R118" s="4209"/>
      <c r="S118" s="4164">
        <f t="shared" ref="S118:S119" si="245">SUM(P118:R118)</f>
        <v>0</v>
      </c>
      <c r="T118" s="4210">
        <f t="shared" si="201"/>
        <v>271.18499999999995</v>
      </c>
      <c r="U118" s="4210">
        <f t="shared" si="202"/>
        <v>0</v>
      </c>
      <c r="V118" s="4210">
        <f t="shared" si="159"/>
        <v>-271.18499999999995</v>
      </c>
      <c r="W118" s="4165">
        <f>SUM('Произв. прогр. Стоки'!V134)</f>
        <v>90.394999999999982</v>
      </c>
      <c r="X118" s="4209"/>
      <c r="Y118" s="4209"/>
      <c r="Z118" s="4209"/>
      <c r="AA118" s="4164">
        <f t="shared" ref="AA118:AA119" si="246">SUM(X118:Z118)</f>
        <v>0</v>
      </c>
      <c r="AB118" s="4210">
        <f t="shared" si="206"/>
        <v>361.57999999999993</v>
      </c>
      <c r="AC118" s="4210">
        <f t="shared" si="207"/>
        <v>0</v>
      </c>
      <c r="AD118" s="4210">
        <f t="shared" si="160"/>
        <v>-361.57999999999993</v>
      </c>
    </row>
    <row r="119" spans="1:32" ht="18.75" customHeight="1">
      <c r="A119" s="4139" t="s">
        <v>1751</v>
      </c>
      <c r="B119" s="4172">
        <f>SUM('Произв. прогр. Стоки'!H135)</f>
        <v>66.349999999999994</v>
      </c>
      <c r="C119" s="4255"/>
      <c r="D119" s="4255"/>
      <c r="E119" s="4255"/>
      <c r="F119" s="4169">
        <f t="shared" si="208"/>
        <v>0</v>
      </c>
      <c r="G119" s="4172">
        <f>SUM('Произв. прогр. Стоки'!L135)</f>
        <v>66.349999999999994</v>
      </c>
      <c r="H119" s="4255"/>
      <c r="I119" s="4255"/>
      <c r="J119" s="4255"/>
      <c r="K119" s="4169">
        <f t="shared" si="244"/>
        <v>0</v>
      </c>
      <c r="L119" s="4192">
        <f t="shared" ref="L119" si="247">SUM(G119+B119)</f>
        <v>132.69999999999999</v>
      </c>
      <c r="M119" s="4192">
        <f t="shared" si="197"/>
        <v>0</v>
      </c>
      <c r="N119" s="4192">
        <f t="shared" si="158"/>
        <v>-132.69999999999999</v>
      </c>
      <c r="O119" s="4172">
        <f>SUM('Произв. прогр. Стоки'!Q135)</f>
        <v>66.349999999999994</v>
      </c>
      <c r="P119" s="4255"/>
      <c r="Q119" s="4255"/>
      <c r="R119" s="4255"/>
      <c r="S119" s="4169">
        <f t="shared" si="245"/>
        <v>0</v>
      </c>
      <c r="T119" s="4192">
        <f t="shared" ref="T119" si="248">SUM(L119+O119)</f>
        <v>199.04999999999998</v>
      </c>
      <c r="U119" s="4192">
        <f t="shared" si="202"/>
        <v>0</v>
      </c>
      <c r="V119" s="4192">
        <f t="shared" ref="V119" si="249">SUM(U119-T119)</f>
        <v>-199.04999999999998</v>
      </c>
      <c r="W119" s="4172">
        <f>SUM('Произв. прогр. Стоки'!V135)</f>
        <v>66.349999999999994</v>
      </c>
      <c r="X119" s="4255"/>
      <c r="Y119" s="4255"/>
      <c r="Z119" s="4255"/>
      <c r="AA119" s="4169">
        <f t="shared" si="246"/>
        <v>0</v>
      </c>
      <c r="AB119" s="4192">
        <f t="shared" ref="AB119" si="250">SUM(W119+T119)</f>
        <v>265.39999999999998</v>
      </c>
      <c r="AC119" s="4192">
        <f t="shared" si="207"/>
        <v>0</v>
      </c>
      <c r="AD119" s="4192">
        <f t="shared" ref="AD119" si="251">SUM(AC119-AB119)</f>
        <v>-265.39999999999998</v>
      </c>
    </row>
    <row r="120" spans="1:32" ht="18.75" customHeight="1">
      <c r="A120" s="4139" t="s">
        <v>12</v>
      </c>
      <c r="B120" s="4169">
        <f t="shared" ref="B120:K120" si="252">SUM(B15+B34+B69+B88+B106+B110+B117+B119)</f>
        <v>21063.478607186618</v>
      </c>
      <c r="C120" s="4169">
        <f t="shared" si="252"/>
        <v>6607.8099999999995</v>
      </c>
      <c r="D120" s="4169">
        <f t="shared" si="252"/>
        <v>5728.56</v>
      </c>
      <c r="E120" s="4169">
        <f t="shared" si="252"/>
        <v>6804.6799999999994</v>
      </c>
      <c r="F120" s="4169">
        <f t="shared" si="252"/>
        <v>19141.05</v>
      </c>
      <c r="G120" s="4169">
        <f t="shared" si="252"/>
        <v>20885.622089505305</v>
      </c>
      <c r="H120" s="4169">
        <f t="shared" si="252"/>
        <v>6865.48</v>
      </c>
      <c r="I120" s="4169">
        <f t="shared" si="252"/>
        <v>6579.3200000000006</v>
      </c>
      <c r="J120" s="4169">
        <f>SUM(J15+J34+J69+J88+J106+J110+J117+J119)</f>
        <v>6776.66</v>
      </c>
      <c r="K120" s="4169">
        <f t="shared" si="252"/>
        <v>20221.460000000003</v>
      </c>
      <c r="L120" s="4192">
        <f t="shared" si="196"/>
        <v>41949.100696691923</v>
      </c>
      <c r="M120" s="4192">
        <f t="shared" si="197"/>
        <v>39362.51</v>
      </c>
      <c r="N120" s="4192">
        <f t="shared" si="158"/>
        <v>-2586.590696691921</v>
      </c>
      <c r="O120" s="4169">
        <f>SUM(O15+O34+O69+O88+O106+O110+O117+O119)</f>
        <v>21895.304605377245</v>
      </c>
      <c r="P120" s="4169">
        <f>SUM(P15+P34+P69+P88+P106+P110+P117+P119)</f>
        <v>6301.0000000000009</v>
      </c>
      <c r="Q120" s="4169">
        <f>SUM(Q15+Q34+Q69+Q88+Q106+Q110+Q117+Q119)</f>
        <v>7179.9299999999994</v>
      </c>
      <c r="R120" s="4169">
        <f>SUM(R15+R34+R69+R88+R106+R110+R117+R119)</f>
        <v>6585.5</v>
      </c>
      <c r="S120" s="4169">
        <f>SUM(S15+S34+S69+S88+S106+S110+S117+S119)</f>
        <v>20066.43</v>
      </c>
      <c r="T120" s="4192">
        <f t="shared" si="201"/>
        <v>63844.405302069164</v>
      </c>
      <c r="U120" s="4192">
        <f t="shared" si="202"/>
        <v>59428.94</v>
      </c>
      <c r="V120" s="4192">
        <f t="shared" si="159"/>
        <v>-4415.4653020691621</v>
      </c>
      <c r="W120" s="4169">
        <f>SUM(W15+W34+W69+W88+W106+W110+W117+W119)</f>
        <v>22128.796916065188</v>
      </c>
      <c r="X120" s="4169">
        <f>SUM(X15+X34+X69+X88+X106+X110+X117+X119)</f>
        <v>0</v>
      </c>
      <c r="Y120" s="4169">
        <f>SUM(Y15+Y34+Y69+Y88+Y106+Y110+Y117+Y119)</f>
        <v>0</v>
      </c>
      <c r="Z120" s="4169">
        <f>SUM(Z15+Z34+Z69+Z88+Z106+Z110+Z117+Z119)</f>
        <v>0</v>
      </c>
      <c r="AA120" s="4169">
        <f>SUM(AA15+AA34+AA69+AA88+AA106+AA110+AA117+AA119)</f>
        <v>0</v>
      </c>
      <c r="AB120" s="4192">
        <f>SUM(W120+T120)+0.01</f>
        <v>85973.212218134344</v>
      </c>
      <c r="AC120" s="4192">
        <f t="shared" si="207"/>
        <v>59428.94</v>
      </c>
      <c r="AD120" s="4192">
        <f t="shared" si="160"/>
        <v>-26544.272218134342</v>
      </c>
    </row>
    <row r="121" spans="1:32" ht="18.75" customHeight="1">
      <c r="A121" s="4139" t="s">
        <v>13</v>
      </c>
      <c r="B121" s="4172">
        <f>SUM(B8)</f>
        <v>842.11205000000007</v>
      </c>
      <c r="C121" s="4172">
        <f>SUM(C8)</f>
        <v>257.02000000000004</v>
      </c>
      <c r="D121" s="4172">
        <f t="shared" ref="D121:F121" si="253">SUM(D8)</f>
        <v>271.67999999999995</v>
      </c>
      <c r="E121" s="4172">
        <f t="shared" si="253"/>
        <v>261.83000000000004</v>
      </c>
      <c r="F121" s="4172">
        <f t="shared" si="253"/>
        <v>790.53000000000009</v>
      </c>
      <c r="G121" s="4172">
        <f>SUM(G8)</f>
        <v>813.07892499999991</v>
      </c>
      <c r="H121" s="4172">
        <f>SUM(H8)</f>
        <v>285.02999999999997</v>
      </c>
      <c r="I121" s="4172">
        <f t="shared" ref="I121:K121" si="254">SUM(I8)</f>
        <v>266.5</v>
      </c>
      <c r="J121" s="4172">
        <f t="shared" si="254"/>
        <v>259.78999999999996</v>
      </c>
      <c r="K121" s="4172">
        <f t="shared" si="254"/>
        <v>811.31999999999994</v>
      </c>
      <c r="L121" s="4192">
        <f t="shared" si="196"/>
        <v>1655.190975</v>
      </c>
      <c r="M121" s="4192">
        <f t="shared" si="197"/>
        <v>1601.85</v>
      </c>
      <c r="N121" s="4192">
        <f t="shared" si="158"/>
        <v>-53.340975000000071</v>
      </c>
      <c r="O121" s="4172">
        <f>SUM(O8)</f>
        <v>795.60422499999993</v>
      </c>
      <c r="P121" s="4172">
        <f>SUM(P8)</f>
        <v>232.16</v>
      </c>
      <c r="Q121" s="4172">
        <f t="shared" ref="Q121:S121" si="255">SUM(Q8)</f>
        <v>244.42</v>
      </c>
      <c r="R121" s="4172">
        <f t="shared" si="255"/>
        <v>260.64999999999998</v>
      </c>
      <c r="S121" s="4172">
        <f t="shared" si="255"/>
        <v>737.23</v>
      </c>
      <c r="T121" s="4192">
        <f t="shared" ref="T121" si="256">SUM(L121+O121)</f>
        <v>2450.7952</v>
      </c>
      <c r="U121" s="4192">
        <f t="shared" si="202"/>
        <v>2339.08</v>
      </c>
      <c r="V121" s="4192">
        <f t="shared" si="159"/>
        <v>-111.7152000000001</v>
      </c>
      <c r="W121" s="4172">
        <f>SUM(W8)</f>
        <v>844.95480000000009</v>
      </c>
      <c r="X121" s="4172">
        <f>SUM(X8)</f>
        <v>0</v>
      </c>
      <c r="Y121" s="4172">
        <f t="shared" ref="Y121:AA121" si="257">SUM(Y8)</f>
        <v>0</v>
      </c>
      <c r="Z121" s="4172">
        <f t="shared" si="257"/>
        <v>0</v>
      </c>
      <c r="AA121" s="4172">
        <f t="shared" si="257"/>
        <v>0</v>
      </c>
      <c r="AB121" s="4192">
        <f>SUM(W121+T121)</f>
        <v>3295.75</v>
      </c>
      <c r="AC121" s="4192">
        <f t="shared" si="207"/>
        <v>2339.08</v>
      </c>
      <c r="AD121" s="4192">
        <f t="shared" si="160"/>
        <v>-956.67000000000007</v>
      </c>
    </row>
    <row r="122" spans="1:32" ht="18.75" customHeight="1">
      <c r="A122" s="4139" t="s">
        <v>14</v>
      </c>
      <c r="B122" s="4169">
        <f t="shared" ref="B122:G122" si="258">SUM(B120/B121)</f>
        <v>25.0126792594722</v>
      </c>
      <c r="C122" s="4169">
        <f t="shared" si="258"/>
        <v>25.709322231732934</v>
      </c>
      <c r="D122" s="4169">
        <f t="shared" si="258"/>
        <v>21.085689045936402</v>
      </c>
      <c r="E122" s="4169">
        <f t="shared" si="258"/>
        <v>25.988924111064424</v>
      </c>
      <c r="F122" s="4169">
        <f t="shared" si="258"/>
        <v>24.212933095518192</v>
      </c>
      <c r="G122" s="4169">
        <f t="shared" si="258"/>
        <v>25.687078397100635</v>
      </c>
      <c r="H122" s="4169">
        <f t="shared" ref="H122:M122" si="259">SUM(H120/H121)</f>
        <v>24.086868048977301</v>
      </c>
      <c r="I122" s="4169">
        <f t="shared" si="259"/>
        <v>24.687879924953098</v>
      </c>
      <c r="J122" s="4169">
        <f t="shared" si="259"/>
        <v>26.085145694599486</v>
      </c>
      <c r="K122" s="4169">
        <f t="shared" si="259"/>
        <v>24.924148301533307</v>
      </c>
      <c r="L122" s="4170">
        <f t="shared" si="259"/>
        <v>25.343964128786965</v>
      </c>
      <c r="M122" s="4170">
        <f t="shared" si="259"/>
        <v>24.573156038330684</v>
      </c>
      <c r="N122" s="4192">
        <f t="shared" ref="N122:N126" si="260">SUM(M122-L122)</f>
        <v>-0.77080809045628129</v>
      </c>
      <c r="O122" s="4169">
        <f t="shared" ref="O122" si="261">SUM(O120/O121)</f>
        <v>27.520347325175713</v>
      </c>
      <c r="P122" s="4169">
        <f t="shared" ref="P122:U122" si="262">SUM(P120/P121)</f>
        <v>27.140764989662305</v>
      </c>
      <c r="Q122" s="4169">
        <f t="shared" si="262"/>
        <v>29.375378446935603</v>
      </c>
      <c r="R122" s="4169">
        <f t="shared" si="262"/>
        <v>25.265681948973722</v>
      </c>
      <c r="S122" s="4169">
        <f t="shared" si="262"/>
        <v>27.218683450212282</v>
      </c>
      <c r="T122" s="4170">
        <f t="shared" si="262"/>
        <v>26.050485696262651</v>
      </c>
      <c r="U122" s="4170">
        <f t="shared" si="262"/>
        <v>25.406971971886385</v>
      </c>
      <c r="V122" s="4192">
        <f t="shared" ref="V122:V126" si="263">SUM(U122-T122)</f>
        <v>-0.64351372437626608</v>
      </c>
      <c r="W122" s="4169">
        <f t="shared" ref="W122" si="264">SUM(W120/W121)</f>
        <v>26.189326240960092</v>
      </c>
      <c r="X122" s="4169" t="e">
        <f t="shared" ref="X122:AC122" si="265">SUM(X120/X121)</f>
        <v>#DIV/0!</v>
      </c>
      <c r="Y122" s="4169" t="e">
        <f t="shared" si="265"/>
        <v>#DIV/0!</v>
      </c>
      <c r="Z122" s="4169" t="e">
        <f t="shared" si="265"/>
        <v>#DIV/0!</v>
      </c>
      <c r="AA122" s="4169" t="e">
        <f t="shared" si="265"/>
        <v>#DIV/0!</v>
      </c>
      <c r="AB122" s="4170">
        <f t="shared" si="265"/>
        <v>26.0860842655342</v>
      </c>
      <c r="AC122" s="4170">
        <f t="shared" si="265"/>
        <v>25.406971971886385</v>
      </c>
      <c r="AD122" s="4192">
        <f t="shared" si="160"/>
        <v>-0.67911229364781533</v>
      </c>
    </row>
    <row r="123" spans="1:32" ht="18.75" customHeight="1">
      <c r="A123" s="4139" t="s">
        <v>1912</v>
      </c>
      <c r="B123" s="4172">
        <f>SUM(B124:B125)</f>
        <v>0</v>
      </c>
      <c r="C123" s="4172">
        <f t="shared" ref="C123:F123" si="266">SUM(C124:C125)</f>
        <v>0</v>
      </c>
      <c r="D123" s="4172">
        <f t="shared" si="266"/>
        <v>0</v>
      </c>
      <c r="E123" s="4172">
        <f t="shared" si="266"/>
        <v>0</v>
      </c>
      <c r="F123" s="4172">
        <f t="shared" si="266"/>
        <v>0</v>
      </c>
      <c r="G123" s="4172">
        <f>SUM(G124:G125)</f>
        <v>0</v>
      </c>
      <c r="H123" s="4172">
        <f t="shared" ref="H123:K123" si="267">SUM(H124:H125)</f>
        <v>0</v>
      </c>
      <c r="I123" s="4172">
        <f t="shared" si="267"/>
        <v>0</v>
      </c>
      <c r="J123" s="4172">
        <f t="shared" si="267"/>
        <v>0</v>
      </c>
      <c r="K123" s="4172">
        <f t="shared" si="267"/>
        <v>0</v>
      </c>
      <c r="L123" s="4192">
        <f t="shared" ref="L123:L126" si="268">SUM(G123+B123)</f>
        <v>0</v>
      </c>
      <c r="M123" s="4192">
        <f t="shared" ref="M123:M126" si="269">SUM(K123+F123)</f>
        <v>0</v>
      </c>
      <c r="N123" s="4192">
        <f t="shared" si="260"/>
        <v>0</v>
      </c>
      <c r="O123" s="4172">
        <f>SUM(O124:O125)</f>
        <v>0</v>
      </c>
      <c r="P123" s="4172">
        <f t="shared" ref="P123:S123" si="270">SUM(P124:P125)</f>
        <v>0</v>
      </c>
      <c r="Q123" s="4172">
        <f t="shared" si="270"/>
        <v>0</v>
      </c>
      <c r="R123" s="4172">
        <f t="shared" si="270"/>
        <v>0</v>
      </c>
      <c r="S123" s="4172">
        <f t="shared" si="270"/>
        <v>0</v>
      </c>
      <c r="T123" s="4192">
        <f t="shared" ref="T123:T126" si="271">SUM(L123+O123)</f>
        <v>0</v>
      </c>
      <c r="U123" s="4192">
        <f t="shared" ref="U123:U126" si="272">SUM(M123+S123)</f>
        <v>0</v>
      </c>
      <c r="V123" s="4192">
        <f t="shared" si="263"/>
        <v>0</v>
      </c>
      <c r="W123" s="4172">
        <f>SUM(W124:W125)</f>
        <v>0</v>
      </c>
      <c r="X123" s="4172">
        <f t="shared" ref="X123:AA123" si="273">SUM(X124:X125)</f>
        <v>0</v>
      </c>
      <c r="Y123" s="4172">
        <f t="shared" si="273"/>
        <v>0</v>
      </c>
      <c r="Z123" s="4172">
        <f t="shared" si="273"/>
        <v>0</v>
      </c>
      <c r="AA123" s="4172">
        <f t="shared" si="273"/>
        <v>0</v>
      </c>
      <c r="AB123" s="4192">
        <f t="shared" ref="AB123:AB125" si="274">SUM(W123+T123)</f>
        <v>0</v>
      </c>
      <c r="AC123" s="4192">
        <f t="shared" ref="AC123:AC126" si="275">SUM(AA123+U123)</f>
        <v>0</v>
      </c>
      <c r="AD123" s="4192">
        <f t="shared" si="160"/>
        <v>0</v>
      </c>
    </row>
    <row r="124" spans="1:32" ht="18.75" customHeight="1">
      <c r="A124" s="4145" t="s">
        <v>1885</v>
      </c>
      <c r="B124" s="4165">
        <v>0</v>
      </c>
      <c r="C124" s="4209"/>
      <c r="D124" s="4209"/>
      <c r="E124" s="4209"/>
      <c r="F124" s="4157">
        <f t="shared" ref="F124:F126" si="276">SUM(C124:E124)</f>
        <v>0</v>
      </c>
      <c r="G124" s="4165">
        <v>0</v>
      </c>
      <c r="H124" s="4209"/>
      <c r="I124" s="4209"/>
      <c r="J124" s="4209"/>
      <c r="K124" s="4157">
        <f t="shared" ref="K124:K126" si="277">SUM(H124:J124)</f>
        <v>0</v>
      </c>
      <c r="L124" s="4202">
        <f t="shared" si="268"/>
        <v>0</v>
      </c>
      <c r="M124" s="4202">
        <f t="shared" si="269"/>
        <v>0</v>
      </c>
      <c r="N124" s="4202">
        <f t="shared" si="260"/>
        <v>0</v>
      </c>
      <c r="O124" s="4165">
        <v>0</v>
      </c>
      <c r="P124" s="4209"/>
      <c r="Q124" s="4209"/>
      <c r="R124" s="4209"/>
      <c r="S124" s="4157">
        <f t="shared" ref="S124:S126" si="278">SUM(P124:R124)</f>
        <v>0</v>
      </c>
      <c r="T124" s="4202">
        <f t="shared" si="271"/>
        <v>0</v>
      </c>
      <c r="U124" s="4202">
        <f t="shared" si="272"/>
        <v>0</v>
      </c>
      <c r="V124" s="4202">
        <f t="shared" si="263"/>
        <v>0</v>
      </c>
      <c r="W124" s="4165">
        <v>0</v>
      </c>
      <c r="X124" s="4209"/>
      <c r="Y124" s="4209"/>
      <c r="Z124" s="4209"/>
      <c r="AA124" s="4157">
        <f t="shared" ref="AA124:AA126" si="279">SUM(X124:Z124)</f>
        <v>0</v>
      </c>
      <c r="AB124" s="4202">
        <f t="shared" si="274"/>
        <v>0</v>
      </c>
      <c r="AC124" s="4202">
        <f t="shared" si="275"/>
        <v>0</v>
      </c>
      <c r="AD124" s="4202">
        <f t="shared" si="160"/>
        <v>0</v>
      </c>
      <c r="AE124" s="191"/>
      <c r="AF124" s="191"/>
    </row>
    <row r="125" spans="1:32" ht="18.75" customHeight="1">
      <c r="A125" s="4145" t="s">
        <v>300</v>
      </c>
      <c r="B125" s="4165">
        <v>0</v>
      </c>
      <c r="C125" s="4209"/>
      <c r="D125" s="4209"/>
      <c r="E125" s="4209"/>
      <c r="F125" s="4157">
        <f t="shared" si="276"/>
        <v>0</v>
      </c>
      <c r="G125" s="4165">
        <v>0</v>
      </c>
      <c r="H125" s="4209"/>
      <c r="I125" s="4209"/>
      <c r="J125" s="4209"/>
      <c r="K125" s="4157">
        <f t="shared" si="277"/>
        <v>0</v>
      </c>
      <c r="L125" s="4202">
        <f t="shared" si="268"/>
        <v>0</v>
      </c>
      <c r="M125" s="4202">
        <f t="shared" si="269"/>
        <v>0</v>
      </c>
      <c r="N125" s="4202">
        <f t="shared" si="260"/>
        <v>0</v>
      </c>
      <c r="O125" s="4165">
        <v>0</v>
      </c>
      <c r="P125" s="4209"/>
      <c r="Q125" s="4209"/>
      <c r="R125" s="4209"/>
      <c r="S125" s="4157">
        <f t="shared" si="278"/>
        <v>0</v>
      </c>
      <c r="T125" s="4202">
        <f t="shared" si="271"/>
        <v>0</v>
      </c>
      <c r="U125" s="4202">
        <f t="shared" si="272"/>
        <v>0</v>
      </c>
      <c r="V125" s="4202">
        <f t="shared" si="263"/>
        <v>0</v>
      </c>
      <c r="W125" s="4165">
        <v>0</v>
      </c>
      <c r="X125" s="4209"/>
      <c r="Y125" s="4209"/>
      <c r="Z125" s="4209"/>
      <c r="AA125" s="4157">
        <f t="shared" si="279"/>
        <v>0</v>
      </c>
      <c r="AB125" s="4202">
        <f t="shared" si="274"/>
        <v>0</v>
      </c>
      <c r="AC125" s="4202">
        <f t="shared" si="275"/>
        <v>0</v>
      </c>
      <c r="AD125" s="4202">
        <f t="shared" si="160"/>
        <v>0</v>
      </c>
      <c r="AE125" s="191"/>
      <c r="AF125" s="191"/>
    </row>
    <row r="126" spans="1:32" ht="18.75" customHeight="1">
      <c r="A126" s="4139" t="s">
        <v>1886</v>
      </c>
      <c r="B126" s="4172">
        <f>SUM(B120+B123)</f>
        <v>21063.478607186618</v>
      </c>
      <c r="C126" s="4172">
        <f>SUM(C120+C123)</f>
        <v>6607.8099999999995</v>
      </c>
      <c r="D126" s="4172">
        <f>SUM(D120+D123)</f>
        <v>5728.56</v>
      </c>
      <c r="E126" s="4172">
        <f>SUM(E120+E123)</f>
        <v>6804.6799999999994</v>
      </c>
      <c r="F126" s="4169">
        <f t="shared" si="276"/>
        <v>19141.05</v>
      </c>
      <c r="G126" s="4172">
        <f>SUM(G120+G123)</f>
        <v>20885.622089505305</v>
      </c>
      <c r="H126" s="4172">
        <f>SUM(H120+H123)</f>
        <v>6865.48</v>
      </c>
      <c r="I126" s="4172">
        <f>SUM(I120+I123)</f>
        <v>6579.3200000000006</v>
      </c>
      <c r="J126" s="4172">
        <f>SUM(J120+J123)</f>
        <v>6776.66</v>
      </c>
      <c r="K126" s="4169">
        <f t="shared" si="277"/>
        <v>20221.46</v>
      </c>
      <c r="L126" s="4192">
        <f t="shared" si="268"/>
        <v>41949.100696691923</v>
      </c>
      <c r="M126" s="4192">
        <f t="shared" si="269"/>
        <v>39362.509999999995</v>
      </c>
      <c r="N126" s="4192">
        <f t="shared" si="260"/>
        <v>-2586.5906966919283</v>
      </c>
      <c r="O126" s="4172">
        <f>SUM(O120+O123)</f>
        <v>21895.304605377245</v>
      </c>
      <c r="P126" s="4172">
        <f>SUM(P120+P123)</f>
        <v>6301.0000000000009</v>
      </c>
      <c r="Q126" s="4172">
        <f>SUM(Q120+Q123)</f>
        <v>7179.9299999999994</v>
      </c>
      <c r="R126" s="4172">
        <f>SUM(R120+R123)</f>
        <v>6585.5</v>
      </c>
      <c r="S126" s="4169">
        <f t="shared" si="278"/>
        <v>20066.43</v>
      </c>
      <c r="T126" s="4192">
        <f t="shared" si="271"/>
        <v>63844.405302069164</v>
      </c>
      <c r="U126" s="4192">
        <f t="shared" si="272"/>
        <v>59428.939999999995</v>
      </c>
      <c r="V126" s="4192">
        <f t="shared" si="263"/>
        <v>-4415.4653020691694</v>
      </c>
      <c r="W126" s="4172">
        <f>SUM(W120+W123)</f>
        <v>22128.796916065188</v>
      </c>
      <c r="X126" s="4172">
        <f>SUM(X120+X123)</f>
        <v>0</v>
      </c>
      <c r="Y126" s="4172">
        <f>SUM(Y120+Y123)</f>
        <v>0</v>
      </c>
      <c r="Z126" s="4172">
        <f>SUM(Z120+Z123)</f>
        <v>0</v>
      </c>
      <c r="AA126" s="4169">
        <f t="shared" si="279"/>
        <v>0</v>
      </c>
      <c r="AB126" s="4192">
        <f>SUM(W126+T126)+0.01</f>
        <v>85973.212218134344</v>
      </c>
      <c r="AC126" s="4192">
        <f t="shared" si="275"/>
        <v>59428.939999999995</v>
      </c>
      <c r="AD126" s="4192">
        <f t="shared" si="160"/>
        <v>-26544.272218134349</v>
      </c>
    </row>
    <row r="127" spans="1:32" ht="18.75" customHeight="1">
      <c r="A127" s="4215"/>
      <c r="B127" s="645"/>
      <c r="C127" s="645"/>
      <c r="D127" s="645"/>
      <c r="E127" s="645"/>
      <c r="F127" s="645"/>
      <c r="G127" s="645"/>
      <c r="H127" s="645"/>
      <c r="I127" s="645"/>
      <c r="J127" s="645"/>
      <c r="K127" s="645"/>
      <c r="L127" s="645"/>
      <c r="M127" s="645"/>
      <c r="N127" s="645"/>
      <c r="O127" s="645"/>
      <c r="P127" s="645"/>
      <c r="Q127" s="645"/>
      <c r="R127" s="645"/>
      <c r="S127" s="645"/>
      <c r="T127" s="645"/>
      <c r="U127" s="645"/>
      <c r="V127" s="645"/>
      <c r="W127" s="645"/>
      <c r="X127" s="645"/>
      <c r="Y127" s="645"/>
      <c r="Z127" s="645"/>
      <c r="AA127" s="645"/>
      <c r="AB127" s="645"/>
    </row>
    <row r="128" spans="1:32" ht="18.75" customHeight="1">
      <c r="A128" s="4216" t="s">
        <v>1913</v>
      </c>
      <c r="B128" s="645"/>
      <c r="C128" s="645"/>
      <c r="D128" s="645"/>
      <c r="E128" s="645"/>
      <c r="F128" s="645"/>
      <c r="G128" s="645"/>
      <c r="H128" s="645"/>
      <c r="I128" s="645"/>
      <c r="J128" s="645"/>
      <c r="K128" s="645"/>
      <c r="L128" s="645"/>
      <c r="M128" s="645"/>
      <c r="N128" s="645"/>
      <c r="O128" s="645"/>
      <c r="P128" s="645"/>
      <c r="Q128" s="645"/>
      <c r="R128" s="645"/>
      <c r="S128" s="645"/>
      <c r="T128" s="645"/>
      <c r="U128" s="645"/>
      <c r="V128" s="645"/>
      <c r="W128" s="645"/>
      <c r="X128" s="645"/>
      <c r="Y128" s="645"/>
      <c r="Z128" s="645"/>
      <c r="AA128" s="645"/>
      <c r="AB128" s="645"/>
    </row>
    <row r="129" spans="1:30" ht="18.75" customHeight="1">
      <c r="A129" s="4216" t="s">
        <v>1914</v>
      </c>
      <c r="B129" s="645"/>
      <c r="C129" s="645"/>
      <c r="D129" s="645"/>
      <c r="E129" s="645"/>
      <c r="F129" s="645"/>
      <c r="G129" s="645"/>
      <c r="H129" s="645"/>
      <c r="I129" s="645"/>
      <c r="J129" s="645"/>
      <c r="K129" s="645"/>
      <c r="L129" s="645"/>
      <c r="M129" s="645"/>
      <c r="N129" s="645"/>
      <c r="O129" s="645"/>
      <c r="P129" s="645"/>
      <c r="Q129" s="645"/>
      <c r="R129" s="645"/>
      <c r="S129" s="645"/>
      <c r="T129" s="645"/>
      <c r="U129" s="645"/>
      <c r="V129" s="645"/>
      <c r="W129" s="645"/>
      <c r="X129" s="645"/>
      <c r="Y129" s="645"/>
      <c r="Z129" s="645"/>
      <c r="AA129" s="645"/>
      <c r="AB129" s="645"/>
    </row>
    <row r="130" spans="1:30" ht="18.75" customHeight="1"/>
    <row r="131" spans="1:30" ht="18.75" customHeight="1">
      <c r="A131" s="4134" t="s">
        <v>1921</v>
      </c>
    </row>
    <row r="132" spans="1:30" ht="18.75" customHeight="1">
      <c r="A132" s="4134" t="s">
        <v>1887</v>
      </c>
    </row>
    <row r="133" spans="1:30" ht="18.75" customHeight="1"/>
    <row r="134" spans="1:30" ht="18.75" customHeight="1">
      <c r="A134" s="4175" t="s">
        <v>1910</v>
      </c>
      <c r="B134" s="4176"/>
      <c r="C134" s="4176"/>
      <c r="D134" s="4176"/>
      <c r="E134" s="4177"/>
      <c r="F134" s="4177"/>
      <c r="G134" s="4177"/>
      <c r="H134" s="4177"/>
      <c r="I134" s="4177"/>
      <c r="J134" s="4177"/>
      <c r="K134" s="4177"/>
      <c r="L134" s="4177"/>
      <c r="M134" s="4177"/>
      <c r="N134" s="4177"/>
      <c r="O134" s="4177"/>
      <c r="P134" s="4177"/>
      <c r="Q134" s="4177"/>
      <c r="R134" s="4177"/>
      <c r="S134" s="4177"/>
      <c r="T134" s="4177"/>
      <c r="U134" s="4177"/>
      <c r="V134" s="4177"/>
      <c r="W134" s="4177"/>
      <c r="X134" s="4177"/>
      <c r="Y134" s="4177"/>
      <c r="Z134" s="4178"/>
      <c r="AA134" s="4178"/>
      <c r="AB134" s="4178"/>
      <c r="AC134" s="4178"/>
      <c r="AD134" s="4179"/>
    </row>
    <row r="135" spans="1:30" ht="18.75" customHeight="1">
      <c r="A135" s="4304" t="s">
        <v>546</v>
      </c>
      <c r="B135" s="4328" t="s">
        <v>1869</v>
      </c>
      <c r="C135" s="4329"/>
      <c r="D135" s="4329"/>
      <c r="E135" s="4329"/>
      <c r="F135" s="4330"/>
      <c r="G135" s="4322" t="s">
        <v>1870</v>
      </c>
      <c r="H135" s="4323"/>
      <c r="I135" s="4323"/>
      <c r="J135" s="4323"/>
      <c r="K135" s="4324"/>
      <c r="L135" s="4325" t="s">
        <v>1871</v>
      </c>
      <c r="M135" s="4326"/>
      <c r="N135" s="4326"/>
      <c r="O135" s="4322" t="s">
        <v>1872</v>
      </c>
      <c r="P135" s="4323"/>
      <c r="Q135" s="4323"/>
      <c r="R135" s="4323"/>
      <c r="S135" s="4324"/>
      <c r="T135" s="4325" t="s">
        <v>1873</v>
      </c>
      <c r="U135" s="4326"/>
      <c r="V135" s="4326"/>
      <c r="W135" s="4322" t="s">
        <v>1874</v>
      </c>
      <c r="X135" s="4323"/>
      <c r="Y135" s="4323"/>
      <c r="Z135" s="4323"/>
      <c r="AA135" s="4324"/>
      <c r="AB135" s="4325" t="s">
        <v>887</v>
      </c>
      <c r="AC135" s="4326"/>
      <c r="AD135" s="4327"/>
    </row>
    <row r="136" spans="1:30" ht="25.5" customHeight="1">
      <c r="A136" s="4304"/>
      <c r="B136" s="4180" t="s">
        <v>1875</v>
      </c>
      <c r="C136" s="4180" t="s">
        <v>587</v>
      </c>
      <c r="D136" s="4180" t="s">
        <v>588</v>
      </c>
      <c r="E136" s="4181" t="s">
        <v>589</v>
      </c>
      <c r="F136" s="4181" t="s">
        <v>1876</v>
      </c>
      <c r="G136" s="4182" t="s">
        <v>1875</v>
      </c>
      <c r="H136" s="4182" t="s">
        <v>1563</v>
      </c>
      <c r="I136" s="4182" t="s">
        <v>591</v>
      </c>
      <c r="J136" s="4183" t="s">
        <v>592</v>
      </c>
      <c r="K136" s="4183" t="s">
        <v>1876</v>
      </c>
      <c r="L136" s="4184" t="s">
        <v>1875</v>
      </c>
      <c r="M136" s="4184" t="s">
        <v>1876</v>
      </c>
      <c r="N136" s="4184" t="s">
        <v>1877</v>
      </c>
      <c r="O136" s="4182" t="s">
        <v>1875</v>
      </c>
      <c r="P136" s="4182" t="s">
        <v>593</v>
      </c>
      <c r="Q136" s="4182" t="s">
        <v>594</v>
      </c>
      <c r="R136" s="4183" t="s">
        <v>595</v>
      </c>
      <c r="S136" s="4183" t="s">
        <v>1876</v>
      </c>
      <c r="T136" s="4184" t="s">
        <v>1875</v>
      </c>
      <c r="U136" s="4184" t="s">
        <v>1876</v>
      </c>
      <c r="V136" s="4184" t="s">
        <v>1877</v>
      </c>
      <c r="W136" s="4182" t="s">
        <v>1875</v>
      </c>
      <c r="X136" s="4182" t="s">
        <v>596</v>
      </c>
      <c r="Y136" s="4182" t="s">
        <v>597</v>
      </c>
      <c r="Z136" s="4183" t="s">
        <v>598</v>
      </c>
      <c r="AA136" s="4183" t="s">
        <v>1876</v>
      </c>
      <c r="AB136" s="4184" t="s">
        <v>1875</v>
      </c>
      <c r="AC136" s="4184" t="s">
        <v>1876</v>
      </c>
      <c r="AD136" s="4184" t="s">
        <v>1877</v>
      </c>
    </row>
    <row r="137" spans="1:30" ht="18.75" customHeight="1">
      <c r="A137" s="4197" t="s">
        <v>1777</v>
      </c>
      <c r="B137" s="4217">
        <f>SUM(B8)</f>
        <v>842.11205000000007</v>
      </c>
      <c r="C137" s="4217">
        <f t="shared" ref="C137:K137" si="280">SUM(C8)</f>
        <v>257.02000000000004</v>
      </c>
      <c r="D137" s="4217">
        <f t="shared" si="280"/>
        <v>271.67999999999995</v>
      </c>
      <c r="E137" s="4217">
        <f t="shared" si="280"/>
        <v>261.83000000000004</v>
      </c>
      <c r="F137" s="4217">
        <f t="shared" si="280"/>
        <v>790.53000000000009</v>
      </c>
      <c r="G137" s="4217">
        <f t="shared" si="280"/>
        <v>813.07892499999991</v>
      </c>
      <c r="H137" s="4217">
        <f t="shared" si="280"/>
        <v>285.02999999999997</v>
      </c>
      <c r="I137" s="4217">
        <f t="shared" si="280"/>
        <v>266.5</v>
      </c>
      <c r="J137" s="4217">
        <f t="shared" si="280"/>
        <v>259.78999999999996</v>
      </c>
      <c r="K137" s="4217">
        <f t="shared" si="280"/>
        <v>811.31999999999994</v>
      </c>
      <c r="L137" s="4192">
        <f t="shared" ref="L137:L140" si="281">SUM(G137+B137)</f>
        <v>1655.190975</v>
      </c>
      <c r="M137" s="4192">
        <f t="shared" ref="M137:M140" si="282">SUM(K137+F137)</f>
        <v>1601.85</v>
      </c>
      <c r="N137" s="4192">
        <f t="shared" ref="N137:N140" si="283">SUM(M137-L137)</f>
        <v>-53.340975000000071</v>
      </c>
      <c r="O137" s="4217">
        <f t="shared" ref="O137:S140" si="284">SUM(O8)</f>
        <v>795.60422499999993</v>
      </c>
      <c r="P137" s="4217">
        <f t="shared" si="284"/>
        <v>232.16</v>
      </c>
      <c r="Q137" s="4217">
        <f t="shared" si="284"/>
        <v>244.42</v>
      </c>
      <c r="R137" s="4217">
        <f t="shared" si="284"/>
        <v>260.64999999999998</v>
      </c>
      <c r="S137" s="4217">
        <f t="shared" si="284"/>
        <v>737.23</v>
      </c>
      <c r="T137" s="4192">
        <f t="shared" ref="T137:T140" si="285">SUM(L137+O137)</f>
        <v>2450.7952</v>
      </c>
      <c r="U137" s="4192">
        <f t="shared" ref="U137:U140" si="286">SUM(M137+S137)</f>
        <v>2339.08</v>
      </c>
      <c r="V137" s="4192">
        <f t="shared" ref="V137:V140" si="287">SUM(U137-T137)</f>
        <v>-111.7152000000001</v>
      </c>
      <c r="W137" s="4217">
        <f t="shared" ref="W137:AA140" si="288">SUM(W8)</f>
        <v>844.95480000000009</v>
      </c>
      <c r="X137" s="4217">
        <f t="shared" si="288"/>
        <v>0</v>
      </c>
      <c r="Y137" s="4217">
        <f t="shared" si="288"/>
        <v>0</v>
      </c>
      <c r="Z137" s="4217">
        <f t="shared" si="288"/>
        <v>0</v>
      </c>
      <c r="AA137" s="4217">
        <f t="shared" si="288"/>
        <v>0</v>
      </c>
      <c r="AB137" s="4192">
        <f t="shared" ref="AB137:AB140" si="289">SUM(W137+T137)</f>
        <v>3295.75</v>
      </c>
      <c r="AC137" s="4192">
        <f t="shared" ref="AC137:AC140" si="290">SUM(AA137+U137)</f>
        <v>2339.08</v>
      </c>
      <c r="AD137" s="4192">
        <f t="shared" ref="AD137:AD140" si="291">SUM(AC137-AB137)</f>
        <v>-956.67000000000007</v>
      </c>
    </row>
    <row r="138" spans="1:30" ht="18.75" customHeight="1">
      <c r="A138" s="4166" t="s">
        <v>264</v>
      </c>
      <c r="B138" s="4218">
        <f t="shared" ref="B138:K140" si="292">SUM(B9)</f>
        <v>589.71999999999991</v>
      </c>
      <c r="C138" s="4218">
        <f t="shared" si="292"/>
        <v>194.83</v>
      </c>
      <c r="D138" s="4218">
        <f t="shared" si="292"/>
        <v>199.7</v>
      </c>
      <c r="E138" s="4218">
        <f t="shared" si="292"/>
        <v>197.02</v>
      </c>
      <c r="F138" s="4218">
        <f t="shared" si="292"/>
        <v>591.54999999999995</v>
      </c>
      <c r="G138" s="4218">
        <f t="shared" si="292"/>
        <v>563.95999999999992</v>
      </c>
      <c r="H138" s="4218">
        <f t="shared" si="292"/>
        <v>219.04</v>
      </c>
      <c r="I138" s="4218">
        <f t="shared" si="292"/>
        <v>201.74</v>
      </c>
      <c r="J138" s="4218">
        <f t="shared" si="292"/>
        <v>191.13</v>
      </c>
      <c r="K138" s="4218">
        <f t="shared" si="292"/>
        <v>611.91</v>
      </c>
      <c r="L138" s="4202">
        <f t="shared" si="281"/>
        <v>1153.6799999999998</v>
      </c>
      <c r="M138" s="4202">
        <f t="shared" si="282"/>
        <v>1203.46</v>
      </c>
      <c r="N138" s="4202">
        <f t="shared" si="283"/>
        <v>49.7800000000002</v>
      </c>
      <c r="O138" s="4218">
        <f t="shared" si="284"/>
        <v>557.05999999999995</v>
      </c>
      <c r="P138" s="4218">
        <f t="shared" si="284"/>
        <v>176.35</v>
      </c>
      <c r="Q138" s="4218">
        <f t="shared" si="284"/>
        <v>187.29</v>
      </c>
      <c r="R138" s="4218">
        <f t="shared" si="284"/>
        <v>190.12</v>
      </c>
      <c r="S138" s="4218">
        <f t="shared" si="284"/>
        <v>553.76</v>
      </c>
      <c r="T138" s="4202">
        <f t="shared" si="285"/>
        <v>1710.7399999999998</v>
      </c>
      <c r="U138" s="4202">
        <f t="shared" si="286"/>
        <v>1757.22</v>
      </c>
      <c r="V138" s="4202">
        <f t="shared" si="287"/>
        <v>46.480000000000246</v>
      </c>
      <c r="W138" s="4218">
        <f t="shared" si="288"/>
        <v>589.26</v>
      </c>
      <c r="X138" s="4218">
        <f t="shared" si="288"/>
        <v>0</v>
      </c>
      <c r="Y138" s="4218">
        <f t="shared" si="288"/>
        <v>0</v>
      </c>
      <c r="Z138" s="4218">
        <f t="shared" si="288"/>
        <v>0</v>
      </c>
      <c r="AA138" s="4218">
        <f t="shared" si="288"/>
        <v>0</v>
      </c>
      <c r="AB138" s="4202">
        <f t="shared" si="289"/>
        <v>2300</v>
      </c>
      <c r="AC138" s="4202">
        <f t="shared" si="290"/>
        <v>1757.22</v>
      </c>
      <c r="AD138" s="4202">
        <f t="shared" si="291"/>
        <v>-542.78</v>
      </c>
    </row>
    <row r="139" spans="1:30" ht="18.75" customHeight="1">
      <c r="A139" s="4166" t="s">
        <v>1773</v>
      </c>
      <c r="B139" s="4218">
        <f t="shared" si="292"/>
        <v>5.8971999999999998</v>
      </c>
      <c r="C139" s="4218">
        <f t="shared" si="292"/>
        <v>0.31</v>
      </c>
      <c r="D139" s="4218">
        <f t="shared" si="292"/>
        <v>0.32</v>
      </c>
      <c r="E139" s="4218">
        <f t="shared" si="292"/>
        <v>3.77</v>
      </c>
      <c r="F139" s="4218">
        <f t="shared" si="292"/>
        <v>4.4000000000000004</v>
      </c>
      <c r="G139" s="4218">
        <f t="shared" si="292"/>
        <v>5.6395999999999997</v>
      </c>
      <c r="H139" s="4218">
        <f t="shared" si="292"/>
        <v>0.43</v>
      </c>
      <c r="I139" s="4218">
        <f t="shared" si="292"/>
        <v>0.39</v>
      </c>
      <c r="J139" s="4218">
        <f t="shared" si="292"/>
        <v>4.07</v>
      </c>
      <c r="K139" s="4218">
        <f t="shared" si="292"/>
        <v>4.8900000000000006</v>
      </c>
      <c r="L139" s="4202">
        <f t="shared" si="281"/>
        <v>11.536799999999999</v>
      </c>
      <c r="M139" s="4202">
        <f t="shared" si="282"/>
        <v>9.2900000000000009</v>
      </c>
      <c r="N139" s="4202">
        <f t="shared" si="283"/>
        <v>-2.2467999999999986</v>
      </c>
      <c r="O139" s="4218">
        <f t="shared" si="284"/>
        <v>5.5705999999999998</v>
      </c>
      <c r="P139" s="4218">
        <f t="shared" si="284"/>
        <v>0.46</v>
      </c>
      <c r="Q139" s="4218">
        <f t="shared" si="284"/>
        <v>0.48</v>
      </c>
      <c r="R139" s="4218">
        <f t="shared" si="284"/>
        <v>4</v>
      </c>
      <c r="S139" s="4218">
        <f t="shared" si="284"/>
        <v>4.9399999999999995</v>
      </c>
      <c r="T139" s="4202">
        <f t="shared" si="285"/>
        <v>17.107399999999998</v>
      </c>
      <c r="U139" s="4202">
        <f t="shared" si="286"/>
        <v>14.23</v>
      </c>
      <c r="V139" s="4202">
        <f t="shared" si="287"/>
        <v>-2.877399999999998</v>
      </c>
      <c r="W139" s="4218">
        <f t="shared" si="288"/>
        <v>5.8925999999999989</v>
      </c>
      <c r="X139" s="4218">
        <f t="shared" si="288"/>
        <v>0</v>
      </c>
      <c r="Y139" s="4218">
        <f t="shared" si="288"/>
        <v>0</v>
      </c>
      <c r="Z139" s="4218">
        <f t="shared" si="288"/>
        <v>0</v>
      </c>
      <c r="AA139" s="4218">
        <f t="shared" si="288"/>
        <v>0</v>
      </c>
      <c r="AB139" s="4202">
        <f t="shared" si="289"/>
        <v>22.999999999999996</v>
      </c>
      <c r="AC139" s="4202">
        <f t="shared" si="290"/>
        <v>14.23</v>
      </c>
      <c r="AD139" s="4202">
        <f t="shared" si="291"/>
        <v>-8.769999999999996</v>
      </c>
    </row>
    <row r="140" spans="1:30" ht="18.75" customHeight="1">
      <c r="A140" s="4166" t="s">
        <v>1774</v>
      </c>
      <c r="B140" s="4218">
        <f t="shared" si="292"/>
        <v>246.49485000000001</v>
      </c>
      <c r="C140" s="4218">
        <f t="shared" si="292"/>
        <v>61.88</v>
      </c>
      <c r="D140" s="4218">
        <f t="shared" si="292"/>
        <v>71.66</v>
      </c>
      <c r="E140" s="4218">
        <f t="shared" si="292"/>
        <v>61.04</v>
      </c>
      <c r="F140" s="4218">
        <f t="shared" si="292"/>
        <v>194.57999999999998</v>
      </c>
      <c r="G140" s="4218">
        <f t="shared" si="292"/>
        <v>243.47932499999996</v>
      </c>
      <c r="H140" s="4218">
        <f t="shared" si="292"/>
        <v>65.56</v>
      </c>
      <c r="I140" s="4218">
        <f t="shared" si="292"/>
        <v>64.37</v>
      </c>
      <c r="J140" s="4218">
        <f t="shared" si="292"/>
        <v>64.59</v>
      </c>
      <c r="K140" s="4218">
        <f t="shared" si="292"/>
        <v>194.52</v>
      </c>
      <c r="L140" s="4202">
        <f t="shared" si="281"/>
        <v>489.97417499999995</v>
      </c>
      <c r="M140" s="4202">
        <f t="shared" si="282"/>
        <v>389.1</v>
      </c>
      <c r="N140" s="4202">
        <f t="shared" si="283"/>
        <v>-100.87417499999992</v>
      </c>
      <c r="O140" s="4218">
        <f t="shared" si="284"/>
        <v>232.973625</v>
      </c>
      <c r="P140" s="4218">
        <f t="shared" si="284"/>
        <v>55.35</v>
      </c>
      <c r="Q140" s="4218">
        <f t="shared" si="284"/>
        <v>56.65</v>
      </c>
      <c r="R140" s="4218">
        <f t="shared" si="284"/>
        <v>66.53</v>
      </c>
      <c r="S140" s="4218">
        <f t="shared" si="284"/>
        <v>178.53</v>
      </c>
      <c r="T140" s="4202">
        <f t="shared" si="285"/>
        <v>722.94779999999992</v>
      </c>
      <c r="U140" s="4202">
        <f t="shared" si="286"/>
        <v>567.63</v>
      </c>
      <c r="V140" s="4202">
        <f t="shared" si="287"/>
        <v>-155.31779999999992</v>
      </c>
      <c r="W140" s="4218">
        <f t="shared" si="288"/>
        <v>249.80220000000003</v>
      </c>
      <c r="X140" s="4218">
        <f t="shared" si="288"/>
        <v>0</v>
      </c>
      <c r="Y140" s="4218">
        <f t="shared" si="288"/>
        <v>0</v>
      </c>
      <c r="Z140" s="4218">
        <f t="shared" si="288"/>
        <v>0</v>
      </c>
      <c r="AA140" s="4218">
        <f t="shared" si="288"/>
        <v>0</v>
      </c>
      <c r="AB140" s="4202">
        <f t="shared" si="289"/>
        <v>972.75</v>
      </c>
      <c r="AC140" s="4202">
        <f t="shared" si="290"/>
        <v>567.63</v>
      </c>
      <c r="AD140" s="4202">
        <f t="shared" si="291"/>
        <v>-405.12</v>
      </c>
    </row>
    <row r="141" spans="1:30" ht="18.75" customHeight="1">
      <c r="A141" s="4175" t="s">
        <v>1878</v>
      </c>
      <c r="B141" s="4176"/>
      <c r="C141" s="4176"/>
      <c r="D141" s="4176"/>
      <c r="E141" s="4177"/>
      <c r="F141" s="4177"/>
      <c r="G141" s="4177"/>
      <c r="H141" s="4177"/>
      <c r="I141" s="4177"/>
      <c r="J141" s="4177"/>
      <c r="K141" s="4177"/>
      <c r="L141" s="4177"/>
      <c r="M141" s="4177"/>
      <c r="N141" s="4177"/>
      <c r="O141" s="4177"/>
      <c r="P141" s="4177"/>
      <c r="Q141" s="4177"/>
      <c r="R141" s="4177"/>
      <c r="S141" s="4177"/>
      <c r="T141" s="4177"/>
      <c r="U141" s="4177"/>
      <c r="V141" s="4177"/>
      <c r="W141" s="4177"/>
      <c r="X141" s="4177"/>
      <c r="Y141" s="4177"/>
      <c r="Z141" s="4178"/>
      <c r="AA141" s="4178"/>
      <c r="AB141" s="4178"/>
      <c r="AC141" s="4178"/>
      <c r="AD141" s="4179"/>
    </row>
    <row r="142" spans="1:30" ht="18.75" customHeight="1">
      <c r="A142" s="4304" t="s">
        <v>546</v>
      </c>
      <c r="B142" s="4328" t="s">
        <v>1869</v>
      </c>
      <c r="C142" s="4329"/>
      <c r="D142" s="4329"/>
      <c r="E142" s="4329"/>
      <c r="F142" s="4330"/>
      <c r="G142" s="4322" t="s">
        <v>1870</v>
      </c>
      <c r="H142" s="4323"/>
      <c r="I142" s="4323"/>
      <c r="J142" s="4323"/>
      <c r="K142" s="4324"/>
      <c r="L142" s="4325" t="s">
        <v>1871</v>
      </c>
      <c r="M142" s="4326"/>
      <c r="N142" s="4326"/>
      <c r="O142" s="4322" t="s">
        <v>1872</v>
      </c>
      <c r="P142" s="4323"/>
      <c r="Q142" s="4323"/>
      <c r="R142" s="4323"/>
      <c r="S142" s="4324"/>
      <c r="T142" s="4325" t="s">
        <v>1873</v>
      </c>
      <c r="U142" s="4326"/>
      <c r="V142" s="4326"/>
      <c r="W142" s="4322" t="s">
        <v>1874</v>
      </c>
      <c r="X142" s="4323"/>
      <c r="Y142" s="4323"/>
      <c r="Z142" s="4323"/>
      <c r="AA142" s="4324"/>
      <c r="AB142" s="4325" t="s">
        <v>887</v>
      </c>
      <c r="AC142" s="4326"/>
      <c r="AD142" s="4327"/>
    </row>
    <row r="143" spans="1:30" ht="25.5" customHeight="1">
      <c r="A143" s="4304"/>
      <c r="B143" s="4180" t="s">
        <v>1875</v>
      </c>
      <c r="C143" s="4180" t="s">
        <v>587</v>
      </c>
      <c r="D143" s="4180" t="s">
        <v>588</v>
      </c>
      <c r="E143" s="4181" t="s">
        <v>589</v>
      </c>
      <c r="F143" s="4181" t="s">
        <v>1876</v>
      </c>
      <c r="G143" s="4182" t="s">
        <v>1875</v>
      </c>
      <c r="H143" s="4182" t="s">
        <v>1563</v>
      </c>
      <c r="I143" s="4182" t="s">
        <v>591</v>
      </c>
      <c r="J143" s="4183" t="s">
        <v>592</v>
      </c>
      <c r="K143" s="4183" t="s">
        <v>1876</v>
      </c>
      <c r="L143" s="4184" t="s">
        <v>1875</v>
      </c>
      <c r="M143" s="4184" t="s">
        <v>1876</v>
      </c>
      <c r="N143" s="4184" t="s">
        <v>1877</v>
      </c>
      <c r="O143" s="4182" t="s">
        <v>1875</v>
      </c>
      <c r="P143" s="4182" t="s">
        <v>593</v>
      </c>
      <c r="Q143" s="4182" t="s">
        <v>594</v>
      </c>
      <c r="R143" s="4183" t="s">
        <v>595</v>
      </c>
      <c r="S143" s="4183" t="s">
        <v>1876</v>
      </c>
      <c r="T143" s="4184" t="s">
        <v>1875</v>
      </c>
      <c r="U143" s="4184" t="s">
        <v>1876</v>
      </c>
      <c r="V143" s="4184" t="s">
        <v>1877</v>
      </c>
      <c r="W143" s="4182" t="s">
        <v>1875</v>
      </c>
      <c r="X143" s="4182" t="s">
        <v>596</v>
      </c>
      <c r="Y143" s="4182" t="s">
        <v>597</v>
      </c>
      <c r="Z143" s="4183" t="s">
        <v>598</v>
      </c>
      <c r="AA143" s="4183" t="s">
        <v>1876</v>
      </c>
      <c r="AB143" s="4184" t="s">
        <v>1875</v>
      </c>
      <c r="AC143" s="4184" t="s">
        <v>1876</v>
      </c>
      <c r="AD143" s="4184" t="s">
        <v>1877</v>
      </c>
    </row>
    <row r="144" spans="1:30" ht="18.75" customHeight="1">
      <c r="A144" s="4166" t="s">
        <v>1</v>
      </c>
      <c r="B144" s="4205">
        <f t="shared" ref="B144:AD144" si="293">SUM(B16+B35)</f>
        <v>1861.1244274645769</v>
      </c>
      <c r="C144" s="4157">
        <f t="shared" si="293"/>
        <v>927.85</v>
      </c>
      <c r="D144" s="4157">
        <f t="shared" si="293"/>
        <v>811.47</v>
      </c>
      <c r="E144" s="4157">
        <f t="shared" si="293"/>
        <v>932.88</v>
      </c>
      <c r="F144" s="4157">
        <f t="shared" si="293"/>
        <v>2672.2</v>
      </c>
      <c r="G144" s="4157">
        <f t="shared" si="293"/>
        <v>1796.9592630507286</v>
      </c>
      <c r="H144" s="4157">
        <f t="shared" si="293"/>
        <v>937.9</v>
      </c>
      <c r="I144" s="4157">
        <f t="shared" si="293"/>
        <v>906.31999999999994</v>
      </c>
      <c r="J144" s="4157">
        <f t="shared" si="293"/>
        <v>792.14</v>
      </c>
      <c r="K144" s="4157">
        <f t="shared" si="293"/>
        <v>2636.36</v>
      </c>
      <c r="L144" s="4219">
        <f t="shared" si="293"/>
        <v>3658.083690515306</v>
      </c>
      <c r="M144" s="4219">
        <f t="shared" si="293"/>
        <v>5308.56</v>
      </c>
      <c r="N144" s="4219">
        <f t="shared" si="293"/>
        <v>1650.476309484694</v>
      </c>
      <c r="O144" s="4157">
        <f t="shared" si="293"/>
        <v>1880.8397994387026</v>
      </c>
      <c r="P144" s="4157">
        <f t="shared" si="293"/>
        <v>916.07</v>
      </c>
      <c r="Q144" s="4157">
        <f t="shared" si="293"/>
        <v>873.70999999999992</v>
      </c>
      <c r="R144" s="4157">
        <f t="shared" si="293"/>
        <v>920.17</v>
      </c>
      <c r="S144" s="4157">
        <f t="shared" si="293"/>
        <v>2709.95</v>
      </c>
      <c r="T144" s="4219">
        <f t="shared" si="293"/>
        <v>5538.9234899540079</v>
      </c>
      <c r="U144" s="4219">
        <f t="shared" si="293"/>
        <v>8018.51</v>
      </c>
      <c r="V144" s="4219">
        <f t="shared" si="293"/>
        <v>2479.5865100459914</v>
      </c>
      <c r="W144" s="4157">
        <f t="shared" si="293"/>
        <v>1997.5065071666374</v>
      </c>
      <c r="X144" s="4157">
        <f t="shared" si="293"/>
        <v>0</v>
      </c>
      <c r="Y144" s="4157">
        <f t="shared" si="293"/>
        <v>0</v>
      </c>
      <c r="Z144" s="4157">
        <f t="shared" si="293"/>
        <v>0</v>
      </c>
      <c r="AA144" s="4157">
        <f t="shared" si="293"/>
        <v>0</v>
      </c>
      <c r="AB144" s="4219">
        <f t="shared" si="293"/>
        <v>7536.4299971206456</v>
      </c>
      <c r="AC144" s="4219">
        <f t="shared" si="293"/>
        <v>8018.51</v>
      </c>
      <c r="AD144" s="4219">
        <f t="shared" si="293"/>
        <v>482.08000287935442</v>
      </c>
    </row>
    <row r="145" spans="1:30" ht="18.75" customHeight="1">
      <c r="A145" s="4166" t="s">
        <v>2</v>
      </c>
      <c r="B145" s="4205">
        <f t="shared" ref="B145:AD145" si="294">SUM(B17+B37+B74+B89)</f>
        <v>1295.1774999999998</v>
      </c>
      <c r="C145" s="4157">
        <f t="shared" si="294"/>
        <v>420.93</v>
      </c>
      <c r="D145" s="4157">
        <f t="shared" si="294"/>
        <v>420.93</v>
      </c>
      <c r="E145" s="4157">
        <f t="shared" si="294"/>
        <v>420.93</v>
      </c>
      <c r="F145" s="4157">
        <f t="shared" si="294"/>
        <v>1262.79</v>
      </c>
      <c r="G145" s="4157">
        <f t="shared" si="294"/>
        <v>1295.1774999999998</v>
      </c>
      <c r="H145" s="4157">
        <f t="shared" si="294"/>
        <v>420.95</v>
      </c>
      <c r="I145" s="4157">
        <f t="shared" si="294"/>
        <v>421.39</v>
      </c>
      <c r="J145" s="4157">
        <f t="shared" si="294"/>
        <v>421.39</v>
      </c>
      <c r="K145" s="4157">
        <f t="shared" si="294"/>
        <v>1263.73</v>
      </c>
      <c r="L145" s="4219">
        <f t="shared" si="294"/>
        <v>2590.3549999999996</v>
      </c>
      <c r="M145" s="4219">
        <f t="shared" si="294"/>
        <v>2526.52</v>
      </c>
      <c r="N145" s="4219">
        <f t="shared" si="294"/>
        <v>-63.834999999999667</v>
      </c>
      <c r="O145" s="4157">
        <f t="shared" si="294"/>
        <v>1295.1774999999998</v>
      </c>
      <c r="P145" s="4157">
        <f t="shared" si="294"/>
        <v>418.76</v>
      </c>
      <c r="Q145" s="4157">
        <f t="shared" si="294"/>
        <v>418.12</v>
      </c>
      <c r="R145" s="4157">
        <f t="shared" si="294"/>
        <v>410.72</v>
      </c>
      <c r="S145" s="4157">
        <f t="shared" si="294"/>
        <v>1247.5999999999999</v>
      </c>
      <c r="T145" s="4219">
        <f t="shared" si="294"/>
        <v>3885.5324999999993</v>
      </c>
      <c r="U145" s="4219">
        <f t="shared" si="294"/>
        <v>3774.12</v>
      </c>
      <c r="V145" s="4219">
        <f t="shared" si="294"/>
        <v>-111.41249999999908</v>
      </c>
      <c r="W145" s="4157">
        <f t="shared" si="294"/>
        <v>1295.1774999999998</v>
      </c>
      <c r="X145" s="4157">
        <f t="shared" si="294"/>
        <v>0</v>
      </c>
      <c r="Y145" s="4157">
        <f t="shared" si="294"/>
        <v>0</v>
      </c>
      <c r="Z145" s="4157">
        <f t="shared" si="294"/>
        <v>0</v>
      </c>
      <c r="AA145" s="4157">
        <f t="shared" si="294"/>
        <v>0</v>
      </c>
      <c r="AB145" s="4219">
        <f t="shared" si="294"/>
        <v>5180.7099999999991</v>
      </c>
      <c r="AC145" s="4219">
        <f t="shared" si="294"/>
        <v>3774.12</v>
      </c>
      <c r="AD145" s="4219">
        <f t="shared" si="294"/>
        <v>-1406.5899999999992</v>
      </c>
    </row>
    <row r="146" spans="1:30" ht="18.75" customHeight="1">
      <c r="A146" s="4166" t="s">
        <v>219</v>
      </c>
      <c r="B146" s="4205">
        <f t="shared" ref="B146:AD146" si="295">SUM(B18+B38+B90)</f>
        <v>0</v>
      </c>
      <c r="C146" s="4157">
        <f t="shared" si="295"/>
        <v>0</v>
      </c>
      <c r="D146" s="4157">
        <f t="shared" si="295"/>
        <v>0</v>
      </c>
      <c r="E146" s="4157">
        <f t="shared" si="295"/>
        <v>0</v>
      </c>
      <c r="F146" s="4157">
        <f t="shared" si="295"/>
        <v>0</v>
      </c>
      <c r="G146" s="4157">
        <f t="shared" si="295"/>
        <v>0</v>
      </c>
      <c r="H146" s="4157">
        <f t="shared" si="295"/>
        <v>0</v>
      </c>
      <c r="I146" s="4157">
        <f t="shared" si="295"/>
        <v>0</v>
      </c>
      <c r="J146" s="4157">
        <f t="shared" si="295"/>
        <v>0</v>
      </c>
      <c r="K146" s="4157">
        <f t="shared" si="295"/>
        <v>0</v>
      </c>
      <c r="L146" s="4219">
        <f t="shared" si="295"/>
        <v>0</v>
      </c>
      <c r="M146" s="4219">
        <f t="shared" si="295"/>
        <v>0</v>
      </c>
      <c r="N146" s="4219">
        <f t="shared" si="295"/>
        <v>0</v>
      </c>
      <c r="O146" s="4157">
        <f t="shared" si="295"/>
        <v>0</v>
      </c>
      <c r="P146" s="4157">
        <f t="shared" si="295"/>
        <v>0</v>
      </c>
      <c r="Q146" s="4157">
        <f t="shared" si="295"/>
        <v>0</v>
      </c>
      <c r="R146" s="4157">
        <f t="shared" si="295"/>
        <v>0</v>
      </c>
      <c r="S146" s="4157">
        <f t="shared" si="295"/>
        <v>0</v>
      </c>
      <c r="T146" s="4219">
        <f t="shared" si="295"/>
        <v>0</v>
      </c>
      <c r="U146" s="4219">
        <f t="shared" si="295"/>
        <v>0</v>
      </c>
      <c r="V146" s="4219">
        <f t="shared" si="295"/>
        <v>0</v>
      </c>
      <c r="W146" s="4157">
        <f t="shared" si="295"/>
        <v>0</v>
      </c>
      <c r="X146" s="4157">
        <f t="shared" si="295"/>
        <v>0</v>
      </c>
      <c r="Y146" s="4157">
        <f t="shared" si="295"/>
        <v>0</v>
      </c>
      <c r="Z146" s="4157">
        <f t="shared" si="295"/>
        <v>0</v>
      </c>
      <c r="AA146" s="4157">
        <f t="shared" si="295"/>
        <v>0</v>
      </c>
      <c r="AB146" s="4219">
        <f t="shared" si="295"/>
        <v>0</v>
      </c>
      <c r="AC146" s="4219">
        <f t="shared" si="295"/>
        <v>0</v>
      </c>
      <c r="AD146" s="4219">
        <f t="shared" si="295"/>
        <v>0</v>
      </c>
    </row>
    <row r="147" spans="1:30" ht="18.75" customHeight="1">
      <c r="A147" s="4166" t="s">
        <v>8</v>
      </c>
      <c r="B147" s="4205">
        <f>SUM(B36)</f>
        <v>77.502312246440368</v>
      </c>
      <c r="C147" s="4157">
        <f t="shared" ref="C147:AD147" si="296">SUM(C36)</f>
        <v>31.4</v>
      </c>
      <c r="D147" s="4157">
        <f t="shared" si="296"/>
        <v>28.26</v>
      </c>
      <c r="E147" s="4157">
        <f t="shared" si="296"/>
        <v>20.149999999999999</v>
      </c>
      <c r="F147" s="4157">
        <f t="shared" si="296"/>
        <v>79.81</v>
      </c>
      <c r="G147" s="4157">
        <f t="shared" si="296"/>
        <v>77.502312246440368</v>
      </c>
      <c r="H147" s="4157">
        <f t="shared" si="296"/>
        <v>20.67</v>
      </c>
      <c r="I147" s="4157">
        <f t="shared" si="296"/>
        <v>89.68</v>
      </c>
      <c r="J147" s="4157">
        <f t="shared" si="296"/>
        <v>70.900000000000006</v>
      </c>
      <c r="K147" s="4157">
        <f t="shared" si="296"/>
        <v>181.25</v>
      </c>
      <c r="L147" s="4219">
        <f t="shared" si="296"/>
        <v>155.00462449288074</v>
      </c>
      <c r="M147" s="4219">
        <f t="shared" si="296"/>
        <v>261.06</v>
      </c>
      <c r="N147" s="4219">
        <f t="shared" si="296"/>
        <v>106.05537550711927</v>
      </c>
      <c r="O147" s="4157">
        <f t="shared" si="296"/>
        <v>77.502312246440368</v>
      </c>
      <c r="P147" s="4157">
        <f t="shared" si="296"/>
        <v>39.31</v>
      </c>
      <c r="Q147" s="4157">
        <f t="shared" si="296"/>
        <v>31.65</v>
      </c>
      <c r="R147" s="4157">
        <f t="shared" si="296"/>
        <v>83.66</v>
      </c>
      <c r="S147" s="4157">
        <f t="shared" si="296"/>
        <v>154.62</v>
      </c>
      <c r="T147" s="4219">
        <f t="shared" si="296"/>
        <v>232.50693673932111</v>
      </c>
      <c r="U147" s="4219">
        <f t="shared" si="296"/>
        <v>415.68</v>
      </c>
      <c r="V147" s="4219">
        <f t="shared" si="296"/>
        <v>183.1730632606789</v>
      </c>
      <c r="W147" s="4157">
        <f t="shared" si="296"/>
        <v>77.502312246440368</v>
      </c>
      <c r="X147" s="4157">
        <f t="shared" si="296"/>
        <v>0</v>
      </c>
      <c r="Y147" s="4157">
        <f t="shared" si="296"/>
        <v>0</v>
      </c>
      <c r="Z147" s="4157">
        <f t="shared" si="296"/>
        <v>0</v>
      </c>
      <c r="AA147" s="4157">
        <f t="shared" si="296"/>
        <v>0</v>
      </c>
      <c r="AB147" s="4219">
        <f t="shared" si="296"/>
        <v>310.00924898576147</v>
      </c>
      <c r="AC147" s="4219">
        <f t="shared" si="296"/>
        <v>415.68</v>
      </c>
      <c r="AD147" s="4219">
        <f t="shared" si="296"/>
        <v>105.67075101423853</v>
      </c>
    </row>
    <row r="148" spans="1:30" ht="18.75" customHeight="1">
      <c r="A148" s="4166" t="s">
        <v>3</v>
      </c>
      <c r="B148" s="4205">
        <f t="shared" ref="B148:AD150" si="297">SUM(B19+B39+B70+B91)</f>
        <v>79.859865698389825</v>
      </c>
      <c r="C148" s="4157">
        <f t="shared" si="297"/>
        <v>62.97</v>
      </c>
      <c r="D148" s="4157">
        <f t="shared" si="297"/>
        <v>43.569999999999993</v>
      </c>
      <c r="E148" s="4157">
        <f t="shared" si="297"/>
        <v>65.55</v>
      </c>
      <c r="F148" s="4157">
        <f t="shared" si="297"/>
        <v>172.08999999999997</v>
      </c>
      <c r="G148" s="4157">
        <f t="shared" si="297"/>
        <v>79.859865698389825</v>
      </c>
      <c r="H148" s="4157">
        <f t="shared" si="297"/>
        <v>725.17</v>
      </c>
      <c r="I148" s="4157">
        <f t="shared" si="297"/>
        <v>135.47</v>
      </c>
      <c r="J148" s="4157">
        <f t="shared" si="297"/>
        <v>112</v>
      </c>
      <c r="K148" s="4157">
        <f t="shared" si="297"/>
        <v>972.64</v>
      </c>
      <c r="L148" s="4219">
        <f t="shared" si="297"/>
        <v>159.71973139677965</v>
      </c>
      <c r="M148" s="4219">
        <f t="shared" si="297"/>
        <v>1144.7299999999998</v>
      </c>
      <c r="N148" s="4219">
        <f t="shared" si="297"/>
        <v>985.01026860322031</v>
      </c>
      <c r="O148" s="4157">
        <f t="shared" si="297"/>
        <v>79.859865698389825</v>
      </c>
      <c r="P148" s="4157">
        <f t="shared" si="297"/>
        <v>53.689999999999991</v>
      </c>
      <c r="Q148" s="4157">
        <f t="shared" si="297"/>
        <v>192.29</v>
      </c>
      <c r="R148" s="4157">
        <f t="shared" si="297"/>
        <v>63.180000000000007</v>
      </c>
      <c r="S148" s="4157">
        <f t="shared" si="297"/>
        <v>309.15999999999997</v>
      </c>
      <c r="T148" s="4219">
        <f t="shared" si="297"/>
        <v>239.57959709516945</v>
      </c>
      <c r="U148" s="4219">
        <f t="shared" si="297"/>
        <v>1453.8899999999999</v>
      </c>
      <c r="V148" s="4219">
        <f t="shared" si="297"/>
        <v>1214.3104029048304</v>
      </c>
      <c r="W148" s="4157">
        <f t="shared" si="297"/>
        <v>79.859865698389825</v>
      </c>
      <c r="X148" s="4157">
        <f t="shared" si="297"/>
        <v>0</v>
      </c>
      <c r="Y148" s="4157">
        <f t="shared" si="297"/>
        <v>0</v>
      </c>
      <c r="Z148" s="4157">
        <f t="shared" si="297"/>
        <v>0</v>
      </c>
      <c r="AA148" s="4157">
        <f t="shared" si="297"/>
        <v>0</v>
      </c>
      <c r="AB148" s="4219">
        <f t="shared" si="297"/>
        <v>319.4394627935593</v>
      </c>
      <c r="AC148" s="4219">
        <f t="shared" si="297"/>
        <v>1453.8899999999999</v>
      </c>
      <c r="AD148" s="4219">
        <f t="shared" si="297"/>
        <v>1134.4505372064407</v>
      </c>
    </row>
    <row r="149" spans="1:30" ht="18.75" customHeight="1">
      <c r="A149" s="4166" t="s">
        <v>4</v>
      </c>
      <c r="B149" s="4205">
        <f t="shared" si="297"/>
        <v>8303.10561657992</v>
      </c>
      <c r="C149" s="4157">
        <f t="shared" si="297"/>
        <v>2616.17</v>
      </c>
      <c r="D149" s="4157">
        <f t="shared" si="297"/>
        <v>2191.8900000000003</v>
      </c>
      <c r="E149" s="4157">
        <f t="shared" si="297"/>
        <v>2835.7299999999996</v>
      </c>
      <c r="F149" s="4157">
        <f t="shared" si="297"/>
        <v>7643.7899999999991</v>
      </c>
      <c r="G149" s="4157">
        <f t="shared" si="297"/>
        <v>8303.10561657992</v>
      </c>
      <c r="H149" s="4157">
        <f t="shared" si="297"/>
        <v>2431.2599999999998</v>
      </c>
      <c r="I149" s="4157">
        <f t="shared" si="297"/>
        <v>2673</v>
      </c>
      <c r="J149" s="4157">
        <f t="shared" si="297"/>
        <v>2620.11</v>
      </c>
      <c r="K149" s="4157">
        <f t="shared" si="297"/>
        <v>7724.37</v>
      </c>
      <c r="L149" s="4219">
        <f t="shared" si="297"/>
        <v>16606.21123315984</v>
      </c>
      <c r="M149" s="4219">
        <f t="shared" si="297"/>
        <v>15368.16</v>
      </c>
      <c r="N149" s="4219">
        <f t="shared" si="297"/>
        <v>-1238.0512331598427</v>
      </c>
      <c r="O149" s="4157">
        <f t="shared" si="297"/>
        <v>8803.7828852596904</v>
      </c>
      <c r="P149" s="4157">
        <f t="shared" si="297"/>
        <v>2608.71</v>
      </c>
      <c r="Q149" s="4157">
        <f t="shared" si="297"/>
        <v>2953.54</v>
      </c>
      <c r="R149" s="4157">
        <f t="shared" si="297"/>
        <v>2375.83</v>
      </c>
      <c r="S149" s="4157">
        <f t="shared" si="297"/>
        <v>7938.08</v>
      </c>
      <c r="T149" s="4219">
        <f t="shared" si="297"/>
        <v>25409.994118419534</v>
      </c>
      <c r="U149" s="4219">
        <f t="shared" si="297"/>
        <v>23306.240000000002</v>
      </c>
      <c r="V149" s="4219">
        <f t="shared" si="297"/>
        <v>-2103.7541184195329</v>
      </c>
      <c r="W149" s="4157">
        <f t="shared" si="297"/>
        <v>8803.7828852596904</v>
      </c>
      <c r="X149" s="4157">
        <f t="shared" si="297"/>
        <v>0</v>
      </c>
      <c r="Y149" s="4157">
        <f t="shared" si="297"/>
        <v>0</v>
      </c>
      <c r="Z149" s="4157">
        <f t="shared" si="297"/>
        <v>0</v>
      </c>
      <c r="AA149" s="4157">
        <f t="shared" si="297"/>
        <v>0</v>
      </c>
      <c r="AB149" s="4219">
        <f t="shared" si="297"/>
        <v>34213.777003679221</v>
      </c>
      <c r="AC149" s="4219">
        <f t="shared" si="297"/>
        <v>23306.240000000002</v>
      </c>
      <c r="AD149" s="4219">
        <f t="shared" si="297"/>
        <v>-10907.537003679223</v>
      </c>
    </row>
    <row r="150" spans="1:30" ht="18.75" customHeight="1">
      <c r="A150" s="4166" t="s">
        <v>121</v>
      </c>
      <c r="B150" s="4205">
        <f t="shared" si="297"/>
        <v>2492.4302708403047</v>
      </c>
      <c r="C150" s="4157">
        <f t="shared" si="297"/>
        <v>788.68</v>
      </c>
      <c r="D150" s="4157">
        <f t="shared" si="297"/>
        <v>659.08999999999992</v>
      </c>
      <c r="E150" s="4157">
        <f t="shared" si="297"/>
        <v>847.37</v>
      </c>
      <c r="F150" s="4157">
        <f t="shared" si="297"/>
        <v>2295.14</v>
      </c>
      <c r="G150" s="4157">
        <f t="shared" si="297"/>
        <v>2492.4302708403047</v>
      </c>
      <c r="H150" s="4157">
        <f t="shared" si="297"/>
        <v>730.81</v>
      </c>
      <c r="I150" s="4157">
        <f t="shared" si="297"/>
        <v>808.53</v>
      </c>
      <c r="J150" s="4157">
        <f t="shared" si="297"/>
        <v>795.17</v>
      </c>
      <c r="K150" s="4157">
        <f t="shared" si="297"/>
        <v>2334.5100000000002</v>
      </c>
      <c r="L150" s="4219">
        <f t="shared" si="297"/>
        <v>4984.8605416806095</v>
      </c>
      <c r="M150" s="4219">
        <f t="shared" si="297"/>
        <v>4629.6499999999996</v>
      </c>
      <c r="N150" s="4219">
        <f t="shared" si="297"/>
        <v>-355.21054168060903</v>
      </c>
      <c r="O150" s="4157">
        <f t="shared" si="297"/>
        <v>2642.7238161719752</v>
      </c>
      <c r="P150" s="4157">
        <f t="shared" si="297"/>
        <v>787.6</v>
      </c>
      <c r="Q150" s="4157">
        <f t="shared" si="297"/>
        <v>893.18000000000006</v>
      </c>
      <c r="R150" s="4157">
        <f t="shared" si="297"/>
        <v>718.28</v>
      </c>
      <c r="S150" s="4157">
        <f t="shared" si="297"/>
        <v>2399.06</v>
      </c>
      <c r="T150" s="4219">
        <f t="shared" si="297"/>
        <v>7627.5843578525828</v>
      </c>
      <c r="U150" s="4219">
        <f t="shared" si="297"/>
        <v>7028.71</v>
      </c>
      <c r="V150" s="4219">
        <f t="shared" si="297"/>
        <v>-598.87435785258356</v>
      </c>
      <c r="W150" s="4157">
        <f t="shared" si="297"/>
        <v>2642.7238161719752</v>
      </c>
      <c r="X150" s="4157">
        <f t="shared" si="297"/>
        <v>0</v>
      </c>
      <c r="Y150" s="4157">
        <f t="shared" si="297"/>
        <v>0</v>
      </c>
      <c r="Z150" s="4157">
        <f t="shared" si="297"/>
        <v>0</v>
      </c>
      <c r="AA150" s="4157">
        <f t="shared" si="297"/>
        <v>0</v>
      </c>
      <c r="AB150" s="4219">
        <f t="shared" si="297"/>
        <v>10270.308174024558</v>
      </c>
      <c r="AC150" s="4219">
        <f t="shared" si="297"/>
        <v>7028.71</v>
      </c>
      <c r="AD150" s="4219">
        <f t="shared" si="297"/>
        <v>-3241.5981740245584</v>
      </c>
    </row>
    <row r="151" spans="1:30" ht="18.75" customHeight="1">
      <c r="A151" s="4167" t="s">
        <v>322</v>
      </c>
      <c r="B151" s="4160">
        <f>SUM(B150/B149)</f>
        <v>0.30018048498182853</v>
      </c>
      <c r="C151" s="4164">
        <f t="shared" ref="C151:AD151" si="298">SUM(C150/C149)</f>
        <v>0.30146358990432576</v>
      </c>
      <c r="D151" s="4164">
        <f t="shared" si="298"/>
        <v>0.3006948341385744</v>
      </c>
      <c r="E151" s="4164">
        <f t="shared" si="298"/>
        <v>0.29881899898791497</v>
      </c>
      <c r="F151" s="4164">
        <f t="shared" si="298"/>
        <v>0.30026204278244173</v>
      </c>
      <c r="G151" s="4164">
        <f t="shared" si="298"/>
        <v>0.30018048498182853</v>
      </c>
      <c r="H151" s="4164">
        <f t="shared" si="298"/>
        <v>0.30058899500670433</v>
      </c>
      <c r="I151" s="4164">
        <f t="shared" si="298"/>
        <v>0.30248035914702581</v>
      </c>
      <c r="J151" s="4164">
        <f t="shared" si="298"/>
        <v>0.30348725816855016</v>
      </c>
      <c r="K151" s="4164">
        <f t="shared" si="298"/>
        <v>0.30222658935291813</v>
      </c>
      <c r="L151" s="4220">
        <f t="shared" si="298"/>
        <v>0.30018048498182853</v>
      </c>
      <c r="M151" s="4220">
        <f t="shared" si="298"/>
        <v>0.30124946642929273</v>
      </c>
      <c r="N151" s="4220">
        <f t="shared" si="298"/>
        <v>0.28691101964659033</v>
      </c>
      <c r="O151" s="4164">
        <f t="shared" si="298"/>
        <v>0.30018048498182848</v>
      </c>
      <c r="P151" s="4164">
        <f t="shared" si="298"/>
        <v>0.30191167281913284</v>
      </c>
      <c r="Q151" s="4164">
        <f t="shared" si="298"/>
        <v>0.30240998936868979</v>
      </c>
      <c r="R151" s="4164">
        <f t="shared" si="298"/>
        <v>0.30232802852055912</v>
      </c>
      <c r="S151" s="4164">
        <f t="shared" si="298"/>
        <v>0.30222169592647086</v>
      </c>
      <c r="T151" s="4220">
        <f t="shared" si="298"/>
        <v>0.30018048498182842</v>
      </c>
      <c r="U151" s="4220">
        <f t="shared" si="298"/>
        <v>0.30158060673879611</v>
      </c>
      <c r="V151" s="4220">
        <f t="shared" si="298"/>
        <v>0.28466936920484515</v>
      </c>
      <c r="W151" s="4164">
        <f t="shared" si="298"/>
        <v>0.30018048498182848</v>
      </c>
      <c r="X151" s="4164" t="e">
        <f t="shared" si="298"/>
        <v>#DIV/0!</v>
      </c>
      <c r="Y151" s="4164" t="e">
        <f t="shared" si="298"/>
        <v>#DIV/0!</v>
      </c>
      <c r="Z151" s="4164" t="e">
        <f t="shared" si="298"/>
        <v>#DIV/0!</v>
      </c>
      <c r="AA151" s="4164" t="e">
        <f t="shared" si="298"/>
        <v>#DIV/0!</v>
      </c>
      <c r="AB151" s="4220">
        <f t="shared" si="298"/>
        <v>0.30018048498182848</v>
      </c>
      <c r="AC151" s="4220">
        <f t="shared" si="298"/>
        <v>0.30158060673879611</v>
      </c>
      <c r="AD151" s="4220">
        <f t="shared" si="298"/>
        <v>0.29718883125779305</v>
      </c>
    </row>
    <row r="152" spans="1:30" ht="18.75" customHeight="1">
      <c r="A152" s="4156" t="s">
        <v>1765</v>
      </c>
      <c r="B152" s="4205">
        <f t="shared" ref="B152:AD154" si="299">SUM(B23+B43+B75+B95)</f>
        <v>2776.1337717952529</v>
      </c>
      <c r="C152" s="4157">
        <f t="shared" si="299"/>
        <v>943.18000000000006</v>
      </c>
      <c r="D152" s="4157">
        <f t="shared" si="299"/>
        <v>788.71</v>
      </c>
      <c r="E152" s="4157">
        <f t="shared" si="299"/>
        <v>855.27</v>
      </c>
      <c r="F152" s="4157">
        <f t="shared" si="299"/>
        <v>2587.1600000000003</v>
      </c>
      <c r="G152" s="4157">
        <f t="shared" si="299"/>
        <v>2662.4424185277858</v>
      </c>
      <c r="H152" s="4157">
        <f t="shared" si="299"/>
        <v>848.00999999999988</v>
      </c>
      <c r="I152" s="4157">
        <f t="shared" si="299"/>
        <v>782.62999999999988</v>
      </c>
      <c r="J152" s="4157">
        <f t="shared" si="299"/>
        <v>1065.5800000000002</v>
      </c>
      <c r="K152" s="4157">
        <f t="shared" si="299"/>
        <v>2696.2199999999993</v>
      </c>
      <c r="L152" s="4219">
        <f t="shared" si="299"/>
        <v>5438.5761903230386</v>
      </c>
      <c r="M152" s="4219">
        <f t="shared" si="299"/>
        <v>5283.38</v>
      </c>
      <c r="N152" s="4219">
        <f t="shared" si="299"/>
        <v>-155.19619032303825</v>
      </c>
      <c r="O152" s="4157">
        <f t="shared" si="299"/>
        <v>2742.0582691237878</v>
      </c>
      <c r="P152" s="4157">
        <f t="shared" si="299"/>
        <v>692.73</v>
      </c>
      <c r="Q152" s="4157">
        <f t="shared" si="299"/>
        <v>879.81</v>
      </c>
      <c r="R152" s="4157">
        <f t="shared" si="299"/>
        <v>1160.6799999999998</v>
      </c>
      <c r="S152" s="4157">
        <f t="shared" si="299"/>
        <v>2733.22</v>
      </c>
      <c r="T152" s="4219">
        <f t="shared" si="299"/>
        <v>8180.6344594468264</v>
      </c>
      <c r="U152" s="4219">
        <f t="shared" si="299"/>
        <v>8016.6</v>
      </c>
      <c r="V152" s="4219">
        <f t="shared" si="299"/>
        <v>-164.03445944682545</v>
      </c>
      <c r="W152" s="4157">
        <f t="shared" si="299"/>
        <v>2858.8838720837971</v>
      </c>
      <c r="X152" s="4157">
        <f t="shared" si="299"/>
        <v>0</v>
      </c>
      <c r="Y152" s="4157">
        <f t="shared" si="299"/>
        <v>0</v>
      </c>
      <c r="Z152" s="4157">
        <f t="shared" si="299"/>
        <v>0</v>
      </c>
      <c r="AA152" s="4157">
        <f t="shared" si="299"/>
        <v>0</v>
      </c>
      <c r="AB152" s="4219">
        <f t="shared" si="299"/>
        <v>11039.518331530622</v>
      </c>
      <c r="AC152" s="4219">
        <f t="shared" si="299"/>
        <v>8016.6</v>
      </c>
      <c r="AD152" s="4219">
        <f t="shared" si="299"/>
        <v>-3022.9183315306227</v>
      </c>
    </row>
    <row r="153" spans="1:30" ht="18.75" customHeight="1">
      <c r="A153" s="4159" t="s">
        <v>1766</v>
      </c>
      <c r="B153" s="4165">
        <f t="shared" si="299"/>
        <v>1305.0234559053677</v>
      </c>
      <c r="C153" s="4164">
        <f t="shared" si="299"/>
        <v>527.91999999999996</v>
      </c>
      <c r="D153" s="4164">
        <f t="shared" si="299"/>
        <v>402.18</v>
      </c>
      <c r="E153" s="4164">
        <f t="shared" si="299"/>
        <v>361.42999999999995</v>
      </c>
      <c r="F153" s="4164">
        <f t="shared" si="299"/>
        <v>1291.53</v>
      </c>
      <c r="G153" s="4164">
        <f t="shared" si="299"/>
        <v>1305.0234559053677</v>
      </c>
      <c r="H153" s="4164">
        <f t="shared" si="299"/>
        <v>468.34</v>
      </c>
      <c r="I153" s="4164">
        <f t="shared" si="299"/>
        <v>311.79999999999995</v>
      </c>
      <c r="J153" s="4164">
        <f t="shared" si="299"/>
        <v>452.14</v>
      </c>
      <c r="K153" s="4164">
        <f t="shared" si="299"/>
        <v>1232.2799999999997</v>
      </c>
      <c r="L153" s="4220">
        <f t="shared" si="299"/>
        <v>2610.0469118107353</v>
      </c>
      <c r="M153" s="4220">
        <f t="shared" si="299"/>
        <v>2523.81</v>
      </c>
      <c r="N153" s="4220">
        <f t="shared" si="299"/>
        <v>-86.236911810735478</v>
      </c>
      <c r="O153" s="4164">
        <f t="shared" si="299"/>
        <v>1383.7163702964615</v>
      </c>
      <c r="P153" s="4164">
        <f t="shared" si="299"/>
        <v>317.58000000000004</v>
      </c>
      <c r="Q153" s="4164">
        <f t="shared" si="299"/>
        <v>472.88</v>
      </c>
      <c r="R153" s="4164">
        <f t="shared" si="299"/>
        <v>446.46000000000004</v>
      </c>
      <c r="S153" s="4164">
        <f t="shared" si="299"/>
        <v>1236.92</v>
      </c>
      <c r="T153" s="4220">
        <f t="shared" si="299"/>
        <v>3993.7632821071966</v>
      </c>
      <c r="U153" s="4220">
        <f t="shared" si="299"/>
        <v>3760.73</v>
      </c>
      <c r="V153" s="4220">
        <f t="shared" si="299"/>
        <v>-233.03328210719673</v>
      </c>
      <c r="W153" s="4164">
        <f t="shared" si="299"/>
        <v>1383.7163702964615</v>
      </c>
      <c r="X153" s="4164">
        <f t="shared" si="299"/>
        <v>0</v>
      </c>
      <c r="Y153" s="4164">
        <f t="shared" si="299"/>
        <v>0</v>
      </c>
      <c r="Z153" s="4164">
        <f t="shared" si="299"/>
        <v>0</v>
      </c>
      <c r="AA153" s="4164">
        <f t="shared" si="299"/>
        <v>0</v>
      </c>
      <c r="AB153" s="4220">
        <f t="shared" si="299"/>
        <v>5377.4796524036583</v>
      </c>
      <c r="AC153" s="4220">
        <f t="shared" si="299"/>
        <v>3760.73</v>
      </c>
      <c r="AD153" s="4220">
        <f t="shared" si="299"/>
        <v>-1616.7496524036583</v>
      </c>
    </row>
    <row r="154" spans="1:30" ht="18.75" customHeight="1">
      <c r="A154" s="4159" t="s">
        <v>1767</v>
      </c>
      <c r="B154" s="4165">
        <f t="shared" si="299"/>
        <v>391.5558797089937</v>
      </c>
      <c r="C154" s="4164">
        <f t="shared" si="299"/>
        <v>159.41</v>
      </c>
      <c r="D154" s="4164">
        <f t="shared" si="299"/>
        <v>121.42</v>
      </c>
      <c r="E154" s="4164">
        <f t="shared" si="299"/>
        <v>109.11000000000001</v>
      </c>
      <c r="F154" s="4164">
        <f t="shared" si="299"/>
        <v>389.94000000000005</v>
      </c>
      <c r="G154" s="4164">
        <f t="shared" si="299"/>
        <v>391.5558797089937</v>
      </c>
      <c r="H154" s="4164">
        <f t="shared" si="299"/>
        <v>140.01999999999998</v>
      </c>
      <c r="I154" s="4164">
        <f t="shared" si="299"/>
        <v>94.149999999999991</v>
      </c>
      <c r="J154" s="4164">
        <f t="shared" si="299"/>
        <v>136.51</v>
      </c>
      <c r="K154" s="4164">
        <f t="shared" si="299"/>
        <v>370.68</v>
      </c>
      <c r="L154" s="4220">
        <f t="shared" si="299"/>
        <v>783.1117594179874</v>
      </c>
      <c r="M154" s="4220">
        <f t="shared" si="299"/>
        <v>760.62</v>
      </c>
      <c r="N154" s="4220">
        <f t="shared" si="299"/>
        <v>-22.49175941798741</v>
      </c>
      <c r="O154" s="4164">
        <f t="shared" si="299"/>
        <v>415.16669925544602</v>
      </c>
      <c r="P154" s="4164">
        <f t="shared" si="299"/>
        <v>94.52</v>
      </c>
      <c r="Q154" s="4164">
        <f t="shared" si="299"/>
        <v>141.41999999999999</v>
      </c>
      <c r="R154" s="4164">
        <f t="shared" si="299"/>
        <v>134.79</v>
      </c>
      <c r="S154" s="4164">
        <f t="shared" si="299"/>
        <v>370.73</v>
      </c>
      <c r="T154" s="4220">
        <f t="shared" si="299"/>
        <v>1198.2784586734335</v>
      </c>
      <c r="U154" s="4220">
        <f t="shared" si="299"/>
        <v>1131.3499999999999</v>
      </c>
      <c r="V154" s="4220">
        <f t="shared" si="299"/>
        <v>-66.928458673433482</v>
      </c>
      <c r="W154" s="4164">
        <f t="shared" si="299"/>
        <v>415.16669925544602</v>
      </c>
      <c r="X154" s="4164">
        <f t="shared" si="299"/>
        <v>0</v>
      </c>
      <c r="Y154" s="4164">
        <f t="shared" si="299"/>
        <v>0</v>
      </c>
      <c r="Z154" s="4164">
        <f t="shared" si="299"/>
        <v>0</v>
      </c>
      <c r="AA154" s="4164">
        <f t="shared" si="299"/>
        <v>0</v>
      </c>
      <c r="AB154" s="4220">
        <f t="shared" si="299"/>
        <v>1613.4451579288796</v>
      </c>
      <c r="AC154" s="4220">
        <f t="shared" si="299"/>
        <v>1131.3499999999999</v>
      </c>
      <c r="AD154" s="4220">
        <f t="shared" si="299"/>
        <v>-482.09515792887953</v>
      </c>
    </row>
    <row r="155" spans="1:30" ht="18.75" customHeight="1">
      <c r="A155" s="4159" t="s">
        <v>31</v>
      </c>
      <c r="B155" s="4165">
        <f>SUM(B79)</f>
        <v>178.89239065524691</v>
      </c>
      <c r="C155" s="4164">
        <f t="shared" ref="C155:AD155" si="300">SUM(C79)</f>
        <v>57.09</v>
      </c>
      <c r="D155" s="4164">
        <f t="shared" si="300"/>
        <v>52.58</v>
      </c>
      <c r="E155" s="4164">
        <f t="shared" si="300"/>
        <v>63</v>
      </c>
      <c r="F155" s="4164">
        <f t="shared" si="300"/>
        <v>172.67000000000002</v>
      </c>
      <c r="G155" s="4164">
        <f t="shared" si="300"/>
        <v>178.89239065524691</v>
      </c>
      <c r="H155" s="4164">
        <f t="shared" si="300"/>
        <v>61.5</v>
      </c>
      <c r="I155" s="4164">
        <f t="shared" si="300"/>
        <v>88.54</v>
      </c>
      <c r="J155" s="4164">
        <f t="shared" si="300"/>
        <v>59.98</v>
      </c>
      <c r="K155" s="4164">
        <f t="shared" si="300"/>
        <v>210.02</v>
      </c>
      <c r="L155" s="4220">
        <f t="shared" si="300"/>
        <v>357.78478131049383</v>
      </c>
      <c r="M155" s="4220">
        <f t="shared" si="300"/>
        <v>382.69000000000005</v>
      </c>
      <c r="N155" s="4220">
        <f t="shared" si="300"/>
        <v>24.905218689506228</v>
      </c>
      <c r="O155" s="4164">
        <f t="shared" si="300"/>
        <v>178.89239065524691</v>
      </c>
      <c r="P155" s="4164">
        <f t="shared" si="300"/>
        <v>74.210000000000008</v>
      </c>
      <c r="Q155" s="4164">
        <f t="shared" si="300"/>
        <v>79.180000000000007</v>
      </c>
      <c r="R155" s="4164">
        <f t="shared" si="300"/>
        <v>64.319999999999993</v>
      </c>
      <c r="S155" s="4164">
        <f t="shared" si="300"/>
        <v>217.71</v>
      </c>
      <c r="T155" s="4220">
        <f t="shared" si="300"/>
        <v>536.67717196574074</v>
      </c>
      <c r="U155" s="4220">
        <f t="shared" si="300"/>
        <v>600.40000000000009</v>
      </c>
      <c r="V155" s="4220">
        <f t="shared" si="300"/>
        <v>63.722828034259351</v>
      </c>
      <c r="W155" s="4164">
        <f t="shared" si="300"/>
        <v>178.89239065524691</v>
      </c>
      <c r="X155" s="4164">
        <f t="shared" si="300"/>
        <v>0</v>
      </c>
      <c r="Y155" s="4164">
        <f t="shared" si="300"/>
        <v>0</v>
      </c>
      <c r="Z155" s="4164">
        <f t="shared" si="300"/>
        <v>0</v>
      </c>
      <c r="AA155" s="4164">
        <f t="shared" si="300"/>
        <v>0</v>
      </c>
      <c r="AB155" s="4220">
        <f t="shared" si="300"/>
        <v>715.56956262098765</v>
      </c>
      <c r="AC155" s="4220">
        <f t="shared" si="300"/>
        <v>600.40000000000009</v>
      </c>
      <c r="AD155" s="4220">
        <f t="shared" si="300"/>
        <v>-115.16956262098756</v>
      </c>
    </row>
    <row r="156" spans="1:30" ht="18.75" customHeight="1">
      <c r="A156" s="4159" t="s">
        <v>300</v>
      </c>
      <c r="B156" s="4165">
        <f>SUM(B152-B153-B154-B155)</f>
        <v>900.66204552564466</v>
      </c>
      <c r="C156" s="4164">
        <f t="shared" ref="C156:AD156" si="301">SUM(C152-C153-C154-C155)</f>
        <v>198.7600000000001</v>
      </c>
      <c r="D156" s="4164">
        <f t="shared" si="301"/>
        <v>212.53000000000003</v>
      </c>
      <c r="E156" s="4164">
        <f t="shared" si="301"/>
        <v>321.73</v>
      </c>
      <c r="F156" s="4164">
        <f t="shared" si="301"/>
        <v>733.02000000000021</v>
      </c>
      <c r="G156" s="4164">
        <f t="shared" si="301"/>
        <v>786.97069225817756</v>
      </c>
      <c r="H156" s="4164">
        <f t="shared" si="301"/>
        <v>178.14999999999992</v>
      </c>
      <c r="I156" s="4164">
        <f t="shared" si="301"/>
        <v>288.13999999999993</v>
      </c>
      <c r="J156" s="4164">
        <f t="shared" si="301"/>
        <v>416.95000000000016</v>
      </c>
      <c r="K156" s="4164">
        <f t="shared" si="301"/>
        <v>883.23999999999955</v>
      </c>
      <c r="L156" s="4220">
        <f t="shared" si="301"/>
        <v>1687.6327377838222</v>
      </c>
      <c r="M156" s="4220">
        <f t="shared" si="301"/>
        <v>1616.2600000000002</v>
      </c>
      <c r="N156" s="4220">
        <f t="shared" si="301"/>
        <v>-71.372737783821592</v>
      </c>
      <c r="O156" s="4164">
        <f t="shared" si="301"/>
        <v>764.28280891663337</v>
      </c>
      <c r="P156" s="4164">
        <f t="shared" si="301"/>
        <v>206.42</v>
      </c>
      <c r="Q156" s="4164">
        <f t="shared" si="301"/>
        <v>186.32999999999998</v>
      </c>
      <c r="R156" s="4164">
        <f t="shared" si="301"/>
        <v>515.1099999999999</v>
      </c>
      <c r="S156" s="4164">
        <f t="shared" si="301"/>
        <v>907.85999999999967</v>
      </c>
      <c r="T156" s="4220">
        <f t="shared" si="301"/>
        <v>2451.9155467004557</v>
      </c>
      <c r="U156" s="4220">
        <f t="shared" si="301"/>
        <v>2524.1200000000008</v>
      </c>
      <c r="V156" s="4220">
        <f t="shared" si="301"/>
        <v>72.204453299545406</v>
      </c>
      <c r="W156" s="4164">
        <f t="shared" si="301"/>
        <v>881.10841187664266</v>
      </c>
      <c r="X156" s="4164">
        <f t="shared" si="301"/>
        <v>0</v>
      </c>
      <c r="Y156" s="4164">
        <f t="shared" si="301"/>
        <v>0</v>
      </c>
      <c r="Z156" s="4164">
        <f t="shared" si="301"/>
        <v>0</v>
      </c>
      <c r="AA156" s="4164">
        <f t="shared" si="301"/>
        <v>0</v>
      </c>
      <c r="AB156" s="4220">
        <f t="shared" si="301"/>
        <v>3333.0239585770964</v>
      </c>
      <c r="AC156" s="4220">
        <f t="shared" si="301"/>
        <v>2524.1200000000008</v>
      </c>
      <c r="AD156" s="4220">
        <f t="shared" si="301"/>
        <v>-808.90395857709734</v>
      </c>
    </row>
    <row r="157" spans="1:30" ht="18.75" customHeight="1">
      <c r="A157" s="4156" t="s">
        <v>1744</v>
      </c>
      <c r="B157" s="4205">
        <f t="shared" ref="B157:AD157" si="302">SUM(B106)</f>
        <v>448.51</v>
      </c>
      <c r="C157" s="4157">
        <f t="shared" si="302"/>
        <v>0</v>
      </c>
      <c r="D157" s="4157">
        <f t="shared" si="302"/>
        <v>0</v>
      </c>
      <c r="E157" s="4157">
        <f t="shared" si="302"/>
        <v>10.78</v>
      </c>
      <c r="F157" s="4157">
        <f t="shared" si="302"/>
        <v>10.78</v>
      </c>
      <c r="G157" s="4157">
        <f t="shared" si="302"/>
        <v>448.51</v>
      </c>
      <c r="H157" s="4157">
        <f t="shared" si="302"/>
        <v>0</v>
      </c>
      <c r="I157" s="4157">
        <f t="shared" si="302"/>
        <v>0</v>
      </c>
      <c r="J157" s="4157">
        <f t="shared" si="302"/>
        <v>10.79</v>
      </c>
      <c r="K157" s="4157">
        <f t="shared" si="302"/>
        <v>10.79</v>
      </c>
      <c r="L157" s="4219">
        <f t="shared" si="302"/>
        <v>897.02</v>
      </c>
      <c r="M157" s="4219">
        <f t="shared" si="302"/>
        <v>21.57</v>
      </c>
      <c r="N157" s="4219">
        <f t="shared" si="302"/>
        <v>-875.44999999999993</v>
      </c>
      <c r="O157" s="4157">
        <f t="shared" si="302"/>
        <v>448.51</v>
      </c>
      <c r="P157" s="4157">
        <f t="shared" si="302"/>
        <v>0</v>
      </c>
      <c r="Q157" s="4157">
        <f t="shared" si="302"/>
        <v>0</v>
      </c>
      <c r="R157" s="4157">
        <f t="shared" si="302"/>
        <v>10.79</v>
      </c>
      <c r="S157" s="4157">
        <f t="shared" si="302"/>
        <v>10.79</v>
      </c>
      <c r="T157" s="4219">
        <f t="shared" si="302"/>
        <v>1345.53</v>
      </c>
      <c r="U157" s="4219">
        <f t="shared" si="302"/>
        <v>32.36</v>
      </c>
      <c r="V157" s="4219">
        <f t="shared" si="302"/>
        <v>-1313.17</v>
      </c>
      <c r="W157" s="4157">
        <f t="shared" si="302"/>
        <v>448.51</v>
      </c>
      <c r="X157" s="4157">
        <f t="shared" si="302"/>
        <v>0</v>
      </c>
      <c r="Y157" s="4157">
        <f t="shared" si="302"/>
        <v>0</v>
      </c>
      <c r="Z157" s="4157">
        <f t="shared" si="302"/>
        <v>0</v>
      </c>
      <c r="AA157" s="4157">
        <f t="shared" si="302"/>
        <v>0</v>
      </c>
      <c r="AB157" s="4219">
        <f t="shared" si="302"/>
        <v>1794.04</v>
      </c>
      <c r="AC157" s="4219">
        <f t="shared" si="302"/>
        <v>32.36</v>
      </c>
      <c r="AD157" s="4219">
        <f t="shared" si="302"/>
        <v>-1761.68</v>
      </c>
    </row>
    <row r="158" spans="1:30" ht="18.75" customHeight="1">
      <c r="A158" s="4167" t="s">
        <v>1776</v>
      </c>
      <c r="B158" s="4165">
        <f t="shared" ref="B158:AD167" si="303">SUM(B107)</f>
        <v>87.077500000000001</v>
      </c>
      <c r="C158" s="4164">
        <f t="shared" si="303"/>
        <v>0</v>
      </c>
      <c r="D158" s="4164">
        <f t="shared" si="303"/>
        <v>0</v>
      </c>
      <c r="E158" s="4164">
        <f t="shared" si="303"/>
        <v>0</v>
      </c>
      <c r="F158" s="4164">
        <f t="shared" si="303"/>
        <v>0</v>
      </c>
      <c r="G158" s="4164">
        <f t="shared" si="303"/>
        <v>87.077500000000001</v>
      </c>
      <c r="H158" s="4164">
        <f t="shared" si="303"/>
        <v>0</v>
      </c>
      <c r="I158" s="4164">
        <f t="shared" si="303"/>
        <v>0</v>
      </c>
      <c r="J158" s="4164">
        <f t="shared" si="303"/>
        <v>0.01</v>
      </c>
      <c r="K158" s="4164">
        <f t="shared" si="303"/>
        <v>0.01</v>
      </c>
      <c r="L158" s="4220">
        <f t="shared" si="303"/>
        <v>174.155</v>
      </c>
      <c r="M158" s="4220">
        <f t="shared" si="303"/>
        <v>0.01</v>
      </c>
      <c r="N158" s="4220">
        <f t="shared" si="303"/>
        <v>-174.14500000000001</v>
      </c>
      <c r="O158" s="4164">
        <f t="shared" si="303"/>
        <v>87.077500000000001</v>
      </c>
      <c r="P158" s="4164">
        <f t="shared" si="303"/>
        <v>0</v>
      </c>
      <c r="Q158" s="4164">
        <f t="shared" si="303"/>
        <v>0</v>
      </c>
      <c r="R158" s="4164">
        <f t="shared" si="303"/>
        <v>0.01</v>
      </c>
      <c r="S158" s="4164">
        <f t="shared" si="303"/>
        <v>0.01</v>
      </c>
      <c r="T158" s="4220">
        <f t="shared" si="303"/>
        <v>261.23250000000002</v>
      </c>
      <c r="U158" s="4220">
        <f t="shared" si="303"/>
        <v>0.02</v>
      </c>
      <c r="V158" s="4220">
        <f t="shared" si="303"/>
        <v>-261.21250000000003</v>
      </c>
      <c r="W158" s="4164">
        <f t="shared" si="303"/>
        <v>87.077500000000001</v>
      </c>
      <c r="X158" s="4164">
        <f t="shared" si="303"/>
        <v>0</v>
      </c>
      <c r="Y158" s="4164">
        <f t="shared" si="303"/>
        <v>0</v>
      </c>
      <c r="Z158" s="4164">
        <f t="shared" si="303"/>
        <v>0</v>
      </c>
      <c r="AA158" s="4164">
        <f t="shared" si="303"/>
        <v>0</v>
      </c>
      <c r="AB158" s="4220">
        <f t="shared" si="303"/>
        <v>348.31</v>
      </c>
      <c r="AC158" s="4220">
        <f t="shared" si="303"/>
        <v>0.02</v>
      </c>
      <c r="AD158" s="4220">
        <f t="shared" si="303"/>
        <v>-348.29</v>
      </c>
    </row>
    <row r="159" spans="1:30" ht="18.75" customHeight="1">
      <c r="A159" s="4167" t="s">
        <v>543</v>
      </c>
      <c r="B159" s="4165">
        <f t="shared" si="303"/>
        <v>6.5125000000000002</v>
      </c>
      <c r="C159" s="4164">
        <f t="shared" si="303"/>
        <v>0</v>
      </c>
      <c r="D159" s="4164">
        <f t="shared" si="303"/>
        <v>0</v>
      </c>
      <c r="E159" s="4164">
        <f t="shared" si="303"/>
        <v>10.78</v>
      </c>
      <c r="F159" s="4164">
        <f t="shared" si="303"/>
        <v>10.78</v>
      </c>
      <c r="G159" s="4164">
        <f t="shared" si="303"/>
        <v>6.5125000000000002</v>
      </c>
      <c r="H159" s="4164">
        <f t="shared" si="303"/>
        <v>0</v>
      </c>
      <c r="I159" s="4164">
        <f t="shared" si="303"/>
        <v>0</v>
      </c>
      <c r="J159" s="4164">
        <f t="shared" si="303"/>
        <v>10.78</v>
      </c>
      <c r="K159" s="4164">
        <f t="shared" si="303"/>
        <v>10.78</v>
      </c>
      <c r="L159" s="4220">
        <f t="shared" si="303"/>
        <v>13.025</v>
      </c>
      <c r="M159" s="4220">
        <f t="shared" si="303"/>
        <v>21.56</v>
      </c>
      <c r="N159" s="4220">
        <f t="shared" si="303"/>
        <v>8.5349999999999984</v>
      </c>
      <c r="O159" s="4164">
        <f t="shared" si="303"/>
        <v>6.5125000000000002</v>
      </c>
      <c r="P159" s="4164">
        <f t="shared" si="303"/>
        <v>0</v>
      </c>
      <c r="Q159" s="4164">
        <f t="shared" si="303"/>
        <v>0</v>
      </c>
      <c r="R159" s="4164">
        <f t="shared" si="303"/>
        <v>10.78</v>
      </c>
      <c r="S159" s="4164">
        <f t="shared" si="303"/>
        <v>10.78</v>
      </c>
      <c r="T159" s="4220">
        <f t="shared" si="303"/>
        <v>19.537500000000001</v>
      </c>
      <c r="U159" s="4220">
        <f t="shared" si="303"/>
        <v>32.339999999999996</v>
      </c>
      <c r="V159" s="4220">
        <f t="shared" si="303"/>
        <v>12.802499999999995</v>
      </c>
      <c r="W159" s="4164">
        <f t="shared" si="303"/>
        <v>6.5125000000000002</v>
      </c>
      <c r="X159" s="4164">
        <f t="shared" si="303"/>
        <v>0</v>
      </c>
      <c r="Y159" s="4164">
        <f t="shared" si="303"/>
        <v>0</v>
      </c>
      <c r="Z159" s="4164">
        <f t="shared" si="303"/>
        <v>0</v>
      </c>
      <c r="AA159" s="4164">
        <f t="shared" si="303"/>
        <v>0</v>
      </c>
      <c r="AB159" s="4220">
        <f t="shared" si="303"/>
        <v>26.05</v>
      </c>
      <c r="AC159" s="4220">
        <f t="shared" si="303"/>
        <v>32.339999999999996</v>
      </c>
      <c r="AD159" s="4220">
        <f t="shared" si="303"/>
        <v>6.2899999999999956</v>
      </c>
    </row>
    <row r="160" spans="1:30" ht="18.75" customHeight="1">
      <c r="A160" s="4167" t="s">
        <v>545</v>
      </c>
      <c r="B160" s="4165">
        <f t="shared" si="303"/>
        <v>354.92</v>
      </c>
      <c r="C160" s="4164">
        <f t="shared" si="303"/>
        <v>0</v>
      </c>
      <c r="D160" s="4164">
        <f t="shared" si="303"/>
        <v>0</v>
      </c>
      <c r="E160" s="4164">
        <f t="shared" si="303"/>
        <v>0</v>
      </c>
      <c r="F160" s="4164">
        <f t="shared" si="303"/>
        <v>0</v>
      </c>
      <c r="G160" s="4164">
        <f t="shared" si="303"/>
        <v>354.92</v>
      </c>
      <c r="H160" s="4164">
        <f t="shared" si="303"/>
        <v>0</v>
      </c>
      <c r="I160" s="4164">
        <f t="shared" si="303"/>
        <v>0</v>
      </c>
      <c r="J160" s="4164">
        <f t="shared" si="303"/>
        <v>0</v>
      </c>
      <c r="K160" s="4164">
        <f t="shared" si="303"/>
        <v>0</v>
      </c>
      <c r="L160" s="4220">
        <f t="shared" si="303"/>
        <v>709.84</v>
      </c>
      <c r="M160" s="4220">
        <f t="shared" si="303"/>
        <v>0</v>
      </c>
      <c r="N160" s="4220">
        <f t="shared" si="303"/>
        <v>-709.84</v>
      </c>
      <c r="O160" s="4164">
        <f t="shared" si="303"/>
        <v>354.92</v>
      </c>
      <c r="P160" s="4164">
        <f t="shared" si="303"/>
        <v>0</v>
      </c>
      <c r="Q160" s="4164">
        <f t="shared" si="303"/>
        <v>0</v>
      </c>
      <c r="R160" s="4164">
        <f t="shared" si="303"/>
        <v>0</v>
      </c>
      <c r="S160" s="4164">
        <f t="shared" si="303"/>
        <v>0</v>
      </c>
      <c r="T160" s="4220">
        <f t="shared" si="303"/>
        <v>1064.76</v>
      </c>
      <c r="U160" s="4220">
        <f t="shared" si="303"/>
        <v>0</v>
      </c>
      <c r="V160" s="4220">
        <f t="shared" si="303"/>
        <v>-1064.76</v>
      </c>
      <c r="W160" s="4164">
        <f t="shared" si="303"/>
        <v>354.92</v>
      </c>
      <c r="X160" s="4164">
        <f t="shared" si="303"/>
        <v>0</v>
      </c>
      <c r="Y160" s="4164">
        <f t="shared" si="303"/>
        <v>0</v>
      </c>
      <c r="Z160" s="4164">
        <f t="shared" si="303"/>
        <v>0</v>
      </c>
      <c r="AA160" s="4164">
        <f t="shared" si="303"/>
        <v>0</v>
      </c>
      <c r="AB160" s="4220">
        <f t="shared" si="303"/>
        <v>1419.68</v>
      </c>
      <c r="AC160" s="4220">
        <f t="shared" si="303"/>
        <v>0</v>
      </c>
      <c r="AD160" s="4220">
        <f t="shared" si="303"/>
        <v>-1419.68</v>
      </c>
    </row>
    <row r="161" spans="1:30" ht="18.75" customHeight="1">
      <c r="A161" s="4156" t="s">
        <v>1768</v>
      </c>
      <c r="B161" s="4205">
        <f>SUM(B110)</f>
        <v>3572.8898425617367</v>
      </c>
      <c r="C161" s="4157">
        <f t="shared" si="303"/>
        <v>816.62999999999988</v>
      </c>
      <c r="D161" s="4157">
        <f t="shared" si="303"/>
        <v>784.6400000000001</v>
      </c>
      <c r="E161" s="4157">
        <f t="shared" si="303"/>
        <v>816.0200000000001</v>
      </c>
      <c r="F161" s="4157">
        <f t="shared" si="303"/>
        <v>2417.29</v>
      </c>
      <c r="G161" s="4157">
        <f t="shared" si="303"/>
        <v>3572.8898425617367</v>
      </c>
      <c r="H161" s="4157">
        <f t="shared" si="303"/>
        <v>750.71</v>
      </c>
      <c r="I161" s="4157">
        <f t="shared" si="303"/>
        <v>762.30000000000007</v>
      </c>
      <c r="J161" s="4157">
        <f t="shared" si="303"/>
        <v>888.58</v>
      </c>
      <c r="K161" s="4157">
        <f t="shared" si="303"/>
        <v>2401.59</v>
      </c>
      <c r="L161" s="4219">
        <f t="shared" si="303"/>
        <v>7145.7796851234734</v>
      </c>
      <c r="M161" s="4219">
        <f t="shared" si="303"/>
        <v>4818.88</v>
      </c>
      <c r="N161" s="4219">
        <f t="shared" si="303"/>
        <v>-2326.8996851234733</v>
      </c>
      <c r="O161" s="4157">
        <f t="shared" si="303"/>
        <v>3768.1051574382636</v>
      </c>
      <c r="P161" s="4157">
        <f t="shared" si="303"/>
        <v>784.13</v>
      </c>
      <c r="Q161" s="4157">
        <f t="shared" si="303"/>
        <v>937.63</v>
      </c>
      <c r="R161" s="4157">
        <f t="shared" si="303"/>
        <v>842.19</v>
      </c>
      <c r="S161" s="4157">
        <f t="shared" si="303"/>
        <v>2563.9499999999998</v>
      </c>
      <c r="T161" s="4219">
        <f t="shared" si="303"/>
        <v>10913.884842561736</v>
      </c>
      <c r="U161" s="4219">
        <f t="shared" si="303"/>
        <v>7382.83</v>
      </c>
      <c r="V161" s="4219">
        <f t="shared" si="303"/>
        <v>-3531.0548425617362</v>
      </c>
      <c r="W161" s="4157">
        <f t="shared" si="303"/>
        <v>3768.1051574382636</v>
      </c>
      <c r="X161" s="4157">
        <f t="shared" si="303"/>
        <v>0</v>
      </c>
      <c r="Y161" s="4157">
        <f t="shared" si="303"/>
        <v>0</v>
      </c>
      <c r="Z161" s="4157">
        <f t="shared" si="303"/>
        <v>0</v>
      </c>
      <c r="AA161" s="4157">
        <f t="shared" si="303"/>
        <v>0</v>
      </c>
      <c r="AB161" s="4219">
        <f t="shared" si="303"/>
        <v>14681.99</v>
      </c>
      <c r="AC161" s="4219">
        <f t="shared" si="303"/>
        <v>7382.83</v>
      </c>
      <c r="AD161" s="4219">
        <f t="shared" si="303"/>
        <v>-7299.16</v>
      </c>
    </row>
    <row r="162" spans="1:30" ht="18.75" customHeight="1">
      <c r="A162" s="4125" t="s">
        <v>1747</v>
      </c>
      <c r="B162" s="4165">
        <f>SUM(B111)</f>
        <v>2529.5578161465637</v>
      </c>
      <c r="C162" s="4164">
        <f t="shared" si="303"/>
        <v>549.51</v>
      </c>
      <c r="D162" s="4164">
        <f t="shared" si="303"/>
        <v>528.70000000000005</v>
      </c>
      <c r="E162" s="4164">
        <f t="shared" si="303"/>
        <v>542.70000000000005</v>
      </c>
      <c r="F162" s="4164">
        <f t="shared" si="303"/>
        <v>1620.91</v>
      </c>
      <c r="G162" s="4164">
        <f t="shared" si="303"/>
        <v>2529.5578161465637</v>
      </c>
      <c r="H162" s="4164">
        <f t="shared" si="303"/>
        <v>487.54</v>
      </c>
      <c r="I162" s="4164">
        <f t="shared" si="303"/>
        <v>528.74</v>
      </c>
      <c r="J162" s="4164">
        <f t="shared" si="303"/>
        <v>605.82000000000005</v>
      </c>
      <c r="K162" s="4164">
        <f t="shared" si="303"/>
        <v>1622.1</v>
      </c>
      <c r="L162" s="4220">
        <f t="shared" si="303"/>
        <v>5059.1156322931274</v>
      </c>
      <c r="M162" s="4220">
        <f t="shared" si="303"/>
        <v>3243.01</v>
      </c>
      <c r="N162" s="4220">
        <f t="shared" si="303"/>
        <v>-1816.1056322931272</v>
      </c>
      <c r="O162" s="4164">
        <f t="shared" si="303"/>
        <v>2682.0901524602014</v>
      </c>
      <c r="P162" s="4164">
        <f t="shared" si="303"/>
        <v>507.46</v>
      </c>
      <c r="Q162" s="4164">
        <f t="shared" si="303"/>
        <v>607.24</v>
      </c>
      <c r="R162" s="4164">
        <f t="shared" si="303"/>
        <v>500.91</v>
      </c>
      <c r="S162" s="4164">
        <f t="shared" si="303"/>
        <v>1615.6100000000001</v>
      </c>
      <c r="T162" s="4220">
        <f t="shared" si="303"/>
        <v>7741.2057847533288</v>
      </c>
      <c r="U162" s="4220">
        <f t="shared" si="303"/>
        <v>4858.6200000000008</v>
      </c>
      <c r="V162" s="4220">
        <f t="shared" si="303"/>
        <v>-2882.585784753328</v>
      </c>
      <c r="W162" s="4164">
        <f t="shared" si="303"/>
        <v>2682.0901524602014</v>
      </c>
      <c r="X162" s="4164">
        <f t="shared" si="303"/>
        <v>0</v>
      </c>
      <c r="Y162" s="4164">
        <f t="shared" si="303"/>
        <v>0</v>
      </c>
      <c r="Z162" s="4164">
        <f t="shared" si="303"/>
        <v>0</v>
      </c>
      <c r="AA162" s="4164">
        <f t="shared" si="303"/>
        <v>0</v>
      </c>
      <c r="AB162" s="4220">
        <f t="shared" si="303"/>
        <v>10423.29593721353</v>
      </c>
      <c r="AC162" s="4220">
        <f t="shared" si="303"/>
        <v>4858.6200000000008</v>
      </c>
      <c r="AD162" s="4220">
        <f t="shared" si="303"/>
        <v>-5564.6759372135293</v>
      </c>
    </row>
    <row r="163" spans="1:30" ht="18.75" customHeight="1">
      <c r="A163" s="4125" t="s">
        <v>1748</v>
      </c>
      <c r="B163" s="4165">
        <f>SUM(B112)</f>
        <v>707.84375726185078</v>
      </c>
      <c r="C163" s="4164">
        <f t="shared" si="303"/>
        <v>165.46</v>
      </c>
      <c r="D163" s="4164">
        <f t="shared" si="303"/>
        <v>158.62</v>
      </c>
      <c r="E163" s="4164">
        <f t="shared" si="303"/>
        <v>163.37</v>
      </c>
      <c r="F163" s="4164">
        <f t="shared" si="303"/>
        <v>487.45000000000005</v>
      </c>
      <c r="G163" s="4164">
        <f t="shared" si="303"/>
        <v>707.84375726185078</v>
      </c>
      <c r="H163" s="4164">
        <f t="shared" si="303"/>
        <v>147.22999999999999</v>
      </c>
      <c r="I163" s="4164">
        <f t="shared" si="303"/>
        <v>159.63</v>
      </c>
      <c r="J163" s="4164">
        <f t="shared" si="303"/>
        <v>180.73</v>
      </c>
      <c r="K163" s="4164">
        <f t="shared" si="303"/>
        <v>487.59000000000003</v>
      </c>
      <c r="L163" s="4220">
        <f t="shared" si="303"/>
        <v>1415.6875145237016</v>
      </c>
      <c r="M163" s="4220">
        <f t="shared" si="303"/>
        <v>975.04000000000008</v>
      </c>
      <c r="N163" s="4220">
        <f t="shared" si="303"/>
        <v>-440.64751452370149</v>
      </c>
      <c r="O163" s="4164">
        <f t="shared" si="303"/>
        <v>750.52673582474029</v>
      </c>
      <c r="P163" s="4164">
        <f t="shared" si="303"/>
        <v>151.19999999999999</v>
      </c>
      <c r="Q163" s="4164">
        <f t="shared" si="303"/>
        <v>177.68</v>
      </c>
      <c r="R163" s="4164">
        <f t="shared" si="303"/>
        <v>161.21</v>
      </c>
      <c r="S163" s="4164">
        <f t="shared" si="303"/>
        <v>490.09000000000003</v>
      </c>
      <c r="T163" s="4220">
        <f t="shared" si="303"/>
        <v>2166.214250348442</v>
      </c>
      <c r="U163" s="4220">
        <f t="shared" si="303"/>
        <v>1465.13</v>
      </c>
      <c r="V163" s="4220">
        <f t="shared" si="303"/>
        <v>-701.08425034844186</v>
      </c>
      <c r="W163" s="4164">
        <f t="shared" si="303"/>
        <v>750.52673582474029</v>
      </c>
      <c r="X163" s="4164">
        <f t="shared" si="303"/>
        <v>0</v>
      </c>
      <c r="Y163" s="4164">
        <f t="shared" si="303"/>
        <v>0</v>
      </c>
      <c r="Z163" s="4164">
        <f t="shared" si="303"/>
        <v>0</v>
      </c>
      <c r="AA163" s="4164">
        <f t="shared" si="303"/>
        <v>0</v>
      </c>
      <c r="AB163" s="4220">
        <f t="shared" si="303"/>
        <v>2916.7409861731821</v>
      </c>
      <c r="AC163" s="4220">
        <f t="shared" si="303"/>
        <v>1465.13</v>
      </c>
      <c r="AD163" s="4220">
        <f t="shared" si="303"/>
        <v>-1451.610986173182</v>
      </c>
    </row>
    <row r="164" spans="1:30" ht="18.75" customHeight="1">
      <c r="A164" s="4125" t="s">
        <v>285</v>
      </c>
      <c r="B164" s="4165"/>
      <c r="C164" s="4164">
        <f t="shared" si="303"/>
        <v>0.01</v>
      </c>
      <c r="D164" s="4164">
        <f t="shared" si="303"/>
        <v>0.01</v>
      </c>
      <c r="E164" s="4164">
        <f t="shared" si="303"/>
        <v>0.02</v>
      </c>
      <c r="F164" s="4164">
        <f t="shared" si="303"/>
        <v>0.04</v>
      </c>
      <c r="G164" s="4164"/>
      <c r="H164" s="4164">
        <f t="shared" si="303"/>
        <v>0.01</v>
      </c>
      <c r="I164" s="4164">
        <f t="shared" si="303"/>
        <v>0.01</v>
      </c>
      <c r="J164" s="4164">
        <f t="shared" si="303"/>
        <v>0.01</v>
      </c>
      <c r="K164" s="4164">
        <f t="shared" si="303"/>
        <v>0.03</v>
      </c>
      <c r="L164" s="4220"/>
      <c r="M164" s="4220">
        <f t="shared" si="303"/>
        <v>7.0000000000000007E-2</v>
      </c>
      <c r="N164" s="4220"/>
      <c r="O164" s="4164"/>
      <c r="P164" s="4164">
        <f t="shared" si="303"/>
        <v>0.4</v>
      </c>
      <c r="Q164" s="4164">
        <f t="shared" si="303"/>
        <v>0.01</v>
      </c>
      <c r="R164" s="4164">
        <f t="shared" si="303"/>
        <v>0.02</v>
      </c>
      <c r="S164" s="4164">
        <f t="shared" si="303"/>
        <v>0.43000000000000005</v>
      </c>
      <c r="T164" s="4220"/>
      <c r="U164" s="4220">
        <f t="shared" si="303"/>
        <v>0.5</v>
      </c>
      <c r="V164" s="4220"/>
      <c r="W164" s="4164"/>
      <c r="X164" s="4164">
        <f t="shared" si="303"/>
        <v>0</v>
      </c>
      <c r="Y164" s="4164">
        <f t="shared" si="303"/>
        <v>0</v>
      </c>
      <c r="Z164" s="4164">
        <f t="shared" si="303"/>
        <v>0</v>
      </c>
      <c r="AA164" s="4164">
        <f t="shared" si="303"/>
        <v>0</v>
      </c>
      <c r="AB164" s="4220"/>
      <c r="AC164" s="4220">
        <f t="shared" si="303"/>
        <v>0.5</v>
      </c>
      <c r="AD164" s="4220"/>
    </row>
    <row r="165" spans="1:30" ht="18.75" customHeight="1">
      <c r="A165" s="4125" t="s">
        <v>1882</v>
      </c>
      <c r="B165" s="4165"/>
      <c r="C165" s="4164">
        <f t="shared" si="303"/>
        <v>7.8</v>
      </c>
      <c r="D165" s="4164">
        <f t="shared" si="303"/>
        <v>6.35</v>
      </c>
      <c r="E165" s="4164">
        <f t="shared" si="303"/>
        <v>6.08</v>
      </c>
      <c r="F165" s="4164">
        <f t="shared" si="303"/>
        <v>20.229999999999997</v>
      </c>
      <c r="G165" s="4164"/>
      <c r="H165" s="4164">
        <f t="shared" si="303"/>
        <v>4.45</v>
      </c>
      <c r="I165" s="4164">
        <f t="shared" si="303"/>
        <v>3.11</v>
      </c>
      <c r="J165" s="4164">
        <f t="shared" si="303"/>
        <v>0</v>
      </c>
      <c r="K165" s="4164">
        <f t="shared" si="303"/>
        <v>7.5600000000000005</v>
      </c>
      <c r="L165" s="4220"/>
      <c r="M165" s="4220">
        <f t="shared" si="303"/>
        <v>27.79</v>
      </c>
      <c r="N165" s="4220"/>
      <c r="O165" s="4164"/>
      <c r="P165" s="4164">
        <f t="shared" si="303"/>
        <v>0</v>
      </c>
      <c r="Q165" s="4164">
        <f t="shared" si="303"/>
        <v>0</v>
      </c>
      <c r="R165" s="4164">
        <f t="shared" si="303"/>
        <v>1.47</v>
      </c>
      <c r="S165" s="4164">
        <f t="shared" si="303"/>
        <v>1.47</v>
      </c>
      <c r="T165" s="4220"/>
      <c r="U165" s="4220">
        <f t="shared" si="303"/>
        <v>29.259999999999998</v>
      </c>
      <c r="V165" s="4220"/>
      <c r="W165" s="4164"/>
      <c r="X165" s="4164">
        <f t="shared" si="303"/>
        <v>0</v>
      </c>
      <c r="Y165" s="4164">
        <f t="shared" si="303"/>
        <v>0</v>
      </c>
      <c r="Z165" s="4164">
        <f t="shared" si="303"/>
        <v>0</v>
      </c>
      <c r="AA165" s="4164">
        <f t="shared" si="303"/>
        <v>0</v>
      </c>
      <c r="AB165" s="4220"/>
      <c r="AC165" s="4220">
        <f t="shared" si="303"/>
        <v>29.259999999999998</v>
      </c>
      <c r="AD165" s="4220"/>
    </row>
    <row r="166" spans="1:30" ht="18.75" customHeight="1">
      <c r="A166" s="4125" t="s">
        <v>286</v>
      </c>
      <c r="B166" s="4165"/>
      <c r="C166" s="4164">
        <f t="shared" si="303"/>
        <v>4.8099999999999996</v>
      </c>
      <c r="D166" s="4164">
        <f t="shared" si="303"/>
        <v>4.45</v>
      </c>
      <c r="E166" s="4164">
        <f t="shared" si="303"/>
        <v>4.76</v>
      </c>
      <c r="F166" s="4164">
        <f t="shared" si="303"/>
        <v>14.02</v>
      </c>
      <c r="G166" s="4164"/>
      <c r="H166" s="4164">
        <f t="shared" si="303"/>
        <v>4.57</v>
      </c>
      <c r="I166" s="4164">
        <f t="shared" si="303"/>
        <v>4.34</v>
      </c>
      <c r="J166" s="4164">
        <f t="shared" si="303"/>
        <v>4.47</v>
      </c>
      <c r="K166" s="4164">
        <f t="shared" si="303"/>
        <v>13.379999999999999</v>
      </c>
      <c r="L166" s="4220"/>
      <c r="M166" s="4220">
        <f t="shared" si="303"/>
        <v>27.4</v>
      </c>
      <c r="N166" s="4220"/>
      <c r="O166" s="4164"/>
      <c r="P166" s="4164">
        <f t="shared" si="303"/>
        <v>4.57</v>
      </c>
      <c r="Q166" s="4164">
        <f t="shared" si="303"/>
        <v>4.78</v>
      </c>
      <c r="R166" s="4164">
        <f t="shared" si="303"/>
        <v>4.45</v>
      </c>
      <c r="S166" s="4164">
        <f t="shared" si="303"/>
        <v>13.8</v>
      </c>
      <c r="T166" s="4220"/>
      <c r="U166" s="4220">
        <f t="shared" si="303"/>
        <v>41.2</v>
      </c>
      <c r="V166" s="4220"/>
      <c r="W166" s="4164"/>
      <c r="X166" s="4164">
        <f t="shared" si="303"/>
        <v>0</v>
      </c>
      <c r="Y166" s="4164">
        <f t="shared" si="303"/>
        <v>0</v>
      </c>
      <c r="Z166" s="4164">
        <f t="shared" si="303"/>
        <v>0</v>
      </c>
      <c r="AA166" s="4164">
        <f t="shared" si="303"/>
        <v>0</v>
      </c>
      <c r="AB166" s="4220"/>
      <c r="AC166" s="4220">
        <f t="shared" si="303"/>
        <v>41.2</v>
      </c>
      <c r="AD166" s="4220"/>
    </row>
    <row r="167" spans="1:30" ht="18.75" customHeight="1">
      <c r="A167" s="4159" t="s">
        <v>1749</v>
      </c>
      <c r="B167" s="4165">
        <f t="shared" ref="B167:Q170" si="304">SUM(B116)</f>
        <v>335.48826915332188</v>
      </c>
      <c r="C167" s="4164">
        <f t="shared" si="303"/>
        <v>89.04</v>
      </c>
      <c r="D167" s="4164">
        <f t="shared" si="303"/>
        <v>86.51</v>
      </c>
      <c r="E167" s="4164">
        <f t="shared" si="303"/>
        <v>99.09</v>
      </c>
      <c r="F167" s="4164">
        <f t="shared" si="303"/>
        <v>274.64</v>
      </c>
      <c r="G167" s="4164">
        <f t="shared" si="303"/>
        <v>335.48826915332188</v>
      </c>
      <c r="H167" s="4164">
        <f t="shared" si="303"/>
        <v>106.91</v>
      </c>
      <c r="I167" s="4164">
        <f t="shared" si="303"/>
        <v>66.47</v>
      </c>
      <c r="J167" s="4164">
        <f t="shared" si="303"/>
        <v>97.55</v>
      </c>
      <c r="K167" s="4164">
        <f t="shared" si="303"/>
        <v>270.93</v>
      </c>
      <c r="L167" s="4220">
        <f t="shared" si="303"/>
        <v>670.97653830664376</v>
      </c>
      <c r="M167" s="4220">
        <f t="shared" si="303"/>
        <v>545.56999999999994</v>
      </c>
      <c r="N167" s="4220">
        <f t="shared" si="303"/>
        <v>-125.40653830664382</v>
      </c>
      <c r="O167" s="4164">
        <f t="shared" si="303"/>
        <v>335.48826915332188</v>
      </c>
      <c r="P167" s="4164">
        <f t="shared" si="303"/>
        <v>120.5</v>
      </c>
      <c r="Q167" s="4164">
        <f t="shared" si="303"/>
        <v>147.91999999999999</v>
      </c>
      <c r="R167" s="4164">
        <f t="shared" si="303"/>
        <v>174.13</v>
      </c>
      <c r="S167" s="4164">
        <f t="shared" si="303"/>
        <v>442.54999999999995</v>
      </c>
      <c r="T167" s="4220">
        <f t="shared" si="303"/>
        <v>1006.4648074599656</v>
      </c>
      <c r="U167" s="4220">
        <f t="shared" si="303"/>
        <v>988.11999999999989</v>
      </c>
      <c r="V167" s="4220">
        <f t="shared" si="303"/>
        <v>-18.34480745996575</v>
      </c>
      <c r="W167" s="4164">
        <f t="shared" si="303"/>
        <v>335.48826915332188</v>
      </c>
      <c r="X167" s="4164">
        <f t="shared" si="303"/>
        <v>0</v>
      </c>
      <c r="Y167" s="4164">
        <f t="shared" si="303"/>
        <v>0</v>
      </c>
      <c r="Z167" s="4164">
        <f t="shared" si="303"/>
        <v>0</v>
      </c>
      <c r="AA167" s="4164">
        <f t="shared" si="303"/>
        <v>0</v>
      </c>
      <c r="AB167" s="4220">
        <f t="shared" si="303"/>
        <v>1341.9530766132875</v>
      </c>
      <c r="AC167" s="4220">
        <f t="shared" si="303"/>
        <v>988.11999999999989</v>
      </c>
      <c r="AD167" s="4220">
        <f t="shared" ref="AD167" si="305">SUM(AD116)</f>
        <v>-353.83307661328763</v>
      </c>
    </row>
    <row r="168" spans="1:30" ht="18.75" customHeight="1">
      <c r="A168" s="4166" t="s">
        <v>1778</v>
      </c>
      <c r="B168" s="4205">
        <f t="shared" si="304"/>
        <v>90.394999999999982</v>
      </c>
      <c r="C168" s="4157">
        <f t="shared" si="304"/>
        <v>0</v>
      </c>
      <c r="D168" s="4157">
        <f t="shared" si="304"/>
        <v>0</v>
      </c>
      <c r="E168" s="4157">
        <f t="shared" si="304"/>
        <v>0</v>
      </c>
      <c r="F168" s="4157">
        <f t="shared" si="304"/>
        <v>0</v>
      </c>
      <c r="G168" s="4157">
        <f t="shared" si="304"/>
        <v>90.394999999999982</v>
      </c>
      <c r="H168" s="4157">
        <f t="shared" si="304"/>
        <v>0</v>
      </c>
      <c r="I168" s="4157">
        <f t="shared" si="304"/>
        <v>0</v>
      </c>
      <c r="J168" s="4157">
        <f t="shared" si="304"/>
        <v>0</v>
      </c>
      <c r="K168" s="4157">
        <f t="shared" si="304"/>
        <v>0</v>
      </c>
      <c r="L168" s="4219">
        <f t="shared" si="304"/>
        <v>180.78999999999996</v>
      </c>
      <c r="M168" s="4219">
        <f t="shared" si="304"/>
        <v>0</v>
      </c>
      <c r="N168" s="4219">
        <f t="shared" si="304"/>
        <v>-180.78999999999996</v>
      </c>
      <c r="O168" s="4157">
        <f t="shared" si="304"/>
        <v>90.394999999999982</v>
      </c>
      <c r="P168" s="4157">
        <f t="shared" si="304"/>
        <v>0</v>
      </c>
      <c r="Q168" s="4157">
        <f t="shared" si="304"/>
        <v>0</v>
      </c>
      <c r="R168" s="4157">
        <f t="shared" ref="R168:AD170" si="306">SUM(R117)</f>
        <v>0</v>
      </c>
      <c r="S168" s="4157">
        <f t="shared" si="306"/>
        <v>0</v>
      </c>
      <c r="T168" s="4219">
        <f t="shared" si="306"/>
        <v>271.18499999999995</v>
      </c>
      <c r="U168" s="4219">
        <f t="shared" si="306"/>
        <v>0</v>
      </c>
      <c r="V168" s="4219">
        <f t="shared" si="306"/>
        <v>-271.18499999999995</v>
      </c>
      <c r="W168" s="4157">
        <f t="shared" si="306"/>
        <v>90.394999999999982</v>
      </c>
      <c r="X168" s="4157">
        <f t="shared" si="306"/>
        <v>0</v>
      </c>
      <c r="Y168" s="4157">
        <f t="shared" si="306"/>
        <v>0</v>
      </c>
      <c r="Z168" s="4157">
        <f t="shared" si="306"/>
        <v>0</v>
      </c>
      <c r="AA168" s="4157">
        <f t="shared" si="306"/>
        <v>0</v>
      </c>
      <c r="AB168" s="4219">
        <f t="shared" si="306"/>
        <v>361.57999999999993</v>
      </c>
      <c r="AC168" s="4219">
        <f t="shared" si="306"/>
        <v>0</v>
      </c>
      <c r="AD168" s="4219">
        <f t="shared" si="306"/>
        <v>-361.57999999999993</v>
      </c>
    </row>
    <row r="169" spans="1:30" ht="18.75" customHeight="1">
      <c r="A169" s="4145" t="s">
        <v>292</v>
      </c>
      <c r="B169" s="4165">
        <f t="shared" si="304"/>
        <v>90.394999999999982</v>
      </c>
      <c r="C169" s="4165">
        <f t="shared" si="304"/>
        <v>0</v>
      </c>
      <c r="D169" s="4165">
        <f t="shared" si="304"/>
        <v>0</v>
      </c>
      <c r="E169" s="4165">
        <f t="shared" si="304"/>
        <v>0</v>
      </c>
      <c r="F169" s="4165">
        <f t="shared" si="304"/>
        <v>0</v>
      </c>
      <c r="G169" s="4165">
        <f t="shared" si="304"/>
        <v>90.394999999999982</v>
      </c>
      <c r="H169" s="4165">
        <f t="shared" si="304"/>
        <v>0</v>
      </c>
      <c r="I169" s="4165">
        <f t="shared" si="304"/>
        <v>0</v>
      </c>
      <c r="J169" s="4165">
        <f t="shared" si="304"/>
        <v>0</v>
      </c>
      <c r="K169" s="4165">
        <f t="shared" si="304"/>
        <v>0</v>
      </c>
      <c r="L169" s="4221">
        <f t="shared" si="304"/>
        <v>180.78999999999996</v>
      </c>
      <c r="M169" s="4221">
        <f t="shared" si="304"/>
        <v>0</v>
      </c>
      <c r="N169" s="4221">
        <f t="shared" si="304"/>
        <v>-180.78999999999996</v>
      </c>
      <c r="O169" s="4165">
        <f t="shared" si="304"/>
        <v>90.394999999999982</v>
      </c>
      <c r="P169" s="4165">
        <f t="shared" si="304"/>
        <v>0</v>
      </c>
      <c r="Q169" s="4165">
        <f t="shared" si="304"/>
        <v>0</v>
      </c>
      <c r="R169" s="4165">
        <f t="shared" si="306"/>
        <v>0</v>
      </c>
      <c r="S169" s="4165">
        <f t="shared" si="306"/>
        <v>0</v>
      </c>
      <c r="T169" s="4221">
        <f t="shared" si="306"/>
        <v>271.18499999999995</v>
      </c>
      <c r="U169" s="4221">
        <f t="shared" si="306"/>
        <v>0</v>
      </c>
      <c r="V169" s="4221">
        <f t="shared" si="306"/>
        <v>-271.18499999999995</v>
      </c>
      <c r="W169" s="4165">
        <f t="shared" si="306"/>
        <v>90.394999999999982</v>
      </c>
      <c r="X169" s="4165">
        <f t="shared" si="306"/>
        <v>0</v>
      </c>
      <c r="Y169" s="4165">
        <f t="shared" si="306"/>
        <v>0</v>
      </c>
      <c r="Z169" s="4165">
        <f t="shared" si="306"/>
        <v>0</v>
      </c>
      <c r="AA169" s="4165">
        <f t="shared" si="306"/>
        <v>0</v>
      </c>
      <c r="AB169" s="4221">
        <f t="shared" si="306"/>
        <v>361.57999999999993</v>
      </c>
      <c r="AC169" s="4221">
        <f t="shared" si="306"/>
        <v>0</v>
      </c>
      <c r="AD169" s="4221">
        <f t="shared" si="306"/>
        <v>-361.57999999999993</v>
      </c>
    </row>
    <row r="170" spans="1:30" ht="18.75" customHeight="1">
      <c r="A170" s="4143" t="s">
        <v>1751</v>
      </c>
      <c r="B170" s="4205">
        <f t="shared" si="304"/>
        <v>66.349999999999994</v>
      </c>
      <c r="C170" s="4205">
        <f t="shared" si="304"/>
        <v>0</v>
      </c>
      <c r="D170" s="4205">
        <f t="shared" si="304"/>
        <v>0</v>
      </c>
      <c r="E170" s="4205">
        <f t="shared" si="304"/>
        <v>0</v>
      </c>
      <c r="F170" s="4205">
        <f t="shared" si="304"/>
        <v>0</v>
      </c>
      <c r="G170" s="4205">
        <f t="shared" si="304"/>
        <v>66.349999999999994</v>
      </c>
      <c r="H170" s="4205">
        <f t="shared" si="304"/>
        <v>0</v>
      </c>
      <c r="I170" s="4205">
        <f t="shared" si="304"/>
        <v>0</v>
      </c>
      <c r="J170" s="4205">
        <f t="shared" si="304"/>
        <v>0</v>
      </c>
      <c r="K170" s="4205">
        <f t="shared" si="304"/>
        <v>0</v>
      </c>
      <c r="L170" s="4222">
        <f t="shared" si="304"/>
        <v>132.69999999999999</v>
      </c>
      <c r="M170" s="4222">
        <f t="shared" si="304"/>
        <v>0</v>
      </c>
      <c r="N170" s="4222">
        <f t="shared" si="304"/>
        <v>-132.69999999999999</v>
      </c>
      <c r="O170" s="4205">
        <f t="shared" si="304"/>
        <v>66.349999999999994</v>
      </c>
      <c r="P170" s="4205">
        <f t="shared" si="304"/>
        <v>0</v>
      </c>
      <c r="Q170" s="4205">
        <f t="shared" si="304"/>
        <v>0</v>
      </c>
      <c r="R170" s="4205">
        <f t="shared" si="306"/>
        <v>0</v>
      </c>
      <c r="S170" s="4205">
        <f t="shared" si="306"/>
        <v>0</v>
      </c>
      <c r="T170" s="4222">
        <f t="shared" si="306"/>
        <v>199.04999999999998</v>
      </c>
      <c r="U170" s="4222">
        <f t="shared" si="306"/>
        <v>0</v>
      </c>
      <c r="V170" s="4222">
        <f t="shared" si="306"/>
        <v>-199.04999999999998</v>
      </c>
      <c r="W170" s="4205">
        <f t="shared" si="306"/>
        <v>66.349999999999994</v>
      </c>
      <c r="X170" s="4205">
        <f t="shared" si="306"/>
        <v>0</v>
      </c>
      <c r="Y170" s="4205">
        <f t="shared" si="306"/>
        <v>0</v>
      </c>
      <c r="Z170" s="4205">
        <f t="shared" si="306"/>
        <v>0</v>
      </c>
      <c r="AA170" s="4205">
        <f t="shared" si="306"/>
        <v>0</v>
      </c>
      <c r="AB170" s="4222">
        <f t="shared" si="306"/>
        <v>265.39999999999998</v>
      </c>
      <c r="AC170" s="4222">
        <f t="shared" si="306"/>
        <v>0</v>
      </c>
      <c r="AD170" s="4222">
        <f t="shared" si="306"/>
        <v>-265.39999999999998</v>
      </c>
    </row>
    <row r="171" spans="1:30" ht="18.75" customHeight="1">
      <c r="A171" s="4197" t="s">
        <v>12</v>
      </c>
      <c r="B171" s="4172">
        <f>SUM(B144+B145+B146+B147+B148+B149+B150+B152+B157+B161+B168+B170)</f>
        <v>21063.478607186618</v>
      </c>
      <c r="C171" s="4172">
        <f t="shared" ref="C171:AD171" si="307">SUM(C144+C145+C146+C147+C148+C149+C150+C152+C157+C161+C168+C170)</f>
        <v>6607.81</v>
      </c>
      <c r="D171" s="4172">
        <f t="shared" si="307"/>
        <v>5728.56</v>
      </c>
      <c r="E171" s="4172">
        <f t="shared" si="307"/>
        <v>6804.6799999999994</v>
      </c>
      <c r="F171" s="4172">
        <f t="shared" si="307"/>
        <v>19141.05</v>
      </c>
      <c r="G171" s="4172">
        <f t="shared" si="307"/>
        <v>20885.622089505305</v>
      </c>
      <c r="H171" s="4172">
        <f t="shared" si="307"/>
        <v>6865.4800000000005</v>
      </c>
      <c r="I171" s="4172">
        <f t="shared" si="307"/>
        <v>6579.3200000000006</v>
      </c>
      <c r="J171" s="4172">
        <f t="shared" si="307"/>
        <v>6776.66</v>
      </c>
      <c r="K171" s="4172">
        <f t="shared" si="307"/>
        <v>20221.460000000003</v>
      </c>
      <c r="L171" s="4223">
        <f t="shared" si="307"/>
        <v>41949.100696691923</v>
      </c>
      <c r="M171" s="4223">
        <f t="shared" si="307"/>
        <v>39362.509999999995</v>
      </c>
      <c r="N171" s="4223">
        <f t="shared" si="307"/>
        <v>-2586.5906966919292</v>
      </c>
      <c r="O171" s="4172">
        <f t="shared" si="307"/>
        <v>21895.304605377245</v>
      </c>
      <c r="P171" s="4172">
        <f t="shared" si="307"/>
        <v>6301.0000000000009</v>
      </c>
      <c r="Q171" s="4172">
        <f t="shared" si="307"/>
        <v>7179.9299999999994</v>
      </c>
      <c r="R171" s="4172">
        <f t="shared" si="307"/>
        <v>6585.5</v>
      </c>
      <c r="S171" s="4172">
        <f t="shared" si="307"/>
        <v>20066.43</v>
      </c>
      <c r="T171" s="4223">
        <f t="shared" si="307"/>
        <v>63844.405302069179</v>
      </c>
      <c r="U171" s="4223">
        <f t="shared" si="307"/>
        <v>59428.94</v>
      </c>
      <c r="V171" s="4223">
        <f t="shared" si="307"/>
        <v>-4415.4653020691758</v>
      </c>
      <c r="W171" s="4172">
        <f t="shared" si="307"/>
        <v>22128.796916065188</v>
      </c>
      <c r="X171" s="4172">
        <f t="shared" si="307"/>
        <v>0</v>
      </c>
      <c r="Y171" s="4172">
        <f t="shared" si="307"/>
        <v>0</v>
      </c>
      <c r="Z171" s="4172">
        <f t="shared" si="307"/>
        <v>0</v>
      </c>
      <c r="AA171" s="4172">
        <f t="shared" si="307"/>
        <v>0</v>
      </c>
      <c r="AB171" s="4223">
        <f t="shared" si="307"/>
        <v>85973.202218134364</v>
      </c>
      <c r="AC171" s="4223">
        <f t="shared" si="307"/>
        <v>59428.94</v>
      </c>
      <c r="AD171" s="4223">
        <f t="shared" si="307"/>
        <v>-26544.262218134369</v>
      </c>
    </row>
    <row r="172" spans="1:30" ht="18.75" customHeight="1">
      <c r="A172" s="4197" t="s">
        <v>13</v>
      </c>
      <c r="B172" s="4172">
        <f>SUM(B137)</f>
        <v>842.11205000000007</v>
      </c>
      <c r="C172" s="4169">
        <f t="shared" ref="C172:AD172" si="308">SUM(C137)</f>
        <v>257.02000000000004</v>
      </c>
      <c r="D172" s="4169">
        <f t="shared" si="308"/>
        <v>271.67999999999995</v>
      </c>
      <c r="E172" s="4169">
        <f t="shared" si="308"/>
        <v>261.83000000000004</v>
      </c>
      <c r="F172" s="4169">
        <f t="shared" si="308"/>
        <v>790.53000000000009</v>
      </c>
      <c r="G172" s="4169">
        <f t="shared" si="308"/>
        <v>813.07892499999991</v>
      </c>
      <c r="H172" s="4169">
        <f t="shared" si="308"/>
        <v>285.02999999999997</v>
      </c>
      <c r="I172" s="4169">
        <f t="shared" si="308"/>
        <v>266.5</v>
      </c>
      <c r="J172" s="4169">
        <f t="shared" si="308"/>
        <v>259.78999999999996</v>
      </c>
      <c r="K172" s="4169">
        <f t="shared" si="308"/>
        <v>811.31999999999994</v>
      </c>
      <c r="L172" s="4170">
        <f t="shared" si="308"/>
        <v>1655.190975</v>
      </c>
      <c r="M172" s="4170">
        <f t="shared" si="308"/>
        <v>1601.85</v>
      </c>
      <c r="N172" s="4170">
        <f t="shared" si="308"/>
        <v>-53.340975000000071</v>
      </c>
      <c r="O172" s="4169">
        <f t="shared" si="308"/>
        <v>795.60422499999993</v>
      </c>
      <c r="P172" s="4169">
        <f t="shared" si="308"/>
        <v>232.16</v>
      </c>
      <c r="Q172" s="4169">
        <f t="shared" si="308"/>
        <v>244.42</v>
      </c>
      <c r="R172" s="4169">
        <f t="shared" si="308"/>
        <v>260.64999999999998</v>
      </c>
      <c r="S172" s="4169">
        <f t="shared" si="308"/>
        <v>737.23</v>
      </c>
      <c r="T172" s="4170">
        <f t="shared" si="308"/>
        <v>2450.7952</v>
      </c>
      <c r="U172" s="4170">
        <f t="shared" si="308"/>
        <v>2339.08</v>
      </c>
      <c r="V172" s="4170">
        <f t="shared" si="308"/>
        <v>-111.7152000000001</v>
      </c>
      <c r="W172" s="4169">
        <f t="shared" si="308"/>
        <v>844.95480000000009</v>
      </c>
      <c r="X172" s="4169">
        <f t="shared" si="308"/>
        <v>0</v>
      </c>
      <c r="Y172" s="4169">
        <f t="shared" si="308"/>
        <v>0</v>
      </c>
      <c r="Z172" s="4169">
        <f t="shared" si="308"/>
        <v>0</v>
      </c>
      <c r="AA172" s="4169">
        <f t="shared" si="308"/>
        <v>0</v>
      </c>
      <c r="AB172" s="4170">
        <f t="shared" si="308"/>
        <v>3295.75</v>
      </c>
      <c r="AC172" s="4170">
        <f t="shared" si="308"/>
        <v>2339.08</v>
      </c>
      <c r="AD172" s="4170">
        <f t="shared" si="308"/>
        <v>-956.67000000000007</v>
      </c>
    </row>
    <row r="173" spans="1:30" ht="18.75" customHeight="1">
      <c r="A173" s="4197" t="s">
        <v>14</v>
      </c>
      <c r="B173" s="4172">
        <f>SUM(B171/B172)</f>
        <v>25.0126792594722</v>
      </c>
      <c r="C173" s="4169">
        <f t="shared" ref="C173:AD173" si="309">SUM(C171/C172)</f>
        <v>25.709322231732937</v>
      </c>
      <c r="D173" s="4169">
        <f t="shared" si="309"/>
        <v>21.085689045936402</v>
      </c>
      <c r="E173" s="4169">
        <f t="shared" si="309"/>
        <v>25.988924111064424</v>
      </c>
      <c r="F173" s="4169">
        <f t="shared" si="309"/>
        <v>24.212933095518192</v>
      </c>
      <c r="G173" s="4169">
        <f t="shared" si="309"/>
        <v>25.687078397100635</v>
      </c>
      <c r="H173" s="4169">
        <f t="shared" si="309"/>
        <v>24.086868048977305</v>
      </c>
      <c r="I173" s="4169">
        <f t="shared" si="309"/>
        <v>24.687879924953098</v>
      </c>
      <c r="J173" s="4169">
        <f t="shared" si="309"/>
        <v>26.085145694599486</v>
      </c>
      <c r="K173" s="4169">
        <f t="shared" si="309"/>
        <v>24.924148301533307</v>
      </c>
      <c r="L173" s="4170">
        <f t="shared" si="309"/>
        <v>25.343964128786965</v>
      </c>
      <c r="M173" s="4170">
        <f t="shared" si="309"/>
        <v>24.57315603833068</v>
      </c>
      <c r="N173" s="4170">
        <f t="shared" si="309"/>
        <v>48.491627621953398</v>
      </c>
      <c r="O173" s="4169">
        <f t="shared" si="309"/>
        <v>27.520347325175713</v>
      </c>
      <c r="P173" s="4169">
        <f t="shared" si="309"/>
        <v>27.140764989662305</v>
      </c>
      <c r="Q173" s="4169">
        <f t="shared" si="309"/>
        <v>29.375378446935603</v>
      </c>
      <c r="R173" s="4169">
        <f t="shared" si="309"/>
        <v>25.265681948973722</v>
      </c>
      <c r="S173" s="4169">
        <f t="shared" si="309"/>
        <v>27.218683450212282</v>
      </c>
      <c r="T173" s="4170">
        <f t="shared" si="309"/>
        <v>26.050485696262658</v>
      </c>
      <c r="U173" s="4170">
        <f t="shared" si="309"/>
        <v>25.406971971886385</v>
      </c>
      <c r="V173" s="4170">
        <f t="shared" si="309"/>
        <v>39.52430199354405</v>
      </c>
      <c r="W173" s="4169">
        <f t="shared" si="309"/>
        <v>26.189326240960092</v>
      </c>
      <c r="X173" s="4169" t="e">
        <f t="shared" si="309"/>
        <v>#DIV/0!</v>
      </c>
      <c r="Y173" s="4169" t="e">
        <f t="shared" si="309"/>
        <v>#DIV/0!</v>
      </c>
      <c r="Z173" s="4169" t="e">
        <f t="shared" si="309"/>
        <v>#DIV/0!</v>
      </c>
      <c r="AA173" s="4169" t="e">
        <f t="shared" si="309"/>
        <v>#DIV/0!</v>
      </c>
      <c r="AB173" s="4170">
        <f t="shared" si="309"/>
        <v>26.086081231323483</v>
      </c>
      <c r="AC173" s="4170">
        <f t="shared" si="309"/>
        <v>25.406971971886385</v>
      </c>
      <c r="AD173" s="4170">
        <f t="shared" si="309"/>
        <v>27.746518881259334</v>
      </c>
    </row>
    <row r="174" spans="1:30" ht="18.75" customHeight="1">
      <c r="A174" s="4139" t="s">
        <v>1912</v>
      </c>
      <c r="B174" s="4172">
        <f>SUM(B175:B176)</f>
        <v>0</v>
      </c>
      <c r="C174" s="4169">
        <f t="shared" ref="C174:AD174" si="310">SUM(C175:C176)</f>
        <v>0</v>
      </c>
      <c r="D174" s="4169">
        <f t="shared" si="310"/>
        <v>0</v>
      </c>
      <c r="E174" s="4169">
        <f t="shared" si="310"/>
        <v>0</v>
      </c>
      <c r="F174" s="4169">
        <f t="shared" si="310"/>
        <v>0</v>
      </c>
      <c r="G174" s="4169">
        <f t="shared" si="310"/>
        <v>0</v>
      </c>
      <c r="H174" s="4169">
        <f t="shared" si="310"/>
        <v>0</v>
      </c>
      <c r="I174" s="4169">
        <f t="shared" si="310"/>
        <v>0</v>
      </c>
      <c r="J174" s="4169">
        <f t="shared" si="310"/>
        <v>0</v>
      </c>
      <c r="K174" s="4169">
        <f t="shared" si="310"/>
        <v>0</v>
      </c>
      <c r="L174" s="4170">
        <f t="shared" si="310"/>
        <v>0</v>
      </c>
      <c r="M174" s="4170">
        <f t="shared" si="310"/>
        <v>0</v>
      </c>
      <c r="N174" s="4170">
        <f t="shared" si="310"/>
        <v>0</v>
      </c>
      <c r="O174" s="4169">
        <f t="shared" si="310"/>
        <v>0</v>
      </c>
      <c r="P174" s="4169">
        <f t="shared" si="310"/>
        <v>0</v>
      </c>
      <c r="Q174" s="4169">
        <f t="shared" si="310"/>
        <v>0</v>
      </c>
      <c r="R174" s="4169">
        <f t="shared" si="310"/>
        <v>0</v>
      </c>
      <c r="S174" s="4169">
        <f t="shared" si="310"/>
        <v>0</v>
      </c>
      <c r="T174" s="4170">
        <f t="shared" si="310"/>
        <v>0</v>
      </c>
      <c r="U174" s="4170">
        <f t="shared" si="310"/>
        <v>0</v>
      </c>
      <c r="V174" s="4170">
        <f t="shared" si="310"/>
        <v>0</v>
      </c>
      <c r="W174" s="4169">
        <f t="shared" si="310"/>
        <v>0</v>
      </c>
      <c r="X174" s="4169">
        <f t="shared" si="310"/>
        <v>0</v>
      </c>
      <c r="Y174" s="4169">
        <f t="shared" si="310"/>
        <v>0</v>
      </c>
      <c r="Z174" s="4169">
        <f t="shared" si="310"/>
        <v>0</v>
      </c>
      <c r="AA174" s="4169">
        <f t="shared" si="310"/>
        <v>0</v>
      </c>
      <c r="AB174" s="4170">
        <f t="shared" si="310"/>
        <v>0</v>
      </c>
      <c r="AC174" s="4170">
        <f t="shared" si="310"/>
        <v>0</v>
      </c>
      <c r="AD174" s="4170">
        <f t="shared" si="310"/>
        <v>0</v>
      </c>
    </row>
    <row r="175" spans="1:30" ht="18.75" customHeight="1">
      <c r="A175" s="4145" t="s">
        <v>1885</v>
      </c>
      <c r="B175" s="4205">
        <f>SUM(B124)</f>
        <v>0</v>
      </c>
      <c r="C175" s="4157">
        <f t="shared" ref="C175:AD177" si="311">SUM(C124)</f>
        <v>0</v>
      </c>
      <c r="D175" s="4157">
        <f t="shared" si="311"/>
        <v>0</v>
      </c>
      <c r="E175" s="4157">
        <f t="shared" si="311"/>
        <v>0</v>
      </c>
      <c r="F175" s="4157">
        <f t="shared" si="311"/>
        <v>0</v>
      </c>
      <c r="G175" s="4157">
        <f t="shared" si="311"/>
        <v>0</v>
      </c>
      <c r="H175" s="4157">
        <f t="shared" si="311"/>
        <v>0</v>
      </c>
      <c r="I175" s="4157">
        <f t="shared" si="311"/>
        <v>0</v>
      </c>
      <c r="J175" s="4157">
        <f t="shared" si="311"/>
        <v>0</v>
      </c>
      <c r="K175" s="4157">
        <f t="shared" si="311"/>
        <v>0</v>
      </c>
      <c r="L175" s="4219">
        <f t="shared" si="311"/>
        <v>0</v>
      </c>
      <c r="M175" s="4219">
        <f t="shared" si="311"/>
        <v>0</v>
      </c>
      <c r="N175" s="4219">
        <f t="shared" si="311"/>
        <v>0</v>
      </c>
      <c r="O175" s="4157">
        <f t="shared" si="311"/>
        <v>0</v>
      </c>
      <c r="P175" s="4157">
        <f t="shared" si="311"/>
        <v>0</v>
      </c>
      <c r="Q175" s="4157">
        <f t="shared" si="311"/>
        <v>0</v>
      </c>
      <c r="R175" s="4157">
        <f t="shared" si="311"/>
        <v>0</v>
      </c>
      <c r="S175" s="4157">
        <f t="shared" si="311"/>
        <v>0</v>
      </c>
      <c r="T175" s="4219">
        <f t="shared" si="311"/>
        <v>0</v>
      </c>
      <c r="U175" s="4219">
        <f t="shared" si="311"/>
        <v>0</v>
      </c>
      <c r="V175" s="4219">
        <f t="shared" si="311"/>
        <v>0</v>
      </c>
      <c r="W175" s="4157">
        <f t="shared" si="311"/>
        <v>0</v>
      </c>
      <c r="X175" s="4157">
        <f t="shared" si="311"/>
        <v>0</v>
      </c>
      <c r="Y175" s="4157">
        <f t="shared" si="311"/>
        <v>0</v>
      </c>
      <c r="Z175" s="4157">
        <f t="shared" si="311"/>
        <v>0</v>
      </c>
      <c r="AA175" s="4157">
        <f t="shared" si="311"/>
        <v>0</v>
      </c>
      <c r="AB175" s="4219">
        <f t="shared" si="311"/>
        <v>0</v>
      </c>
      <c r="AC175" s="4219">
        <f t="shared" si="311"/>
        <v>0</v>
      </c>
      <c r="AD175" s="4219">
        <f t="shared" si="311"/>
        <v>0</v>
      </c>
    </row>
    <row r="176" spans="1:30" ht="18.75" customHeight="1">
      <c r="A176" s="4145" t="s">
        <v>300</v>
      </c>
      <c r="B176" s="4205">
        <f t="shared" ref="B176:F177" si="312">SUM(B125)</f>
        <v>0</v>
      </c>
      <c r="C176" s="4157">
        <f t="shared" si="312"/>
        <v>0</v>
      </c>
      <c r="D176" s="4157">
        <f t="shared" si="312"/>
        <v>0</v>
      </c>
      <c r="E176" s="4157">
        <f t="shared" si="312"/>
        <v>0</v>
      </c>
      <c r="F176" s="4157">
        <f t="shared" si="312"/>
        <v>0</v>
      </c>
      <c r="G176" s="4157">
        <f t="shared" si="311"/>
        <v>0</v>
      </c>
      <c r="H176" s="4157">
        <f t="shared" si="311"/>
        <v>0</v>
      </c>
      <c r="I176" s="4157">
        <f t="shared" si="311"/>
        <v>0</v>
      </c>
      <c r="J176" s="4157">
        <f t="shared" si="311"/>
        <v>0</v>
      </c>
      <c r="K176" s="4157">
        <f t="shared" si="311"/>
        <v>0</v>
      </c>
      <c r="L176" s="4219">
        <f t="shared" si="311"/>
        <v>0</v>
      </c>
      <c r="M176" s="4219">
        <f t="shared" si="311"/>
        <v>0</v>
      </c>
      <c r="N176" s="4219">
        <f t="shared" si="311"/>
        <v>0</v>
      </c>
      <c r="O176" s="4157">
        <f t="shared" si="311"/>
        <v>0</v>
      </c>
      <c r="P176" s="4157">
        <f t="shared" si="311"/>
        <v>0</v>
      </c>
      <c r="Q176" s="4157">
        <f t="shared" si="311"/>
        <v>0</v>
      </c>
      <c r="R176" s="4157">
        <f t="shared" si="311"/>
        <v>0</v>
      </c>
      <c r="S176" s="4157">
        <f t="shared" si="311"/>
        <v>0</v>
      </c>
      <c r="T176" s="4219">
        <f t="shared" si="311"/>
        <v>0</v>
      </c>
      <c r="U176" s="4219">
        <f t="shared" si="311"/>
        <v>0</v>
      </c>
      <c r="V176" s="4219">
        <f t="shared" si="311"/>
        <v>0</v>
      </c>
      <c r="W176" s="4157">
        <f t="shared" si="311"/>
        <v>0</v>
      </c>
      <c r="X176" s="4157">
        <f t="shared" si="311"/>
        <v>0</v>
      </c>
      <c r="Y176" s="4157">
        <f t="shared" si="311"/>
        <v>0</v>
      </c>
      <c r="Z176" s="4157">
        <f t="shared" si="311"/>
        <v>0</v>
      </c>
      <c r="AA176" s="4157">
        <f t="shared" si="311"/>
        <v>0</v>
      </c>
      <c r="AB176" s="4219">
        <f t="shared" si="311"/>
        <v>0</v>
      </c>
      <c r="AC176" s="4219">
        <f t="shared" si="311"/>
        <v>0</v>
      </c>
      <c r="AD176" s="4219">
        <f t="shared" si="311"/>
        <v>0</v>
      </c>
    </row>
    <row r="177" spans="1:34" ht="18.75" customHeight="1">
      <c r="A177" s="4139" t="s">
        <v>1886</v>
      </c>
      <c r="B177" s="4172">
        <f t="shared" si="312"/>
        <v>21063.478607186618</v>
      </c>
      <c r="C177" s="4169">
        <f t="shared" si="311"/>
        <v>6607.8099999999995</v>
      </c>
      <c r="D177" s="4169">
        <f t="shared" si="311"/>
        <v>5728.56</v>
      </c>
      <c r="E177" s="4169">
        <f t="shared" si="311"/>
        <v>6804.6799999999994</v>
      </c>
      <c r="F177" s="4169">
        <f t="shared" si="311"/>
        <v>19141.05</v>
      </c>
      <c r="G177" s="4169">
        <f t="shared" si="311"/>
        <v>20885.622089505305</v>
      </c>
      <c r="H177" s="4169">
        <f t="shared" si="311"/>
        <v>6865.48</v>
      </c>
      <c r="I177" s="4169">
        <f t="shared" si="311"/>
        <v>6579.3200000000006</v>
      </c>
      <c r="J177" s="4169">
        <f t="shared" si="311"/>
        <v>6776.66</v>
      </c>
      <c r="K177" s="4169">
        <f t="shared" si="311"/>
        <v>20221.46</v>
      </c>
      <c r="L177" s="4170">
        <f t="shared" si="311"/>
        <v>41949.100696691923</v>
      </c>
      <c r="M177" s="4170">
        <f t="shared" si="311"/>
        <v>39362.509999999995</v>
      </c>
      <c r="N177" s="4170">
        <f t="shared" si="311"/>
        <v>-2586.5906966919283</v>
      </c>
      <c r="O177" s="4169">
        <f t="shared" si="311"/>
        <v>21895.304605377245</v>
      </c>
      <c r="P177" s="4169">
        <f t="shared" si="311"/>
        <v>6301.0000000000009</v>
      </c>
      <c r="Q177" s="4169">
        <f t="shared" si="311"/>
        <v>7179.9299999999994</v>
      </c>
      <c r="R177" s="4169">
        <f t="shared" si="311"/>
        <v>6585.5</v>
      </c>
      <c r="S177" s="4169">
        <f t="shared" si="311"/>
        <v>20066.43</v>
      </c>
      <c r="T177" s="4170">
        <f t="shared" si="311"/>
        <v>63844.405302069164</v>
      </c>
      <c r="U177" s="4170">
        <f t="shared" si="311"/>
        <v>59428.939999999995</v>
      </c>
      <c r="V177" s="4170">
        <f t="shared" si="311"/>
        <v>-4415.4653020691694</v>
      </c>
      <c r="W177" s="4169">
        <f t="shared" si="311"/>
        <v>22128.796916065188</v>
      </c>
      <c r="X177" s="4169">
        <f t="shared" si="311"/>
        <v>0</v>
      </c>
      <c r="Y177" s="4169">
        <f t="shared" si="311"/>
        <v>0</v>
      </c>
      <c r="Z177" s="4169">
        <f t="shared" si="311"/>
        <v>0</v>
      </c>
      <c r="AA177" s="4169">
        <f t="shared" si="311"/>
        <v>0</v>
      </c>
      <c r="AB177" s="4170">
        <f t="shared" si="311"/>
        <v>85973.212218134344</v>
      </c>
      <c r="AC177" s="4170">
        <f t="shared" si="311"/>
        <v>59428.939999999995</v>
      </c>
      <c r="AD177" s="4170">
        <f t="shared" si="311"/>
        <v>-26544.272218134349</v>
      </c>
    </row>
    <row r="178" spans="1:34" ht="18.75" customHeight="1"/>
    <row r="179" spans="1:34" ht="18.75" customHeight="1">
      <c r="A179" s="4216" t="s">
        <v>1913</v>
      </c>
    </row>
    <row r="180" spans="1:34" ht="18.75" customHeight="1">
      <c r="A180" s="4216" t="s">
        <v>1914</v>
      </c>
    </row>
    <row r="181" spans="1:34" ht="18.75" customHeight="1"/>
    <row r="182" spans="1:34" ht="18.75" customHeight="1">
      <c r="A182" s="4134" t="s">
        <v>1922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8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8.75" customHeight="1">
      <c r="A184" s="4304" t="s">
        <v>546</v>
      </c>
      <c r="B184" s="4305" t="s">
        <v>1869</v>
      </c>
      <c r="C184" s="4335"/>
      <c r="D184" s="4335"/>
      <c r="E184" s="4335"/>
      <c r="F184" s="4335"/>
      <c r="G184" s="4331" t="s">
        <v>1870</v>
      </c>
      <c r="H184" s="4332"/>
      <c r="I184" s="4332"/>
      <c r="J184" s="4332"/>
      <c r="K184" s="4332"/>
      <c r="L184" s="4333" t="s">
        <v>1871</v>
      </c>
      <c r="M184" s="4334"/>
      <c r="N184" s="4334"/>
      <c r="O184" s="4331" t="s">
        <v>1872</v>
      </c>
      <c r="P184" s="4332"/>
      <c r="Q184" s="4332"/>
      <c r="R184" s="4332"/>
      <c r="S184" s="4332"/>
      <c r="T184" s="4333" t="s">
        <v>1873</v>
      </c>
      <c r="U184" s="4334"/>
      <c r="V184" s="4334"/>
      <c r="W184" s="4331" t="s">
        <v>1874</v>
      </c>
      <c r="X184" s="4332"/>
      <c r="Y184" s="4332"/>
      <c r="Z184" s="4332"/>
      <c r="AA184" s="4332"/>
      <c r="AB184" s="4333" t="s">
        <v>887</v>
      </c>
      <c r="AC184" s="4334"/>
      <c r="AD184" s="4334"/>
      <c r="AE184" s="5"/>
      <c r="AF184" s="5"/>
      <c r="AG184" s="5"/>
      <c r="AH184" s="5"/>
    </row>
    <row r="185" spans="1:34" ht="25.5" customHeight="1">
      <c r="A185" s="4304"/>
      <c r="B185" s="4180" t="s">
        <v>1875</v>
      </c>
      <c r="C185" s="4180" t="s">
        <v>587</v>
      </c>
      <c r="D185" s="4180" t="s">
        <v>588</v>
      </c>
      <c r="E185" s="4181" t="s">
        <v>589</v>
      </c>
      <c r="F185" s="4181" t="s">
        <v>1876</v>
      </c>
      <c r="G185" s="4182" t="s">
        <v>1875</v>
      </c>
      <c r="H185" s="4182" t="s">
        <v>1563</v>
      </c>
      <c r="I185" s="4182" t="s">
        <v>591</v>
      </c>
      <c r="J185" s="4183" t="s">
        <v>592</v>
      </c>
      <c r="K185" s="4183" t="s">
        <v>1876</v>
      </c>
      <c r="L185" s="4184" t="s">
        <v>1875</v>
      </c>
      <c r="M185" s="4184" t="s">
        <v>1876</v>
      </c>
      <c r="N185" s="4184" t="s">
        <v>1877</v>
      </c>
      <c r="O185" s="4182" t="s">
        <v>1875</v>
      </c>
      <c r="P185" s="4182" t="s">
        <v>593</v>
      </c>
      <c r="Q185" s="4182" t="s">
        <v>594</v>
      </c>
      <c r="R185" s="4183" t="s">
        <v>595</v>
      </c>
      <c r="S185" s="4183" t="s">
        <v>1876</v>
      </c>
      <c r="T185" s="4184" t="s">
        <v>1875</v>
      </c>
      <c r="U185" s="4184" t="s">
        <v>1876</v>
      </c>
      <c r="V185" s="4184" t="s">
        <v>1877</v>
      </c>
      <c r="W185" s="4182" t="s">
        <v>1875</v>
      </c>
      <c r="X185" s="4182" t="s">
        <v>596</v>
      </c>
      <c r="Y185" s="4182" t="s">
        <v>597</v>
      </c>
      <c r="Z185" s="4183" t="s">
        <v>598</v>
      </c>
      <c r="AA185" s="4183" t="s">
        <v>1876</v>
      </c>
      <c r="AB185" s="4184" t="s">
        <v>1875</v>
      </c>
      <c r="AC185" s="4184" t="s">
        <v>1876</v>
      </c>
      <c r="AD185" s="4184" t="s">
        <v>1877</v>
      </c>
      <c r="AE185" s="5"/>
      <c r="AF185" s="5"/>
      <c r="AG185" s="5"/>
      <c r="AH185" s="5"/>
    </row>
    <row r="186" spans="1:34" ht="18.75" customHeight="1">
      <c r="A186" s="4208" t="s">
        <v>72</v>
      </c>
      <c r="B186" s="4224">
        <f t="shared" ref="B186:K186" si="313">SUM(B24+B44+B76+B96)</f>
        <v>1305.0234559053677</v>
      </c>
      <c r="C186" s="4224">
        <f t="shared" si="313"/>
        <v>527.91999999999996</v>
      </c>
      <c r="D186" s="4224">
        <f t="shared" si="313"/>
        <v>402.18</v>
      </c>
      <c r="E186" s="4224">
        <f t="shared" si="313"/>
        <v>361.42999999999995</v>
      </c>
      <c r="F186" s="4224">
        <f t="shared" si="313"/>
        <v>1291.53</v>
      </c>
      <c r="G186" s="4224">
        <f t="shared" si="313"/>
        <v>1305.0234559053677</v>
      </c>
      <c r="H186" s="4224">
        <f t="shared" si="313"/>
        <v>468.34</v>
      </c>
      <c r="I186" s="4224">
        <f t="shared" si="313"/>
        <v>311.79999999999995</v>
      </c>
      <c r="J186" s="4224">
        <f t="shared" si="313"/>
        <v>452.14</v>
      </c>
      <c r="K186" s="4224">
        <f t="shared" si="313"/>
        <v>1232.2799999999997</v>
      </c>
      <c r="L186" s="4202">
        <f t="shared" ref="L186:L216" si="314">SUM(G186+B186)</f>
        <v>2610.0469118107353</v>
      </c>
      <c r="M186" s="4202">
        <f t="shared" ref="M186:M216" si="315">SUM(K186+F186)</f>
        <v>2523.8099999999995</v>
      </c>
      <c r="N186" s="4202">
        <f t="shared" ref="N186:N216" si="316">SUM(M186-L186)</f>
        <v>-86.236911810735819</v>
      </c>
      <c r="O186" s="4224">
        <f t="shared" ref="O186:S188" si="317">SUM(O24+O44+O76+O96)</f>
        <v>1383.7163702964615</v>
      </c>
      <c r="P186" s="4224">
        <f t="shared" si="317"/>
        <v>317.58000000000004</v>
      </c>
      <c r="Q186" s="4224">
        <f t="shared" si="317"/>
        <v>472.88</v>
      </c>
      <c r="R186" s="4224">
        <f t="shared" si="317"/>
        <v>446.46000000000004</v>
      </c>
      <c r="S186" s="4224">
        <f t="shared" si="317"/>
        <v>1236.92</v>
      </c>
      <c r="T186" s="4202">
        <f t="shared" ref="T186:T216" si="318">SUM(L186+O186)</f>
        <v>3993.7632821071966</v>
      </c>
      <c r="U186" s="4202">
        <f t="shared" ref="U186:U216" si="319">SUM(M186+S186)</f>
        <v>3760.7299999999996</v>
      </c>
      <c r="V186" s="4202">
        <f t="shared" ref="V186:V216" si="320">SUM(U186-T186)</f>
        <v>-233.03328210719701</v>
      </c>
      <c r="W186" s="4224">
        <f t="shared" ref="W186:AA188" si="321">SUM(W24+W44+W76+W96)</f>
        <v>1383.7163702964615</v>
      </c>
      <c r="X186" s="4224">
        <f t="shared" si="321"/>
        <v>0</v>
      </c>
      <c r="Y186" s="4224">
        <f t="shared" si="321"/>
        <v>0</v>
      </c>
      <c r="Z186" s="4224">
        <f t="shared" si="321"/>
        <v>0</v>
      </c>
      <c r="AA186" s="4224">
        <f t="shared" si="321"/>
        <v>0</v>
      </c>
      <c r="AB186" s="4202">
        <f t="shared" ref="AB186:AB216" si="322">SUM(W186+T186)</f>
        <v>5377.4796524036583</v>
      </c>
      <c r="AC186" s="4202">
        <f t="shared" ref="AC186:AC216" si="323">SUM(AA186+U186)</f>
        <v>3760.7299999999996</v>
      </c>
      <c r="AD186" s="4202">
        <f t="shared" ref="AD186:AD216" si="324">SUM(AC186-AB186)</f>
        <v>-1616.7496524036587</v>
      </c>
      <c r="AE186" s="435"/>
      <c r="AF186" s="435"/>
      <c r="AG186" s="435"/>
      <c r="AH186" s="5"/>
    </row>
    <row r="187" spans="1:34" ht="18.75" customHeight="1">
      <c r="A187" s="4208" t="s">
        <v>121</v>
      </c>
      <c r="B187" s="4224">
        <f t="shared" ref="B187:K188" si="325">SUM(B25+B45+B77+B97)</f>
        <v>391.5558797089937</v>
      </c>
      <c r="C187" s="4224">
        <f t="shared" si="325"/>
        <v>159.41</v>
      </c>
      <c r="D187" s="4224">
        <f t="shared" si="325"/>
        <v>121.42</v>
      </c>
      <c r="E187" s="4224">
        <f t="shared" si="325"/>
        <v>109.11000000000001</v>
      </c>
      <c r="F187" s="4224">
        <f t="shared" si="325"/>
        <v>389.94000000000005</v>
      </c>
      <c r="G187" s="4224">
        <f t="shared" si="325"/>
        <v>391.5558797089937</v>
      </c>
      <c r="H187" s="4224">
        <f t="shared" si="325"/>
        <v>140.01999999999998</v>
      </c>
      <c r="I187" s="4224">
        <f t="shared" si="325"/>
        <v>94.149999999999991</v>
      </c>
      <c r="J187" s="4224">
        <f t="shared" si="325"/>
        <v>136.51</v>
      </c>
      <c r="K187" s="4224">
        <f t="shared" si="325"/>
        <v>370.68</v>
      </c>
      <c r="L187" s="4202">
        <f t="shared" si="314"/>
        <v>783.1117594179874</v>
      </c>
      <c r="M187" s="4202">
        <f t="shared" si="315"/>
        <v>760.62000000000012</v>
      </c>
      <c r="N187" s="4202">
        <f t="shared" si="316"/>
        <v>-22.491759417987282</v>
      </c>
      <c r="O187" s="4224">
        <f t="shared" si="317"/>
        <v>415.16669925544602</v>
      </c>
      <c r="P187" s="4224">
        <f t="shared" si="317"/>
        <v>94.52</v>
      </c>
      <c r="Q187" s="4224">
        <f t="shared" si="317"/>
        <v>141.41999999999999</v>
      </c>
      <c r="R187" s="4224">
        <f t="shared" si="317"/>
        <v>134.79</v>
      </c>
      <c r="S187" s="4224">
        <f t="shared" si="317"/>
        <v>370.73</v>
      </c>
      <c r="T187" s="4202">
        <f t="shared" si="318"/>
        <v>1198.2784586734333</v>
      </c>
      <c r="U187" s="4202">
        <f t="shared" si="319"/>
        <v>1131.3500000000001</v>
      </c>
      <c r="V187" s="4202">
        <f t="shared" si="320"/>
        <v>-66.92845867343317</v>
      </c>
      <c r="W187" s="4224">
        <f t="shared" si="321"/>
        <v>415.16669925544602</v>
      </c>
      <c r="X187" s="4224">
        <f t="shared" si="321"/>
        <v>0</v>
      </c>
      <c r="Y187" s="4224">
        <f t="shared" si="321"/>
        <v>0</v>
      </c>
      <c r="Z187" s="4224">
        <f t="shared" si="321"/>
        <v>0</v>
      </c>
      <c r="AA187" s="4224">
        <f t="shared" si="321"/>
        <v>0</v>
      </c>
      <c r="AB187" s="4202">
        <f t="shared" si="322"/>
        <v>1613.4451579288793</v>
      </c>
      <c r="AC187" s="4202">
        <f t="shared" si="323"/>
        <v>1131.3500000000001</v>
      </c>
      <c r="AD187" s="4202">
        <f t="shared" si="324"/>
        <v>-482.09515792887919</v>
      </c>
      <c r="AE187" s="435"/>
      <c r="AF187" s="435"/>
      <c r="AG187" s="435"/>
      <c r="AH187" s="5"/>
    </row>
    <row r="188" spans="1:34" ht="18.75" customHeight="1">
      <c r="A188" s="4208" t="s">
        <v>52</v>
      </c>
      <c r="B188" s="4224">
        <f t="shared" si="325"/>
        <v>11.218024538454902</v>
      </c>
      <c r="C188" s="4224">
        <f t="shared" si="325"/>
        <v>3.67</v>
      </c>
      <c r="D188" s="4224">
        <f t="shared" si="325"/>
        <v>3.0200000000000005</v>
      </c>
      <c r="E188" s="4224">
        <f t="shared" si="325"/>
        <v>3.5500000000000003</v>
      </c>
      <c r="F188" s="4224">
        <f t="shared" si="325"/>
        <v>10.239999999999998</v>
      </c>
      <c r="G188" s="4224">
        <f t="shared" si="325"/>
        <v>11.218024538454902</v>
      </c>
      <c r="H188" s="4224">
        <f t="shared" si="325"/>
        <v>3.3999999999999995</v>
      </c>
      <c r="I188" s="4224">
        <f t="shared" si="325"/>
        <v>2.67</v>
      </c>
      <c r="J188" s="4224">
        <f t="shared" si="325"/>
        <v>3.8600000000000003</v>
      </c>
      <c r="K188" s="4224">
        <f t="shared" si="325"/>
        <v>9.93</v>
      </c>
      <c r="L188" s="4202">
        <f t="shared" si="314"/>
        <v>22.436049076909804</v>
      </c>
      <c r="M188" s="4202">
        <f t="shared" si="315"/>
        <v>20.169999999999998</v>
      </c>
      <c r="N188" s="4202">
        <f t="shared" si="316"/>
        <v>-2.2660490769098054</v>
      </c>
      <c r="O188" s="4224">
        <f t="shared" si="317"/>
        <v>11.218024538454902</v>
      </c>
      <c r="P188" s="4224">
        <f t="shared" si="317"/>
        <v>2.5300000000000002</v>
      </c>
      <c r="Q188" s="4224">
        <f t="shared" si="317"/>
        <v>4.04</v>
      </c>
      <c r="R188" s="4224">
        <f t="shared" si="317"/>
        <v>3.2700000000000005</v>
      </c>
      <c r="S188" s="4224">
        <f t="shared" si="317"/>
        <v>9.84</v>
      </c>
      <c r="T188" s="4202">
        <f t="shared" si="318"/>
        <v>33.654073615364709</v>
      </c>
      <c r="U188" s="4202">
        <f t="shared" si="319"/>
        <v>30.009999999999998</v>
      </c>
      <c r="V188" s="4202">
        <f t="shared" si="320"/>
        <v>-3.6440736153647109</v>
      </c>
      <c r="W188" s="4224">
        <f t="shared" si="321"/>
        <v>11.218024538454902</v>
      </c>
      <c r="X188" s="4224">
        <f t="shared" si="321"/>
        <v>0</v>
      </c>
      <c r="Y188" s="4224">
        <f t="shared" si="321"/>
        <v>0</v>
      </c>
      <c r="Z188" s="4224">
        <f t="shared" si="321"/>
        <v>0</v>
      </c>
      <c r="AA188" s="4224">
        <f t="shared" si="321"/>
        <v>0</v>
      </c>
      <c r="AB188" s="4202">
        <f t="shared" si="322"/>
        <v>44.872098153819607</v>
      </c>
      <c r="AC188" s="4202">
        <f t="shared" si="323"/>
        <v>30.009999999999998</v>
      </c>
      <c r="AD188" s="4202">
        <f t="shared" si="324"/>
        <v>-14.862098153819609</v>
      </c>
      <c r="AE188" s="435"/>
      <c r="AF188" s="435"/>
      <c r="AG188" s="435"/>
      <c r="AH188" s="5"/>
    </row>
    <row r="189" spans="1:34" ht="18.75" customHeight="1">
      <c r="A189" s="4208" t="s">
        <v>606</v>
      </c>
      <c r="B189" s="4224">
        <f t="shared" ref="B189:K189" si="326">SUM(B27+B49+B80+B99)</f>
        <v>210.69023931487567</v>
      </c>
      <c r="C189" s="4224">
        <f t="shared" si="326"/>
        <v>35.840000000000003</v>
      </c>
      <c r="D189" s="4224">
        <f t="shared" si="326"/>
        <v>50.51</v>
      </c>
      <c r="E189" s="4224">
        <f t="shared" si="326"/>
        <v>45.010000000000005</v>
      </c>
      <c r="F189" s="4224">
        <f t="shared" si="326"/>
        <v>131.36000000000001</v>
      </c>
      <c r="G189" s="4224">
        <f t="shared" si="326"/>
        <v>210.69023931487567</v>
      </c>
      <c r="H189" s="4224">
        <f t="shared" si="326"/>
        <v>39.86</v>
      </c>
      <c r="I189" s="4224">
        <f t="shared" si="326"/>
        <v>145.58000000000001</v>
      </c>
      <c r="J189" s="4224">
        <f t="shared" si="326"/>
        <v>49.54</v>
      </c>
      <c r="K189" s="4224">
        <f t="shared" si="326"/>
        <v>234.98000000000002</v>
      </c>
      <c r="L189" s="4202">
        <f t="shared" si="314"/>
        <v>421.38047862975134</v>
      </c>
      <c r="M189" s="4202">
        <f t="shared" si="315"/>
        <v>366.34000000000003</v>
      </c>
      <c r="N189" s="4202">
        <f t="shared" si="316"/>
        <v>-55.040478629751306</v>
      </c>
      <c r="O189" s="4224">
        <f>SUM(O27+O49+O80+O99)</f>
        <v>210.69023931487567</v>
      </c>
      <c r="P189" s="4224">
        <f>SUM(P27+P49+P80+P99)</f>
        <v>50.7</v>
      </c>
      <c r="Q189" s="4224">
        <f>SUM(Q27+Q49+Q80+Q99)</f>
        <v>51.550000000000004</v>
      </c>
      <c r="R189" s="4224">
        <f>SUM(R27+R49+R80+R99)</f>
        <v>223.19000000000003</v>
      </c>
      <c r="S189" s="4224">
        <f>SUM(S27+S49+S80+S99)</f>
        <v>325.43999999999994</v>
      </c>
      <c r="T189" s="4202">
        <f t="shared" si="318"/>
        <v>632.07071794462695</v>
      </c>
      <c r="U189" s="4202">
        <f t="shared" si="319"/>
        <v>691.78</v>
      </c>
      <c r="V189" s="4202">
        <f t="shared" si="320"/>
        <v>59.709282055373023</v>
      </c>
      <c r="W189" s="4224">
        <f>SUM(W27+W49+W80+W99)</f>
        <v>210.69023931487567</v>
      </c>
      <c r="X189" s="4224">
        <f>SUM(X27+X49+X80+X99)</f>
        <v>0</v>
      </c>
      <c r="Y189" s="4224">
        <f>SUM(Y27+Y49+Y80+Y99)</f>
        <v>0</v>
      </c>
      <c r="Z189" s="4224">
        <f>SUM(Z27+Z49+Z80+Z99)</f>
        <v>0</v>
      </c>
      <c r="AA189" s="4224">
        <f>SUM(AA27+AA49+AA80+AA99)</f>
        <v>0</v>
      </c>
      <c r="AB189" s="4202">
        <f t="shared" si="322"/>
        <v>842.76095725950267</v>
      </c>
      <c r="AC189" s="4202">
        <f t="shared" si="323"/>
        <v>691.78</v>
      </c>
      <c r="AD189" s="4202">
        <f t="shared" si="324"/>
        <v>-150.9809572595027</v>
      </c>
      <c r="AE189" s="435"/>
      <c r="AF189" s="435"/>
      <c r="AG189" s="435"/>
      <c r="AH189" s="5"/>
    </row>
    <row r="190" spans="1:34" ht="18.75" customHeight="1">
      <c r="A190" s="4208" t="s">
        <v>638</v>
      </c>
      <c r="B190" s="4224">
        <f>SUM(B47)</f>
        <v>172.39285966874488</v>
      </c>
      <c r="C190" s="4224">
        <f t="shared" ref="C190:K191" si="327">SUM(C47)</f>
        <v>0</v>
      </c>
      <c r="D190" s="4224">
        <f t="shared" si="327"/>
        <v>0</v>
      </c>
      <c r="E190" s="4224">
        <f t="shared" si="327"/>
        <v>0</v>
      </c>
      <c r="F190" s="4224">
        <f t="shared" si="327"/>
        <v>0</v>
      </c>
      <c r="G190" s="4224">
        <f t="shared" si="327"/>
        <v>172.39285966874488</v>
      </c>
      <c r="H190" s="4224">
        <f t="shared" si="327"/>
        <v>0</v>
      </c>
      <c r="I190" s="4224">
        <f t="shared" si="327"/>
        <v>0</v>
      </c>
      <c r="J190" s="4224">
        <f t="shared" si="327"/>
        <v>0</v>
      </c>
      <c r="K190" s="4224">
        <f t="shared" si="327"/>
        <v>0</v>
      </c>
      <c r="L190" s="4202">
        <f t="shared" si="314"/>
        <v>344.78571933748975</v>
      </c>
      <c r="M190" s="4202">
        <f t="shared" si="315"/>
        <v>0</v>
      </c>
      <c r="N190" s="4202">
        <f t="shared" si="316"/>
        <v>-344.78571933748975</v>
      </c>
      <c r="O190" s="4224">
        <f t="shared" ref="O190:S191" si="328">SUM(O47)</f>
        <v>172.39285966874488</v>
      </c>
      <c r="P190" s="4224">
        <f t="shared" si="328"/>
        <v>0</v>
      </c>
      <c r="Q190" s="4224">
        <f t="shared" si="328"/>
        <v>0</v>
      </c>
      <c r="R190" s="4224">
        <f t="shared" si="328"/>
        <v>0</v>
      </c>
      <c r="S190" s="4224">
        <f t="shared" si="328"/>
        <v>0</v>
      </c>
      <c r="T190" s="4202">
        <f t="shared" si="318"/>
        <v>517.1785790062346</v>
      </c>
      <c r="U190" s="4202">
        <f t="shared" si="319"/>
        <v>0</v>
      </c>
      <c r="V190" s="4202">
        <f t="shared" si="320"/>
        <v>-517.1785790062346</v>
      </c>
      <c r="W190" s="4224">
        <f t="shared" ref="W190:AA191" si="329">SUM(W47)</f>
        <v>172.39285966874488</v>
      </c>
      <c r="X190" s="4224">
        <f t="shared" si="329"/>
        <v>0</v>
      </c>
      <c r="Y190" s="4224">
        <f t="shared" si="329"/>
        <v>0</v>
      </c>
      <c r="Z190" s="4224">
        <f t="shared" si="329"/>
        <v>0</v>
      </c>
      <c r="AA190" s="4224">
        <f t="shared" si="329"/>
        <v>0</v>
      </c>
      <c r="AB190" s="4202">
        <f t="shared" si="322"/>
        <v>689.5714386749795</v>
      </c>
      <c r="AC190" s="4202">
        <f t="shared" si="323"/>
        <v>0</v>
      </c>
      <c r="AD190" s="4202">
        <f t="shared" si="324"/>
        <v>-689.5714386749795</v>
      </c>
      <c r="AE190" s="435"/>
      <c r="AF190" s="435"/>
      <c r="AG190" s="435"/>
      <c r="AH190" s="5"/>
    </row>
    <row r="191" spans="1:34" ht="18.75" customHeight="1">
      <c r="A191" s="4208" t="s">
        <v>640</v>
      </c>
      <c r="B191" s="4224">
        <f>SUM(B48)</f>
        <v>24.930659705941565</v>
      </c>
      <c r="C191" s="4224">
        <f t="shared" si="327"/>
        <v>2.88</v>
      </c>
      <c r="D191" s="4224">
        <f t="shared" si="327"/>
        <v>2.88</v>
      </c>
      <c r="E191" s="4224">
        <f t="shared" si="327"/>
        <v>2.88</v>
      </c>
      <c r="F191" s="4224">
        <f t="shared" si="327"/>
        <v>8.64</v>
      </c>
      <c r="G191" s="4224">
        <f t="shared" si="327"/>
        <v>24.930659705941565</v>
      </c>
      <c r="H191" s="4224">
        <f t="shared" si="327"/>
        <v>2.87</v>
      </c>
      <c r="I191" s="4224">
        <f t="shared" si="327"/>
        <v>2.8</v>
      </c>
      <c r="J191" s="4224">
        <f t="shared" si="327"/>
        <v>2.38</v>
      </c>
      <c r="K191" s="4224">
        <f t="shared" si="327"/>
        <v>8.0500000000000007</v>
      </c>
      <c r="L191" s="4202">
        <f t="shared" si="314"/>
        <v>49.86131941188313</v>
      </c>
      <c r="M191" s="4202">
        <f t="shared" si="315"/>
        <v>16.690000000000001</v>
      </c>
      <c r="N191" s="4202">
        <f t="shared" si="316"/>
        <v>-33.171319411883132</v>
      </c>
      <c r="O191" s="4224">
        <f t="shared" si="328"/>
        <v>24.930659705941565</v>
      </c>
      <c r="P191" s="4224">
        <f t="shared" si="328"/>
        <v>2.38</v>
      </c>
      <c r="Q191" s="4224">
        <f t="shared" si="328"/>
        <v>2.38</v>
      </c>
      <c r="R191" s="4224">
        <f t="shared" si="328"/>
        <v>2.35</v>
      </c>
      <c r="S191" s="4224">
        <f t="shared" si="328"/>
        <v>7.1099999999999994</v>
      </c>
      <c r="T191" s="4202">
        <f t="shared" si="318"/>
        <v>74.791979117824695</v>
      </c>
      <c r="U191" s="4202">
        <f t="shared" si="319"/>
        <v>23.8</v>
      </c>
      <c r="V191" s="4202">
        <f t="shared" si="320"/>
        <v>-50.991979117824698</v>
      </c>
      <c r="W191" s="4224">
        <f t="shared" si="329"/>
        <v>24.930659705941565</v>
      </c>
      <c r="X191" s="4224">
        <f t="shared" si="329"/>
        <v>0</v>
      </c>
      <c r="Y191" s="4224">
        <f t="shared" si="329"/>
        <v>0</v>
      </c>
      <c r="Z191" s="4224">
        <f t="shared" si="329"/>
        <v>0</v>
      </c>
      <c r="AA191" s="4224">
        <f t="shared" si="329"/>
        <v>0</v>
      </c>
      <c r="AB191" s="4202">
        <f t="shared" si="322"/>
        <v>99.72263882376626</v>
      </c>
      <c r="AC191" s="4202">
        <f t="shared" si="323"/>
        <v>23.8</v>
      </c>
      <c r="AD191" s="4202">
        <f t="shared" si="324"/>
        <v>-75.922638823766263</v>
      </c>
      <c r="AE191" s="435"/>
      <c r="AF191" s="435"/>
      <c r="AG191" s="435"/>
      <c r="AH191" s="5"/>
    </row>
    <row r="192" spans="1:34" ht="18.75" customHeight="1">
      <c r="A192" s="4208" t="s">
        <v>42</v>
      </c>
      <c r="B192" s="4224">
        <f>SUM(B50)</f>
        <v>9.901538606615091</v>
      </c>
      <c r="C192" s="4224">
        <f t="shared" ref="C192:K199" si="330">SUM(C50)</f>
        <v>0</v>
      </c>
      <c r="D192" s="4224">
        <f t="shared" si="330"/>
        <v>0</v>
      </c>
      <c r="E192" s="4224">
        <f t="shared" si="330"/>
        <v>6.41</v>
      </c>
      <c r="F192" s="4224">
        <f t="shared" si="330"/>
        <v>6.41</v>
      </c>
      <c r="G192" s="4224">
        <f t="shared" si="330"/>
        <v>9.901538606615091</v>
      </c>
      <c r="H192" s="4224">
        <f t="shared" si="330"/>
        <v>0</v>
      </c>
      <c r="I192" s="4224">
        <f t="shared" si="330"/>
        <v>0</v>
      </c>
      <c r="J192" s="4224">
        <f t="shared" si="330"/>
        <v>5.4</v>
      </c>
      <c r="K192" s="4224">
        <f t="shared" si="330"/>
        <v>5.4</v>
      </c>
      <c r="L192" s="4202">
        <f t="shared" si="314"/>
        <v>19.803077213230182</v>
      </c>
      <c r="M192" s="4202">
        <f t="shared" si="315"/>
        <v>11.81</v>
      </c>
      <c r="N192" s="4202">
        <f t="shared" si="316"/>
        <v>-7.9930772132301815</v>
      </c>
      <c r="O192" s="4224">
        <f t="shared" ref="O192:S199" si="331">SUM(O50)</f>
        <v>9.901538606615091</v>
      </c>
      <c r="P192" s="4224">
        <f t="shared" si="331"/>
        <v>0</v>
      </c>
      <c r="Q192" s="4224">
        <f t="shared" si="331"/>
        <v>0</v>
      </c>
      <c r="R192" s="4224">
        <f t="shared" si="331"/>
        <v>16.03</v>
      </c>
      <c r="S192" s="4224">
        <f t="shared" si="331"/>
        <v>16.03</v>
      </c>
      <c r="T192" s="4202">
        <f t="shared" si="318"/>
        <v>29.704615819845273</v>
      </c>
      <c r="U192" s="4202">
        <f t="shared" si="319"/>
        <v>27.840000000000003</v>
      </c>
      <c r="V192" s="4202">
        <f t="shared" si="320"/>
        <v>-1.8646158198452696</v>
      </c>
      <c r="W192" s="4224">
        <f t="shared" ref="W192:AA199" si="332">SUM(W50)</f>
        <v>9.901538606615091</v>
      </c>
      <c r="X192" s="4224">
        <f t="shared" si="332"/>
        <v>0</v>
      </c>
      <c r="Y192" s="4224">
        <f t="shared" si="332"/>
        <v>0</v>
      </c>
      <c r="Z192" s="4224">
        <f t="shared" si="332"/>
        <v>0</v>
      </c>
      <c r="AA192" s="4224">
        <f t="shared" si="332"/>
        <v>0</v>
      </c>
      <c r="AB192" s="4202">
        <f t="shared" si="322"/>
        <v>39.606154426460364</v>
      </c>
      <c r="AC192" s="4202">
        <f t="shared" si="323"/>
        <v>27.840000000000003</v>
      </c>
      <c r="AD192" s="4202">
        <f t="shared" si="324"/>
        <v>-11.766154426460361</v>
      </c>
      <c r="AE192" s="435"/>
      <c r="AF192" s="435"/>
      <c r="AG192" s="435"/>
      <c r="AH192" s="5"/>
    </row>
    <row r="193" spans="1:34" ht="18.75" customHeight="1">
      <c r="A193" s="4208" t="s">
        <v>38</v>
      </c>
      <c r="B193" s="4224">
        <f>SUM(B51)</f>
        <v>0</v>
      </c>
      <c r="C193" s="4224">
        <f t="shared" si="330"/>
        <v>0</v>
      </c>
      <c r="D193" s="4224">
        <f t="shared" si="330"/>
        <v>16.760000000000002</v>
      </c>
      <c r="E193" s="4224">
        <f t="shared" si="330"/>
        <v>0</v>
      </c>
      <c r="F193" s="4224">
        <f t="shared" si="330"/>
        <v>16.760000000000002</v>
      </c>
      <c r="G193" s="4224">
        <f t="shared" si="330"/>
        <v>0</v>
      </c>
      <c r="H193" s="4224">
        <f t="shared" si="330"/>
        <v>0</v>
      </c>
      <c r="I193" s="4224">
        <f t="shared" si="330"/>
        <v>0</v>
      </c>
      <c r="J193" s="4224">
        <f t="shared" si="330"/>
        <v>0</v>
      </c>
      <c r="K193" s="4224">
        <f t="shared" si="330"/>
        <v>0</v>
      </c>
      <c r="L193" s="4202">
        <f t="shared" si="314"/>
        <v>0</v>
      </c>
      <c r="M193" s="4202">
        <f t="shared" si="315"/>
        <v>16.760000000000002</v>
      </c>
      <c r="N193" s="4202">
        <f t="shared" si="316"/>
        <v>16.760000000000002</v>
      </c>
      <c r="O193" s="4224">
        <f t="shared" si="331"/>
        <v>0</v>
      </c>
      <c r="P193" s="4224">
        <f t="shared" si="331"/>
        <v>0</v>
      </c>
      <c r="Q193" s="4224">
        <f t="shared" si="331"/>
        <v>0</v>
      </c>
      <c r="R193" s="4224">
        <f t="shared" si="331"/>
        <v>0</v>
      </c>
      <c r="S193" s="4224">
        <f t="shared" si="331"/>
        <v>0</v>
      </c>
      <c r="T193" s="4202">
        <f t="shared" ref="T193" si="333">SUM(L193+O193)</f>
        <v>0</v>
      </c>
      <c r="U193" s="4202">
        <f t="shared" si="319"/>
        <v>16.760000000000002</v>
      </c>
      <c r="V193" s="4202">
        <f t="shared" si="320"/>
        <v>16.760000000000002</v>
      </c>
      <c r="W193" s="4224">
        <f t="shared" si="332"/>
        <v>0</v>
      </c>
      <c r="X193" s="4224">
        <f t="shared" si="332"/>
        <v>0</v>
      </c>
      <c r="Y193" s="4224">
        <f t="shared" si="332"/>
        <v>0</v>
      </c>
      <c r="Z193" s="4224">
        <f t="shared" si="332"/>
        <v>0</v>
      </c>
      <c r="AA193" s="4224">
        <f t="shared" si="332"/>
        <v>0</v>
      </c>
      <c r="AB193" s="4202">
        <f t="shared" ref="AB193" si="334">SUM(W193+T193)</f>
        <v>0</v>
      </c>
      <c r="AC193" s="4202">
        <f t="shared" si="323"/>
        <v>16.760000000000002</v>
      </c>
      <c r="AD193" s="4202">
        <f t="shared" si="324"/>
        <v>16.760000000000002</v>
      </c>
      <c r="AE193" s="435"/>
      <c r="AF193" s="435"/>
      <c r="AG193" s="435"/>
      <c r="AH193" s="5"/>
    </row>
    <row r="194" spans="1:34" ht="18.75" customHeight="1">
      <c r="A194" s="4208" t="s">
        <v>608</v>
      </c>
      <c r="B194" s="4224">
        <f t="shared" ref="B194:B199" si="335">SUM(B52)</f>
        <v>25.63791246355693</v>
      </c>
      <c r="C194" s="4224">
        <f t="shared" si="330"/>
        <v>6.93</v>
      </c>
      <c r="D194" s="4224">
        <f t="shared" si="330"/>
        <v>6.93</v>
      </c>
      <c r="E194" s="4224">
        <f t="shared" si="330"/>
        <v>6.93</v>
      </c>
      <c r="F194" s="4224">
        <f t="shared" si="330"/>
        <v>20.79</v>
      </c>
      <c r="G194" s="4224">
        <f t="shared" si="330"/>
        <v>25.63791246355693</v>
      </c>
      <c r="H194" s="4224">
        <f t="shared" si="330"/>
        <v>6.93</v>
      </c>
      <c r="I194" s="4224">
        <f t="shared" si="330"/>
        <v>6.93</v>
      </c>
      <c r="J194" s="4224">
        <f t="shared" si="330"/>
        <v>6.93</v>
      </c>
      <c r="K194" s="4224">
        <f t="shared" si="330"/>
        <v>20.79</v>
      </c>
      <c r="L194" s="4202">
        <f t="shared" si="314"/>
        <v>51.27582492711386</v>
      </c>
      <c r="M194" s="4202">
        <f t="shared" si="315"/>
        <v>41.58</v>
      </c>
      <c r="N194" s="4202">
        <f t="shared" si="316"/>
        <v>-9.6958249271138612</v>
      </c>
      <c r="O194" s="4224">
        <f t="shared" si="331"/>
        <v>25.63791246355693</v>
      </c>
      <c r="P194" s="4224">
        <f t="shared" si="331"/>
        <v>6.93</v>
      </c>
      <c r="Q194" s="4224">
        <f t="shared" si="331"/>
        <v>6.93</v>
      </c>
      <c r="R194" s="4224">
        <f t="shared" si="331"/>
        <v>6.93</v>
      </c>
      <c r="S194" s="4224">
        <f t="shared" si="331"/>
        <v>20.79</v>
      </c>
      <c r="T194" s="4202">
        <f t="shared" si="318"/>
        <v>76.913737390670789</v>
      </c>
      <c r="U194" s="4202">
        <f t="shared" si="319"/>
        <v>62.37</v>
      </c>
      <c r="V194" s="4202">
        <f t="shared" si="320"/>
        <v>-14.543737390670792</v>
      </c>
      <c r="W194" s="4224">
        <f t="shared" si="332"/>
        <v>25.63791246355693</v>
      </c>
      <c r="X194" s="4224">
        <f t="shared" si="332"/>
        <v>0</v>
      </c>
      <c r="Y194" s="4224">
        <f t="shared" si="332"/>
        <v>0</v>
      </c>
      <c r="Z194" s="4224">
        <f t="shared" si="332"/>
        <v>0</v>
      </c>
      <c r="AA194" s="4224">
        <f t="shared" si="332"/>
        <v>0</v>
      </c>
      <c r="AB194" s="4202">
        <f t="shared" si="322"/>
        <v>102.55164985422772</v>
      </c>
      <c r="AC194" s="4202">
        <f t="shared" si="323"/>
        <v>62.37</v>
      </c>
      <c r="AD194" s="4202">
        <f t="shared" si="324"/>
        <v>-40.181649854227722</v>
      </c>
      <c r="AE194" s="435"/>
      <c r="AF194" s="435"/>
      <c r="AG194" s="435"/>
      <c r="AH194" s="5"/>
    </row>
    <row r="195" spans="1:34" ht="18.75" customHeight="1">
      <c r="A195" s="4208" t="s">
        <v>98</v>
      </c>
      <c r="B195" s="4224">
        <f t="shared" si="335"/>
        <v>22.632088243691637</v>
      </c>
      <c r="C195" s="4224">
        <f t="shared" si="330"/>
        <v>0</v>
      </c>
      <c r="D195" s="4224">
        <f t="shared" si="330"/>
        <v>0</v>
      </c>
      <c r="E195" s="4224">
        <f t="shared" si="330"/>
        <v>20.68</v>
      </c>
      <c r="F195" s="4224">
        <f t="shared" si="330"/>
        <v>20.68</v>
      </c>
      <c r="G195" s="4224">
        <f t="shared" si="330"/>
        <v>22.632088243691637</v>
      </c>
      <c r="H195" s="4224">
        <f t="shared" si="330"/>
        <v>0</v>
      </c>
      <c r="I195" s="4224">
        <f t="shared" si="330"/>
        <v>0</v>
      </c>
      <c r="J195" s="4224">
        <f t="shared" si="330"/>
        <v>20.68</v>
      </c>
      <c r="K195" s="4224">
        <f t="shared" si="330"/>
        <v>20.68</v>
      </c>
      <c r="L195" s="4202">
        <f t="shared" si="314"/>
        <v>45.264176487383274</v>
      </c>
      <c r="M195" s="4202">
        <f t="shared" si="315"/>
        <v>41.36</v>
      </c>
      <c r="N195" s="4202">
        <f t="shared" si="316"/>
        <v>-3.9041764873832747</v>
      </c>
      <c r="O195" s="4224">
        <f t="shared" si="331"/>
        <v>22.632088243691637</v>
      </c>
      <c r="P195" s="4224">
        <f t="shared" si="331"/>
        <v>0</v>
      </c>
      <c r="Q195" s="4224">
        <f t="shared" si="331"/>
        <v>0</v>
      </c>
      <c r="R195" s="4224">
        <f t="shared" si="331"/>
        <v>20.67</v>
      </c>
      <c r="S195" s="4224">
        <f t="shared" si="331"/>
        <v>20.67</v>
      </c>
      <c r="T195" s="4202">
        <f t="shared" si="318"/>
        <v>67.896264731074908</v>
      </c>
      <c r="U195" s="4202">
        <f t="shared" si="319"/>
        <v>62.03</v>
      </c>
      <c r="V195" s="4202">
        <f t="shared" si="320"/>
        <v>-5.8662647310749065</v>
      </c>
      <c r="W195" s="4224">
        <f t="shared" si="332"/>
        <v>22.632088243691637</v>
      </c>
      <c r="X195" s="4224">
        <f t="shared" si="332"/>
        <v>0</v>
      </c>
      <c r="Y195" s="4224">
        <f t="shared" si="332"/>
        <v>0</v>
      </c>
      <c r="Z195" s="4224">
        <f t="shared" si="332"/>
        <v>0</v>
      </c>
      <c r="AA195" s="4224">
        <f t="shared" si="332"/>
        <v>0</v>
      </c>
      <c r="AB195" s="4202">
        <f t="shared" si="322"/>
        <v>90.528352974766548</v>
      </c>
      <c r="AC195" s="4202">
        <f t="shared" si="323"/>
        <v>62.03</v>
      </c>
      <c r="AD195" s="4202">
        <f t="shared" si="324"/>
        <v>-28.498352974766547</v>
      </c>
      <c r="AE195" s="435"/>
      <c r="AF195" s="435"/>
      <c r="AG195" s="435"/>
      <c r="AH195" s="5"/>
    </row>
    <row r="196" spans="1:34" ht="18.75" customHeight="1">
      <c r="A196" s="4208" t="s">
        <v>609</v>
      </c>
      <c r="B196" s="4224">
        <f t="shared" si="335"/>
        <v>17.150879372172568</v>
      </c>
      <c r="C196" s="4224">
        <f t="shared" si="330"/>
        <v>0</v>
      </c>
      <c r="D196" s="4224">
        <f t="shared" si="330"/>
        <v>0</v>
      </c>
      <c r="E196" s="4224">
        <f t="shared" si="330"/>
        <v>1.0900000000000001</v>
      </c>
      <c r="F196" s="4224">
        <f t="shared" si="330"/>
        <v>1.0900000000000001</v>
      </c>
      <c r="G196" s="4224">
        <f t="shared" si="330"/>
        <v>17.150879372172568</v>
      </c>
      <c r="H196" s="4224">
        <f t="shared" si="330"/>
        <v>1.69</v>
      </c>
      <c r="I196" s="4224">
        <f t="shared" si="330"/>
        <v>0</v>
      </c>
      <c r="J196" s="4224">
        <f t="shared" si="330"/>
        <v>1</v>
      </c>
      <c r="K196" s="4224">
        <f t="shared" si="330"/>
        <v>2.69</v>
      </c>
      <c r="L196" s="4202">
        <f t="shared" si="314"/>
        <v>34.301758744345136</v>
      </c>
      <c r="M196" s="4202">
        <f t="shared" si="315"/>
        <v>3.7800000000000002</v>
      </c>
      <c r="N196" s="4202">
        <f t="shared" si="316"/>
        <v>-30.521758744345135</v>
      </c>
      <c r="O196" s="4224">
        <f t="shared" si="331"/>
        <v>17.150879372172568</v>
      </c>
      <c r="P196" s="4224">
        <f t="shared" si="331"/>
        <v>0</v>
      </c>
      <c r="Q196" s="4224">
        <f t="shared" si="331"/>
        <v>25.81</v>
      </c>
      <c r="R196" s="4224">
        <f t="shared" si="331"/>
        <v>0</v>
      </c>
      <c r="S196" s="4224">
        <f t="shared" si="331"/>
        <v>25.81</v>
      </c>
      <c r="T196" s="4202">
        <f t="shared" si="318"/>
        <v>51.452638116517704</v>
      </c>
      <c r="U196" s="4202">
        <f t="shared" si="319"/>
        <v>29.59</v>
      </c>
      <c r="V196" s="4202">
        <f t="shared" si="320"/>
        <v>-21.862638116517704</v>
      </c>
      <c r="W196" s="4224">
        <f t="shared" si="332"/>
        <v>17.150879372172568</v>
      </c>
      <c r="X196" s="4224">
        <f t="shared" si="332"/>
        <v>0</v>
      </c>
      <c r="Y196" s="4224">
        <f t="shared" si="332"/>
        <v>0</v>
      </c>
      <c r="Z196" s="4224">
        <f t="shared" si="332"/>
        <v>0</v>
      </c>
      <c r="AA196" s="4224">
        <f t="shared" si="332"/>
        <v>0</v>
      </c>
      <c r="AB196" s="4202">
        <f t="shared" si="322"/>
        <v>68.603517488690272</v>
      </c>
      <c r="AC196" s="4202">
        <f t="shared" si="323"/>
        <v>29.59</v>
      </c>
      <c r="AD196" s="4202">
        <f t="shared" si="324"/>
        <v>-39.013517488690269</v>
      </c>
      <c r="AE196" s="435"/>
      <c r="AF196" s="435"/>
      <c r="AG196" s="435"/>
      <c r="AH196" s="5"/>
    </row>
    <row r="197" spans="1:34" ht="18.75" customHeight="1">
      <c r="A197" s="4208" t="s">
        <v>612</v>
      </c>
      <c r="B197" s="4224">
        <f t="shared" si="335"/>
        <v>6.8957143867497965</v>
      </c>
      <c r="C197" s="4224">
        <f t="shared" si="330"/>
        <v>0.57999999999999996</v>
      </c>
      <c r="D197" s="4224">
        <f t="shared" si="330"/>
        <v>0.57999999999999996</v>
      </c>
      <c r="E197" s="4224">
        <f t="shared" si="330"/>
        <v>0.57999999999999996</v>
      </c>
      <c r="F197" s="4224">
        <f t="shared" si="330"/>
        <v>1.7399999999999998</v>
      </c>
      <c r="G197" s="4224">
        <f t="shared" si="330"/>
        <v>6.8957143867497965</v>
      </c>
      <c r="H197" s="4224">
        <f t="shared" si="330"/>
        <v>4.58</v>
      </c>
      <c r="I197" s="4224">
        <f t="shared" si="330"/>
        <v>0.57999999999999996</v>
      </c>
      <c r="J197" s="4224">
        <f t="shared" si="330"/>
        <v>49.82</v>
      </c>
      <c r="K197" s="4224">
        <f t="shared" si="330"/>
        <v>54.980000000000004</v>
      </c>
      <c r="L197" s="4202">
        <f t="shared" si="314"/>
        <v>13.791428773499593</v>
      </c>
      <c r="M197" s="4202">
        <f t="shared" si="315"/>
        <v>56.720000000000006</v>
      </c>
      <c r="N197" s="4202">
        <f t="shared" si="316"/>
        <v>42.928571226500409</v>
      </c>
      <c r="O197" s="4224">
        <f t="shared" si="331"/>
        <v>6.8957143867497965</v>
      </c>
      <c r="P197" s="4224">
        <f t="shared" si="331"/>
        <v>0.55000000000000004</v>
      </c>
      <c r="Q197" s="4224">
        <f t="shared" si="331"/>
        <v>0.35</v>
      </c>
      <c r="R197" s="4224">
        <f t="shared" si="331"/>
        <v>0.35</v>
      </c>
      <c r="S197" s="4224">
        <f t="shared" si="331"/>
        <v>1.25</v>
      </c>
      <c r="T197" s="4202">
        <f t="shared" si="318"/>
        <v>20.687143160249391</v>
      </c>
      <c r="U197" s="4202">
        <f t="shared" si="319"/>
        <v>57.970000000000006</v>
      </c>
      <c r="V197" s="4202">
        <f t="shared" si="320"/>
        <v>37.282856839750615</v>
      </c>
      <c r="W197" s="4224">
        <f t="shared" si="332"/>
        <v>6.8957143867497965</v>
      </c>
      <c r="X197" s="4224">
        <f t="shared" si="332"/>
        <v>0</v>
      </c>
      <c r="Y197" s="4224">
        <f t="shared" si="332"/>
        <v>0</v>
      </c>
      <c r="Z197" s="4224">
        <f t="shared" si="332"/>
        <v>0</v>
      </c>
      <c r="AA197" s="4224">
        <f t="shared" si="332"/>
        <v>0</v>
      </c>
      <c r="AB197" s="4202">
        <f t="shared" si="322"/>
        <v>27.582857546999186</v>
      </c>
      <c r="AC197" s="4202">
        <f t="shared" si="323"/>
        <v>57.970000000000006</v>
      </c>
      <c r="AD197" s="4202">
        <f t="shared" si="324"/>
        <v>30.38714245300082</v>
      </c>
      <c r="AE197" s="435"/>
      <c r="AF197" s="435"/>
      <c r="AG197" s="435"/>
      <c r="AH197" s="5"/>
    </row>
    <row r="198" spans="1:34" ht="18.75" customHeight="1">
      <c r="A198" s="4208" t="s">
        <v>616</v>
      </c>
      <c r="B198" s="4224">
        <f t="shared" si="335"/>
        <v>0</v>
      </c>
      <c r="C198" s="4224">
        <f t="shared" si="330"/>
        <v>49.78</v>
      </c>
      <c r="D198" s="4224">
        <f t="shared" si="330"/>
        <v>48.32</v>
      </c>
      <c r="E198" s="4224">
        <f t="shared" si="330"/>
        <v>51.84</v>
      </c>
      <c r="F198" s="4224">
        <f t="shared" si="330"/>
        <v>149.94</v>
      </c>
      <c r="G198" s="4224">
        <f t="shared" si="330"/>
        <v>0</v>
      </c>
      <c r="H198" s="4224">
        <f t="shared" si="330"/>
        <v>47.33</v>
      </c>
      <c r="I198" s="4224">
        <f t="shared" si="330"/>
        <v>49.25</v>
      </c>
      <c r="J198" s="4224">
        <f t="shared" si="330"/>
        <v>46.52</v>
      </c>
      <c r="K198" s="4224">
        <f t="shared" si="330"/>
        <v>143.1</v>
      </c>
      <c r="L198" s="4202">
        <f t="shared" si="314"/>
        <v>0</v>
      </c>
      <c r="M198" s="4202">
        <f t="shared" si="315"/>
        <v>293.03999999999996</v>
      </c>
      <c r="N198" s="4202">
        <f t="shared" si="316"/>
        <v>293.03999999999996</v>
      </c>
      <c r="O198" s="4224">
        <f t="shared" si="331"/>
        <v>0</v>
      </c>
      <c r="P198" s="4224">
        <f t="shared" si="331"/>
        <v>46.24</v>
      </c>
      <c r="Q198" s="4224">
        <f t="shared" si="331"/>
        <v>43.97</v>
      </c>
      <c r="R198" s="4224">
        <f t="shared" si="331"/>
        <v>45.56</v>
      </c>
      <c r="S198" s="4224">
        <f t="shared" si="331"/>
        <v>135.77000000000001</v>
      </c>
      <c r="T198" s="4202">
        <f t="shared" si="318"/>
        <v>0</v>
      </c>
      <c r="U198" s="4202">
        <f t="shared" si="319"/>
        <v>428.80999999999995</v>
      </c>
      <c r="V198" s="4202">
        <f t="shared" si="320"/>
        <v>428.80999999999995</v>
      </c>
      <c r="W198" s="4224">
        <f t="shared" si="332"/>
        <v>0</v>
      </c>
      <c r="X198" s="4224">
        <f t="shared" si="332"/>
        <v>0</v>
      </c>
      <c r="Y198" s="4224">
        <f t="shared" si="332"/>
        <v>0</v>
      </c>
      <c r="Z198" s="4224">
        <f t="shared" si="332"/>
        <v>0</v>
      </c>
      <c r="AA198" s="4224">
        <f t="shared" si="332"/>
        <v>0</v>
      </c>
      <c r="AB198" s="4202">
        <f t="shared" si="322"/>
        <v>0</v>
      </c>
      <c r="AC198" s="4202">
        <f t="shared" si="323"/>
        <v>428.80999999999995</v>
      </c>
      <c r="AD198" s="4202">
        <f t="shared" si="324"/>
        <v>428.80999999999995</v>
      </c>
      <c r="AE198" s="435"/>
      <c r="AF198" s="435"/>
      <c r="AG198" s="435"/>
      <c r="AH198" s="5"/>
    </row>
    <row r="199" spans="1:34" ht="18.75" customHeight="1">
      <c r="A199" s="4208" t="s">
        <v>613</v>
      </c>
      <c r="B199" s="4224">
        <f t="shared" si="335"/>
        <v>0</v>
      </c>
      <c r="C199" s="4224">
        <f t="shared" si="330"/>
        <v>25.29</v>
      </c>
      <c r="D199" s="4224">
        <f t="shared" si="330"/>
        <v>25.65</v>
      </c>
      <c r="E199" s="4224">
        <f t="shared" si="330"/>
        <v>19.88</v>
      </c>
      <c r="F199" s="4224">
        <f t="shared" si="330"/>
        <v>70.819999999999993</v>
      </c>
      <c r="G199" s="4224">
        <f t="shared" si="330"/>
        <v>0</v>
      </c>
      <c r="H199" s="4224">
        <f t="shared" si="330"/>
        <v>32.64</v>
      </c>
      <c r="I199" s="4224">
        <f t="shared" si="330"/>
        <v>26.01</v>
      </c>
      <c r="J199" s="4224">
        <f t="shared" si="330"/>
        <v>26.58</v>
      </c>
      <c r="K199" s="4224">
        <f t="shared" si="330"/>
        <v>85.23</v>
      </c>
      <c r="L199" s="4202">
        <f t="shared" si="314"/>
        <v>0</v>
      </c>
      <c r="M199" s="4202">
        <f t="shared" si="315"/>
        <v>156.05000000000001</v>
      </c>
      <c r="N199" s="4202">
        <f t="shared" si="316"/>
        <v>156.05000000000001</v>
      </c>
      <c r="O199" s="4224">
        <f t="shared" si="331"/>
        <v>0</v>
      </c>
      <c r="P199" s="4224">
        <f t="shared" si="331"/>
        <v>26.33</v>
      </c>
      <c r="Q199" s="4224">
        <f t="shared" si="331"/>
        <v>26.4</v>
      </c>
      <c r="R199" s="4224">
        <f t="shared" si="331"/>
        <v>29.73</v>
      </c>
      <c r="S199" s="4224">
        <f t="shared" si="331"/>
        <v>82.46</v>
      </c>
      <c r="T199" s="4202">
        <f t="shared" si="318"/>
        <v>0</v>
      </c>
      <c r="U199" s="4202">
        <f t="shared" si="319"/>
        <v>238.51</v>
      </c>
      <c r="V199" s="4202">
        <f t="shared" si="320"/>
        <v>238.51</v>
      </c>
      <c r="W199" s="4224">
        <f t="shared" si="332"/>
        <v>0</v>
      </c>
      <c r="X199" s="4224">
        <f t="shared" si="332"/>
        <v>0</v>
      </c>
      <c r="Y199" s="4224">
        <f t="shared" si="332"/>
        <v>0</v>
      </c>
      <c r="Z199" s="4224">
        <f t="shared" si="332"/>
        <v>0</v>
      </c>
      <c r="AA199" s="4224">
        <f t="shared" si="332"/>
        <v>0</v>
      </c>
      <c r="AB199" s="4202">
        <f t="shared" si="322"/>
        <v>0</v>
      </c>
      <c r="AC199" s="4202">
        <f t="shared" si="323"/>
        <v>238.51</v>
      </c>
      <c r="AD199" s="4202">
        <f t="shared" si="324"/>
        <v>238.51</v>
      </c>
      <c r="AE199" s="435"/>
      <c r="AF199" s="435"/>
      <c r="AG199" s="435"/>
      <c r="AH199" s="5"/>
    </row>
    <row r="200" spans="1:34" ht="18.75" customHeight="1">
      <c r="A200" s="4208" t="s">
        <v>32</v>
      </c>
      <c r="B200" s="4224">
        <f>SUM(B58+B83)</f>
        <v>6.661580201139544</v>
      </c>
      <c r="C200" s="4224">
        <f t="shared" ref="C200:K200" si="336">SUM(C58+C83)</f>
        <v>0</v>
      </c>
      <c r="D200" s="4224">
        <f t="shared" si="336"/>
        <v>0</v>
      </c>
      <c r="E200" s="4224">
        <f t="shared" si="336"/>
        <v>2.4</v>
      </c>
      <c r="F200" s="4224">
        <f t="shared" si="336"/>
        <v>2.4</v>
      </c>
      <c r="G200" s="4224">
        <f t="shared" si="336"/>
        <v>6.661580201139544</v>
      </c>
      <c r="H200" s="4224">
        <f t="shared" si="336"/>
        <v>0</v>
      </c>
      <c r="I200" s="4224">
        <f t="shared" si="336"/>
        <v>7.5</v>
      </c>
      <c r="J200" s="4224">
        <f t="shared" si="336"/>
        <v>2.4</v>
      </c>
      <c r="K200" s="4224">
        <f t="shared" si="336"/>
        <v>9.9</v>
      </c>
      <c r="L200" s="4202">
        <f t="shared" si="314"/>
        <v>13.323160402279088</v>
      </c>
      <c r="M200" s="4202">
        <f t="shared" si="315"/>
        <v>12.3</v>
      </c>
      <c r="N200" s="4202">
        <f t="shared" si="316"/>
        <v>-1.0231604022790872</v>
      </c>
      <c r="O200" s="4224">
        <f t="shared" ref="O200:S200" si="337">SUM(O58+O83)</f>
        <v>6.661580201139544</v>
      </c>
      <c r="P200" s="4224">
        <f t="shared" si="337"/>
        <v>0</v>
      </c>
      <c r="Q200" s="4224">
        <f t="shared" si="337"/>
        <v>0</v>
      </c>
      <c r="R200" s="4224">
        <f t="shared" si="337"/>
        <v>2.4</v>
      </c>
      <c r="S200" s="4224">
        <f t="shared" si="337"/>
        <v>2.4</v>
      </c>
      <c r="T200" s="4202">
        <f t="shared" si="318"/>
        <v>19.984740603418633</v>
      </c>
      <c r="U200" s="4202">
        <f t="shared" si="319"/>
        <v>14.700000000000001</v>
      </c>
      <c r="V200" s="4202">
        <f t="shared" si="320"/>
        <v>-5.2847406034186317</v>
      </c>
      <c r="W200" s="4224">
        <f t="shared" ref="W200:AA200" si="338">SUM(W58+W83)</f>
        <v>6.661580201139544</v>
      </c>
      <c r="X200" s="4224">
        <f t="shared" si="338"/>
        <v>0</v>
      </c>
      <c r="Y200" s="4224">
        <f t="shared" si="338"/>
        <v>0</v>
      </c>
      <c r="Z200" s="4224">
        <f t="shared" si="338"/>
        <v>0</v>
      </c>
      <c r="AA200" s="4224">
        <f t="shared" si="338"/>
        <v>0</v>
      </c>
      <c r="AB200" s="4202">
        <f t="shared" si="322"/>
        <v>26.646320804558176</v>
      </c>
      <c r="AC200" s="4202">
        <f t="shared" si="323"/>
        <v>14.700000000000001</v>
      </c>
      <c r="AD200" s="4202">
        <f t="shared" si="324"/>
        <v>-11.946320804558175</v>
      </c>
      <c r="AE200" s="435"/>
      <c r="AF200" s="435"/>
      <c r="AG200" s="435"/>
      <c r="AH200" s="5"/>
    </row>
    <row r="201" spans="1:34" ht="18.75" customHeight="1">
      <c r="A201" s="4225" t="s">
        <v>604</v>
      </c>
      <c r="B201" s="4226">
        <f>SUM(B79)</f>
        <v>178.89239065524691</v>
      </c>
      <c r="C201" s="4226">
        <f t="shared" ref="C201:K201" si="339">SUM(C79)</f>
        <v>57.09</v>
      </c>
      <c r="D201" s="4226">
        <f t="shared" si="339"/>
        <v>52.58</v>
      </c>
      <c r="E201" s="4226">
        <f t="shared" si="339"/>
        <v>63</v>
      </c>
      <c r="F201" s="4226">
        <f t="shared" si="339"/>
        <v>172.67000000000002</v>
      </c>
      <c r="G201" s="4226">
        <f t="shared" si="339"/>
        <v>178.89239065524691</v>
      </c>
      <c r="H201" s="4226">
        <f t="shared" si="339"/>
        <v>61.5</v>
      </c>
      <c r="I201" s="4226">
        <f t="shared" si="339"/>
        <v>88.54</v>
      </c>
      <c r="J201" s="4226">
        <f t="shared" si="339"/>
        <v>59.98</v>
      </c>
      <c r="K201" s="4226">
        <f t="shared" si="339"/>
        <v>210.02</v>
      </c>
      <c r="L201" s="4202">
        <f t="shared" si="314"/>
        <v>357.78478131049383</v>
      </c>
      <c r="M201" s="4202">
        <f t="shared" si="315"/>
        <v>382.69000000000005</v>
      </c>
      <c r="N201" s="4202">
        <f t="shared" si="316"/>
        <v>24.905218689506228</v>
      </c>
      <c r="O201" s="4226">
        <f t="shared" ref="O201:S201" si="340">SUM(O79)</f>
        <v>178.89239065524691</v>
      </c>
      <c r="P201" s="4226">
        <f t="shared" si="340"/>
        <v>74.210000000000008</v>
      </c>
      <c r="Q201" s="4226">
        <f t="shared" si="340"/>
        <v>79.180000000000007</v>
      </c>
      <c r="R201" s="4226">
        <f t="shared" si="340"/>
        <v>64.319999999999993</v>
      </c>
      <c r="S201" s="4226">
        <f t="shared" si="340"/>
        <v>217.71</v>
      </c>
      <c r="T201" s="4202">
        <f t="shared" si="318"/>
        <v>536.67717196574074</v>
      </c>
      <c r="U201" s="4202">
        <f t="shared" si="319"/>
        <v>600.40000000000009</v>
      </c>
      <c r="V201" s="4202">
        <f t="shared" si="320"/>
        <v>63.722828034259351</v>
      </c>
      <c r="W201" s="4226">
        <f t="shared" ref="W201:AA201" si="341">SUM(W79)</f>
        <v>178.89239065524691</v>
      </c>
      <c r="X201" s="4226">
        <f t="shared" si="341"/>
        <v>0</v>
      </c>
      <c r="Y201" s="4226">
        <f t="shared" si="341"/>
        <v>0</v>
      </c>
      <c r="Z201" s="4226">
        <f t="shared" si="341"/>
        <v>0</v>
      </c>
      <c r="AA201" s="4226">
        <f t="shared" si="341"/>
        <v>0</v>
      </c>
      <c r="AB201" s="4202">
        <f t="shared" si="322"/>
        <v>715.56956262098765</v>
      </c>
      <c r="AC201" s="4202">
        <f t="shared" si="323"/>
        <v>600.40000000000009</v>
      </c>
      <c r="AD201" s="4202">
        <f t="shared" si="324"/>
        <v>-115.16956262098756</v>
      </c>
      <c r="AE201" s="435"/>
      <c r="AF201" s="435"/>
      <c r="AG201" s="435"/>
      <c r="AH201" s="5"/>
    </row>
    <row r="202" spans="1:34" ht="18.75" customHeight="1">
      <c r="A202" s="4208" t="s">
        <v>605</v>
      </c>
      <c r="B202" s="4224">
        <f>SUM(B81)</f>
        <v>4.6019931252844746</v>
      </c>
      <c r="C202" s="4224">
        <f t="shared" ref="C202:K203" si="342">SUM(C81)</f>
        <v>2.42</v>
      </c>
      <c r="D202" s="4224">
        <f t="shared" si="342"/>
        <v>2.42</v>
      </c>
      <c r="E202" s="4224">
        <f t="shared" si="342"/>
        <v>2.42</v>
      </c>
      <c r="F202" s="4224">
        <f t="shared" si="342"/>
        <v>7.26</v>
      </c>
      <c r="G202" s="4224">
        <f t="shared" si="342"/>
        <v>4.6019931252844746</v>
      </c>
      <c r="H202" s="4224">
        <f t="shared" si="342"/>
        <v>2.42</v>
      </c>
      <c r="I202" s="4224">
        <f t="shared" si="342"/>
        <v>2.42</v>
      </c>
      <c r="J202" s="4224">
        <f t="shared" si="342"/>
        <v>2.42</v>
      </c>
      <c r="K202" s="4224">
        <f t="shared" si="342"/>
        <v>7.26</v>
      </c>
      <c r="L202" s="4202">
        <f t="shared" si="314"/>
        <v>9.2039862505689491</v>
      </c>
      <c r="M202" s="4202">
        <f t="shared" si="315"/>
        <v>14.52</v>
      </c>
      <c r="N202" s="4202">
        <f t="shared" si="316"/>
        <v>5.3160137494310504</v>
      </c>
      <c r="O202" s="4224">
        <f t="shared" ref="O202:S203" si="343">SUM(O81)</f>
        <v>4.6019931252844746</v>
      </c>
      <c r="P202" s="4224">
        <f t="shared" si="343"/>
        <v>3.28</v>
      </c>
      <c r="Q202" s="4224">
        <f t="shared" si="343"/>
        <v>3.69</v>
      </c>
      <c r="R202" s="4224">
        <f t="shared" si="343"/>
        <v>3.69</v>
      </c>
      <c r="S202" s="4224">
        <f t="shared" si="343"/>
        <v>10.66</v>
      </c>
      <c r="T202" s="4202">
        <f t="shared" si="318"/>
        <v>13.805979375853424</v>
      </c>
      <c r="U202" s="4202">
        <f t="shared" si="319"/>
        <v>25.18</v>
      </c>
      <c r="V202" s="4202">
        <f t="shared" si="320"/>
        <v>11.374020624146576</v>
      </c>
      <c r="W202" s="4224">
        <f t="shared" ref="W202:AA203" si="344">SUM(W81)</f>
        <v>4.6019931252844746</v>
      </c>
      <c r="X202" s="4224">
        <f t="shared" si="344"/>
        <v>0</v>
      </c>
      <c r="Y202" s="4224">
        <f t="shared" si="344"/>
        <v>0</v>
      </c>
      <c r="Z202" s="4224">
        <f t="shared" si="344"/>
        <v>0</v>
      </c>
      <c r="AA202" s="4224">
        <f t="shared" si="344"/>
        <v>0</v>
      </c>
      <c r="AB202" s="4202">
        <f t="shared" si="322"/>
        <v>18.407972501137898</v>
      </c>
      <c r="AC202" s="4202">
        <f t="shared" si="323"/>
        <v>25.18</v>
      </c>
      <c r="AD202" s="4202">
        <f t="shared" si="324"/>
        <v>6.7720274988621014</v>
      </c>
      <c r="AE202" s="435"/>
      <c r="AF202" s="435"/>
      <c r="AG202" s="435"/>
      <c r="AH202" s="5"/>
    </row>
    <row r="203" spans="1:34" ht="18.75" customHeight="1">
      <c r="A203" s="4208" t="s">
        <v>615</v>
      </c>
      <c r="B203" s="4224">
        <f>SUM(B82)</f>
        <v>2.2404440215200734</v>
      </c>
      <c r="C203" s="4224">
        <f t="shared" si="342"/>
        <v>0</v>
      </c>
      <c r="D203" s="4224">
        <f t="shared" si="342"/>
        <v>0</v>
      </c>
      <c r="E203" s="4224">
        <f t="shared" si="342"/>
        <v>0</v>
      </c>
      <c r="F203" s="4224">
        <f t="shared" si="342"/>
        <v>0</v>
      </c>
      <c r="G203" s="4224">
        <f t="shared" si="342"/>
        <v>2.2404440215200734</v>
      </c>
      <c r="H203" s="4224">
        <f t="shared" si="342"/>
        <v>0</v>
      </c>
      <c r="I203" s="4224">
        <f t="shared" si="342"/>
        <v>0</v>
      </c>
      <c r="J203" s="4224">
        <f t="shared" si="342"/>
        <v>0</v>
      </c>
      <c r="K203" s="4224">
        <f t="shared" si="342"/>
        <v>0</v>
      </c>
      <c r="L203" s="4202">
        <f t="shared" si="314"/>
        <v>4.4808880430401468</v>
      </c>
      <c r="M203" s="4202">
        <f t="shared" si="315"/>
        <v>0</v>
      </c>
      <c r="N203" s="4202">
        <f t="shared" si="316"/>
        <v>-4.4808880430401468</v>
      </c>
      <c r="O203" s="4224">
        <f t="shared" si="343"/>
        <v>2.2404440215200734</v>
      </c>
      <c r="P203" s="4224">
        <f t="shared" si="343"/>
        <v>1.36</v>
      </c>
      <c r="Q203" s="4224">
        <f t="shared" si="343"/>
        <v>0</v>
      </c>
      <c r="R203" s="4224">
        <f t="shared" si="343"/>
        <v>2.52</v>
      </c>
      <c r="S203" s="4224">
        <f t="shared" si="343"/>
        <v>3.88</v>
      </c>
      <c r="T203" s="4202">
        <f t="shared" si="318"/>
        <v>6.7213320645602206</v>
      </c>
      <c r="U203" s="4202">
        <f t="shared" si="319"/>
        <v>3.88</v>
      </c>
      <c r="V203" s="4202">
        <f t="shared" si="320"/>
        <v>-2.8413320645602207</v>
      </c>
      <c r="W203" s="4224">
        <f t="shared" si="344"/>
        <v>2.2404440215200734</v>
      </c>
      <c r="X203" s="4224">
        <f t="shared" si="344"/>
        <v>0</v>
      </c>
      <c r="Y203" s="4224">
        <f t="shared" si="344"/>
        <v>0</v>
      </c>
      <c r="Z203" s="4224">
        <f t="shared" si="344"/>
        <v>0</v>
      </c>
      <c r="AA203" s="4224">
        <f t="shared" si="344"/>
        <v>0</v>
      </c>
      <c r="AB203" s="4202">
        <f t="shared" si="322"/>
        <v>8.9617760860802935</v>
      </c>
      <c r="AC203" s="4202">
        <f t="shared" si="323"/>
        <v>3.88</v>
      </c>
      <c r="AD203" s="4202">
        <f t="shared" si="324"/>
        <v>-5.0817760860802936</v>
      </c>
      <c r="AE203" s="435"/>
      <c r="AF203" s="435"/>
      <c r="AG203" s="435"/>
      <c r="AH203" s="5"/>
    </row>
    <row r="204" spans="1:34" ht="18.75" customHeight="1">
      <c r="A204" s="4208" t="s">
        <v>1595</v>
      </c>
      <c r="B204" s="4224">
        <f>SUM(B28)</f>
        <v>46.766695239354917</v>
      </c>
      <c r="C204" s="4224">
        <f t="shared" ref="C204:K204" si="345">SUM(C28)</f>
        <v>0</v>
      </c>
      <c r="D204" s="4224">
        <f t="shared" si="345"/>
        <v>0</v>
      </c>
      <c r="E204" s="4224">
        <f t="shared" si="345"/>
        <v>0</v>
      </c>
      <c r="F204" s="4224">
        <f t="shared" si="345"/>
        <v>0</v>
      </c>
      <c r="G204" s="4224">
        <f t="shared" si="345"/>
        <v>46.766695239354917</v>
      </c>
      <c r="H204" s="4224">
        <f t="shared" si="345"/>
        <v>0</v>
      </c>
      <c r="I204" s="4224">
        <f t="shared" si="345"/>
        <v>0</v>
      </c>
      <c r="J204" s="4224">
        <f t="shared" si="345"/>
        <v>0</v>
      </c>
      <c r="K204" s="4224">
        <f t="shared" si="345"/>
        <v>0</v>
      </c>
      <c r="L204" s="4202">
        <f t="shared" ref="L204" si="346">SUM(G204+B204)</f>
        <v>93.533390478709833</v>
      </c>
      <c r="M204" s="4202">
        <f t="shared" si="315"/>
        <v>0</v>
      </c>
      <c r="N204" s="4202">
        <f t="shared" si="316"/>
        <v>-93.533390478709833</v>
      </c>
      <c r="O204" s="4224">
        <f t="shared" ref="O204:S204" si="347">SUM(O28)</f>
        <v>46.766695239354917</v>
      </c>
      <c r="P204" s="4224">
        <f t="shared" si="347"/>
        <v>0</v>
      </c>
      <c r="Q204" s="4224">
        <f t="shared" si="347"/>
        <v>0</v>
      </c>
      <c r="R204" s="4224">
        <f t="shared" si="347"/>
        <v>0</v>
      </c>
      <c r="S204" s="4224">
        <f t="shared" si="347"/>
        <v>0</v>
      </c>
      <c r="T204" s="4202">
        <f t="shared" ref="T204" si="348">SUM(L204+O204)</f>
        <v>140.30008571806474</v>
      </c>
      <c r="U204" s="4202">
        <f t="shared" si="319"/>
        <v>0</v>
      </c>
      <c r="V204" s="4202">
        <f t="shared" si="320"/>
        <v>-140.30008571806474</v>
      </c>
      <c r="W204" s="4224">
        <f t="shared" ref="W204:AA204" si="349">SUM(W28)</f>
        <v>46.766695239354917</v>
      </c>
      <c r="X204" s="4224">
        <f t="shared" si="349"/>
        <v>0</v>
      </c>
      <c r="Y204" s="4224">
        <f t="shared" si="349"/>
        <v>0</v>
      </c>
      <c r="Z204" s="4224">
        <f t="shared" si="349"/>
        <v>0</v>
      </c>
      <c r="AA204" s="4224">
        <f t="shared" si="349"/>
        <v>0</v>
      </c>
      <c r="AB204" s="4202">
        <f t="shared" ref="AB204" si="350">SUM(W204+T204)</f>
        <v>187.06678095741967</v>
      </c>
      <c r="AC204" s="4202">
        <f t="shared" si="323"/>
        <v>0</v>
      </c>
      <c r="AD204" s="4202">
        <f t="shared" si="324"/>
        <v>-187.06678095741967</v>
      </c>
      <c r="AE204" s="435"/>
      <c r="AF204" s="435"/>
      <c r="AG204" s="435"/>
      <c r="AH204" s="5"/>
    </row>
    <row r="205" spans="1:34" ht="18.75" customHeight="1">
      <c r="A205" s="4171" t="s">
        <v>607</v>
      </c>
      <c r="B205" s="4227">
        <f>SUM(B29+B59+B84+B100)</f>
        <v>216.51214635394089</v>
      </c>
      <c r="C205" s="4227">
        <f t="shared" ref="C205:K205" si="351">SUM(C29+C59+C84+C100)</f>
        <v>71.37</v>
      </c>
      <c r="D205" s="4227">
        <f t="shared" si="351"/>
        <v>55.459999999999994</v>
      </c>
      <c r="E205" s="4227">
        <f t="shared" si="351"/>
        <v>49.97</v>
      </c>
      <c r="F205" s="4227">
        <f t="shared" si="351"/>
        <v>176.79999999999998</v>
      </c>
      <c r="G205" s="4227">
        <f t="shared" si="351"/>
        <v>93.079820636643234</v>
      </c>
      <c r="H205" s="4227">
        <f t="shared" si="351"/>
        <v>34.029999999999994</v>
      </c>
      <c r="I205" s="4227">
        <f t="shared" si="351"/>
        <v>36.22</v>
      </c>
      <c r="J205" s="4227">
        <f t="shared" si="351"/>
        <v>12.95</v>
      </c>
      <c r="K205" s="4227">
        <f t="shared" si="351"/>
        <v>83.2</v>
      </c>
      <c r="L205" s="4192">
        <f t="shared" si="314"/>
        <v>309.59196699058413</v>
      </c>
      <c r="M205" s="4192">
        <f t="shared" si="315"/>
        <v>260</v>
      </c>
      <c r="N205" s="4192">
        <f t="shared" si="316"/>
        <v>-49.591966990584126</v>
      </c>
      <c r="O205" s="4227">
        <f t="shared" ref="O205:S205" si="352">SUM(O29+O59+O84+O100)</f>
        <v>63.583960945547858</v>
      </c>
      <c r="P205" s="4227">
        <f t="shared" si="352"/>
        <v>30.64</v>
      </c>
      <c r="Q205" s="4227">
        <f t="shared" si="352"/>
        <v>4.63</v>
      </c>
      <c r="R205" s="4227">
        <f t="shared" si="352"/>
        <v>23.720000000000002</v>
      </c>
      <c r="S205" s="4227">
        <f t="shared" si="352"/>
        <v>58.990000000000009</v>
      </c>
      <c r="T205" s="4192">
        <f t="shared" si="318"/>
        <v>373.17592793613198</v>
      </c>
      <c r="U205" s="4192">
        <f t="shared" si="319"/>
        <v>318.99</v>
      </c>
      <c r="V205" s="4192">
        <f t="shared" si="320"/>
        <v>-54.185927936131975</v>
      </c>
      <c r="W205" s="4227">
        <f t="shared" ref="W205:AA205" si="353">SUM(W29+W59+W84+W100)</f>
        <v>196.95851270493878</v>
      </c>
      <c r="X205" s="4227">
        <f t="shared" si="353"/>
        <v>0</v>
      </c>
      <c r="Y205" s="4227">
        <f t="shared" si="353"/>
        <v>0</v>
      </c>
      <c r="Z205" s="4227">
        <f t="shared" si="353"/>
        <v>0</v>
      </c>
      <c r="AA205" s="4227">
        <f t="shared" si="353"/>
        <v>0</v>
      </c>
      <c r="AB205" s="4192">
        <f t="shared" si="322"/>
        <v>570.1344406410708</v>
      </c>
      <c r="AC205" s="4192">
        <f t="shared" si="323"/>
        <v>318.99</v>
      </c>
      <c r="AD205" s="4192">
        <f t="shared" si="324"/>
        <v>-251.14444064107079</v>
      </c>
      <c r="AE205" s="435"/>
      <c r="AF205" s="435"/>
      <c r="AG205" s="435"/>
      <c r="AH205" s="5"/>
    </row>
    <row r="206" spans="1:34" ht="18.75" customHeight="1">
      <c r="A206" s="4125" t="s">
        <v>652</v>
      </c>
      <c r="B206" s="4228">
        <f>SUM(B60)</f>
        <v>168.75040571413194</v>
      </c>
      <c r="C206" s="4228">
        <f t="shared" ref="C206:K206" si="354">SUM(C60)</f>
        <v>58.92</v>
      </c>
      <c r="D206" s="4228">
        <f t="shared" si="354"/>
        <v>51.68</v>
      </c>
      <c r="E206" s="4228">
        <f t="shared" si="354"/>
        <v>42.09</v>
      </c>
      <c r="F206" s="4228">
        <f t="shared" si="354"/>
        <v>152.69</v>
      </c>
      <c r="G206" s="4228">
        <f t="shared" si="354"/>
        <v>45.318079996834271</v>
      </c>
      <c r="H206" s="4228">
        <f t="shared" si="354"/>
        <v>31.82</v>
      </c>
      <c r="I206" s="4228">
        <f t="shared" si="354"/>
        <v>25.34</v>
      </c>
      <c r="J206" s="4228">
        <f t="shared" si="354"/>
        <v>0</v>
      </c>
      <c r="K206" s="4228">
        <f t="shared" si="354"/>
        <v>57.16</v>
      </c>
      <c r="L206" s="4210">
        <f t="shared" si="314"/>
        <v>214.06848571096623</v>
      </c>
      <c r="M206" s="4210">
        <f t="shared" si="315"/>
        <v>209.85</v>
      </c>
      <c r="N206" s="4210">
        <f t="shared" si="316"/>
        <v>-4.2184857109662346</v>
      </c>
      <c r="O206" s="4228">
        <f t="shared" ref="O206:S206" si="355">SUM(O60)</f>
        <v>15.82222030573889</v>
      </c>
      <c r="P206" s="4228">
        <f t="shared" si="355"/>
        <v>0</v>
      </c>
      <c r="Q206" s="4228">
        <f t="shared" si="355"/>
        <v>0</v>
      </c>
      <c r="R206" s="4228">
        <f t="shared" si="355"/>
        <v>10.53</v>
      </c>
      <c r="S206" s="4228">
        <f t="shared" si="355"/>
        <v>10.53</v>
      </c>
      <c r="T206" s="4210">
        <f t="shared" si="318"/>
        <v>229.89070601670511</v>
      </c>
      <c r="U206" s="4210">
        <f t="shared" si="319"/>
        <v>220.38</v>
      </c>
      <c r="V206" s="4210">
        <f t="shared" si="320"/>
        <v>-9.5107060167051145</v>
      </c>
      <c r="W206" s="4228">
        <f t="shared" ref="W206:AA206" si="356">SUM(W60)</f>
        <v>149.19677206512978</v>
      </c>
      <c r="X206" s="4228">
        <f t="shared" si="356"/>
        <v>0</v>
      </c>
      <c r="Y206" s="4228">
        <f t="shared" si="356"/>
        <v>0</v>
      </c>
      <c r="Z206" s="4228">
        <f t="shared" si="356"/>
        <v>0</v>
      </c>
      <c r="AA206" s="4228">
        <f t="shared" si="356"/>
        <v>0</v>
      </c>
      <c r="AB206" s="4210">
        <f t="shared" si="322"/>
        <v>379.08747808183489</v>
      </c>
      <c r="AC206" s="4210">
        <f t="shared" si="323"/>
        <v>220.38</v>
      </c>
      <c r="AD206" s="4210">
        <f t="shared" si="324"/>
        <v>-158.70747808183489</v>
      </c>
      <c r="AE206" s="435"/>
      <c r="AF206" s="435"/>
      <c r="AG206" s="435"/>
      <c r="AH206" s="5"/>
    </row>
    <row r="207" spans="1:34" ht="18.75" customHeight="1">
      <c r="A207" s="4125" t="s">
        <v>565</v>
      </c>
      <c r="B207" s="4228">
        <f>SUM(B30+B61+B85+B101)</f>
        <v>39.756780780864538</v>
      </c>
      <c r="C207" s="4228">
        <f t="shared" ref="C207:K207" si="357">SUM(C30+C61+C85+C101)</f>
        <v>10.49</v>
      </c>
      <c r="D207" s="4228">
        <f t="shared" si="357"/>
        <v>3.0500000000000003</v>
      </c>
      <c r="E207" s="4228">
        <f t="shared" si="357"/>
        <v>5.9</v>
      </c>
      <c r="F207" s="4228">
        <f t="shared" si="357"/>
        <v>19.440000000000001</v>
      </c>
      <c r="G207" s="4228">
        <f t="shared" si="357"/>
        <v>39.756780780864538</v>
      </c>
      <c r="H207" s="4228">
        <f t="shared" si="357"/>
        <v>2.2100000000000004</v>
      </c>
      <c r="I207" s="4228">
        <f t="shared" si="357"/>
        <v>5.71</v>
      </c>
      <c r="J207" s="4228">
        <f t="shared" si="357"/>
        <v>10.27</v>
      </c>
      <c r="K207" s="4228">
        <f t="shared" si="357"/>
        <v>18.189999999999998</v>
      </c>
      <c r="L207" s="4210">
        <f t="shared" si="314"/>
        <v>79.513561561729077</v>
      </c>
      <c r="M207" s="4210">
        <f t="shared" si="315"/>
        <v>37.629999999999995</v>
      </c>
      <c r="N207" s="4210">
        <f t="shared" si="316"/>
        <v>-41.883561561729081</v>
      </c>
      <c r="O207" s="4228">
        <f t="shared" ref="O207:S207" si="358">SUM(O30+O61+O85+O101)</f>
        <v>39.756780780864538</v>
      </c>
      <c r="P207" s="4228">
        <f t="shared" si="358"/>
        <v>27.85</v>
      </c>
      <c r="Q207" s="4228">
        <f t="shared" si="358"/>
        <v>1.97</v>
      </c>
      <c r="R207" s="4228">
        <f t="shared" si="358"/>
        <v>9.1300000000000008</v>
      </c>
      <c r="S207" s="4228">
        <f t="shared" si="358"/>
        <v>38.950000000000003</v>
      </c>
      <c r="T207" s="4210">
        <f t="shared" si="318"/>
        <v>119.27034234259361</v>
      </c>
      <c r="U207" s="4210">
        <f t="shared" si="319"/>
        <v>76.58</v>
      </c>
      <c r="V207" s="4210">
        <f t="shared" si="320"/>
        <v>-42.69034234259361</v>
      </c>
      <c r="W207" s="4228">
        <f t="shared" ref="W207:AA207" si="359">SUM(W30+W61+W85+W101)</f>
        <v>39.756780780864538</v>
      </c>
      <c r="X207" s="4228">
        <f t="shared" si="359"/>
        <v>0</v>
      </c>
      <c r="Y207" s="4228">
        <f t="shared" si="359"/>
        <v>0</v>
      </c>
      <c r="Z207" s="4228">
        <f t="shared" si="359"/>
        <v>0</v>
      </c>
      <c r="AA207" s="4228">
        <f t="shared" si="359"/>
        <v>0</v>
      </c>
      <c r="AB207" s="4210">
        <f t="shared" si="322"/>
        <v>159.02712312345815</v>
      </c>
      <c r="AC207" s="4210">
        <f t="shared" si="323"/>
        <v>76.58</v>
      </c>
      <c r="AD207" s="4210">
        <f t="shared" si="324"/>
        <v>-82.447123123458155</v>
      </c>
      <c r="AE207" s="435"/>
      <c r="AF207" s="435"/>
      <c r="AG207" s="435"/>
      <c r="AH207" s="5"/>
    </row>
    <row r="208" spans="1:34" ht="18.75" customHeight="1">
      <c r="A208" s="4125" t="s">
        <v>564</v>
      </c>
      <c r="B208" s="4228">
        <f>SUM(B62)</f>
        <v>0.17681318940384091</v>
      </c>
      <c r="C208" s="4228">
        <f t="shared" ref="C208:K208" si="360">SUM(C62)</f>
        <v>0</v>
      </c>
      <c r="D208" s="4228">
        <f t="shared" si="360"/>
        <v>0</v>
      </c>
      <c r="E208" s="4228">
        <f t="shared" si="360"/>
        <v>0</v>
      </c>
      <c r="F208" s="4228">
        <f t="shared" si="360"/>
        <v>0</v>
      </c>
      <c r="G208" s="4228">
        <f t="shared" si="360"/>
        <v>0.17681318940384091</v>
      </c>
      <c r="H208" s="4228">
        <f t="shared" si="360"/>
        <v>0</v>
      </c>
      <c r="I208" s="4228">
        <f t="shared" si="360"/>
        <v>5.17</v>
      </c>
      <c r="J208" s="4228">
        <f t="shared" si="360"/>
        <v>0</v>
      </c>
      <c r="K208" s="4228">
        <f t="shared" si="360"/>
        <v>5.17</v>
      </c>
      <c r="L208" s="4210">
        <f t="shared" si="314"/>
        <v>0.35362637880768183</v>
      </c>
      <c r="M208" s="4210">
        <f t="shared" si="315"/>
        <v>5.17</v>
      </c>
      <c r="N208" s="4210">
        <f t="shared" si="316"/>
        <v>4.8163736211923185</v>
      </c>
      <c r="O208" s="4228">
        <f t="shared" ref="O208:S208" si="361">SUM(O62)</f>
        <v>0.17681318940384091</v>
      </c>
      <c r="P208" s="4228">
        <f t="shared" si="361"/>
        <v>0</v>
      </c>
      <c r="Q208" s="4228">
        <f t="shared" si="361"/>
        <v>0</v>
      </c>
      <c r="R208" s="4228">
        <f t="shared" si="361"/>
        <v>0</v>
      </c>
      <c r="S208" s="4228">
        <f t="shared" si="361"/>
        <v>0</v>
      </c>
      <c r="T208" s="4210">
        <f t="shared" si="318"/>
        <v>0.53043956821152272</v>
      </c>
      <c r="U208" s="4210">
        <f t="shared" si="319"/>
        <v>5.17</v>
      </c>
      <c r="V208" s="4210">
        <f t="shared" si="320"/>
        <v>4.6395604317884773</v>
      </c>
      <c r="W208" s="4228">
        <f t="shared" ref="W208:AA208" si="362">SUM(W62)</f>
        <v>0.17681318940384091</v>
      </c>
      <c r="X208" s="4228">
        <f t="shared" si="362"/>
        <v>0</v>
      </c>
      <c r="Y208" s="4228">
        <f t="shared" si="362"/>
        <v>0</v>
      </c>
      <c r="Z208" s="4228">
        <f t="shared" si="362"/>
        <v>0</v>
      </c>
      <c r="AA208" s="4228">
        <f t="shared" si="362"/>
        <v>0</v>
      </c>
      <c r="AB208" s="4210">
        <f t="shared" si="322"/>
        <v>0.70725275761536366</v>
      </c>
      <c r="AC208" s="4210">
        <f t="shared" si="323"/>
        <v>5.17</v>
      </c>
      <c r="AD208" s="4210">
        <f t="shared" si="324"/>
        <v>4.4627472423846362</v>
      </c>
      <c r="AE208" s="435"/>
      <c r="AF208" s="435"/>
      <c r="AG208" s="435"/>
      <c r="AH208" s="5"/>
    </row>
    <row r="209" spans="1:34" ht="18.75" customHeight="1">
      <c r="A209" s="4125" t="s">
        <v>566</v>
      </c>
      <c r="B209" s="4228">
        <f>SUM(B31+B63)</f>
        <v>7.828146669540593</v>
      </c>
      <c r="C209" s="4228">
        <f t="shared" ref="C209:K209" si="363">SUM(C31+C63)</f>
        <v>1.96</v>
      </c>
      <c r="D209" s="4228">
        <f t="shared" si="363"/>
        <v>0.73</v>
      </c>
      <c r="E209" s="4228">
        <f t="shared" si="363"/>
        <v>1.98</v>
      </c>
      <c r="F209" s="4228">
        <f t="shared" si="363"/>
        <v>4.67</v>
      </c>
      <c r="G209" s="4228">
        <f t="shared" si="363"/>
        <v>7.828146669540593</v>
      </c>
      <c r="H209" s="4228">
        <f t="shared" si="363"/>
        <v>0</v>
      </c>
      <c r="I209" s="4228">
        <f t="shared" si="363"/>
        <v>0</v>
      </c>
      <c r="J209" s="4228">
        <f t="shared" si="363"/>
        <v>2.68</v>
      </c>
      <c r="K209" s="4228">
        <f t="shared" si="363"/>
        <v>2.68</v>
      </c>
      <c r="L209" s="4210">
        <f t="shared" si="314"/>
        <v>15.656293339081186</v>
      </c>
      <c r="M209" s="4210">
        <f t="shared" si="315"/>
        <v>7.35</v>
      </c>
      <c r="N209" s="4210">
        <f t="shared" si="316"/>
        <v>-8.3062933390811864</v>
      </c>
      <c r="O209" s="4228">
        <f t="shared" ref="O209:S209" si="364">SUM(O31+O63)</f>
        <v>7.828146669540593</v>
      </c>
      <c r="P209" s="4228">
        <f t="shared" si="364"/>
        <v>2.79</v>
      </c>
      <c r="Q209" s="4228">
        <f t="shared" si="364"/>
        <v>2.66</v>
      </c>
      <c r="R209" s="4228">
        <f t="shared" si="364"/>
        <v>4.0599999999999996</v>
      </c>
      <c r="S209" s="4228">
        <f t="shared" si="364"/>
        <v>9.51</v>
      </c>
      <c r="T209" s="4210">
        <f t="shared" si="318"/>
        <v>23.484440008621778</v>
      </c>
      <c r="U209" s="4210">
        <f t="shared" si="319"/>
        <v>16.86</v>
      </c>
      <c r="V209" s="4210">
        <f t="shared" si="320"/>
        <v>-6.6244400086217787</v>
      </c>
      <c r="W209" s="4228">
        <f t="shared" ref="W209:AA209" si="365">SUM(W31+W63)</f>
        <v>7.828146669540593</v>
      </c>
      <c r="X209" s="4228">
        <f t="shared" si="365"/>
        <v>0</v>
      </c>
      <c r="Y209" s="4228">
        <f t="shared" si="365"/>
        <v>0</v>
      </c>
      <c r="Z209" s="4228">
        <f t="shared" si="365"/>
        <v>0</v>
      </c>
      <c r="AA209" s="4228">
        <f t="shared" si="365"/>
        <v>0</v>
      </c>
      <c r="AB209" s="4210">
        <f t="shared" si="322"/>
        <v>31.312586678162372</v>
      </c>
      <c r="AC209" s="4210">
        <f t="shared" si="323"/>
        <v>16.86</v>
      </c>
      <c r="AD209" s="4210">
        <f t="shared" si="324"/>
        <v>-14.452586678162373</v>
      </c>
      <c r="AE209" s="435"/>
      <c r="AF209" s="435"/>
      <c r="AG209" s="435"/>
      <c r="AH209" s="5"/>
    </row>
    <row r="210" spans="1:34" ht="18.75" customHeight="1">
      <c r="A210" s="4171" t="s">
        <v>610</v>
      </c>
      <c r="B210" s="4229">
        <f>SUM(B32+B64+B86+B102)</f>
        <v>122.42927028360177</v>
      </c>
      <c r="C210" s="4229">
        <f t="shared" ref="C210:K210" si="366">SUM(C32+C64+C86+C102)</f>
        <v>0</v>
      </c>
      <c r="D210" s="4229">
        <f t="shared" si="366"/>
        <v>0</v>
      </c>
      <c r="E210" s="4229">
        <f t="shared" si="366"/>
        <v>108.09</v>
      </c>
      <c r="F210" s="4229">
        <f t="shared" si="366"/>
        <v>108.09</v>
      </c>
      <c r="G210" s="4229">
        <f t="shared" si="366"/>
        <v>132.17024273343185</v>
      </c>
      <c r="H210" s="4229">
        <f t="shared" si="366"/>
        <v>2.4</v>
      </c>
      <c r="I210" s="4229">
        <f t="shared" si="366"/>
        <v>8.18</v>
      </c>
      <c r="J210" s="4229">
        <f t="shared" si="366"/>
        <v>186.47</v>
      </c>
      <c r="K210" s="4229">
        <f t="shared" si="366"/>
        <v>197.05</v>
      </c>
      <c r="L210" s="4192">
        <f t="shared" si="314"/>
        <v>254.59951301703362</v>
      </c>
      <c r="M210" s="4192">
        <f t="shared" si="315"/>
        <v>305.14</v>
      </c>
      <c r="N210" s="4192">
        <f t="shared" si="316"/>
        <v>50.540486982966371</v>
      </c>
      <c r="O210" s="4229">
        <f t="shared" ref="O210:S210" si="367">SUM(O32+O64+O86+O102)</f>
        <v>138.97821908298337</v>
      </c>
      <c r="P210" s="4229">
        <f t="shared" si="367"/>
        <v>35.480000000000004</v>
      </c>
      <c r="Q210" s="4229">
        <f t="shared" si="367"/>
        <v>16.579999999999998</v>
      </c>
      <c r="R210" s="4229">
        <f t="shared" si="367"/>
        <v>134.70000000000002</v>
      </c>
      <c r="S210" s="4229">
        <f t="shared" si="367"/>
        <v>186.76</v>
      </c>
      <c r="T210" s="4192">
        <f t="shared" si="318"/>
        <v>393.57773210001699</v>
      </c>
      <c r="U210" s="4192">
        <f t="shared" si="319"/>
        <v>491.9</v>
      </c>
      <c r="V210" s="4192">
        <f t="shared" si="320"/>
        <v>98.32226789998299</v>
      </c>
      <c r="W210" s="4229">
        <f t="shared" ref="W210:AA210" si="368">SUM(W32+W64+W86+W102)</f>
        <v>122.42927028360177</v>
      </c>
      <c r="X210" s="4229">
        <f t="shared" si="368"/>
        <v>0</v>
      </c>
      <c r="Y210" s="4229">
        <f t="shared" si="368"/>
        <v>0</v>
      </c>
      <c r="Z210" s="4229">
        <f t="shared" si="368"/>
        <v>0</v>
      </c>
      <c r="AA210" s="4229">
        <f t="shared" si="368"/>
        <v>0</v>
      </c>
      <c r="AB210" s="4192">
        <f t="shared" si="322"/>
        <v>516.00700238361878</v>
      </c>
      <c r="AC210" s="4192">
        <f t="shared" si="323"/>
        <v>491.9</v>
      </c>
      <c r="AD210" s="4192">
        <f t="shared" si="324"/>
        <v>-24.107002383618806</v>
      </c>
      <c r="AE210" s="435"/>
      <c r="AF210" s="435"/>
      <c r="AG210" s="435"/>
      <c r="AH210" s="5"/>
    </row>
    <row r="211" spans="1:34" ht="18.75" customHeight="1">
      <c r="A211" s="4125" t="s">
        <v>552</v>
      </c>
      <c r="B211" s="4228">
        <f>SUM(B33+B65+B103)</f>
        <v>46.949346335114939</v>
      </c>
      <c r="C211" s="4228">
        <f t="shared" ref="C211:K211" si="369">SUM(C33+C65+C103)</f>
        <v>0</v>
      </c>
      <c r="D211" s="4228">
        <f t="shared" si="369"/>
        <v>0</v>
      </c>
      <c r="E211" s="4228">
        <f t="shared" si="369"/>
        <v>18.98</v>
      </c>
      <c r="F211" s="4228">
        <f t="shared" si="369"/>
        <v>18.98</v>
      </c>
      <c r="G211" s="4228">
        <f t="shared" si="369"/>
        <v>56.690318784944999</v>
      </c>
      <c r="H211" s="4228">
        <f t="shared" si="369"/>
        <v>0</v>
      </c>
      <c r="I211" s="4228">
        <f t="shared" si="369"/>
        <v>0</v>
      </c>
      <c r="J211" s="4228">
        <f t="shared" si="369"/>
        <v>0</v>
      </c>
      <c r="K211" s="4228">
        <f t="shared" si="369"/>
        <v>0</v>
      </c>
      <c r="L211" s="4210">
        <f t="shared" si="314"/>
        <v>103.63966512005993</v>
      </c>
      <c r="M211" s="4210">
        <f t="shared" si="315"/>
        <v>18.98</v>
      </c>
      <c r="N211" s="4210">
        <f t="shared" si="316"/>
        <v>-84.659665120059927</v>
      </c>
      <c r="O211" s="4228">
        <f t="shared" ref="O211:S211" si="370">SUM(O33+O65+O103)</f>
        <v>63.498295134496551</v>
      </c>
      <c r="P211" s="4228">
        <f t="shared" si="370"/>
        <v>30.28</v>
      </c>
      <c r="Q211" s="4228">
        <f t="shared" si="370"/>
        <v>6.18</v>
      </c>
      <c r="R211" s="4228">
        <f t="shared" si="370"/>
        <v>134.70000000000002</v>
      </c>
      <c r="S211" s="4228">
        <f t="shared" si="370"/>
        <v>171.16</v>
      </c>
      <c r="T211" s="4210">
        <f t="shared" si="318"/>
        <v>167.13796025455648</v>
      </c>
      <c r="U211" s="4210">
        <f t="shared" si="319"/>
        <v>190.14</v>
      </c>
      <c r="V211" s="4210">
        <f t="shared" si="320"/>
        <v>23.002039745443511</v>
      </c>
      <c r="W211" s="4228">
        <f t="shared" ref="W211:AA211" si="371">SUM(W33+W65+W103)</f>
        <v>46.949346335114939</v>
      </c>
      <c r="X211" s="4228">
        <f t="shared" si="371"/>
        <v>0</v>
      </c>
      <c r="Y211" s="4228">
        <f t="shared" si="371"/>
        <v>0</v>
      </c>
      <c r="Z211" s="4228">
        <f t="shared" si="371"/>
        <v>0</v>
      </c>
      <c r="AA211" s="4228">
        <f t="shared" si="371"/>
        <v>0</v>
      </c>
      <c r="AB211" s="4210">
        <f t="shared" si="322"/>
        <v>214.08730658967141</v>
      </c>
      <c r="AC211" s="4210">
        <f t="shared" si="323"/>
        <v>190.14</v>
      </c>
      <c r="AD211" s="4210">
        <f t="shared" si="324"/>
        <v>-23.947306589671427</v>
      </c>
      <c r="AE211" s="435"/>
      <c r="AF211" s="435"/>
      <c r="AG211" s="435"/>
      <c r="AH211" s="5"/>
    </row>
    <row r="212" spans="1:34" ht="18.75" customHeight="1">
      <c r="A212" s="4125" t="s">
        <v>644</v>
      </c>
      <c r="B212" s="4228">
        <f>SUM(B66)</f>
        <v>73.907913170805486</v>
      </c>
      <c r="C212" s="4228">
        <f t="shared" ref="C212:K213" si="372">SUM(C66)</f>
        <v>0</v>
      </c>
      <c r="D212" s="4228">
        <f t="shared" si="372"/>
        <v>0</v>
      </c>
      <c r="E212" s="4228">
        <f t="shared" si="372"/>
        <v>80.08</v>
      </c>
      <c r="F212" s="4228">
        <f t="shared" si="372"/>
        <v>80.08</v>
      </c>
      <c r="G212" s="4228">
        <f t="shared" si="372"/>
        <v>73.907913170805486</v>
      </c>
      <c r="H212" s="4228">
        <f t="shared" si="372"/>
        <v>2.4</v>
      </c>
      <c r="I212" s="4228">
        <f t="shared" si="372"/>
        <v>0</v>
      </c>
      <c r="J212" s="4228">
        <f t="shared" si="372"/>
        <v>169.07</v>
      </c>
      <c r="K212" s="4228">
        <f t="shared" si="372"/>
        <v>171.47</v>
      </c>
      <c r="L212" s="4210">
        <f t="shared" si="314"/>
        <v>147.81582634161097</v>
      </c>
      <c r="M212" s="4210">
        <f t="shared" si="315"/>
        <v>251.55</v>
      </c>
      <c r="N212" s="4210">
        <f t="shared" si="316"/>
        <v>103.73417365838904</v>
      </c>
      <c r="O212" s="4228">
        <f t="shared" ref="O212:S213" si="373">SUM(O66)</f>
        <v>73.907913170805486</v>
      </c>
      <c r="P212" s="4228">
        <f t="shared" si="373"/>
        <v>5.2</v>
      </c>
      <c r="Q212" s="4228">
        <f t="shared" si="373"/>
        <v>10.4</v>
      </c>
      <c r="R212" s="4228">
        <f t="shared" si="373"/>
        <v>0</v>
      </c>
      <c r="S212" s="4228">
        <f t="shared" si="373"/>
        <v>15.600000000000001</v>
      </c>
      <c r="T212" s="4210">
        <f t="shared" si="318"/>
        <v>221.72373951241644</v>
      </c>
      <c r="U212" s="4210">
        <f t="shared" si="319"/>
        <v>267.15000000000003</v>
      </c>
      <c r="V212" s="4210">
        <f t="shared" si="320"/>
        <v>45.42626048758359</v>
      </c>
      <c r="W212" s="4228">
        <f t="shared" ref="W212:AA213" si="374">SUM(W66)</f>
        <v>73.907913170805486</v>
      </c>
      <c r="X212" s="4228">
        <f t="shared" si="374"/>
        <v>0</v>
      </c>
      <c r="Y212" s="4228">
        <f t="shared" si="374"/>
        <v>0</v>
      </c>
      <c r="Z212" s="4228">
        <f t="shared" si="374"/>
        <v>0</v>
      </c>
      <c r="AA212" s="4228">
        <f t="shared" si="374"/>
        <v>0</v>
      </c>
      <c r="AB212" s="4210">
        <f t="shared" si="322"/>
        <v>295.63165268322194</v>
      </c>
      <c r="AC212" s="4210">
        <f t="shared" si="323"/>
        <v>267.15000000000003</v>
      </c>
      <c r="AD212" s="4210">
        <f t="shared" si="324"/>
        <v>-28.48165268322191</v>
      </c>
      <c r="AE212" s="435"/>
      <c r="AF212" s="435"/>
      <c r="AG212" s="435"/>
      <c r="AH212" s="5"/>
    </row>
    <row r="213" spans="1:34" ht="18.75" customHeight="1">
      <c r="A213" s="4125" t="s">
        <v>560</v>
      </c>
      <c r="B213" s="4228">
        <f>SUM(B67)</f>
        <v>1.2376923258268864</v>
      </c>
      <c r="C213" s="4228">
        <f t="shared" si="372"/>
        <v>0</v>
      </c>
      <c r="D213" s="4228">
        <f t="shared" si="372"/>
        <v>0</v>
      </c>
      <c r="E213" s="4228">
        <f t="shared" si="372"/>
        <v>9.0299999999999994</v>
      </c>
      <c r="F213" s="4228">
        <f t="shared" si="372"/>
        <v>9.0299999999999994</v>
      </c>
      <c r="G213" s="4228">
        <f t="shared" si="372"/>
        <v>1.2376923258268864</v>
      </c>
      <c r="H213" s="4228">
        <f t="shared" si="372"/>
        <v>0</v>
      </c>
      <c r="I213" s="4228">
        <f t="shared" si="372"/>
        <v>8.18</v>
      </c>
      <c r="J213" s="4228">
        <f t="shared" si="372"/>
        <v>17.399999999999999</v>
      </c>
      <c r="K213" s="4228">
        <f t="shared" si="372"/>
        <v>25.58</v>
      </c>
      <c r="L213" s="4210">
        <f t="shared" si="314"/>
        <v>2.4753846516537727</v>
      </c>
      <c r="M213" s="4210">
        <f t="shared" si="315"/>
        <v>34.61</v>
      </c>
      <c r="N213" s="4210">
        <f t="shared" si="316"/>
        <v>32.13461534834623</v>
      </c>
      <c r="O213" s="4228">
        <f t="shared" si="373"/>
        <v>1.2376923258268864</v>
      </c>
      <c r="P213" s="4228">
        <f t="shared" si="373"/>
        <v>0</v>
      </c>
      <c r="Q213" s="4228">
        <f t="shared" si="373"/>
        <v>0</v>
      </c>
      <c r="R213" s="4228">
        <f t="shared" si="373"/>
        <v>0</v>
      </c>
      <c r="S213" s="4228">
        <f t="shared" si="373"/>
        <v>0</v>
      </c>
      <c r="T213" s="4210">
        <f t="shared" si="318"/>
        <v>3.7130769774806591</v>
      </c>
      <c r="U213" s="4210">
        <f t="shared" si="319"/>
        <v>34.61</v>
      </c>
      <c r="V213" s="4210">
        <f t="shared" si="320"/>
        <v>30.896923022519339</v>
      </c>
      <c r="W213" s="4228">
        <f t="shared" si="374"/>
        <v>1.2376923258268864</v>
      </c>
      <c r="X213" s="4228">
        <f t="shared" si="374"/>
        <v>0</v>
      </c>
      <c r="Y213" s="4228">
        <f t="shared" si="374"/>
        <v>0</v>
      </c>
      <c r="Z213" s="4228">
        <f t="shared" si="374"/>
        <v>0</v>
      </c>
      <c r="AA213" s="4228">
        <f t="shared" si="374"/>
        <v>0</v>
      </c>
      <c r="AB213" s="4210">
        <f t="shared" si="322"/>
        <v>4.9507693033075455</v>
      </c>
      <c r="AC213" s="4210">
        <f t="shared" si="323"/>
        <v>34.61</v>
      </c>
      <c r="AD213" s="4210">
        <f t="shared" si="324"/>
        <v>29.659230696692454</v>
      </c>
      <c r="AE213" s="435"/>
      <c r="AF213" s="435"/>
      <c r="AG213" s="435"/>
      <c r="AH213" s="5"/>
    </row>
    <row r="214" spans="1:34" ht="18.75" customHeight="1">
      <c r="A214" s="4125" t="s">
        <v>614</v>
      </c>
      <c r="B214" s="4228">
        <f>SUM(B68+B87+B104)</f>
        <v>0.3343184518544764</v>
      </c>
      <c r="C214" s="4228">
        <f t="shared" ref="C214:K214" si="375">SUM(C68+C87+C104)</f>
        <v>0</v>
      </c>
      <c r="D214" s="4228">
        <f t="shared" si="375"/>
        <v>0</v>
      </c>
      <c r="E214" s="4228">
        <f t="shared" si="375"/>
        <v>0</v>
      </c>
      <c r="F214" s="4228">
        <f t="shared" si="375"/>
        <v>0</v>
      </c>
      <c r="G214" s="4228">
        <f t="shared" si="375"/>
        <v>0.3343184518544764</v>
      </c>
      <c r="H214" s="4228">
        <f t="shared" si="375"/>
        <v>0</v>
      </c>
      <c r="I214" s="4228">
        <f t="shared" si="375"/>
        <v>0</v>
      </c>
      <c r="J214" s="4228">
        <f t="shared" si="375"/>
        <v>0</v>
      </c>
      <c r="K214" s="4228">
        <f t="shared" si="375"/>
        <v>0</v>
      </c>
      <c r="L214" s="4210">
        <f t="shared" si="314"/>
        <v>0.66863690370895279</v>
      </c>
      <c r="M214" s="4210">
        <f t="shared" si="315"/>
        <v>0</v>
      </c>
      <c r="N214" s="4210">
        <f t="shared" si="316"/>
        <v>-0.66863690370895279</v>
      </c>
      <c r="O214" s="4228">
        <f t="shared" ref="O214:S214" si="376">SUM(O68+O87+O104)</f>
        <v>0.3343184518544764</v>
      </c>
      <c r="P214" s="4228">
        <f t="shared" si="376"/>
        <v>0</v>
      </c>
      <c r="Q214" s="4228">
        <f t="shared" si="376"/>
        <v>0</v>
      </c>
      <c r="R214" s="4228">
        <f t="shared" si="376"/>
        <v>0</v>
      </c>
      <c r="S214" s="4228">
        <f t="shared" si="376"/>
        <v>0</v>
      </c>
      <c r="T214" s="4210">
        <f t="shared" si="318"/>
        <v>1.0029553555634292</v>
      </c>
      <c r="U214" s="4210">
        <f t="shared" si="319"/>
        <v>0</v>
      </c>
      <c r="V214" s="4210">
        <f t="shared" si="320"/>
        <v>-1.0029553555634292</v>
      </c>
      <c r="W214" s="4228">
        <f t="shared" ref="W214:AA214" si="377">SUM(W68+W87+W104)</f>
        <v>0.3343184518544764</v>
      </c>
      <c r="X214" s="4228">
        <f t="shared" si="377"/>
        <v>0</v>
      </c>
      <c r="Y214" s="4228">
        <f t="shared" si="377"/>
        <v>0</v>
      </c>
      <c r="Z214" s="4228">
        <f t="shared" si="377"/>
        <v>0</v>
      </c>
      <c r="AA214" s="4228">
        <f t="shared" si="377"/>
        <v>0</v>
      </c>
      <c r="AB214" s="4210">
        <f t="shared" si="322"/>
        <v>1.3372738074179056</v>
      </c>
      <c r="AC214" s="4210">
        <f t="shared" si="323"/>
        <v>0</v>
      </c>
      <c r="AD214" s="4210">
        <f t="shared" si="324"/>
        <v>-1.3372738074179056</v>
      </c>
      <c r="AE214" s="435"/>
      <c r="AF214" s="435"/>
      <c r="AG214" s="435"/>
      <c r="AH214" s="5"/>
    </row>
    <row r="215" spans="1:34" ht="18.75" customHeight="1">
      <c r="A215" s="4125" t="s">
        <v>1743</v>
      </c>
      <c r="B215" s="4228">
        <f>SUM(B105)</f>
        <v>0</v>
      </c>
      <c r="C215" s="4228">
        <f t="shared" ref="C215:K215" si="378">SUM(C105)</f>
        <v>0</v>
      </c>
      <c r="D215" s="4228">
        <f t="shared" si="378"/>
        <v>0</v>
      </c>
      <c r="E215" s="4228">
        <f t="shared" si="378"/>
        <v>0</v>
      </c>
      <c r="F215" s="4228">
        <f t="shared" si="378"/>
        <v>0</v>
      </c>
      <c r="G215" s="4228">
        <f t="shared" si="378"/>
        <v>0</v>
      </c>
      <c r="H215" s="4228">
        <f t="shared" si="378"/>
        <v>0</v>
      </c>
      <c r="I215" s="4228">
        <f t="shared" si="378"/>
        <v>0</v>
      </c>
      <c r="J215" s="4228">
        <f t="shared" si="378"/>
        <v>0</v>
      </c>
      <c r="K215" s="4228">
        <f t="shared" si="378"/>
        <v>0</v>
      </c>
      <c r="L215" s="4210">
        <f t="shared" si="314"/>
        <v>0</v>
      </c>
      <c r="M215" s="4210">
        <f t="shared" si="315"/>
        <v>0</v>
      </c>
      <c r="N215" s="4210">
        <f t="shared" si="316"/>
        <v>0</v>
      </c>
      <c r="O215" s="4228">
        <f t="shared" ref="O215:S215" si="379">SUM(O105)</f>
        <v>0</v>
      </c>
      <c r="P215" s="4228">
        <f t="shared" si="379"/>
        <v>0</v>
      </c>
      <c r="Q215" s="4228">
        <f t="shared" si="379"/>
        <v>0</v>
      </c>
      <c r="R215" s="4228">
        <f t="shared" si="379"/>
        <v>0</v>
      </c>
      <c r="S215" s="4228">
        <f t="shared" si="379"/>
        <v>0</v>
      </c>
      <c r="T215" s="4210">
        <f t="shared" ref="T215" si="380">SUM(L215+O215)</f>
        <v>0</v>
      </c>
      <c r="U215" s="4210">
        <f t="shared" si="319"/>
        <v>0</v>
      </c>
      <c r="V215" s="4210">
        <f t="shared" si="320"/>
        <v>0</v>
      </c>
      <c r="W215" s="4228">
        <f t="shared" ref="W215:AA215" si="381">SUM(W105)</f>
        <v>0</v>
      </c>
      <c r="X215" s="4228">
        <f t="shared" si="381"/>
        <v>0</v>
      </c>
      <c r="Y215" s="4228">
        <f t="shared" si="381"/>
        <v>0</v>
      </c>
      <c r="Z215" s="4228">
        <f t="shared" si="381"/>
        <v>0</v>
      </c>
      <c r="AA215" s="4228">
        <f t="shared" si="381"/>
        <v>0</v>
      </c>
      <c r="AB215" s="4210">
        <f t="shared" ref="AB215" si="382">SUM(W215+T215)</f>
        <v>0</v>
      </c>
      <c r="AC215" s="4210">
        <f t="shared" si="323"/>
        <v>0</v>
      </c>
      <c r="AD215" s="4210">
        <f t="shared" si="324"/>
        <v>0</v>
      </c>
      <c r="AE215" s="435"/>
      <c r="AF215" s="435"/>
      <c r="AG215" s="435"/>
      <c r="AH215" s="5"/>
    </row>
    <row r="216" spans="1:34" ht="18.75" customHeight="1">
      <c r="A216" s="4230" t="s">
        <v>293</v>
      </c>
      <c r="B216" s="4229">
        <f>SUM(B186:B205)+B210</f>
        <v>2776.1337717952533</v>
      </c>
      <c r="C216" s="4229">
        <f t="shared" ref="C216:K216" si="383">SUM(C186:C205)+C210</f>
        <v>943.17999999999984</v>
      </c>
      <c r="D216" s="4229">
        <f t="shared" si="383"/>
        <v>788.71</v>
      </c>
      <c r="E216" s="4229">
        <f t="shared" si="383"/>
        <v>855.27</v>
      </c>
      <c r="F216" s="4229">
        <f t="shared" si="383"/>
        <v>2587.1600000000012</v>
      </c>
      <c r="G216" s="4229">
        <f t="shared" si="383"/>
        <v>2662.4424185277853</v>
      </c>
      <c r="H216" s="4229">
        <f t="shared" si="383"/>
        <v>848.00999999999988</v>
      </c>
      <c r="I216" s="4229">
        <f t="shared" si="383"/>
        <v>782.62999999999977</v>
      </c>
      <c r="J216" s="4229">
        <f t="shared" si="383"/>
        <v>1065.58</v>
      </c>
      <c r="K216" s="4229">
        <f t="shared" si="383"/>
        <v>2696.2200000000003</v>
      </c>
      <c r="L216" s="4192">
        <f t="shared" si="314"/>
        <v>5438.5761903230386</v>
      </c>
      <c r="M216" s="4192">
        <f t="shared" si="315"/>
        <v>5283.380000000001</v>
      </c>
      <c r="N216" s="4192">
        <f t="shared" si="316"/>
        <v>-155.19619032303763</v>
      </c>
      <c r="O216" s="4229">
        <f t="shared" ref="O216:S216" si="384">SUM(O186:O205)+O210</f>
        <v>2742.0582691237878</v>
      </c>
      <c r="P216" s="4229">
        <f t="shared" si="384"/>
        <v>692.73</v>
      </c>
      <c r="Q216" s="4229">
        <f t="shared" si="384"/>
        <v>879.81</v>
      </c>
      <c r="R216" s="4229">
        <f t="shared" si="384"/>
        <v>1160.68</v>
      </c>
      <c r="S216" s="4229">
        <f t="shared" si="384"/>
        <v>2733.2200000000003</v>
      </c>
      <c r="T216" s="4192">
        <f t="shared" si="318"/>
        <v>8180.6344594468264</v>
      </c>
      <c r="U216" s="4192">
        <f t="shared" si="319"/>
        <v>8016.6000000000013</v>
      </c>
      <c r="V216" s="4192">
        <f t="shared" si="320"/>
        <v>-164.03445944682517</v>
      </c>
      <c r="W216" s="4229">
        <f t="shared" ref="W216:AA216" si="385">SUM(W186:W205)+W210</f>
        <v>2858.8838720837971</v>
      </c>
      <c r="X216" s="4229">
        <f t="shared" si="385"/>
        <v>0</v>
      </c>
      <c r="Y216" s="4229">
        <f t="shared" si="385"/>
        <v>0</v>
      </c>
      <c r="Z216" s="4229">
        <f t="shared" si="385"/>
        <v>0</v>
      </c>
      <c r="AA216" s="4229">
        <f t="shared" si="385"/>
        <v>0</v>
      </c>
      <c r="AB216" s="4192">
        <f t="shared" si="322"/>
        <v>11039.518331530624</v>
      </c>
      <c r="AC216" s="4192">
        <f t="shared" si="323"/>
        <v>8016.6000000000013</v>
      </c>
      <c r="AD216" s="4192">
        <f t="shared" si="324"/>
        <v>-3022.9183315306227</v>
      </c>
      <c r="AE216" s="435"/>
      <c r="AF216" s="435"/>
      <c r="AG216" s="435"/>
      <c r="AH216" s="5"/>
    </row>
    <row r="217" spans="1:34" ht="18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8.75" customHeight="1">
      <c r="A218" s="4216" t="s">
        <v>1913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8.75" customHeight="1">
      <c r="A219" s="4216" t="s">
        <v>1915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8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8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8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8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8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8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8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8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8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8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8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8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8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8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8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8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8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8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8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8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8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8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8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8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8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8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8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8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8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8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8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8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8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8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8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8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8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8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8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8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8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8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8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8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8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8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8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8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8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8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8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8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8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8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8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8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8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8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8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8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8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8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8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8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8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8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8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8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8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8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8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8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8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8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8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8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8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8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8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8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8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8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8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8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8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8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8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8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8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8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8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8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8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8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8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8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8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8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8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8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8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8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8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8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8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8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8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8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8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8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8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8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8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8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8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8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8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8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8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8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8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8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8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8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8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8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8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8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8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8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8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8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8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8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8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8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8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8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8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8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8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8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8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8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8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8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8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8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8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8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8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8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8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8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8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8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8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8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8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8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8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8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8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8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8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8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8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8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8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8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8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8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8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8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8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8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8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8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8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8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8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8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8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8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8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8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8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8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8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8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8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8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8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8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8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8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8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8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8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8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8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8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8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8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8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8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8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8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8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8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8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8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8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8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8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8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8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8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8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8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8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8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8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8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8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8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8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8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8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8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8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8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8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8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8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8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8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8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8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8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8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8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8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8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8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8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8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8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8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8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8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8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8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8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8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8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8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8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8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8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8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8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8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8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8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8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8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8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8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8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8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8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8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8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8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8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8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8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8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8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8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8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8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8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8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8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8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8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8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8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8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8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8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8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8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8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8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8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8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8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8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8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8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8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8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8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8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8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8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8.75" customHeight="1"/>
    <row r="533" spans="1:34" ht="18.75" customHeight="1"/>
    <row r="534" spans="1:34" ht="18.75" customHeight="1"/>
    <row r="535" spans="1:34" ht="18.75" customHeight="1"/>
    <row r="536" spans="1:34" ht="18.75" customHeight="1"/>
    <row r="537" spans="1:34" ht="18.75" customHeight="1"/>
    <row r="538" spans="1:34" ht="18.75" customHeight="1"/>
    <row r="539" spans="1:34" ht="18.75" customHeight="1"/>
  </sheetData>
  <mergeCells count="40">
    <mergeCell ref="W184:AA184"/>
    <mergeCell ref="AB184:AD184"/>
    <mergeCell ref="A184:A185"/>
    <mergeCell ref="B184:F184"/>
    <mergeCell ref="G184:K184"/>
    <mergeCell ref="L184:N184"/>
    <mergeCell ref="O184:S184"/>
    <mergeCell ref="T184:V184"/>
    <mergeCell ref="W135:AA135"/>
    <mergeCell ref="AB135:AD135"/>
    <mergeCell ref="A142:A143"/>
    <mergeCell ref="B142:F142"/>
    <mergeCell ref="G142:K142"/>
    <mergeCell ref="L142:N142"/>
    <mergeCell ref="O142:S142"/>
    <mergeCell ref="T142:V142"/>
    <mergeCell ref="W142:AA142"/>
    <mergeCell ref="AB142:AD142"/>
    <mergeCell ref="A135:A136"/>
    <mergeCell ref="B135:F135"/>
    <mergeCell ref="G135:K135"/>
    <mergeCell ref="L135:N135"/>
    <mergeCell ref="O135:S135"/>
    <mergeCell ref="T135:V135"/>
    <mergeCell ref="W5:AA5"/>
    <mergeCell ref="AB5:AD5"/>
    <mergeCell ref="A13:A14"/>
    <mergeCell ref="B13:F13"/>
    <mergeCell ref="G13:K13"/>
    <mergeCell ref="L13:N13"/>
    <mergeCell ref="O13:S13"/>
    <mergeCell ref="T13:V13"/>
    <mergeCell ref="W13:AA13"/>
    <mergeCell ref="AB13:AD13"/>
    <mergeCell ref="A5:A6"/>
    <mergeCell ref="B5:F5"/>
    <mergeCell ref="G5:K5"/>
    <mergeCell ref="L5:N5"/>
    <mergeCell ref="O5:S5"/>
    <mergeCell ref="T5:V5"/>
  </mergeCells>
  <printOptions horizontalCentered="1"/>
  <pageMargins left="0.59055118110236227" right="0" top="0.19685039370078741" bottom="0.19685039370078741" header="0.51181102362204722" footer="0.51181102362204722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G61"/>
  <sheetViews>
    <sheetView zoomScale="62" zoomScaleNormal="62" zoomScalePageLayoutView="90" workbookViewId="0">
      <pane xSplit="9" ySplit="37" topLeftCell="Q53" activePane="bottomRight" state="frozen"/>
      <selection pane="topRight" activeCell="J1" sqref="J1"/>
      <selection pane="bottomLeft" activeCell="A38" sqref="A38"/>
      <selection pane="bottomRight" activeCell="AH58" sqref="AH58"/>
    </sheetView>
  </sheetViews>
  <sheetFormatPr defaultColWidth="15.140625" defaultRowHeight="12.75"/>
  <cols>
    <col min="1" max="1" width="45.5703125" customWidth="1"/>
    <col min="2" max="2" width="9.42578125" hidden="1" customWidth="1"/>
    <col min="3" max="3" width="8.85546875" hidden="1" customWidth="1"/>
    <col min="4" max="4" width="1.140625" hidden="1" customWidth="1"/>
    <col min="5" max="9" width="15.140625" hidden="1" customWidth="1"/>
    <col min="10" max="10" width="16.5703125" customWidth="1"/>
    <col min="11" max="12" width="15.140625" customWidth="1"/>
    <col min="13" max="13" width="12.28515625" customWidth="1"/>
    <col min="14" max="19" width="15.140625" customWidth="1"/>
    <col min="20" max="20" width="16.5703125" customWidth="1"/>
    <col min="21" max="22" width="15.28515625" customWidth="1"/>
    <col min="23" max="23" width="12.140625" customWidth="1"/>
    <col min="24" max="24" width="16.42578125" hidden="1" customWidth="1"/>
    <col min="25" max="26" width="15.140625" hidden="1" customWidth="1"/>
    <col min="27" max="27" width="12.140625" hidden="1" customWidth="1"/>
    <col min="28" max="28" width="15.140625" customWidth="1"/>
    <col min="31" max="32" width="17.7109375" customWidth="1"/>
  </cols>
  <sheetData>
    <row r="1" spans="1:32" ht="18.75" customHeight="1">
      <c r="A1" s="4484" t="s">
        <v>1525</v>
      </c>
      <c r="B1" s="4484"/>
      <c r="C1" s="4484"/>
      <c r="D1" s="4484"/>
      <c r="E1" s="4484"/>
      <c r="F1" s="4484"/>
      <c r="G1" s="4484"/>
      <c r="H1" s="4484"/>
      <c r="I1" s="4484"/>
      <c r="J1" s="4484"/>
      <c r="K1" s="4484"/>
      <c r="L1" s="4484"/>
      <c r="M1" s="4484"/>
      <c r="N1" s="4484"/>
      <c r="O1" s="4484"/>
      <c r="P1" s="4484"/>
      <c r="Q1" s="4484"/>
      <c r="R1" s="4484"/>
      <c r="S1" s="4484"/>
      <c r="T1" s="4484"/>
      <c r="U1" s="4484"/>
      <c r="V1" s="4484"/>
      <c r="W1" s="4484"/>
      <c r="X1" s="4484"/>
      <c r="Y1" s="4484"/>
      <c r="Z1" s="4484"/>
      <c r="AA1" s="4484"/>
      <c r="AB1" s="4484"/>
      <c r="AC1" s="4484"/>
      <c r="AD1" s="4484"/>
      <c r="AE1" s="4484"/>
      <c r="AF1" s="4484"/>
    </row>
    <row r="2" spans="1:32" ht="18.75" customHeight="1">
      <c r="A2" s="4485" t="s">
        <v>57</v>
      </c>
      <c r="B2" s="4485"/>
      <c r="C2" s="4485"/>
      <c r="D2" s="4485"/>
      <c r="E2" s="4485"/>
      <c r="F2" s="4485"/>
      <c r="G2" s="4485"/>
      <c r="H2" s="4485"/>
      <c r="I2" s="4485"/>
      <c r="J2" s="4485"/>
      <c r="K2" s="4485"/>
      <c r="L2" s="4485"/>
      <c r="M2" s="4485"/>
      <c r="N2" s="4485"/>
      <c r="O2" s="4485"/>
      <c r="P2" s="4485"/>
      <c r="Q2" s="4485"/>
      <c r="R2" s="4485"/>
      <c r="S2" s="4485"/>
      <c r="T2" s="4485"/>
      <c r="U2" s="4485"/>
      <c r="V2" s="4485"/>
      <c r="W2" s="4485"/>
      <c r="X2" s="4485"/>
      <c r="Y2" s="4485"/>
      <c r="Z2" s="4485"/>
      <c r="AA2" s="4485"/>
      <c r="AB2" s="4486"/>
      <c r="AC2" s="4486"/>
      <c r="AD2" s="4486"/>
      <c r="AE2" s="4486"/>
      <c r="AF2" s="4486"/>
    </row>
    <row r="3" spans="1:32" ht="18.75" customHeight="1">
      <c r="A3" s="4499" t="s">
        <v>19</v>
      </c>
      <c r="B3" s="4500"/>
      <c r="C3" s="4500"/>
      <c r="D3" s="4500"/>
      <c r="E3" s="4500"/>
      <c r="F3" s="4500"/>
      <c r="G3" s="4500"/>
      <c r="H3" s="4500"/>
      <c r="I3" s="4500"/>
      <c r="J3" s="4500"/>
      <c r="K3" s="4500"/>
      <c r="L3" s="4500"/>
      <c r="M3" s="4500"/>
      <c r="N3" s="4500"/>
      <c r="O3" s="4500"/>
      <c r="P3" s="4500"/>
      <c r="Q3" s="4500"/>
      <c r="R3" s="4500"/>
      <c r="S3" s="4500"/>
      <c r="T3" s="4500"/>
      <c r="U3" s="4500"/>
      <c r="V3" s="4500"/>
      <c r="W3" s="4500"/>
      <c r="X3" s="4500"/>
      <c r="Y3" s="4500"/>
      <c r="Z3" s="4500"/>
      <c r="AA3" s="4500"/>
      <c r="AB3" s="4501"/>
      <c r="AC3" s="4501"/>
      <c r="AD3" s="4501"/>
      <c r="AE3" s="4501"/>
      <c r="AF3" s="4501"/>
    </row>
    <row r="4" spans="1:32" ht="12.75" hidden="1" customHeight="1">
      <c r="A4" s="4508"/>
      <c r="B4" s="4506" t="s">
        <v>58</v>
      </c>
      <c r="C4" s="4437" t="s">
        <v>59</v>
      </c>
      <c r="D4" s="4438"/>
      <c r="E4" s="2802" t="s">
        <v>67</v>
      </c>
      <c r="F4" s="4437" t="s">
        <v>95</v>
      </c>
      <c r="G4" s="4438"/>
      <c r="H4" s="4437" t="s">
        <v>124</v>
      </c>
      <c r="I4" s="4505"/>
      <c r="J4" s="4438"/>
      <c r="K4" s="4502" t="s">
        <v>162</v>
      </c>
      <c r="L4" s="4503"/>
      <c r="M4" s="4503"/>
      <c r="N4" s="4503"/>
      <c r="O4" s="4503"/>
      <c r="P4" s="4503"/>
      <c r="Q4" s="4503"/>
      <c r="R4" s="4503"/>
      <c r="S4" s="4503"/>
      <c r="T4" s="4503"/>
      <c r="U4" s="4503"/>
      <c r="V4" s="4503"/>
      <c r="W4" s="4503"/>
      <c r="X4" s="4503"/>
      <c r="Y4" s="4503"/>
      <c r="Z4" s="4503"/>
      <c r="AA4" s="4503"/>
      <c r="AB4" s="4504"/>
    </row>
    <row r="5" spans="1:32" ht="12.75" hidden="1" customHeight="1">
      <c r="A5" s="4508"/>
      <c r="B5" s="4506"/>
      <c r="C5" s="4442" t="s">
        <v>61</v>
      </c>
      <c r="D5" s="4439" t="s">
        <v>62</v>
      </c>
      <c r="E5" s="4442" t="s">
        <v>61</v>
      </c>
      <c r="F5" s="4442" t="s">
        <v>61</v>
      </c>
      <c r="G5" s="4439" t="s">
        <v>112</v>
      </c>
      <c r="H5" s="4442" t="s">
        <v>60</v>
      </c>
      <c r="I5" s="794"/>
      <c r="J5" s="4439" t="s">
        <v>110</v>
      </c>
      <c r="K5" s="4442" t="s">
        <v>96</v>
      </c>
      <c r="L5" s="1636"/>
      <c r="M5" s="378"/>
      <c r="N5" s="794"/>
      <c r="O5" s="1866"/>
      <c r="P5" s="2018"/>
      <c r="Q5" s="794"/>
      <c r="R5" s="2768"/>
      <c r="S5" s="2768"/>
      <c r="T5" s="794"/>
      <c r="U5" s="794"/>
      <c r="V5" s="1629"/>
      <c r="W5" s="794"/>
      <c r="X5" s="2475"/>
      <c r="Y5" s="2475"/>
      <c r="Z5" s="2475"/>
      <c r="AA5" s="2475"/>
      <c r="AB5" s="4439" t="s">
        <v>61</v>
      </c>
    </row>
    <row r="6" spans="1:32" ht="12.75" hidden="1" customHeight="1">
      <c r="A6" s="4508"/>
      <c r="B6" s="4506"/>
      <c r="C6" s="4443"/>
      <c r="D6" s="4440"/>
      <c r="E6" s="4443"/>
      <c r="F6" s="4443"/>
      <c r="G6" s="4440"/>
      <c r="H6" s="4443"/>
      <c r="I6" s="702"/>
      <c r="J6" s="4440"/>
      <c r="K6" s="4443"/>
      <c r="L6" s="1637"/>
      <c r="M6" s="379"/>
      <c r="N6" s="702"/>
      <c r="O6" s="1859"/>
      <c r="P6" s="2016"/>
      <c r="Q6" s="702"/>
      <c r="R6" s="2725"/>
      <c r="S6" s="2725"/>
      <c r="T6" s="702"/>
      <c r="U6" s="702"/>
      <c r="V6" s="1603"/>
      <c r="W6" s="702"/>
      <c r="X6" s="2263"/>
      <c r="Y6" s="2263"/>
      <c r="Z6" s="2263"/>
      <c r="AA6" s="2263"/>
      <c r="AB6" s="4440"/>
    </row>
    <row r="7" spans="1:32" ht="13.5" hidden="1" customHeight="1" thickBot="1">
      <c r="A7" s="4509"/>
      <c r="B7" s="4507"/>
      <c r="C7" s="4444"/>
      <c r="D7" s="4441"/>
      <c r="E7" s="4444"/>
      <c r="F7" s="4444"/>
      <c r="G7" s="4441"/>
      <c r="H7" s="4444"/>
      <c r="I7" s="703"/>
      <c r="J7" s="4441"/>
      <c r="K7" s="4444"/>
      <c r="L7" s="1638"/>
      <c r="M7" s="279"/>
      <c r="N7" s="703"/>
      <c r="O7" s="1860"/>
      <c r="P7" s="2017"/>
      <c r="Q7" s="703"/>
      <c r="R7" s="2726"/>
      <c r="S7" s="2726"/>
      <c r="T7" s="703"/>
      <c r="U7" s="703"/>
      <c r="V7" s="1604"/>
      <c r="W7" s="703"/>
      <c r="X7" s="2264"/>
      <c r="Y7" s="2264"/>
      <c r="Z7" s="2264"/>
      <c r="AA7" s="2264"/>
      <c r="AB7" s="4441"/>
    </row>
    <row r="8" spans="1:32" ht="13.5" hidden="1" customHeight="1" thickBot="1">
      <c r="A8" s="4449" t="s">
        <v>46</v>
      </c>
      <c r="B8" s="4450"/>
      <c r="C8" s="4450"/>
      <c r="D8" s="4450"/>
      <c r="E8" s="4450"/>
      <c r="F8" s="4450"/>
      <c r="G8" s="4450"/>
      <c r="H8" s="4450"/>
      <c r="I8" s="4450"/>
      <c r="J8" s="4450"/>
      <c r="K8" s="4450"/>
      <c r="L8" s="4450"/>
      <c r="M8" s="4450"/>
      <c r="N8" s="4450"/>
      <c r="O8" s="4450"/>
      <c r="P8" s="4450"/>
      <c r="Q8" s="4450"/>
      <c r="R8" s="4450"/>
      <c r="S8" s="4450"/>
      <c r="T8" s="4450"/>
      <c r="U8" s="4450"/>
      <c r="V8" s="4450"/>
      <c r="W8" s="4450"/>
      <c r="X8" s="4450"/>
      <c r="Y8" s="4450"/>
      <c r="Z8" s="4450"/>
      <c r="AA8" s="4450"/>
      <c r="AB8" s="4451"/>
    </row>
    <row r="9" spans="1:32" ht="12.75" hidden="1" customHeight="1">
      <c r="A9" s="33" t="s">
        <v>18</v>
      </c>
      <c r="B9" s="37">
        <f>B10+B12</f>
        <v>10513.699999999999</v>
      </c>
      <c r="C9" s="42">
        <f>C10+C12</f>
        <v>8838.9000000000015</v>
      </c>
      <c r="D9" s="43">
        <f>C9/B9*100</f>
        <v>84.07030826445498</v>
      </c>
      <c r="E9" s="42">
        <f>E10+E11+E12</f>
        <v>8862.9</v>
      </c>
      <c r="F9" s="41">
        <f>F10+F11+F12</f>
        <v>8372.9</v>
      </c>
      <c r="G9" s="43">
        <f>F9/E9*100</f>
        <v>94.471335567365088</v>
      </c>
      <c r="H9" s="115">
        <f>SUM(H10:H12)</f>
        <v>6659.1</v>
      </c>
      <c r="I9" s="42"/>
      <c r="J9" s="42">
        <f>J10+J11+J12</f>
        <v>6666.9000000000005</v>
      </c>
      <c r="K9" s="41">
        <f>K10+K12</f>
        <v>6659.1</v>
      </c>
      <c r="L9" s="115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177">
        <f>AB10+AB12</f>
        <v>7835.7</v>
      </c>
    </row>
    <row r="10" spans="1:32" ht="12.75" hidden="1" customHeight="1">
      <c r="A10" s="34" t="s">
        <v>20</v>
      </c>
      <c r="B10" s="38">
        <v>744.9</v>
      </c>
      <c r="C10" s="4">
        <v>643.70000000000005</v>
      </c>
      <c r="D10" s="45">
        <f>C10/B10*100</f>
        <v>86.414283796482763</v>
      </c>
      <c r="E10" s="4">
        <v>811.9</v>
      </c>
      <c r="F10" s="44">
        <v>876.4</v>
      </c>
      <c r="G10" s="45">
        <f>F10/E10*100</f>
        <v>107.9443281192265</v>
      </c>
      <c r="H10" s="113">
        <v>841.6</v>
      </c>
      <c r="I10" s="795"/>
      <c r="J10" s="11">
        <v>580.70000000000005</v>
      </c>
      <c r="K10" s="44">
        <v>876</v>
      </c>
      <c r="L10" s="1639"/>
      <c r="M10" s="6"/>
      <c r="N10" s="799"/>
      <c r="O10" s="1867"/>
      <c r="P10" s="2019"/>
      <c r="Q10" s="799"/>
      <c r="R10" s="2769"/>
      <c r="S10" s="2769"/>
      <c r="T10" s="799"/>
      <c r="U10" s="799"/>
      <c r="V10" s="1630"/>
      <c r="W10" s="799"/>
      <c r="X10" s="2471"/>
      <c r="Y10" s="2471"/>
      <c r="Z10" s="2471"/>
      <c r="AA10" s="2471"/>
      <c r="AB10" s="283">
        <f>7835.7-4227.7-2796.3</f>
        <v>811.69999999999982</v>
      </c>
    </row>
    <row r="11" spans="1:32" ht="12.75" hidden="1" customHeight="1">
      <c r="A11" s="55" t="s">
        <v>113</v>
      </c>
      <c r="B11" s="32"/>
      <c r="C11" s="2"/>
      <c r="D11" s="47"/>
      <c r="E11" s="2">
        <v>54.2</v>
      </c>
      <c r="F11" s="56">
        <v>0</v>
      </c>
      <c r="G11" s="45">
        <f>F11/E11*100</f>
        <v>0</v>
      </c>
      <c r="H11" s="112">
        <v>22.5</v>
      </c>
      <c r="I11" s="796"/>
      <c r="J11" s="31"/>
      <c r="K11" s="56"/>
      <c r="L11" s="1640"/>
      <c r="M11" s="6"/>
      <c r="N11" s="799"/>
      <c r="O11" s="1867"/>
      <c r="P11" s="2019"/>
      <c r="Q11" s="799"/>
      <c r="R11" s="2769"/>
      <c r="S11" s="2769"/>
      <c r="T11" s="799"/>
      <c r="U11" s="799"/>
      <c r="V11" s="1630"/>
      <c r="W11" s="799"/>
      <c r="X11" s="2471"/>
      <c r="Y11" s="2471"/>
      <c r="Z11" s="2471"/>
      <c r="AA11" s="2471"/>
      <c r="AB11" s="178"/>
    </row>
    <row r="12" spans="1:32" ht="12.75" hidden="1" customHeight="1">
      <c r="A12" s="34" t="s">
        <v>21</v>
      </c>
      <c r="B12" s="38">
        <f>B13+B15</f>
        <v>9768.7999999999993</v>
      </c>
      <c r="C12" s="4">
        <f>C13+C15</f>
        <v>8195.2000000000007</v>
      </c>
      <c r="D12" s="45">
        <f>C12/B12*100</f>
        <v>83.891573171730414</v>
      </c>
      <c r="E12" s="4">
        <f>E13+E15</f>
        <v>7996.7999999999993</v>
      </c>
      <c r="F12" s="44">
        <f>F13+F15</f>
        <v>7496.5</v>
      </c>
      <c r="G12" s="45">
        <f>F12/E12*100</f>
        <v>93.74374749899961</v>
      </c>
      <c r="H12" s="113">
        <f>H13+H15</f>
        <v>5795</v>
      </c>
      <c r="I12" s="797"/>
      <c r="J12" s="4">
        <f>J13+J15</f>
        <v>6086.2000000000007</v>
      </c>
      <c r="K12" s="44">
        <f>K13+K15</f>
        <v>5783.1</v>
      </c>
      <c r="L12" s="1639"/>
      <c r="M12" s="6"/>
      <c r="N12" s="799"/>
      <c r="O12" s="1867"/>
      <c r="P12" s="2019"/>
      <c r="Q12" s="799"/>
      <c r="R12" s="2769"/>
      <c r="S12" s="2769"/>
      <c r="T12" s="799"/>
      <c r="U12" s="799"/>
      <c r="V12" s="1630"/>
      <c r="W12" s="799"/>
      <c r="X12" s="2471"/>
      <c r="Y12" s="2471"/>
      <c r="Z12" s="2471"/>
      <c r="AA12" s="2471"/>
      <c r="AB12" s="260">
        <f>AB13+AB15</f>
        <v>7024</v>
      </c>
    </row>
    <row r="13" spans="1:32" ht="12.75" hidden="1" customHeight="1">
      <c r="A13" s="34" t="s">
        <v>51</v>
      </c>
      <c r="B13" s="38">
        <v>4444.8999999999996</v>
      </c>
      <c r="C13" s="4">
        <v>3172</v>
      </c>
      <c r="D13" s="45">
        <f>C13/B13*100</f>
        <v>71.36268532475421</v>
      </c>
      <c r="E13" s="4">
        <v>3094</v>
      </c>
      <c r="F13" s="44">
        <v>2972.2</v>
      </c>
      <c r="G13" s="45">
        <f>F13/E13*100</f>
        <v>96.063348416289585</v>
      </c>
      <c r="H13" s="113">
        <v>1150</v>
      </c>
      <c r="I13" s="795"/>
      <c r="J13" s="11">
        <v>2822.4</v>
      </c>
      <c r="K13" s="44">
        <v>1683.1</v>
      </c>
      <c r="L13" s="1639"/>
      <c r="M13" s="6"/>
      <c r="N13" s="799"/>
      <c r="O13" s="1867"/>
      <c r="P13" s="2019"/>
      <c r="Q13" s="799"/>
      <c r="R13" s="2769"/>
      <c r="S13" s="2769"/>
      <c r="T13" s="799"/>
      <c r="U13" s="799"/>
      <c r="V13" s="1630"/>
      <c r="W13" s="799"/>
      <c r="X13" s="2471"/>
      <c r="Y13" s="2471"/>
      <c r="Z13" s="2471"/>
      <c r="AA13" s="2471"/>
      <c r="AB13" s="178">
        <v>2796.3</v>
      </c>
    </row>
    <row r="14" spans="1:32" ht="27.75" hidden="1" customHeight="1">
      <c r="A14" s="35" t="s">
        <v>117</v>
      </c>
      <c r="B14" s="39">
        <f>B13/B12*100</f>
        <v>45.500982720497909</v>
      </c>
      <c r="C14" s="30">
        <f>C13/C12*100</f>
        <v>38.705583756345177</v>
      </c>
      <c r="D14" s="47">
        <f>C14/B14*100</f>
        <v>85.065379783343786</v>
      </c>
      <c r="E14" s="30">
        <f>E13/E12*100</f>
        <v>38.69047619047619</v>
      </c>
      <c r="F14" s="46">
        <f>F13/F12*100</f>
        <v>39.647835656639764</v>
      </c>
      <c r="G14" s="45"/>
      <c r="H14" s="118">
        <f>H13/H12*100</f>
        <v>19.844693701466781</v>
      </c>
      <c r="I14" s="796"/>
      <c r="J14" s="31">
        <f>J13/J12*100</f>
        <v>46.373763596332687</v>
      </c>
      <c r="K14" s="46">
        <f>K13/K12*100</f>
        <v>29.103767875360965</v>
      </c>
      <c r="L14" s="1641"/>
      <c r="M14" s="6"/>
      <c r="N14" s="799"/>
      <c r="O14" s="1867"/>
      <c r="P14" s="2019"/>
      <c r="Q14" s="799"/>
      <c r="R14" s="2769"/>
      <c r="S14" s="2769"/>
      <c r="T14" s="799"/>
      <c r="U14" s="799"/>
      <c r="V14" s="1630"/>
      <c r="W14" s="799"/>
      <c r="X14" s="2471"/>
      <c r="Y14" s="2471"/>
      <c r="Z14" s="2471"/>
      <c r="AA14" s="2471"/>
      <c r="AB14" s="261">
        <f>AB13/AB12*100</f>
        <v>39.810649202733487</v>
      </c>
    </row>
    <row r="15" spans="1:32" ht="12.75" hidden="1" customHeight="1">
      <c r="A15" s="34" t="s">
        <v>22</v>
      </c>
      <c r="B15" s="38">
        <f>SUM(B17:B19)</f>
        <v>5323.9</v>
      </c>
      <c r="C15" s="4">
        <f>SUM(C17:C19)</f>
        <v>5023.2000000000007</v>
      </c>
      <c r="D15" s="45">
        <f>C15/B15*100</f>
        <v>94.351884896410539</v>
      </c>
      <c r="E15" s="4">
        <f>SUM(E17:E19)</f>
        <v>4902.7999999999993</v>
      </c>
      <c r="F15" s="44">
        <f>SUM(F17:F19)</f>
        <v>4524.3</v>
      </c>
      <c r="G15" s="45">
        <f>F15/E15*100</f>
        <v>92.279921677408851</v>
      </c>
      <c r="H15" s="113">
        <f>SUM(H17:H19)</f>
        <v>4645</v>
      </c>
      <c r="I15" s="797"/>
      <c r="J15" s="4">
        <f>SUM(J17:J19)</f>
        <v>3263.8</v>
      </c>
      <c r="K15" s="44">
        <f>SUM(K17:K19)</f>
        <v>4100</v>
      </c>
      <c r="L15" s="1639"/>
      <c r="M15" s="6"/>
      <c r="N15" s="799"/>
      <c r="O15" s="1867"/>
      <c r="P15" s="2019"/>
      <c r="Q15" s="799"/>
      <c r="R15" s="2769"/>
      <c r="S15" s="2769"/>
      <c r="T15" s="799"/>
      <c r="U15" s="799"/>
      <c r="V15" s="1630"/>
      <c r="W15" s="799"/>
      <c r="X15" s="2471"/>
      <c r="Y15" s="2471"/>
      <c r="Z15" s="2471"/>
      <c r="AA15" s="2471"/>
      <c r="AB15" s="260">
        <f>SUM(AB17:AB19)</f>
        <v>4227.7</v>
      </c>
    </row>
    <row r="16" spans="1:32" ht="12.75" hidden="1" customHeight="1">
      <c r="A16" s="34" t="s">
        <v>50</v>
      </c>
      <c r="B16" s="38"/>
      <c r="C16" s="4"/>
      <c r="D16" s="45"/>
      <c r="E16" s="4"/>
      <c r="F16" s="44"/>
      <c r="G16" s="45"/>
      <c r="H16" s="113"/>
      <c r="I16" s="795"/>
      <c r="J16" s="6"/>
      <c r="K16" s="44"/>
      <c r="L16" s="1639"/>
      <c r="M16" s="6"/>
      <c r="N16" s="799"/>
      <c r="O16" s="1867"/>
      <c r="P16" s="2019"/>
      <c r="Q16" s="799"/>
      <c r="R16" s="2769"/>
      <c r="S16" s="2769"/>
      <c r="T16" s="799"/>
      <c r="U16" s="799"/>
      <c r="V16" s="1630"/>
      <c r="W16" s="799"/>
      <c r="X16" s="2471"/>
      <c r="Y16" s="2471"/>
      <c r="Z16" s="2471"/>
      <c r="AA16" s="2471"/>
      <c r="AB16" s="178"/>
    </row>
    <row r="17" spans="1:28" ht="12.75" hidden="1" customHeight="1">
      <c r="A17" s="34" t="s">
        <v>24</v>
      </c>
      <c r="B17" s="38">
        <v>3682.8</v>
      </c>
      <c r="C17" s="4">
        <v>3570.3</v>
      </c>
      <c r="D17" s="45">
        <f>C17/B17*100</f>
        <v>96.945259042033243</v>
      </c>
      <c r="E17" s="4">
        <v>3407.1</v>
      </c>
      <c r="F17" s="44">
        <v>3159.6</v>
      </c>
      <c r="G17" s="45">
        <f>F17/E17*100</f>
        <v>92.735757682486579</v>
      </c>
      <c r="H17" s="113">
        <v>3192</v>
      </c>
      <c r="I17" s="795"/>
      <c r="J17" s="11">
        <v>2288.1</v>
      </c>
      <c r="K17" s="44">
        <v>2860</v>
      </c>
      <c r="L17" s="1639"/>
      <c r="M17" s="6"/>
      <c r="N17" s="799"/>
      <c r="O17" s="1867"/>
      <c r="P17" s="2019"/>
      <c r="Q17" s="799"/>
      <c r="R17" s="2769"/>
      <c r="S17" s="2769"/>
      <c r="T17" s="799"/>
      <c r="U17" s="799"/>
      <c r="V17" s="1630"/>
      <c r="W17" s="799"/>
      <c r="X17" s="2471"/>
      <c r="Y17" s="2471"/>
      <c r="Z17" s="2471"/>
      <c r="AA17" s="2471"/>
      <c r="AB17" s="178">
        <v>2975.5</v>
      </c>
    </row>
    <row r="18" spans="1:28" ht="12.75" hidden="1" customHeight="1">
      <c r="A18" s="34" t="s">
        <v>25</v>
      </c>
      <c r="B18" s="38">
        <v>129.69999999999999</v>
      </c>
      <c r="C18" s="4">
        <v>59.4</v>
      </c>
      <c r="D18" s="45">
        <f>C18/B18*100</f>
        <v>45.797995373939862</v>
      </c>
      <c r="E18" s="4">
        <v>46.1</v>
      </c>
      <c r="F18" s="44">
        <v>54.9</v>
      </c>
      <c r="G18" s="45">
        <f>F18/E18*100</f>
        <v>119.08893709327548</v>
      </c>
      <c r="H18" s="113">
        <v>59</v>
      </c>
      <c r="I18" s="795"/>
      <c r="J18" s="11">
        <v>36.799999999999997</v>
      </c>
      <c r="K18" s="44">
        <v>55</v>
      </c>
      <c r="L18" s="1639"/>
      <c r="M18" s="6"/>
      <c r="N18" s="799"/>
      <c r="O18" s="1867"/>
      <c r="P18" s="2019"/>
      <c r="Q18" s="799"/>
      <c r="R18" s="2769"/>
      <c r="S18" s="2769"/>
      <c r="T18" s="799"/>
      <c r="U18" s="799"/>
      <c r="V18" s="1630"/>
      <c r="W18" s="799"/>
      <c r="X18" s="2471"/>
      <c r="Y18" s="2471"/>
      <c r="Z18" s="2471"/>
      <c r="AA18" s="2471"/>
      <c r="AB18" s="178">
        <v>46</v>
      </c>
    </row>
    <row r="19" spans="1:28" ht="13.5" hidden="1" customHeight="1" thickBot="1">
      <c r="A19" s="36" t="s">
        <v>26</v>
      </c>
      <c r="B19" s="40">
        <v>1511.4</v>
      </c>
      <c r="C19" s="49">
        <v>1393.5</v>
      </c>
      <c r="D19" s="50">
        <f>C19/B19*100</f>
        <v>92.199285430726476</v>
      </c>
      <c r="E19" s="49">
        <v>1449.6</v>
      </c>
      <c r="F19" s="52">
        <v>1309.8</v>
      </c>
      <c r="G19" s="119">
        <f>F19/E19*100</f>
        <v>90.355960264900673</v>
      </c>
      <c r="H19" s="117">
        <v>1394</v>
      </c>
      <c r="I19" s="51"/>
      <c r="J19" s="51">
        <v>938.9</v>
      </c>
      <c r="K19" s="48">
        <v>1185</v>
      </c>
      <c r="L19" s="1642"/>
      <c r="M19" s="53"/>
      <c r="N19" s="53"/>
      <c r="O19" s="1631"/>
      <c r="P19" s="2020"/>
      <c r="Q19" s="53"/>
      <c r="R19" s="2770"/>
      <c r="S19" s="2770"/>
      <c r="T19" s="53"/>
      <c r="U19" s="53"/>
      <c r="V19" s="1631"/>
      <c r="W19" s="53"/>
      <c r="X19" s="2020"/>
      <c r="Y19" s="2020"/>
      <c r="Z19" s="2020"/>
      <c r="AA19" s="2020"/>
      <c r="AB19" s="179">
        <v>1206.2</v>
      </c>
    </row>
    <row r="20" spans="1:28" ht="13.5" hidden="1" customHeight="1" thickBot="1">
      <c r="A20" s="4461" t="s">
        <v>47</v>
      </c>
      <c r="B20" s="4462"/>
      <c r="C20" s="4462"/>
      <c r="D20" s="4462"/>
      <c r="E20" s="4462"/>
      <c r="F20" s="4462"/>
      <c r="G20" s="4462"/>
      <c r="H20" s="4462"/>
      <c r="I20" s="4462"/>
      <c r="J20" s="4462"/>
      <c r="K20" s="4462"/>
      <c r="L20" s="4462"/>
      <c r="M20" s="4462"/>
      <c r="N20" s="4462"/>
      <c r="O20" s="4462"/>
      <c r="P20" s="4462"/>
      <c r="Q20" s="4462"/>
      <c r="R20" s="4462"/>
      <c r="S20" s="4462"/>
      <c r="T20" s="4462"/>
      <c r="U20" s="4462"/>
      <c r="V20" s="4462"/>
      <c r="W20" s="4462"/>
      <c r="X20" s="4462"/>
      <c r="Y20" s="4462"/>
      <c r="Z20" s="4462"/>
      <c r="AA20" s="4462"/>
      <c r="AB20" s="4463"/>
    </row>
    <row r="21" spans="1:28" ht="12.75" hidden="1" customHeight="1">
      <c r="A21" s="150" t="s">
        <v>122</v>
      </c>
      <c r="B21" s="151">
        <f>SUM(B23:B26)</f>
        <v>4738.2</v>
      </c>
      <c r="C21" s="147">
        <f>SUM(C23:C26)</f>
        <v>4585.8</v>
      </c>
      <c r="D21" s="152">
        <f>C21/B21*100</f>
        <v>96.783588704571372</v>
      </c>
      <c r="E21" s="151">
        <f>SUM(E23:E26)</f>
        <v>4415.2</v>
      </c>
      <c r="F21" s="154">
        <f>SUM(F23:F26)</f>
        <v>4093.2000000000003</v>
      </c>
      <c r="G21" s="155">
        <f>F21/E21*100</f>
        <v>92.707012139880419</v>
      </c>
      <c r="H21" s="116">
        <f>SUM(H23:H26)</f>
        <v>4224.5</v>
      </c>
      <c r="I21" s="147"/>
      <c r="J21" s="147">
        <f>SUM(J23:J26)</f>
        <v>2958.3</v>
      </c>
      <c r="K21" s="41">
        <f>SUM(K23:K26)</f>
        <v>3695</v>
      </c>
      <c r="L21" s="115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262">
        <f>SUM(AB23:AB26)</f>
        <v>3805.3</v>
      </c>
    </row>
    <row r="22" spans="1:28" ht="12.75" hidden="1" customHeight="1">
      <c r="A22" s="34" t="s">
        <v>23</v>
      </c>
      <c r="B22" s="38"/>
      <c r="C22" s="4"/>
      <c r="D22" s="108"/>
      <c r="E22" s="38"/>
      <c r="F22" s="120"/>
      <c r="G22" s="45"/>
      <c r="H22" s="113"/>
      <c r="I22" s="795"/>
      <c r="J22" s="6"/>
      <c r="K22" s="44"/>
      <c r="L22" s="1639"/>
      <c r="M22" s="6"/>
      <c r="N22" s="799"/>
      <c r="O22" s="1867"/>
      <c r="P22" s="2019"/>
      <c r="Q22" s="799"/>
      <c r="R22" s="2769"/>
      <c r="S22" s="2769"/>
      <c r="T22" s="799"/>
      <c r="U22" s="799"/>
      <c r="V22" s="1630"/>
      <c r="W22" s="799"/>
      <c r="X22" s="2471"/>
      <c r="Y22" s="2471"/>
      <c r="Z22" s="2471"/>
      <c r="AA22" s="2471"/>
      <c r="AB22" s="263"/>
    </row>
    <row r="23" spans="1:28" ht="12.75" hidden="1" customHeight="1">
      <c r="A23" s="34" t="s">
        <v>27</v>
      </c>
      <c r="B23" s="38">
        <v>3483.6</v>
      </c>
      <c r="C23" s="4">
        <v>3439.8</v>
      </c>
      <c r="D23" s="108">
        <f>C23/B23*100</f>
        <v>98.742679986221162</v>
      </c>
      <c r="E23" s="38">
        <v>3278.3</v>
      </c>
      <c r="F23" s="121">
        <v>3032.3</v>
      </c>
      <c r="G23" s="45">
        <f>F23/E23*100</f>
        <v>92.496110789128522</v>
      </c>
      <c r="H23" s="113">
        <v>3064.5</v>
      </c>
      <c r="I23" s="795"/>
      <c r="J23" s="11">
        <v>2188.8000000000002</v>
      </c>
      <c r="K23" s="44">
        <v>2632</v>
      </c>
      <c r="L23" s="1639"/>
      <c r="M23" s="6"/>
      <c r="N23" s="799"/>
      <c r="O23" s="1867"/>
      <c r="P23" s="2019"/>
      <c r="Q23" s="799"/>
      <c r="R23" s="2769"/>
      <c r="S23" s="2769"/>
      <c r="T23" s="799"/>
      <c r="U23" s="799"/>
      <c r="V23" s="1630"/>
      <c r="W23" s="799"/>
      <c r="X23" s="2471"/>
      <c r="Y23" s="2471"/>
      <c r="Z23" s="2471"/>
      <c r="AA23" s="2471"/>
      <c r="AB23" s="263">
        <v>2735</v>
      </c>
    </row>
    <row r="24" spans="1:28" ht="12.75" hidden="1" customHeight="1">
      <c r="A24" s="34" t="s">
        <v>28</v>
      </c>
      <c r="B24" s="38">
        <v>293.89999999999998</v>
      </c>
      <c r="C24" s="4">
        <v>272.2</v>
      </c>
      <c r="D24" s="108">
        <f>C24/B24*100</f>
        <v>92.61653623681525</v>
      </c>
      <c r="E24" s="38">
        <v>252.6</v>
      </c>
      <c r="F24" s="121"/>
      <c r="G24" s="45">
        <f>F24/E24*100</f>
        <v>0</v>
      </c>
      <c r="H24" s="113"/>
      <c r="I24" s="795"/>
      <c r="J24" s="11"/>
      <c r="K24" s="44"/>
      <c r="L24" s="1639"/>
      <c r="M24" s="6"/>
      <c r="N24" s="799"/>
      <c r="O24" s="1867"/>
      <c r="P24" s="2019"/>
      <c r="Q24" s="799"/>
      <c r="R24" s="2769"/>
      <c r="S24" s="2769"/>
      <c r="T24" s="799"/>
      <c r="U24" s="799"/>
      <c r="V24" s="1630"/>
      <c r="W24" s="799"/>
      <c r="X24" s="2471"/>
      <c r="Y24" s="2471"/>
      <c r="Z24" s="2471"/>
      <c r="AA24" s="2471"/>
      <c r="AB24" s="263"/>
    </row>
    <row r="25" spans="1:28" ht="12.75" hidden="1" customHeight="1">
      <c r="A25" s="34" t="s">
        <v>29</v>
      </c>
      <c r="B25" s="38">
        <v>932.3</v>
      </c>
      <c r="C25" s="4">
        <v>845.1</v>
      </c>
      <c r="D25" s="108">
        <f>C25/B25*100</f>
        <v>90.646787514748482</v>
      </c>
      <c r="E25" s="38">
        <v>855.5</v>
      </c>
      <c r="F25" s="121">
        <v>1034.5</v>
      </c>
      <c r="G25" s="45">
        <f>F25/E25*100</f>
        <v>120.92343658679134</v>
      </c>
      <c r="H25" s="116">
        <v>1132</v>
      </c>
      <c r="I25" s="795"/>
      <c r="J25" s="11">
        <v>755.4</v>
      </c>
      <c r="K25" s="44">
        <v>1035</v>
      </c>
      <c r="L25" s="1639"/>
      <c r="M25" s="6"/>
      <c r="N25" s="799"/>
      <c r="O25" s="1867"/>
      <c r="P25" s="2019"/>
      <c r="Q25" s="799"/>
      <c r="R25" s="2769"/>
      <c r="S25" s="2769"/>
      <c r="T25" s="799"/>
      <c r="U25" s="799"/>
      <c r="V25" s="1630"/>
      <c r="W25" s="799"/>
      <c r="X25" s="2471"/>
      <c r="Y25" s="2471"/>
      <c r="Z25" s="2471"/>
      <c r="AA25" s="2471"/>
      <c r="AB25" s="263">
        <f>449.5+407.8+92.5+92.5</f>
        <v>1042.3</v>
      </c>
    </row>
    <row r="26" spans="1:28" ht="13.5" hidden="1" customHeight="1" thickBot="1">
      <c r="A26" s="36" t="s">
        <v>68</v>
      </c>
      <c r="B26" s="40">
        <v>28.4</v>
      </c>
      <c r="C26" s="49">
        <v>28.7</v>
      </c>
      <c r="D26" s="114">
        <f>C26/B26*100</f>
        <v>101.05633802816902</v>
      </c>
      <c r="E26" s="40">
        <v>28.8</v>
      </c>
      <c r="F26" s="122">
        <v>26.4</v>
      </c>
      <c r="G26" s="50">
        <f>F26/E26*100</f>
        <v>91.666666666666657</v>
      </c>
      <c r="H26" s="117">
        <v>28</v>
      </c>
      <c r="I26" s="51"/>
      <c r="J26" s="51">
        <v>14.1</v>
      </c>
      <c r="K26" s="48">
        <v>28</v>
      </c>
      <c r="L26" s="1642"/>
      <c r="M26" s="53"/>
      <c r="N26" s="53"/>
      <c r="O26" s="1631"/>
      <c r="P26" s="2020"/>
      <c r="Q26" s="53"/>
      <c r="R26" s="2770"/>
      <c r="S26" s="2770"/>
      <c r="T26" s="53"/>
      <c r="U26" s="53"/>
      <c r="V26" s="1631"/>
      <c r="W26" s="53"/>
      <c r="X26" s="2020"/>
      <c r="Y26" s="2020"/>
      <c r="Z26" s="2020"/>
      <c r="AA26" s="2020"/>
      <c r="AB26" s="264">
        <v>28</v>
      </c>
    </row>
    <row r="27" spans="1:28" ht="12.75" hidden="1" customHeight="1">
      <c r="A27" s="243" t="s">
        <v>369</v>
      </c>
      <c r="E27" s="163">
        <f>E10/E9</f>
        <v>9.1606584752169151E-2</v>
      </c>
      <c r="F27" s="163">
        <f t="shared" ref="F27:K27" si="0">F10/F9</f>
        <v>0.10467102198760286</v>
      </c>
      <c r="H27" s="163">
        <f t="shared" si="0"/>
        <v>0.12638344521031369</v>
      </c>
      <c r="I27" s="163"/>
      <c r="J27" s="163">
        <f t="shared" si="0"/>
        <v>8.7101951431699895E-2</v>
      </c>
      <c r="K27" s="163">
        <f t="shared" si="0"/>
        <v>0.1315493084651079</v>
      </c>
      <c r="L27" s="163"/>
      <c r="AB27" s="163">
        <f>AB10/AB9</f>
        <v>0.10358997919777427</v>
      </c>
    </row>
    <row r="28" spans="1:28" ht="12.75" hidden="1" customHeight="1">
      <c r="A28" s="105" t="s">
        <v>250</v>
      </c>
    </row>
    <row r="29" spans="1:28" ht="12.75" hidden="1" customHeight="1">
      <c r="A29" s="105"/>
    </row>
    <row r="30" spans="1:28" ht="12.75" hidden="1" customHeight="1">
      <c r="A30" s="105"/>
    </row>
    <row r="31" spans="1:28" ht="34.5" hidden="1" customHeight="1">
      <c r="A31" s="4460" t="s">
        <v>242</v>
      </c>
      <c r="B31" s="4460"/>
      <c r="C31" s="4460"/>
      <c r="D31" s="4460"/>
      <c r="E31" s="4460"/>
      <c r="F31" s="4460"/>
      <c r="G31" s="4460"/>
      <c r="H31" s="4460"/>
      <c r="I31" s="4460"/>
      <c r="J31" s="4460"/>
    </row>
    <row r="32" spans="1:28" ht="9.75" customHeight="1" thickBot="1">
      <c r="A32" s="138"/>
      <c r="B32" s="138"/>
      <c r="C32" s="138"/>
      <c r="D32" s="138"/>
      <c r="E32" s="138"/>
      <c r="F32" s="138"/>
      <c r="G32" s="138"/>
      <c r="H32" s="138"/>
    </row>
    <row r="33" spans="1:33" ht="34.5" customHeight="1">
      <c r="A33" s="4476" t="s">
        <v>546</v>
      </c>
      <c r="B33" s="817"/>
      <c r="C33" s="818"/>
      <c r="D33" s="819"/>
      <c r="E33" s="4454" t="s">
        <v>241</v>
      </c>
      <c r="F33" s="4455"/>
      <c r="G33" s="4455"/>
      <c r="H33" s="4455"/>
      <c r="I33" s="4456"/>
      <c r="J33" s="4454" t="s">
        <v>378</v>
      </c>
      <c r="K33" s="4455"/>
      <c r="L33" s="4455"/>
      <c r="M33" s="4481"/>
      <c r="N33" s="4481"/>
      <c r="O33" s="4481"/>
      <c r="P33" s="4481"/>
      <c r="Q33" s="4481"/>
      <c r="R33" s="4481"/>
      <c r="S33" s="4457"/>
      <c r="T33" s="4454" t="s">
        <v>663</v>
      </c>
      <c r="U33" s="4455"/>
      <c r="V33" s="4455"/>
      <c r="W33" s="4457"/>
      <c r="X33" s="4454" t="s">
        <v>1550</v>
      </c>
      <c r="Y33" s="4455"/>
      <c r="Z33" s="4455"/>
      <c r="AA33" s="4457"/>
      <c r="AB33" s="4510" t="s">
        <v>1596</v>
      </c>
      <c r="AC33" s="4511"/>
      <c r="AD33" s="4511"/>
      <c r="AE33" s="4464" t="s">
        <v>912</v>
      </c>
      <c r="AF33" s="4465"/>
    </row>
    <row r="34" spans="1:33" ht="21" customHeight="1">
      <c r="A34" s="4477"/>
      <c r="B34" s="2852"/>
      <c r="C34" s="2853"/>
      <c r="D34" s="2854"/>
      <c r="E34" s="4445" t="s">
        <v>531</v>
      </c>
      <c r="F34" s="4452" t="s">
        <v>532</v>
      </c>
      <c r="G34" s="4452" t="s">
        <v>533</v>
      </c>
      <c r="H34" s="4452" t="s">
        <v>534</v>
      </c>
      <c r="I34" s="4447" t="s">
        <v>658</v>
      </c>
      <c r="J34" s="4445" t="s">
        <v>531</v>
      </c>
      <c r="K34" s="4472" t="s">
        <v>532</v>
      </c>
      <c r="L34" s="4473"/>
      <c r="M34" s="4452" t="s">
        <v>535</v>
      </c>
      <c r="N34" s="4472" t="s">
        <v>533</v>
      </c>
      <c r="O34" s="4473"/>
      <c r="P34" s="4453" t="s">
        <v>534</v>
      </c>
      <c r="Q34" s="4453"/>
      <c r="R34" s="4453" t="s">
        <v>1648</v>
      </c>
      <c r="S34" s="4448"/>
      <c r="T34" s="4445" t="s">
        <v>531</v>
      </c>
      <c r="U34" s="4472" t="s">
        <v>532</v>
      </c>
      <c r="V34" s="4473"/>
      <c r="W34" s="4447" t="s">
        <v>535</v>
      </c>
      <c r="X34" s="4445" t="s">
        <v>531</v>
      </c>
      <c r="Y34" s="4472" t="s">
        <v>532</v>
      </c>
      <c r="Z34" s="4473"/>
      <c r="AA34" s="4447" t="s">
        <v>535</v>
      </c>
      <c r="AB34" s="4487" t="s">
        <v>533</v>
      </c>
      <c r="AC34" s="4490" t="s">
        <v>534</v>
      </c>
      <c r="AD34" s="4493" t="s">
        <v>1665</v>
      </c>
      <c r="AE34" s="4496" t="s">
        <v>283</v>
      </c>
      <c r="AF34" s="4496" t="s">
        <v>532</v>
      </c>
    </row>
    <row r="35" spans="1:33" ht="6" customHeight="1">
      <c r="A35" s="4477"/>
      <c r="B35" s="2852"/>
      <c r="C35" s="2853"/>
      <c r="D35" s="2854"/>
      <c r="E35" s="4445"/>
      <c r="F35" s="4452"/>
      <c r="G35" s="4452"/>
      <c r="H35" s="4452"/>
      <c r="I35" s="4447"/>
      <c r="J35" s="4445"/>
      <c r="K35" s="4474"/>
      <c r="L35" s="4475"/>
      <c r="M35" s="4479"/>
      <c r="N35" s="4474"/>
      <c r="O35" s="4475"/>
      <c r="P35" s="4482"/>
      <c r="Q35" s="4482"/>
      <c r="R35" s="4482"/>
      <c r="S35" s="4483"/>
      <c r="T35" s="4445"/>
      <c r="U35" s="4474"/>
      <c r="V35" s="4475"/>
      <c r="W35" s="4458"/>
      <c r="X35" s="4445"/>
      <c r="Y35" s="4474"/>
      <c r="Z35" s="4475"/>
      <c r="AA35" s="4458"/>
      <c r="AB35" s="4488"/>
      <c r="AC35" s="4491"/>
      <c r="AD35" s="4494"/>
      <c r="AE35" s="4497"/>
      <c r="AF35" s="4497"/>
    </row>
    <row r="36" spans="1:33" ht="38.25" thickBot="1">
      <c r="A36" s="4478"/>
      <c r="B36" s="2804"/>
      <c r="C36" s="2805"/>
      <c r="D36" s="2806"/>
      <c r="E36" s="4446"/>
      <c r="F36" s="4453"/>
      <c r="G36" s="4453"/>
      <c r="H36" s="4453"/>
      <c r="I36" s="4448"/>
      <c r="J36" s="4446"/>
      <c r="K36" s="2807" t="s">
        <v>384</v>
      </c>
      <c r="L36" s="2808" t="s">
        <v>25</v>
      </c>
      <c r="M36" s="4480"/>
      <c r="N36" s="2807" t="s">
        <v>384</v>
      </c>
      <c r="O36" s="2808" t="s">
        <v>25</v>
      </c>
      <c r="P36" s="2807" t="s">
        <v>384</v>
      </c>
      <c r="Q36" s="2808" t="s">
        <v>25</v>
      </c>
      <c r="R36" s="2807" t="s">
        <v>384</v>
      </c>
      <c r="S36" s="2808" t="s">
        <v>25</v>
      </c>
      <c r="T36" s="4446"/>
      <c r="U36" s="2807" t="s">
        <v>384</v>
      </c>
      <c r="V36" s="2808" t="s">
        <v>25</v>
      </c>
      <c r="W36" s="4459"/>
      <c r="X36" s="4446"/>
      <c r="Y36" s="2807" t="s">
        <v>384</v>
      </c>
      <c r="Z36" s="2808" t="s">
        <v>25</v>
      </c>
      <c r="AA36" s="4459"/>
      <c r="AB36" s="4489"/>
      <c r="AC36" s="4492"/>
      <c r="AD36" s="4495"/>
      <c r="AE36" s="4498"/>
      <c r="AF36" s="4498"/>
    </row>
    <row r="37" spans="1:33" ht="20.100000000000001" customHeight="1" thickBot="1">
      <c r="A37" s="4466" t="s">
        <v>529</v>
      </c>
      <c r="B37" s="4467"/>
      <c r="C37" s="4467"/>
      <c r="D37" s="4467"/>
      <c r="E37" s="4467"/>
      <c r="F37" s="4467"/>
      <c r="G37" s="4467"/>
      <c r="H37" s="4467"/>
      <c r="I37" s="4467"/>
      <c r="J37" s="4467"/>
      <c r="K37" s="4467"/>
      <c r="L37" s="4467"/>
      <c r="M37" s="4467"/>
      <c r="N37" s="4467"/>
      <c r="O37" s="4467"/>
      <c r="P37" s="4467"/>
      <c r="Q37" s="4467"/>
      <c r="R37" s="4467"/>
      <c r="S37" s="4467"/>
      <c r="T37" s="4467"/>
      <c r="U37" s="4467"/>
      <c r="V37" s="4467"/>
      <c r="W37" s="4467"/>
      <c r="X37" s="4467"/>
      <c r="Y37" s="4467"/>
      <c r="Z37" s="4467"/>
      <c r="AA37" s="4467"/>
      <c r="AB37" s="4468"/>
      <c r="AC37" s="4468"/>
      <c r="AD37" s="4468"/>
      <c r="AE37" s="4468"/>
      <c r="AF37" s="4469"/>
    </row>
    <row r="38" spans="1:33" ht="36" customHeight="1">
      <c r="A38" s="808" t="s">
        <v>540</v>
      </c>
      <c r="B38" s="809"/>
      <c r="C38" s="810"/>
      <c r="D38" s="811"/>
      <c r="E38" s="813">
        <f>E41+E43</f>
        <v>5875</v>
      </c>
      <c r="F38" s="814">
        <f>SUM(F41:F43)</f>
        <v>5558.2912165809075</v>
      </c>
      <c r="G38" s="814">
        <f>SUM(G41:G43)-G42</f>
        <v>3493.3</v>
      </c>
      <c r="H38" s="814">
        <f>SUM(H41:H43)-H42</f>
        <v>5158</v>
      </c>
      <c r="I38" s="911">
        <f>SUM(I39:I40)</f>
        <v>6977.9000000000005</v>
      </c>
      <c r="J38" s="813">
        <f>SUM(J39:J40)</f>
        <v>5800.03</v>
      </c>
      <c r="K38" s="814">
        <f>SUM(K39:K40)</f>
        <v>5561.39</v>
      </c>
      <c r="L38" s="814"/>
      <c r="M38" s="814">
        <f t="shared" ref="M38:M51" si="1">SUM(K38/F38*100)</f>
        <v>100.05575064886575</v>
      </c>
      <c r="N38" s="914">
        <f t="shared" ref="N38:Q38" si="2">SUM(N39:N40)</f>
        <v>3367.79</v>
      </c>
      <c r="O38" s="914">
        <f t="shared" si="2"/>
        <v>13.7</v>
      </c>
      <c r="P38" s="2021">
        <v>4965.25</v>
      </c>
      <c r="Q38" s="914">
        <f t="shared" si="2"/>
        <v>17.559999999999999</v>
      </c>
      <c r="R38" s="914">
        <v>6697.91</v>
      </c>
      <c r="S38" s="2021">
        <v>18.22</v>
      </c>
      <c r="T38" s="1644">
        <f>SUM(T39:T40)</f>
        <v>5757.92</v>
      </c>
      <c r="U38" s="1645">
        <f>SUM(U39:U40)</f>
        <v>5654.317</v>
      </c>
      <c r="V38" s="1645">
        <f>SUM(V39:V40)</f>
        <v>21.419999999999998</v>
      </c>
      <c r="W38" s="815">
        <f>SUM(U38/K38*100)</f>
        <v>101.67093118806629</v>
      </c>
      <c r="X38" s="1644">
        <f>SUM(X39:X40)</f>
        <v>5782.63</v>
      </c>
      <c r="Y38" s="1645">
        <f>SUM(Y39:Y40)</f>
        <v>5538.9802784767589</v>
      </c>
      <c r="Z38" s="1645">
        <f>SUM(Z39:Z40)</f>
        <v>21.419999999999998</v>
      </c>
      <c r="AA38" s="815"/>
      <c r="AB38" s="3182">
        <f>SUM(AB39:AB40)</f>
        <v>3158.83</v>
      </c>
      <c r="AC38" s="914">
        <f t="shared" ref="AC38:AF38" si="3">SUM(AC39:AC40)</f>
        <v>4683.07</v>
      </c>
      <c r="AD38" s="911">
        <f t="shared" si="3"/>
        <v>6244.0933333333332</v>
      </c>
      <c r="AE38" s="3156">
        <f t="shared" si="3"/>
        <v>5636.25</v>
      </c>
      <c r="AF38" s="3157">
        <f t="shared" si="3"/>
        <v>5570.6850000000004</v>
      </c>
    </row>
    <row r="39" spans="1:33" ht="36" customHeight="1">
      <c r="A39" s="2855" t="s">
        <v>539</v>
      </c>
      <c r="B39" s="2856"/>
      <c r="C39" s="2857"/>
      <c r="D39" s="2858"/>
      <c r="E39" s="2859">
        <f>SUM(E38-E40)</f>
        <v>5850</v>
      </c>
      <c r="F39" s="2844">
        <f>SUM(F38-F40)</f>
        <v>5512.2912165809075</v>
      </c>
      <c r="G39" s="2844">
        <f>SUM(G38-G40)</f>
        <v>3465.3</v>
      </c>
      <c r="H39" s="2844">
        <f>SUM(H38-H40)</f>
        <v>5119.5</v>
      </c>
      <c r="I39" s="2860">
        <v>6928.1</v>
      </c>
      <c r="J39" s="2859">
        <v>5753.9</v>
      </c>
      <c r="K39" s="2844">
        <v>5561.39</v>
      </c>
      <c r="L39" s="2844"/>
      <c r="M39" s="2844">
        <f t="shared" si="1"/>
        <v>100.89071461375995</v>
      </c>
      <c r="N39" s="2828">
        <v>3367.79</v>
      </c>
      <c r="O39" s="2819"/>
      <c r="P39" s="2819">
        <v>4965.25</v>
      </c>
      <c r="Q39" s="2828"/>
      <c r="R39" s="2828">
        <v>6697.91</v>
      </c>
      <c r="S39" s="2819"/>
      <c r="T39" s="2861">
        <v>5736.5</v>
      </c>
      <c r="U39" s="2820">
        <f>U41+U43</f>
        <v>5654.317</v>
      </c>
      <c r="V39" s="2821"/>
      <c r="W39" s="2822">
        <f>SUM(U39/K39*100)</f>
        <v>101.67093118806629</v>
      </c>
      <c r="X39" s="2861">
        <v>5736.5</v>
      </c>
      <c r="Y39" s="2820">
        <f>Y41+Y43</f>
        <v>5538.9802784767589</v>
      </c>
      <c r="Z39" s="2821"/>
      <c r="AA39" s="2822"/>
      <c r="AB39" s="3183">
        <v>3157.36</v>
      </c>
      <c r="AC39" s="2881">
        <v>4681.12</v>
      </c>
      <c r="AD39" s="2860">
        <f>SUM(AC39/9*12)</f>
        <v>6241.4933333333329</v>
      </c>
      <c r="AE39" s="3158">
        <v>5618.05</v>
      </c>
      <c r="AF39" s="3159">
        <v>5550.3360000000002</v>
      </c>
    </row>
    <row r="40" spans="1:33" ht="36" customHeight="1">
      <c r="A40" s="2855" t="s">
        <v>538</v>
      </c>
      <c r="B40" s="2856"/>
      <c r="C40" s="2857"/>
      <c r="D40" s="2858"/>
      <c r="E40" s="2859">
        <v>25</v>
      </c>
      <c r="F40" s="2844">
        <v>46</v>
      </c>
      <c r="G40" s="2844">
        <v>28</v>
      </c>
      <c r="H40" s="2844">
        <v>38.5</v>
      </c>
      <c r="I40" s="2860">
        <v>49.8</v>
      </c>
      <c r="J40" s="2859">
        <v>46.13</v>
      </c>
      <c r="K40" s="2844">
        <v>0</v>
      </c>
      <c r="L40" s="2844">
        <v>46.13</v>
      </c>
      <c r="M40" s="2844">
        <f t="shared" si="1"/>
        <v>0</v>
      </c>
      <c r="N40" s="2828"/>
      <c r="O40" s="2819">
        <v>13.7</v>
      </c>
      <c r="P40" s="2819"/>
      <c r="Q40" s="2828">
        <v>17.559999999999999</v>
      </c>
      <c r="R40" s="2828"/>
      <c r="S40" s="2819">
        <v>18.22</v>
      </c>
      <c r="T40" s="2861">
        <v>21.42</v>
      </c>
      <c r="U40" s="2820"/>
      <c r="V40" s="2821">
        <f>V48</f>
        <v>21.419999999999998</v>
      </c>
      <c r="W40" s="2822">
        <f>SUM(U40/40*100)</f>
        <v>0</v>
      </c>
      <c r="X40" s="2861">
        <v>46.13</v>
      </c>
      <c r="Y40" s="2820"/>
      <c r="Z40" s="2821">
        <f>Z48</f>
        <v>21.419999999999998</v>
      </c>
      <c r="AA40" s="2822"/>
      <c r="AB40" s="3183">
        <v>1.47</v>
      </c>
      <c r="AC40" s="2881">
        <v>1.95</v>
      </c>
      <c r="AD40" s="2860">
        <f>SUM(AC40/9*12)</f>
        <v>2.6</v>
      </c>
      <c r="AE40" s="3158">
        <v>18.2</v>
      </c>
      <c r="AF40" s="3159">
        <v>20.349</v>
      </c>
    </row>
    <row r="41" spans="1:33" ht="36" customHeight="1">
      <c r="A41" s="2862" t="s">
        <v>20</v>
      </c>
      <c r="B41" s="2863"/>
      <c r="C41" s="2864"/>
      <c r="D41" s="2865"/>
      <c r="E41" s="2866">
        <v>876</v>
      </c>
      <c r="F41" s="2867">
        <v>507</v>
      </c>
      <c r="G41" s="2867">
        <f>3493.3-3054.18</f>
        <v>439.12000000000035</v>
      </c>
      <c r="H41" s="2867">
        <v>648.79999999999995</v>
      </c>
      <c r="I41" s="2868">
        <v>841</v>
      </c>
      <c r="J41" s="2866">
        <v>754</v>
      </c>
      <c r="K41" s="2867">
        <v>557.12</v>
      </c>
      <c r="L41" s="2867"/>
      <c r="M41" s="2867">
        <f t="shared" si="1"/>
        <v>109.88560157790927</v>
      </c>
      <c r="N41" s="2869">
        <v>479.3</v>
      </c>
      <c r="O41" s="2870">
        <v>0</v>
      </c>
      <c r="P41" s="2870">
        <v>654.29999999999995</v>
      </c>
      <c r="Q41" s="2869"/>
      <c r="R41" s="2869">
        <v>1030.98</v>
      </c>
      <c r="S41" s="2870"/>
      <c r="T41" s="2871">
        <v>750</v>
      </c>
      <c r="U41" s="2820">
        <v>686.4</v>
      </c>
      <c r="V41" s="2821"/>
      <c r="W41" s="2829">
        <f>SUM(U41/41*100)</f>
        <v>1674.1463414634147</v>
      </c>
      <c r="X41" s="2871">
        <v>750</v>
      </c>
      <c r="Y41" s="2820">
        <v>686.4</v>
      </c>
      <c r="Z41" s="2821"/>
      <c r="AA41" s="2829"/>
      <c r="AB41" s="3184">
        <v>645.74</v>
      </c>
      <c r="AC41" s="2869">
        <v>877.4</v>
      </c>
      <c r="AD41" s="2860">
        <f>SUM(AC41/9*12)</f>
        <v>1169.8666666666666</v>
      </c>
      <c r="AE41" s="3160">
        <v>900</v>
      </c>
      <c r="AF41" s="3168">
        <v>854.197</v>
      </c>
    </row>
    <row r="42" spans="1:33" s="191" customFormat="1" ht="63" customHeight="1">
      <c r="A42" s="2872" t="s">
        <v>389</v>
      </c>
      <c r="B42" s="2873"/>
      <c r="C42" s="2874"/>
      <c r="D42" s="2875"/>
      <c r="E42" s="2876">
        <f>E41/E38</f>
        <v>0.14910638297872342</v>
      </c>
      <c r="F42" s="2877">
        <f>507/5558.2</f>
        <v>9.1216580907488035E-2</v>
      </c>
      <c r="G42" s="2877">
        <f>439.12/3493</f>
        <v>0.12571428571428572</v>
      </c>
      <c r="H42" s="2877">
        <f>SUM(648.8/5158)</f>
        <v>0.12578518805738659</v>
      </c>
      <c r="I42" s="2878">
        <f>SUM(I41/I38)</f>
        <v>0.12052336662892847</v>
      </c>
      <c r="J42" s="2876">
        <f>SUM(J41/J38)</f>
        <v>0.12999932758968488</v>
      </c>
      <c r="K42" s="2877">
        <f>SUM(K41/K38)</f>
        <v>0.10017639475023329</v>
      </c>
      <c r="L42" s="2877"/>
      <c r="M42" s="2844">
        <f t="shared" si="1"/>
        <v>109.82257145971334</v>
      </c>
      <c r="N42" s="2826">
        <f t="shared" ref="N42:S42" si="4">SUM(N41/N38)</f>
        <v>0.14231885004706352</v>
      </c>
      <c r="O42" s="2826">
        <f t="shared" si="4"/>
        <v>0</v>
      </c>
      <c r="P42" s="2879">
        <f>P41/P39</f>
        <v>0.13177584210261314</v>
      </c>
      <c r="Q42" s="2826">
        <f t="shared" si="4"/>
        <v>0</v>
      </c>
      <c r="R42" s="2826">
        <f>R41/R39</f>
        <v>0.15392562754650332</v>
      </c>
      <c r="S42" s="2878">
        <f t="shared" si="4"/>
        <v>0</v>
      </c>
      <c r="T42" s="2879">
        <f>SUM(T41/T38)</f>
        <v>0.13025536999472032</v>
      </c>
      <c r="U42" s="2826">
        <f>SUM(U41/U38)</f>
        <v>0.12139397207478816</v>
      </c>
      <c r="V42" s="2827"/>
      <c r="W42" s="2822">
        <f>SUM(U42/K42*100)</f>
        <v>121.18021653449998</v>
      </c>
      <c r="X42" s="2879">
        <f>SUM(X41/X38)</f>
        <v>0.12969877028272603</v>
      </c>
      <c r="Y42" s="2826">
        <f>SUM(Y41/Y38)</f>
        <v>0.12392172665196104</v>
      </c>
      <c r="Z42" s="2827"/>
      <c r="AA42" s="2822"/>
      <c r="AB42" s="3185">
        <f t="shared" ref="AB42:AE42" si="5">SUM(AB41/AB38)</f>
        <v>0.20442378982091472</v>
      </c>
      <c r="AC42" s="2826">
        <f t="shared" si="5"/>
        <v>0.18735573032220318</v>
      </c>
      <c r="AD42" s="2878">
        <f t="shared" si="5"/>
        <v>0.18735573032220315</v>
      </c>
      <c r="AE42" s="3161">
        <f t="shared" si="5"/>
        <v>0.15968063872255489</v>
      </c>
      <c r="AF42" s="3162">
        <f t="shared" ref="AF42" si="6">SUM(AF41/AF38)</f>
        <v>0.15333787496510751</v>
      </c>
    </row>
    <row r="43" spans="1:33" ht="36" customHeight="1">
      <c r="A43" s="2862" t="s">
        <v>541</v>
      </c>
      <c r="B43" s="2863"/>
      <c r="C43" s="2864"/>
      <c r="D43" s="2865"/>
      <c r="E43" s="2866">
        <f>E46+E48</f>
        <v>4999</v>
      </c>
      <c r="F43" s="2867">
        <f>F46+F48</f>
        <v>5051.2</v>
      </c>
      <c r="G43" s="2867">
        <f>G46+G48</f>
        <v>3054.18</v>
      </c>
      <c r="H43" s="2867">
        <f>H46+H48</f>
        <v>4509.2</v>
      </c>
      <c r="I43" s="2880">
        <f>SUM(I44:I45)</f>
        <v>6136.9000000000005</v>
      </c>
      <c r="J43" s="2866">
        <f>J46+J48</f>
        <v>5046.03</v>
      </c>
      <c r="K43" s="2867">
        <f>K46+K48</f>
        <v>5050.4000000000005</v>
      </c>
      <c r="L43" s="2867"/>
      <c r="M43" s="2867">
        <f t="shared" si="1"/>
        <v>99.984162179284141</v>
      </c>
      <c r="N43" s="2828">
        <f t="shared" ref="N43:Q43" si="7">SUM(N44:N45)</f>
        <v>2888.49</v>
      </c>
      <c r="O43" s="2828">
        <f t="shared" si="7"/>
        <v>13.7</v>
      </c>
      <c r="P43" s="2819">
        <v>4310.95</v>
      </c>
      <c r="Q43" s="2828">
        <f t="shared" si="7"/>
        <v>17.559999999999999</v>
      </c>
      <c r="R43" s="2828">
        <f>SUM(R38-R41)</f>
        <v>5666.93</v>
      </c>
      <c r="S43" s="2819">
        <f>SUM(S45)</f>
        <v>18.22</v>
      </c>
      <c r="T43" s="2871">
        <f>SUM(T44:T45)</f>
        <v>5007.92</v>
      </c>
      <c r="U43" s="2820">
        <f>SUM(U44:U45)</f>
        <v>4967.9170000000004</v>
      </c>
      <c r="V43" s="2820">
        <f>SUM(V44:V45)</f>
        <v>21.419999999999998</v>
      </c>
      <c r="W43" s="2829">
        <f>SUM(U43/K43*100)</f>
        <v>98.366802629494686</v>
      </c>
      <c r="X43" s="2871">
        <f>SUM(X44:X45)</f>
        <v>5032.63</v>
      </c>
      <c r="Y43" s="2820">
        <f>SUM(Y44:Y45)</f>
        <v>4852.5802784767593</v>
      </c>
      <c r="Z43" s="2820">
        <f>SUM(Z44:Z45)</f>
        <v>21.419999999999998</v>
      </c>
      <c r="AA43" s="2829"/>
      <c r="AB43" s="3186">
        <f t="shared" ref="AB43:AD43" si="8">SUM(AB44:AB45)</f>
        <v>2513.0899999999997</v>
      </c>
      <c r="AC43" s="2828">
        <f t="shared" si="8"/>
        <v>3805.6699999999996</v>
      </c>
      <c r="AD43" s="2880">
        <f t="shared" si="8"/>
        <v>5074.2266666666665</v>
      </c>
      <c r="AE43" s="3163">
        <f>SUM(AE44:AE45)</f>
        <v>4736.25</v>
      </c>
      <c r="AF43" s="3164">
        <f t="shared" ref="AF43" si="9">SUM(AF44:AF45)</f>
        <v>4716.4880000000003</v>
      </c>
    </row>
    <row r="44" spans="1:33" ht="36" customHeight="1">
      <c r="A44" s="2855" t="s">
        <v>539</v>
      </c>
      <c r="B44" s="2863"/>
      <c r="C44" s="2864"/>
      <c r="D44" s="2865"/>
      <c r="E44" s="2859">
        <f>SUM(E43-E45)</f>
        <v>4974</v>
      </c>
      <c r="F44" s="2844">
        <f>SUM(F43-F45)</f>
        <v>5005.2</v>
      </c>
      <c r="G44" s="2844">
        <f>SUM(G43-G45)</f>
        <v>3026.18</v>
      </c>
      <c r="H44" s="2844">
        <f>SUM(H43-H45)</f>
        <v>4470.7</v>
      </c>
      <c r="I44" s="2860">
        <f>SUM(I39-I41)</f>
        <v>6087.1</v>
      </c>
      <c r="J44" s="2859">
        <f>SUM(J43-J45)</f>
        <v>4999.8999999999996</v>
      </c>
      <c r="K44" s="2844">
        <f>SUM(K43-K45)</f>
        <v>5004.2700000000004</v>
      </c>
      <c r="L44" s="2844"/>
      <c r="M44" s="2844">
        <f t="shared" si="1"/>
        <v>99.981419323903154</v>
      </c>
      <c r="N44" s="2881">
        <f t="shared" ref="N44:Q44" si="10">SUM(N39-N41)</f>
        <v>2888.49</v>
      </c>
      <c r="O44" s="2830"/>
      <c r="P44" s="2830">
        <v>4310.95</v>
      </c>
      <c r="Q44" s="2881">
        <f t="shared" si="10"/>
        <v>0</v>
      </c>
      <c r="R44" s="2881">
        <f>SUM(R39-R41)</f>
        <v>5666.93</v>
      </c>
      <c r="S44" s="2830"/>
      <c r="T44" s="2861">
        <f>SUM(T39-T41)</f>
        <v>4986.5</v>
      </c>
      <c r="U44" s="2824">
        <f>U48+U46</f>
        <v>4967.9170000000004</v>
      </c>
      <c r="V44" s="2825"/>
      <c r="W44" s="2822">
        <f>SUM(U44/45*100)</f>
        <v>11039.815555555557</v>
      </c>
      <c r="X44" s="2861">
        <f>SUM(X39-X41)</f>
        <v>4986.5</v>
      </c>
      <c r="Y44" s="2824">
        <f>Y48+Y46</f>
        <v>4852.5802784767593</v>
      </c>
      <c r="Z44" s="2825"/>
      <c r="AA44" s="2822"/>
      <c r="AB44" s="3183">
        <f t="shared" ref="AB44:AD44" si="11">SUM(AB39-AB41)</f>
        <v>2511.62</v>
      </c>
      <c r="AC44" s="2881">
        <f t="shared" si="11"/>
        <v>3803.72</v>
      </c>
      <c r="AD44" s="2860">
        <f t="shared" si="11"/>
        <v>5071.6266666666661</v>
      </c>
      <c r="AE44" s="3158">
        <v>4718.25</v>
      </c>
      <c r="AF44" s="3159">
        <v>4696.1390000000001</v>
      </c>
      <c r="AG44" s="3200"/>
    </row>
    <row r="45" spans="1:33" ht="36" customHeight="1">
      <c r="A45" s="2855" t="s">
        <v>538</v>
      </c>
      <c r="B45" s="2863"/>
      <c r="C45" s="2864"/>
      <c r="D45" s="2865"/>
      <c r="E45" s="2859">
        <v>25</v>
      </c>
      <c r="F45" s="2844">
        <v>46</v>
      </c>
      <c r="G45" s="2844">
        <v>28</v>
      </c>
      <c r="H45" s="2844">
        <v>38.5</v>
      </c>
      <c r="I45" s="2860">
        <f>SUM(I40)</f>
        <v>49.8</v>
      </c>
      <c r="J45" s="2859">
        <v>46.13</v>
      </c>
      <c r="K45" s="2844">
        <v>46.13</v>
      </c>
      <c r="L45" s="2844"/>
      <c r="M45" s="2844">
        <f t="shared" si="1"/>
        <v>100.28260869565217</v>
      </c>
      <c r="N45" s="2881">
        <f t="shared" ref="N45:Q45" si="12">SUM(N40)</f>
        <v>0</v>
      </c>
      <c r="O45" s="2830">
        <f>O38-O41</f>
        <v>13.7</v>
      </c>
      <c r="P45" s="2830">
        <v>0</v>
      </c>
      <c r="Q45" s="2881">
        <f t="shared" si="12"/>
        <v>17.559999999999999</v>
      </c>
      <c r="R45" s="2881"/>
      <c r="S45" s="2830">
        <v>18.22</v>
      </c>
      <c r="T45" s="2861">
        <f>SUM(T40)</f>
        <v>21.42</v>
      </c>
      <c r="U45" s="2824">
        <f>SUM(U40)</f>
        <v>0</v>
      </c>
      <c r="V45" s="2825">
        <f>V48</f>
        <v>21.419999999999998</v>
      </c>
      <c r="W45" s="2822">
        <f>SUM(U45/46*100)</f>
        <v>0</v>
      </c>
      <c r="X45" s="2861">
        <f>SUM(X40)</f>
        <v>46.13</v>
      </c>
      <c r="Y45" s="2824">
        <f>SUM(Y40)</f>
        <v>0</v>
      </c>
      <c r="Z45" s="2825">
        <f>Z48</f>
        <v>21.419999999999998</v>
      </c>
      <c r="AA45" s="2822"/>
      <c r="AB45" s="3183">
        <v>1.47</v>
      </c>
      <c r="AC45" s="2881">
        <v>1.95</v>
      </c>
      <c r="AD45" s="2860">
        <v>2.6</v>
      </c>
      <c r="AE45" s="3158">
        <v>18</v>
      </c>
      <c r="AF45" s="3159">
        <v>20.349</v>
      </c>
    </row>
    <row r="46" spans="1:33" ht="36" customHeight="1">
      <c r="A46" s="2862" t="s">
        <v>51</v>
      </c>
      <c r="B46" s="2863"/>
      <c r="C46" s="2864"/>
      <c r="D46" s="2865"/>
      <c r="E46" s="2866">
        <v>999</v>
      </c>
      <c r="F46" s="2867">
        <f>E46</f>
        <v>999</v>
      </c>
      <c r="G46" s="2867">
        <v>981.98</v>
      </c>
      <c r="H46" s="2867">
        <v>1481.3</v>
      </c>
      <c r="I46" s="2880">
        <v>2097.9</v>
      </c>
      <c r="J46" s="2866">
        <v>1007.9</v>
      </c>
      <c r="K46" s="2867">
        <v>998</v>
      </c>
      <c r="L46" s="2867"/>
      <c r="M46" s="2867">
        <f t="shared" si="1"/>
        <v>99.899899899899907</v>
      </c>
      <c r="N46" s="2828">
        <v>911.71</v>
      </c>
      <c r="O46" s="2819">
        <v>0</v>
      </c>
      <c r="P46" s="2819">
        <v>1473.72</v>
      </c>
      <c r="Q46" s="2828"/>
      <c r="R46" s="2828">
        <f>SUM(R43+S45-R48-S48)</f>
        <v>1904.7300000000002</v>
      </c>
      <c r="S46" s="2819"/>
      <c r="T46" s="2871">
        <v>997.3</v>
      </c>
      <c r="U46" s="2820">
        <v>978.7</v>
      </c>
      <c r="V46" s="2821"/>
      <c r="W46" s="2829">
        <f t="shared" ref="W46:W54" si="13">SUM(U46/K46*100)</f>
        <v>98.06613226452906</v>
      </c>
      <c r="X46" s="2871">
        <v>997.3</v>
      </c>
      <c r="Y46" s="2820">
        <v>956</v>
      </c>
      <c r="Z46" s="2821"/>
      <c r="AA46" s="2829"/>
      <c r="AB46" s="3186">
        <f>SUM(AB43-AB48)</f>
        <v>690.52999999999975</v>
      </c>
      <c r="AC46" s="2828">
        <f t="shared" ref="AC46:AD46" si="14">SUM(AC43-AC48)</f>
        <v>1134.5399999999995</v>
      </c>
      <c r="AD46" s="2880">
        <f t="shared" si="14"/>
        <v>1519.7166666666658</v>
      </c>
      <c r="AE46" s="3163">
        <v>947.25</v>
      </c>
      <c r="AF46" s="3164">
        <f t="shared" ref="AF46" si="15">SUM(AF43-AF48)</f>
        <v>925.13900000000012</v>
      </c>
    </row>
    <row r="47" spans="1:33" s="191" customFormat="1" ht="36" customHeight="1">
      <c r="A47" s="2872" t="s">
        <v>117</v>
      </c>
      <c r="B47" s="2873"/>
      <c r="C47" s="2874"/>
      <c r="D47" s="2875"/>
      <c r="E47" s="2882">
        <f t="shared" ref="E47:K47" si="16">E46/E43*100</f>
        <v>19.983996799359872</v>
      </c>
      <c r="F47" s="2883">
        <f t="shared" si="16"/>
        <v>19.777478618942034</v>
      </c>
      <c r="G47" s="2883">
        <f t="shared" si="16"/>
        <v>32.152001519229387</v>
      </c>
      <c r="H47" s="2883">
        <f t="shared" si="16"/>
        <v>32.850616517342324</v>
      </c>
      <c r="I47" s="2884">
        <f t="shared" si="16"/>
        <v>34.18501197673092</v>
      </c>
      <c r="J47" s="2885">
        <f t="shared" si="16"/>
        <v>19.974118267231862</v>
      </c>
      <c r="K47" s="2883">
        <f t="shared" si="16"/>
        <v>19.760811024869316</v>
      </c>
      <c r="L47" s="2883"/>
      <c r="M47" s="2844">
        <f t="shared" si="1"/>
        <v>99.915724373193086</v>
      </c>
      <c r="N47" s="2831">
        <f t="shared" ref="N47:Q47" si="17">N46/N43*100</f>
        <v>31.563550505627514</v>
      </c>
      <c r="O47" s="2831">
        <f t="shared" si="17"/>
        <v>0</v>
      </c>
      <c r="P47" s="2886">
        <f>P46/P43</f>
        <v>0.34185504355188534</v>
      </c>
      <c r="Q47" s="2831">
        <f t="shared" si="17"/>
        <v>0</v>
      </c>
      <c r="R47" s="2831"/>
      <c r="S47" s="2887"/>
      <c r="T47" s="2888">
        <f>T46/T43*100</f>
        <v>19.914455502484063</v>
      </c>
      <c r="U47" s="2832">
        <f>U46/U43*100</f>
        <v>19.700409648550892</v>
      </c>
      <c r="V47" s="2833"/>
      <c r="W47" s="2822">
        <f t="shared" si="13"/>
        <v>99.694337564169771</v>
      </c>
      <c r="X47" s="2888">
        <f>X46/X43*100</f>
        <v>19.816676370009318</v>
      </c>
      <c r="Y47" s="2832">
        <f>Y46/Y43*100</f>
        <v>19.700859030406221</v>
      </c>
      <c r="Z47" s="2833"/>
      <c r="AA47" s="2822"/>
      <c r="AB47" s="3187">
        <f t="shared" ref="AB47:AE47" si="18">AB46/AB43*100</f>
        <v>27.477328706890713</v>
      </c>
      <c r="AC47" s="2831">
        <f t="shared" si="18"/>
        <v>29.811833395959177</v>
      </c>
      <c r="AD47" s="2884">
        <f t="shared" si="18"/>
        <v>29.949719760252446</v>
      </c>
      <c r="AE47" s="3165">
        <f t="shared" si="18"/>
        <v>20</v>
      </c>
      <c r="AF47" s="3166">
        <f t="shared" ref="AF47" si="19">AF46/AF43*100</f>
        <v>19.614997430291353</v>
      </c>
    </row>
    <row r="48" spans="1:33" ht="36" customHeight="1">
      <c r="A48" s="2862" t="s">
        <v>536</v>
      </c>
      <c r="B48" s="2863"/>
      <c r="C48" s="2864"/>
      <c r="D48" s="2865"/>
      <c r="E48" s="2866">
        <f t="shared" ref="E48:J48" si="20">SUM(E49:E51)</f>
        <v>4000</v>
      </c>
      <c r="F48" s="2867">
        <f t="shared" si="20"/>
        <v>4052.2</v>
      </c>
      <c r="G48" s="2867">
        <f t="shared" si="20"/>
        <v>2072.1999999999998</v>
      </c>
      <c r="H48" s="2867">
        <f t="shared" si="20"/>
        <v>3027.8999999999996</v>
      </c>
      <c r="I48" s="2889">
        <f t="shared" si="20"/>
        <v>4039</v>
      </c>
      <c r="J48" s="2866">
        <f t="shared" si="20"/>
        <v>4038.13</v>
      </c>
      <c r="K48" s="2867">
        <f>SUM(K49:K52)</f>
        <v>4052.4000000000005</v>
      </c>
      <c r="L48" s="2867"/>
      <c r="M48" s="2867">
        <f t="shared" si="1"/>
        <v>100.00493559054343</v>
      </c>
      <c r="N48" s="2834">
        <f>SUM(N49:N52)</f>
        <v>1976.78</v>
      </c>
      <c r="O48" s="2834">
        <f t="shared" ref="O48:Q48" si="21">SUM(O49:O51)</f>
        <v>13.7</v>
      </c>
      <c r="P48" s="2890">
        <v>2837.2</v>
      </c>
      <c r="Q48" s="2834">
        <f t="shared" si="21"/>
        <v>17.559999999999999</v>
      </c>
      <c r="R48" s="2891">
        <f>SUM(R49:R52)</f>
        <v>3762.2000000000003</v>
      </c>
      <c r="S48" s="2892">
        <f>SUM(S49:S52)</f>
        <v>18.22</v>
      </c>
      <c r="T48" s="2871">
        <f>SUM(T49:T52)</f>
        <v>4010.6369999999997</v>
      </c>
      <c r="U48" s="2820">
        <f>SUM(U49:U52)</f>
        <v>3989.2170000000001</v>
      </c>
      <c r="V48" s="2820">
        <f>SUM(V49:V52)</f>
        <v>21.419999999999998</v>
      </c>
      <c r="W48" s="2835">
        <f t="shared" si="13"/>
        <v>98.440849866745623</v>
      </c>
      <c r="X48" s="2871">
        <f>SUM(X49:X52)</f>
        <v>4039.0169999999998</v>
      </c>
      <c r="Y48" s="2820">
        <f>SUM(Y49:Y52)</f>
        <v>3896.5802784767593</v>
      </c>
      <c r="Z48" s="2820">
        <f>SUM(Z49:Z52)</f>
        <v>21.419999999999998</v>
      </c>
      <c r="AA48" s="2835"/>
      <c r="AB48" s="3188">
        <f>SUM(AB49:AB52)</f>
        <v>1822.56</v>
      </c>
      <c r="AC48" s="2891">
        <f t="shared" ref="AC48:AF48" si="22">SUM(AC49:AC52)</f>
        <v>2671.13</v>
      </c>
      <c r="AD48" s="3189">
        <f t="shared" si="22"/>
        <v>3554.5100000000007</v>
      </c>
      <c r="AE48" s="3167">
        <f t="shared" si="22"/>
        <v>3789</v>
      </c>
      <c r="AF48" s="3168">
        <f t="shared" si="22"/>
        <v>3791.3490000000002</v>
      </c>
    </row>
    <row r="49" spans="1:32" ht="36" customHeight="1">
      <c r="A49" s="2855" t="s">
        <v>24</v>
      </c>
      <c r="B49" s="2893"/>
      <c r="C49" s="2894"/>
      <c r="D49" s="2895"/>
      <c r="E49" s="2859">
        <v>2800</v>
      </c>
      <c r="F49" s="2844">
        <f>E49</f>
        <v>2800</v>
      </c>
      <c r="G49" s="2844">
        <f>1426.4</f>
        <v>1426.4</v>
      </c>
      <c r="H49" s="2844">
        <v>2084.6999999999998</v>
      </c>
      <c r="I49" s="2896">
        <v>2780.7</v>
      </c>
      <c r="J49" s="2859">
        <v>2800</v>
      </c>
      <c r="K49" s="2844">
        <v>2445.422</v>
      </c>
      <c r="L49" s="2844"/>
      <c r="M49" s="2844">
        <f t="shared" si="1"/>
        <v>87.336500000000001</v>
      </c>
      <c r="N49" s="2897">
        <v>1238.5999999999999</v>
      </c>
      <c r="O49" s="2823"/>
      <c r="P49" s="2823">
        <v>1791.55</v>
      </c>
      <c r="Q49" s="2897"/>
      <c r="R49" s="2897">
        <v>2377.86</v>
      </c>
      <c r="S49" s="2823"/>
      <c r="T49" s="2861">
        <v>2428.56</v>
      </c>
      <c r="U49" s="2824">
        <f>T49</f>
        <v>2428.56</v>
      </c>
      <c r="V49" s="2825">
        <v>0</v>
      </c>
      <c r="W49" s="2822">
        <f t="shared" si="13"/>
        <v>99.310466659742161</v>
      </c>
      <c r="X49" s="2861">
        <v>2428.56</v>
      </c>
      <c r="Y49" s="2824">
        <f>P49/3*4</f>
        <v>2388.7333333333331</v>
      </c>
      <c r="Z49" s="2825">
        <v>0</v>
      </c>
      <c r="AA49" s="2822"/>
      <c r="AB49" s="3190">
        <v>1171.8399999999999</v>
      </c>
      <c r="AC49" s="2897">
        <v>1744.17</v>
      </c>
      <c r="AD49" s="2860">
        <f t="shared" ref="AD49:AD53" si="23">SUM(AC49/9*12)</f>
        <v>2325.5600000000004</v>
      </c>
      <c r="AE49" s="3169">
        <v>2380</v>
      </c>
      <c r="AF49" s="3170">
        <v>2380</v>
      </c>
    </row>
    <row r="50" spans="1:32" ht="36" customHeight="1">
      <c r="A50" s="2855" t="s">
        <v>25</v>
      </c>
      <c r="B50" s="2893"/>
      <c r="C50" s="2894"/>
      <c r="D50" s="2895"/>
      <c r="E50" s="2859">
        <v>25</v>
      </c>
      <c r="F50" s="2844">
        <f>AB18</f>
        <v>46</v>
      </c>
      <c r="G50" s="2844">
        <v>28</v>
      </c>
      <c r="H50" s="2844">
        <v>38.5</v>
      </c>
      <c r="I50" s="2896">
        <v>49.8</v>
      </c>
      <c r="J50" s="2859">
        <v>46.13</v>
      </c>
      <c r="K50" s="2844">
        <v>46.13</v>
      </c>
      <c r="L50" s="2844"/>
      <c r="M50" s="2844">
        <f t="shared" si="1"/>
        <v>100.28260869565217</v>
      </c>
      <c r="N50" s="2897"/>
      <c r="O50" s="2823">
        <v>13.7</v>
      </c>
      <c r="P50" s="2823"/>
      <c r="Q50" s="2897">
        <v>17.559999999999999</v>
      </c>
      <c r="R50" s="2897"/>
      <c r="S50" s="2823">
        <v>18.22</v>
      </c>
      <c r="T50" s="2861">
        <v>21.42</v>
      </c>
      <c r="U50" s="2824"/>
      <c r="V50" s="2825">
        <f>(Q50-O50)*2+O50</f>
        <v>21.419999999999998</v>
      </c>
      <c r="W50" s="2822">
        <f t="shared" si="13"/>
        <v>0</v>
      </c>
      <c r="X50" s="2861">
        <v>49.8</v>
      </c>
      <c r="Y50" s="2824"/>
      <c r="Z50" s="2825">
        <f>V50</f>
        <v>21.419999999999998</v>
      </c>
      <c r="AA50" s="2822"/>
      <c r="AB50" s="3190">
        <v>1.47</v>
      </c>
      <c r="AC50" s="2897">
        <v>1.95</v>
      </c>
      <c r="AD50" s="2860">
        <f t="shared" si="23"/>
        <v>2.6</v>
      </c>
      <c r="AE50" s="3169">
        <v>18</v>
      </c>
      <c r="AF50" s="3535">
        <v>20.349</v>
      </c>
    </row>
    <row r="51" spans="1:32" ht="36" customHeight="1">
      <c r="A51" s="2898" t="s">
        <v>26</v>
      </c>
      <c r="B51" s="2899"/>
      <c r="C51" s="2900"/>
      <c r="D51" s="2901"/>
      <c r="E51" s="2902">
        <v>1175</v>
      </c>
      <c r="F51" s="2903">
        <f>AB19</f>
        <v>1206.2</v>
      </c>
      <c r="G51" s="2903">
        <v>617.79999999999995</v>
      </c>
      <c r="H51" s="2903">
        <v>904.7</v>
      </c>
      <c r="I51" s="2904">
        <v>1208.5</v>
      </c>
      <c r="J51" s="2902">
        <v>1192</v>
      </c>
      <c r="K51" s="2903">
        <v>1003.2910000000001</v>
      </c>
      <c r="L51" s="2903"/>
      <c r="M51" s="2903">
        <f t="shared" si="1"/>
        <v>83.177831205438565</v>
      </c>
      <c r="N51" s="2905">
        <v>539.03</v>
      </c>
      <c r="O51" s="2836"/>
      <c r="P51" s="2836">
        <v>755.5</v>
      </c>
      <c r="Q51" s="2905"/>
      <c r="R51" s="2905">
        <v>995.48</v>
      </c>
      <c r="S51" s="2836"/>
      <c r="T51" s="2906">
        <v>1003.1</v>
      </c>
      <c r="U51" s="2837">
        <f>T51+13.577</f>
        <v>1016.677</v>
      </c>
      <c r="V51" s="2838">
        <v>0</v>
      </c>
      <c r="W51" s="2839">
        <f t="shared" si="13"/>
        <v>101.33420911779334</v>
      </c>
      <c r="X51" s="2906">
        <v>1003.1</v>
      </c>
      <c r="Y51" s="2837">
        <f>P51/3*4*0.97</f>
        <v>977.11333333333334</v>
      </c>
      <c r="Z51" s="2838">
        <v>0</v>
      </c>
      <c r="AA51" s="2839"/>
      <c r="AB51" s="3190">
        <v>456.93</v>
      </c>
      <c r="AC51" s="2897">
        <v>669.07</v>
      </c>
      <c r="AD51" s="2860">
        <f t="shared" si="23"/>
        <v>892.09333333333348</v>
      </c>
      <c r="AE51" s="3169">
        <v>996</v>
      </c>
      <c r="AF51" s="3170">
        <v>996</v>
      </c>
    </row>
    <row r="52" spans="1:32" ht="36" customHeight="1">
      <c r="A52" s="2855" t="s">
        <v>843</v>
      </c>
      <c r="B52" s="2893"/>
      <c r="C52" s="2894"/>
      <c r="D52" s="2895"/>
      <c r="E52" s="2859"/>
      <c r="F52" s="2844"/>
      <c r="G52" s="2844"/>
      <c r="H52" s="2844"/>
      <c r="I52" s="2896"/>
      <c r="J52" s="2859"/>
      <c r="K52" s="2844">
        <f>SUM(K53:K54)</f>
        <v>557.55700000000002</v>
      </c>
      <c r="L52" s="2844"/>
      <c r="M52" s="2844"/>
      <c r="N52" s="2897">
        <v>199.15</v>
      </c>
      <c r="O52" s="2823"/>
      <c r="P52" s="2823">
        <v>290.18</v>
      </c>
      <c r="Q52" s="2897"/>
      <c r="R52" s="2897">
        <f>SUM(R53+R54)</f>
        <v>388.86</v>
      </c>
      <c r="S52" s="2896"/>
      <c r="T52" s="2907">
        <f>SUM(T53:T54)</f>
        <v>557.55700000000002</v>
      </c>
      <c r="U52" s="2840">
        <f>SUM(U53:U54)</f>
        <v>543.98</v>
      </c>
      <c r="V52" s="2841"/>
      <c r="W52" s="2839">
        <f t="shared" si="13"/>
        <v>97.564912645702591</v>
      </c>
      <c r="X52" s="2840">
        <f>SUM(X53:X54)</f>
        <v>557.55700000000002</v>
      </c>
      <c r="Y52" s="2840">
        <f>U52*(U52/K52)</f>
        <v>530.73361181009295</v>
      </c>
      <c r="Z52" s="2841"/>
      <c r="AA52" s="2839"/>
      <c r="AB52" s="3190">
        <f>SUM(AB53:AB54)</f>
        <v>192.32000000000002</v>
      </c>
      <c r="AC52" s="2897">
        <f t="shared" ref="AC52:AF52" si="24">SUM(AC53:AC54)</f>
        <v>255.94</v>
      </c>
      <c r="AD52" s="3500">
        <f t="shared" si="24"/>
        <v>334.25666666666666</v>
      </c>
      <c r="AE52" s="3169">
        <f t="shared" si="24"/>
        <v>395</v>
      </c>
      <c r="AF52" s="3170">
        <f t="shared" si="24"/>
        <v>395</v>
      </c>
    </row>
    <row r="53" spans="1:32" ht="50.25" customHeight="1">
      <c r="A53" s="2872" t="s">
        <v>655</v>
      </c>
      <c r="B53" s="2893"/>
      <c r="C53" s="2894"/>
      <c r="D53" s="2895"/>
      <c r="E53" s="2859"/>
      <c r="F53" s="2844"/>
      <c r="G53" s="2844"/>
      <c r="H53" s="2844"/>
      <c r="I53" s="2896"/>
      <c r="J53" s="2885"/>
      <c r="K53" s="2883">
        <v>509.79</v>
      </c>
      <c r="L53" s="2883"/>
      <c r="M53" s="2883"/>
      <c r="N53" s="2908">
        <v>177.62</v>
      </c>
      <c r="O53" s="2909"/>
      <c r="P53" s="2909">
        <v>261.29000000000002</v>
      </c>
      <c r="Q53" s="2908"/>
      <c r="R53" s="2908">
        <v>347.5</v>
      </c>
      <c r="S53" s="2910"/>
      <c r="T53" s="2911">
        <v>509.79</v>
      </c>
      <c r="U53" s="2848">
        <v>494.28</v>
      </c>
      <c r="V53" s="2848">
        <v>0</v>
      </c>
      <c r="W53" s="2849">
        <f t="shared" si="13"/>
        <v>96.957570764432404</v>
      </c>
      <c r="X53" s="2912">
        <v>509.79</v>
      </c>
      <c r="Y53" s="2848"/>
      <c r="Z53" s="2848"/>
      <c r="AA53" s="2849"/>
      <c r="AB53" s="3191">
        <v>171.33</v>
      </c>
      <c r="AC53" s="2908">
        <v>234.95</v>
      </c>
      <c r="AD53" s="2860">
        <f t="shared" si="23"/>
        <v>313.26666666666665</v>
      </c>
      <c r="AE53" s="3171">
        <v>350</v>
      </c>
      <c r="AF53" s="3172">
        <v>350</v>
      </c>
    </row>
    <row r="54" spans="1:32" ht="58.5" customHeight="1" thickBot="1">
      <c r="A54" s="1044" t="s">
        <v>656</v>
      </c>
      <c r="B54" s="2913"/>
      <c r="C54" s="2914"/>
      <c r="D54" s="2915"/>
      <c r="E54" s="2916"/>
      <c r="F54" s="2846"/>
      <c r="G54" s="2846"/>
      <c r="H54" s="2846"/>
      <c r="I54" s="2917"/>
      <c r="J54" s="2918"/>
      <c r="K54" s="2919">
        <v>47.767000000000003</v>
      </c>
      <c r="L54" s="2919"/>
      <c r="M54" s="2919"/>
      <c r="N54" s="2920">
        <v>21.53</v>
      </c>
      <c r="O54" s="2921"/>
      <c r="P54" s="2921">
        <v>28.89</v>
      </c>
      <c r="Q54" s="2920"/>
      <c r="R54" s="2920">
        <v>41.36</v>
      </c>
      <c r="S54" s="2922"/>
      <c r="T54" s="2923">
        <v>47.767000000000003</v>
      </c>
      <c r="U54" s="2850">
        <v>49.7</v>
      </c>
      <c r="V54" s="2850">
        <v>0</v>
      </c>
      <c r="W54" s="2851">
        <f t="shared" si="13"/>
        <v>104.04672681977097</v>
      </c>
      <c r="X54" s="2924">
        <v>47.767000000000003</v>
      </c>
      <c r="Y54" s="2850"/>
      <c r="Z54" s="2850"/>
      <c r="AA54" s="2851"/>
      <c r="AB54" s="3192">
        <v>20.99</v>
      </c>
      <c r="AC54" s="2920">
        <v>20.99</v>
      </c>
      <c r="AD54" s="2860">
        <v>20.99</v>
      </c>
      <c r="AE54" s="3173">
        <v>45</v>
      </c>
      <c r="AF54" s="3174">
        <v>45</v>
      </c>
    </row>
    <row r="55" spans="1:32" ht="20.100000000000001" customHeight="1" thickBot="1">
      <c r="A55" s="4470" t="s">
        <v>530</v>
      </c>
      <c r="B55" s="4471"/>
      <c r="C55" s="4471"/>
      <c r="D55" s="4471"/>
      <c r="E55" s="4471"/>
      <c r="F55" s="4471"/>
      <c r="G55" s="4471"/>
      <c r="H55" s="4471"/>
      <c r="I55" s="4471"/>
      <c r="J55" s="4471"/>
      <c r="K55" s="4471"/>
      <c r="L55" s="4471"/>
      <c r="M55" s="4471"/>
      <c r="N55" s="4471"/>
      <c r="O55" s="4471"/>
      <c r="P55" s="4471"/>
      <c r="Q55" s="4471"/>
      <c r="R55" s="4471"/>
      <c r="S55" s="4471"/>
      <c r="T55" s="4471"/>
      <c r="U55" s="4471"/>
      <c r="V55" s="4471"/>
      <c r="W55" s="4471"/>
      <c r="X55" s="4471"/>
      <c r="Y55" s="4471"/>
      <c r="Z55" s="4471"/>
      <c r="AA55" s="4471"/>
      <c r="AB55" s="4468"/>
      <c r="AC55" s="4468"/>
      <c r="AD55" s="4468"/>
      <c r="AE55" s="4468"/>
      <c r="AF55" s="4469"/>
    </row>
    <row r="56" spans="1:32" ht="20.100000000000001" customHeight="1" thickBot="1">
      <c r="A56" s="808" t="s">
        <v>901</v>
      </c>
      <c r="B56" s="1246"/>
      <c r="C56" s="1120"/>
      <c r="D56" s="2809"/>
      <c r="E56" s="2810"/>
      <c r="F56" s="2811">
        <v>3672.7</v>
      </c>
      <c r="G56" s="2811">
        <v>2386.9</v>
      </c>
      <c r="H56" s="2811">
        <v>3499.5</v>
      </c>
      <c r="I56" s="2812">
        <v>4393.3999999999996</v>
      </c>
      <c r="J56" s="2810"/>
      <c r="K56" s="2811">
        <v>3644.7</v>
      </c>
      <c r="L56" s="2811">
        <v>28</v>
      </c>
      <c r="M56" s="2811"/>
      <c r="N56" s="2813">
        <v>2027.43</v>
      </c>
      <c r="O56" s="2813"/>
      <c r="P56" s="2814">
        <v>2915.24</v>
      </c>
      <c r="Q56" s="2815"/>
      <c r="R56" s="2815">
        <v>3840.95</v>
      </c>
      <c r="S56" s="2816"/>
      <c r="T56" s="2810">
        <v>4618.88</v>
      </c>
      <c r="U56" s="2811">
        <v>3445</v>
      </c>
      <c r="V56" s="2811"/>
      <c r="W56" s="2817"/>
      <c r="X56" s="2818"/>
      <c r="Y56" s="2818"/>
      <c r="Z56" s="2818"/>
      <c r="AA56" s="2818"/>
      <c r="AB56" s="2813">
        <v>2163.23</v>
      </c>
      <c r="AC56" s="2814">
        <v>3278.72</v>
      </c>
      <c r="AD56" s="2860">
        <f t="shared" ref="AD56:AD60" si="25">SUM(AC56/9*12)</f>
        <v>4371.626666666667</v>
      </c>
      <c r="AE56" s="3175"/>
      <c r="AF56" s="3176"/>
    </row>
    <row r="57" spans="1:32" ht="36" customHeight="1">
      <c r="A57" s="803" t="s">
        <v>902</v>
      </c>
      <c r="B57" s="2893"/>
      <c r="C57" s="2894"/>
      <c r="D57" s="2895"/>
      <c r="E57" s="813">
        <v>3600</v>
      </c>
      <c r="F57" s="814">
        <f t="shared" ref="F57:L57" si="26">SUM(F58:F60)</f>
        <v>3672.7</v>
      </c>
      <c r="G57" s="814">
        <f t="shared" si="26"/>
        <v>1773.7999999999997</v>
      </c>
      <c r="H57" s="814">
        <f t="shared" si="26"/>
        <v>2603.1999999999998</v>
      </c>
      <c r="I57" s="916">
        <f t="shared" si="26"/>
        <v>3476.2</v>
      </c>
      <c r="J57" s="813">
        <f t="shared" si="26"/>
        <v>3672.7</v>
      </c>
      <c r="K57" s="814">
        <f t="shared" si="26"/>
        <v>3644.7</v>
      </c>
      <c r="L57" s="814">
        <f t="shared" si="26"/>
        <v>28</v>
      </c>
      <c r="M57" s="814">
        <f>SUM(K57/F57*100)</f>
        <v>99.237618101124511</v>
      </c>
      <c r="N57" s="915">
        <f t="shared" ref="N57:S57" si="27">SUM(N58:N60)</f>
        <v>1670.74</v>
      </c>
      <c r="O57" s="915">
        <f t="shared" si="27"/>
        <v>0</v>
      </c>
      <c r="P57" s="2022">
        <f>P58+P59</f>
        <v>2395.17</v>
      </c>
      <c r="Q57" s="915">
        <f t="shared" si="27"/>
        <v>14.2</v>
      </c>
      <c r="R57" s="2022">
        <f>R58+R59</f>
        <v>3186.5699999999997</v>
      </c>
      <c r="S57" s="915">
        <f t="shared" si="27"/>
        <v>23.38</v>
      </c>
      <c r="T57" s="813">
        <f>SUM(T58:T60)</f>
        <v>3463.9333333333334</v>
      </c>
      <c r="U57" s="814">
        <f>SUM(U58:U60)</f>
        <v>3445</v>
      </c>
      <c r="V57" s="814">
        <f>SUM(V58:V60)</f>
        <v>18.933333333333334</v>
      </c>
      <c r="W57" s="820">
        <f>SUM(U57/K57*100)</f>
        <v>94.520811040689225</v>
      </c>
      <c r="X57" s="813">
        <f>SUM(X58:X60)</f>
        <v>3463.9333333333334</v>
      </c>
      <c r="Y57" s="814">
        <f>SUM(Y58:Y60)</f>
        <v>3445</v>
      </c>
      <c r="Z57" s="814">
        <f>SUM(Z58:Z60)</f>
        <v>18.933333333333334</v>
      </c>
      <c r="AA57" s="820"/>
      <c r="AB57" s="915">
        <f t="shared" ref="AB57:AD57" si="28">SUM(AB58:AB60)</f>
        <v>1577.71</v>
      </c>
      <c r="AC57" s="915">
        <f t="shared" si="28"/>
        <v>2304.86</v>
      </c>
      <c r="AD57" s="3501">
        <f t="shared" si="28"/>
        <v>3073.1466666666661</v>
      </c>
      <c r="AE57" s="3175">
        <f t="shared" ref="AE57:AF57" si="29">SUM(AE58:AE60)</f>
        <v>3223</v>
      </c>
      <c r="AF57" s="3176">
        <f t="shared" si="29"/>
        <v>3295.75</v>
      </c>
    </row>
    <row r="58" spans="1:32" ht="36" customHeight="1">
      <c r="A58" s="2855" t="s">
        <v>27</v>
      </c>
      <c r="B58" s="2893"/>
      <c r="C58" s="2894"/>
      <c r="D58" s="2895"/>
      <c r="E58" s="2859">
        <v>2600</v>
      </c>
      <c r="F58" s="2844">
        <f>E58</f>
        <v>2600</v>
      </c>
      <c r="G58" s="2844">
        <v>1250.8</v>
      </c>
      <c r="H58" s="2925">
        <v>1837.1</v>
      </c>
      <c r="I58" s="2896">
        <v>2448.6999999999998</v>
      </c>
      <c r="J58" s="2859">
        <v>2600</v>
      </c>
      <c r="K58" s="2844">
        <f>J58</f>
        <v>2600</v>
      </c>
      <c r="L58" s="2844"/>
      <c r="M58" s="2844">
        <f>SUM(K58/F58*100)</f>
        <v>100</v>
      </c>
      <c r="N58" s="2897">
        <v>1186.01</v>
      </c>
      <c r="O58" s="2823"/>
      <c r="P58" s="2823">
        <v>1721.55</v>
      </c>
      <c r="Q58" s="2897"/>
      <c r="R58" s="2897">
        <v>2289.52</v>
      </c>
      <c r="S58" s="2896"/>
      <c r="T58" s="2859">
        <v>2448</v>
      </c>
      <c r="U58" s="2844">
        <f>T58</f>
        <v>2448</v>
      </c>
      <c r="V58" s="2845"/>
      <c r="W58" s="2822">
        <f>SUM(U58/K58*100)</f>
        <v>94.15384615384616</v>
      </c>
      <c r="X58" s="2859">
        <v>2448</v>
      </c>
      <c r="Y58" s="2844">
        <f>X58</f>
        <v>2448</v>
      </c>
      <c r="Z58" s="2845"/>
      <c r="AA58" s="2822"/>
      <c r="AB58" s="2897">
        <v>1148.96</v>
      </c>
      <c r="AC58" s="2823">
        <v>1686.35</v>
      </c>
      <c r="AD58" s="2860">
        <f t="shared" si="25"/>
        <v>2248.4666666666662</v>
      </c>
      <c r="AE58" s="3169">
        <v>2300</v>
      </c>
      <c r="AF58" s="3170">
        <v>2300</v>
      </c>
    </row>
    <row r="59" spans="1:32" ht="36" customHeight="1">
      <c r="A59" s="2855" t="s">
        <v>29</v>
      </c>
      <c r="B59" s="2893"/>
      <c r="C59" s="2894"/>
      <c r="D59" s="2895"/>
      <c r="E59" s="2859">
        <v>972</v>
      </c>
      <c r="F59" s="2844">
        <f>AB25+2.4</f>
        <v>1044.7</v>
      </c>
      <c r="G59" s="2844">
        <v>513.4</v>
      </c>
      <c r="H59" s="2925">
        <v>751.9</v>
      </c>
      <c r="I59" s="2896">
        <v>997.3</v>
      </c>
      <c r="J59" s="2859">
        <v>1044.7</v>
      </c>
      <c r="K59" s="2844">
        <f>J59</f>
        <v>1044.7</v>
      </c>
      <c r="L59" s="2844"/>
      <c r="M59" s="2844">
        <f>SUM(K59/F59*100)</f>
        <v>100</v>
      </c>
      <c r="N59" s="2897">
        <v>475.06</v>
      </c>
      <c r="O59" s="2823"/>
      <c r="P59" s="2823">
        <v>673.62</v>
      </c>
      <c r="Q59" s="2897"/>
      <c r="R59" s="2897">
        <v>897.05</v>
      </c>
      <c r="S59" s="2896"/>
      <c r="T59" s="2859">
        <v>997</v>
      </c>
      <c r="U59" s="2844">
        <f>T59</f>
        <v>997</v>
      </c>
      <c r="V59" s="2845"/>
      <c r="W59" s="2822">
        <f>SUM(U59/K59*100)</f>
        <v>95.434095912702205</v>
      </c>
      <c r="X59" s="2859">
        <v>997</v>
      </c>
      <c r="Y59" s="2844">
        <f>X59</f>
        <v>997</v>
      </c>
      <c r="Z59" s="2845"/>
      <c r="AA59" s="2822"/>
      <c r="AB59" s="2897">
        <v>418.52</v>
      </c>
      <c r="AC59" s="2823">
        <v>603.16999999999996</v>
      </c>
      <c r="AD59" s="2860">
        <f t="shared" si="25"/>
        <v>804.22666666666657</v>
      </c>
      <c r="AE59" s="3169">
        <v>900</v>
      </c>
      <c r="AF59" s="3170">
        <v>972.75</v>
      </c>
    </row>
    <row r="60" spans="1:32" ht="36" customHeight="1" thickBot="1">
      <c r="A60" s="807" t="s">
        <v>68</v>
      </c>
      <c r="B60" s="2913"/>
      <c r="C60" s="2914"/>
      <c r="D60" s="2915"/>
      <c r="E60" s="2916">
        <v>28</v>
      </c>
      <c r="F60" s="2846">
        <v>28</v>
      </c>
      <c r="G60" s="2846">
        <v>9.6</v>
      </c>
      <c r="H60" s="2926">
        <v>14.2</v>
      </c>
      <c r="I60" s="2917">
        <v>30.2</v>
      </c>
      <c r="J60" s="2916">
        <v>28</v>
      </c>
      <c r="K60" s="2846">
        <v>0</v>
      </c>
      <c r="L60" s="2846">
        <v>28</v>
      </c>
      <c r="M60" s="2846">
        <f>SUM(K60/F60*100)</f>
        <v>0</v>
      </c>
      <c r="N60" s="2927">
        <v>9.67</v>
      </c>
      <c r="O60" s="2842"/>
      <c r="P60" s="2842"/>
      <c r="Q60" s="2927">
        <v>14.2</v>
      </c>
      <c r="R60" s="2927"/>
      <c r="S60" s="2917">
        <v>23.38</v>
      </c>
      <c r="T60" s="2916">
        <f>SUM(V60)</f>
        <v>18.933333333333334</v>
      </c>
      <c r="U60" s="2846"/>
      <c r="V60" s="2847">
        <f>Q60/3*4</f>
        <v>18.933333333333334</v>
      </c>
      <c r="W60" s="2843" t="e">
        <f>SUM(U60/K60*100)</f>
        <v>#DIV/0!</v>
      </c>
      <c r="X60" s="2916">
        <f>SUM(Z60)</f>
        <v>18.933333333333334</v>
      </c>
      <c r="Y60" s="2846"/>
      <c r="Z60" s="2847">
        <f>V60</f>
        <v>18.933333333333334</v>
      </c>
      <c r="AA60" s="2843"/>
      <c r="AB60" s="2927">
        <v>10.23</v>
      </c>
      <c r="AC60" s="2842">
        <v>15.34</v>
      </c>
      <c r="AD60" s="3502">
        <f t="shared" si="25"/>
        <v>20.453333333333333</v>
      </c>
      <c r="AE60" s="3177">
        <v>23</v>
      </c>
      <c r="AF60" s="3178">
        <v>23</v>
      </c>
    </row>
    <row r="61" spans="1:32">
      <c r="AE61" s="645"/>
    </row>
  </sheetData>
  <mergeCells count="52">
    <mergeCell ref="A1:AF1"/>
    <mergeCell ref="A2:AF2"/>
    <mergeCell ref="AB34:AB36"/>
    <mergeCell ref="AC34:AC36"/>
    <mergeCell ref="AD34:AD36"/>
    <mergeCell ref="AE34:AE36"/>
    <mergeCell ref="AF34:AF36"/>
    <mergeCell ref="A3:AF3"/>
    <mergeCell ref="J5:J7"/>
    <mergeCell ref="C5:C7"/>
    <mergeCell ref="K4:AB4"/>
    <mergeCell ref="H4:J4"/>
    <mergeCell ref="F4:G4"/>
    <mergeCell ref="B4:B7"/>
    <mergeCell ref="A4:A7"/>
    <mergeCell ref="AB33:AD33"/>
    <mergeCell ref="AE33:AF33"/>
    <mergeCell ref="A37:AF37"/>
    <mergeCell ref="A55:AF55"/>
    <mergeCell ref="X33:AA33"/>
    <mergeCell ref="X34:X36"/>
    <mergeCell ref="Y34:Z35"/>
    <mergeCell ref="AA34:AA36"/>
    <mergeCell ref="N34:O35"/>
    <mergeCell ref="U34:V35"/>
    <mergeCell ref="K34:L35"/>
    <mergeCell ref="A33:A36"/>
    <mergeCell ref="M34:M36"/>
    <mergeCell ref="J33:S33"/>
    <mergeCell ref="P34:Q35"/>
    <mergeCell ref="R34:S35"/>
    <mergeCell ref="A20:AB20"/>
    <mergeCell ref="H5:H7"/>
    <mergeCell ref="F5:F7"/>
    <mergeCell ref="K5:K7"/>
    <mergeCell ref="AB5:AB7"/>
    <mergeCell ref="C4:D4"/>
    <mergeCell ref="D5:D7"/>
    <mergeCell ref="E5:E7"/>
    <mergeCell ref="J34:J36"/>
    <mergeCell ref="I34:I36"/>
    <mergeCell ref="A8:AB8"/>
    <mergeCell ref="G34:G36"/>
    <mergeCell ref="H34:H36"/>
    <mergeCell ref="G5:G7"/>
    <mergeCell ref="E33:I33"/>
    <mergeCell ref="T33:W33"/>
    <mergeCell ref="T34:T36"/>
    <mergeCell ref="W34:W36"/>
    <mergeCell ref="A31:J31"/>
    <mergeCell ref="E34:E36"/>
    <mergeCell ref="F34:F36"/>
  </mergeCells>
  <phoneticPr fontId="7" type="noConversion"/>
  <printOptions horizontalCentered="1" verticalCentered="1"/>
  <pageMargins left="0.15748031496062992" right="0.15748031496062992" top="0.15748031496062992" bottom="0.15748031496062992" header="0.51181102362204722" footer="0.51181102362204722"/>
  <pageSetup paperSize="9" scale="43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>
      <c r="A2" s="4579" t="s">
        <v>57</v>
      </c>
      <c r="B2" s="4579"/>
      <c r="C2" s="4579"/>
      <c r="D2" s="4579"/>
      <c r="E2" s="4579"/>
      <c r="F2" s="4579"/>
      <c r="G2" s="4579"/>
      <c r="H2" s="4579"/>
      <c r="I2" s="4579"/>
      <c r="J2" s="4579"/>
      <c r="K2" s="4579"/>
      <c r="L2" s="4579"/>
      <c r="M2" s="4579"/>
      <c r="N2" s="4579"/>
      <c r="O2" s="4579"/>
      <c r="P2" s="4579"/>
      <c r="Q2" s="4579"/>
      <c r="R2" s="4579"/>
      <c r="S2" s="4579"/>
      <c r="T2" s="4579"/>
      <c r="U2" s="4579"/>
      <c r="V2" s="4579"/>
      <c r="W2" s="4579"/>
      <c r="X2" s="4579"/>
      <c r="Y2" s="4579"/>
      <c r="Z2" s="4579"/>
      <c r="AA2" s="4579"/>
      <c r="AB2" s="4579"/>
      <c r="AC2" s="4579"/>
      <c r="AD2" s="4579"/>
      <c r="AE2" s="4579"/>
      <c r="AF2" s="4579"/>
      <c r="AG2" s="4579"/>
    </row>
    <row r="3" spans="1:34">
      <c r="A3" s="4407" t="s">
        <v>19</v>
      </c>
      <c r="B3" s="4408"/>
      <c r="C3" s="4408"/>
      <c r="D3" s="4408"/>
      <c r="E3" s="4408"/>
      <c r="F3" s="4408"/>
      <c r="G3" s="4408"/>
      <c r="H3" s="4408"/>
      <c r="I3" s="4408"/>
      <c r="J3" s="4408"/>
      <c r="K3" s="4408"/>
      <c r="L3" s="4408"/>
      <c r="M3" s="4408"/>
      <c r="N3" s="4408"/>
      <c r="O3" s="4408"/>
      <c r="P3" s="4408"/>
      <c r="Q3" s="4408"/>
      <c r="R3" s="4408"/>
      <c r="S3" s="4408"/>
      <c r="T3" s="4408"/>
      <c r="U3" s="4408"/>
      <c r="V3" s="4408"/>
      <c r="W3" s="4408"/>
      <c r="X3" s="4408"/>
      <c r="Y3" s="4408"/>
      <c r="Z3" s="4408"/>
      <c r="AA3" s="4408"/>
      <c r="AB3" s="4408"/>
      <c r="AC3" s="4408"/>
      <c r="AD3" s="4408"/>
      <c r="AE3" s="4408"/>
      <c r="AF3" s="4408"/>
      <c r="AG3" s="4408"/>
    </row>
    <row r="4" spans="1:34" ht="12.75" hidden="1" customHeight="1">
      <c r="A4" s="4508"/>
      <c r="B4" s="4506" t="s">
        <v>58</v>
      </c>
      <c r="C4" s="1666"/>
      <c r="D4" s="1666"/>
      <c r="E4" s="1666"/>
      <c r="F4" s="1666"/>
      <c r="G4" s="1666"/>
      <c r="H4" s="1666"/>
      <c r="I4" s="1666"/>
      <c r="J4" s="4437" t="s">
        <v>59</v>
      </c>
      <c r="K4" s="4505"/>
      <c r="L4" s="4505"/>
      <c r="M4" s="4438"/>
      <c r="N4" s="4437" t="s">
        <v>67</v>
      </c>
      <c r="O4" s="4438"/>
      <c r="P4" s="4437" t="s">
        <v>95</v>
      </c>
      <c r="Q4" s="4505"/>
      <c r="R4" s="4438"/>
      <c r="S4" s="4437" t="s">
        <v>124</v>
      </c>
      <c r="T4" s="4505"/>
      <c r="U4" s="4505"/>
      <c r="V4" s="4505"/>
      <c r="W4" s="4502" t="s">
        <v>162</v>
      </c>
      <c r="X4" s="4503"/>
      <c r="Y4" s="4503"/>
      <c r="Z4" s="4503"/>
      <c r="AA4" s="4503"/>
      <c r="AB4" s="4503"/>
      <c r="AC4" s="4503"/>
      <c r="AD4" s="4503"/>
      <c r="AE4" s="4503"/>
      <c r="AF4" s="4503"/>
      <c r="AG4" s="4503"/>
      <c r="AH4" s="4580"/>
    </row>
    <row r="5" spans="1:34" ht="12.75" hidden="1" customHeight="1">
      <c r="A5" s="4508"/>
      <c r="B5" s="4506"/>
      <c r="C5" s="1666"/>
      <c r="D5" s="1666"/>
      <c r="E5" s="1666"/>
      <c r="F5" s="1666"/>
      <c r="G5" s="1666"/>
      <c r="H5" s="1666"/>
      <c r="I5" s="1666"/>
      <c r="J5" s="4577" t="s">
        <v>61</v>
      </c>
      <c r="K5" s="1682"/>
      <c r="L5" s="1682"/>
      <c r="M5" s="4578" t="s">
        <v>62</v>
      </c>
      <c r="N5" s="4577" t="s">
        <v>61</v>
      </c>
      <c r="O5" s="4578" t="s">
        <v>66</v>
      </c>
      <c r="P5" s="4577" t="s">
        <v>61</v>
      </c>
      <c r="Q5" s="1682"/>
      <c r="R5" s="4578" t="s">
        <v>112</v>
      </c>
      <c r="S5" s="4577" t="s">
        <v>60</v>
      </c>
      <c r="T5" s="1629"/>
      <c r="U5" s="794"/>
      <c r="V5" s="4574" t="s">
        <v>110</v>
      </c>
      <c r="W5" s="4577" t="s">
        <v>96</v>
      </c>
      <c r="X5" s="1636"/>
      <c r="Y5" s="794"/>
      <c r="Z5" s="794"/>
      <c r="AA5" s="794"/>
      <c r="AB5" s="1796"/>
      <c r="AC5" s="794"/>
      <c r="AD5" s="1629"/>
      <c r="AE5" s="794"/>
      <c r="AF5" s="4574" t="s">
        <v>128</v>
      </c>
      <c r="AG5" s="4574" t="s">
        <v>97</v>
      </c>
      <c r="AH5" s="4578" t="s">
        <v>61</v>
      </c>
    </row>
    <row r="6" spans="1:34" ht="12.75" hidden="1" customHeight="1">
      <c r="A6" s="4508"/>
      <c r="B6" s="4506"/>
      <c r="C6" s="1666"/>
      <c r="D6" s="1666"/>
      <c r="E6" s="1666"/>
      <c r="F6" s="1666"/>
      <c r="G6" s="1666"/>
      <c r="H6" s="1666"/>
      <c r="I6" s="1666"/>
      <c r="J6" s="4443"/>
      <c r="K6" s="334"/>
      <c r="L6" s="334"/>
      <c r="M6" s="4440"/>
      <c r="N6" s="4443"/>
      <c r="O6" s="4440"/>
      <c r="P6" s="4443"/>
      <c r="Q6" s="334"/>
      <c r="R6" s="4440"/>
      <c r="S6" s="4443"/>
      <c r="T6" s="1603"/>
      <c r="U6" s="1603"/>
      <c r="V6" s="4575"/>
      <c r="W6" s="4443"/>
      <c r="X6" s="1637"/>
      <c r="Y6" s="1603"/>
      <c r="Z6" s="1603"/>
      <c r="AA6" s="1603"/>
      <c r="AB6" s="1626"/>
      <c r="AC6" s="1603"/>
      <c r="AD6" s="1603"/>
      <c r="AE6" s="1603"/>
      <c r="AF6" s="4575"/>
      <c r="AG6" s="4575"/>
      <c r="AH6" s="4440"/>
    </row>
    <row r="7" spans="1:34" ht="13.5" hidden="1" customHeight="1" thickBot="1">
      <c r="A7" s="4509"/>
      <c r="B7" s="4507"/>
      <c r="C7" s="1667"/>
      <c r="D7" s="1667"/>
      <c r="E7" s="1667"/>
      <c r="F7" s="1667"/>
      <c r="G7" s="1667"/>
      <c r="H7" s="1667"/>
      <c r="I7" s="1667"/>
      <c r="J7" s="4444"/>
      <c r="K7" s="1683"/>
      <c r="L7" s="1683"/>
      <c r="M7" s="4441"/>
      <c r="N7" s="4444"/>
      <c r="O7" s="4441"/>
      <c r="P7" s="4444"/>
      <c r="Q7" s="1683"/>
      <c r="R7" s="4441"/>
      <c r="S7" s="4444"/>
      <c r="T7" s="1604"/>
      <c r="U7" s="1604"/>
      <c r="V7" s="4576"/>
      <c r="W7" s="4444"/>
      <c r="X7" s="1638"/>
      <c r="Y7" s="1604"/>
      <c r="Z7" s="1604"/>
      <c r="AA7" s="1604"/>
      <c r="AB7" s="1627"/>
      <c r="AC7" s="1604"/>
      <c r="AD7" s="1604"/>
      <c r="AE7" s="1604"/>
      <c r="AF7" s="4576"/>
      <c r="AG7" s="4576"/>
      <c r="AH7" s="4441"/>
    </row>
    <row r="8" spans="1:34" ht="13.5" hidden="1" thickBot="1">
      <c r="A8" s="4449" t="s">
        <v>46</v>
      </c>
      <c r="B8" s="4450"/>
      <c r="C8" s="4450"/>
      <c r="D8" s="4450"/>
      <c r="E8" s="4450"/>
      <c r="F8" s="4450"/>
      <c r="G8" s="4450"/>
      <c r="H8" s="4450"/>
      <c r="I8" s="4450"/>
      <c r="J8" s="4450"/>
      <c r="K8" s="4450"/>
      <c r="L8" s="4450"/>
      <c r="M8" s="4450"/>
      <c r="N8" s="4450"/>
      <c r="O8" s="4450"/>
      <c r="P8" s="4450"/>
      <c r="Q8" s="4450"/>
      <c r="R8" s="4450"/>
      <c r="S8" s="4450"/>
      <c r="T8" s="4450"/>
      <c r="U8" s="4450"/>
      <c r="V8" s="4450"/>
      <c r="W8" s="4450"/>
      <c r="X8" s="4450"/>
      <c r="Y8" s="4450"/>
      <c r="Z8" s="4450"/>
      <c r="AA8" s="4450"/>
      <c r="AB8" s="4450"/>
      <c r="AC8" s="4450"/>
      <c r="AD8" s="4450"/>
      <c r="AE8" s="4450"/>
      <c r="AF8" s="4450"/>
      <c r="AG8" s="4450"/>
      <c r="AH8" s="4451"/>
    </row>
    <row r="9" spans="1:34" hidden="1">
      <c r="A9" s="33" t="s">
        <v>18</v>
      </c>
      <c r="B9" s="37">
        <f>B10+B12</f>
        <v>10513.699999999999</v>
      </c>
      <c r="C9" s="1668"/>
      <c r="D9" s="1668"/>
      <c r="E9" s="1668"/>
      <c r="F9" s="1668"/>
      <c r="G9" s="1668"/>
      <c r="H9" s="1668"/>
      <c r="I9" s="1668"/>
      <c r="J9" s="42">
        <f>J10+J12</f>
        <v>8838.9000000000015</v>
      </c>
      <c r="K9" s="1688"/>
      <c r="L9" s="1688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607">
        <f>P10+P11+P12</f>
        <v>8372.9</v>
      </c>
      <c r="Q9" s="1668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607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7">
        <f>AH10+AH12</f>
        <v>7835.7</v>
      </c>
    </row>
    <row r="10" spans="1:34" hidden="1">
      <c r="A10" s="34" t="s">
        <v>20</v>
      </c>
      <c r="B10" s="38">
        <v>744.9</v>
      </c>
      <c r="C10" s="1669"/>
      <c r="D10" s="1669"/>
      <c r="E10" s="1669"/>
      <c r="F10" s="1669"/>
      <c r="G10" s="1669"/>
      <c r="H10" s="1669"/>
      <c r="I10" s="1669"/>
      <c r="J10" s="1605">
        <v>643.70000000000005</v>
      </c>
      <c r="K10" s="1689"/>
      <c r="L10" s="1689"/>
      <c r="M10" s="45">
        <f>J10/B10*100</f>
        <v>86.414283796482763</v>
      </c>
      <c r="N10" s="1605">
        <v>811.9</v>
      </c>
      <c r="O10" s="108">
        <f>N10/J10*100</f>
        <v>126.13018486872764</v>
      </c>
      <c r="P10" s="1608">
        <v>876.4</v>
      </c>
      <c r="Q10" s="1669"/>
      <c r="R10" s="45">
        <f t="shared" ref="R10:R19" si="1">P10/N10*100</f>
        <v>107.9443281192265</v>
      </c>
      <c r="S10" s="113">
        <v>841.6</v>
      </c>
      <c r="T10" s="1677"/>
      <c r="U10" s="795"/>
      <c r="V10" s="11">
        <v>580.70000000000005</v>
      </c>
      <c r="W10" s="1608">
        <v>876</v>
      </c>
      <c r="X10" s="1639"/>
      <c r="Y10" s="799"/>
      <c r="Z10" s="799"/>
      <c r="AA10" s="799"/>
      <c r="AB10" s="1797"/>
      <c r="AC10" s="799"/>
      <c r="AD10" s="1630"/>
      <c r="AE10" s="799"/>
      <c r="AF10" s="1605">
        <v>876</v>
      </c>
      <c r="AG10" s="6">
        <f t="shared" si="0"/>
        <v>104.08745247148288</v>
      </c>
      <c r="AH10" s="283">
        <f>7835.7-4227.7-2796.3</f>
        <v>811.69999999999982</v>
      </c>
    </row>
    <row r="11" spans="1:34" hidden="1">
      <c r="A11" s="55" t="s">
        <v>113</v>
      </c>
      <c r="B11" s="32"/>
      <c r="C11" s="1670"/>
      <c r="D11" s="1670"/>
      <c r="E11" s="1670"/>
      <c r="F11" s="1670"/>
      <c r="G11" s="1670"/>
      <c r="H11" s="1670"/>
      <c r="I11" s="1670"/>
      <c r="J11" s="2"/>
      <c r="K11" s="1690"/>
      <c r="L11" s="1690"/>
      <c r="M11" s="47"/>
      <c r="N11" s="2">
        <v>54.2</v>
      </c>
      <c r="O11" s="109"/>
      <c r="P11" s="56">
        <v>0</v>
      </c>
      <c r="Q11" s="1670"/>
      <c r="R11" s="45">
        <f t="shared" si="1"/>
        <v>0</v>
      </c>
      <c r="S11" s="112">
        <v>22.5</v>
      </c>
      <c r="T11" s="1678"/>
      <c r="U11" s="796"/>
      <c r="V11" s="31"/>
      <c r="W11" s="56"/>
      <c r="X11" s="1640"/>
      <c r="Y11" s="799"/>
      <c r="Z11" s="799"/>
      <c r="AA11" s="799"/>
      <c r="AB11" s="1797"/>
      <c r="AC11" s="799"/>
      <c r="AD11" s="1630"/>
      <c r="AE11" s="799"/>
      <c r="AF11" s="2"/>
      <c r="AG11" s="31">
        <f t="shared" si="0"/>
        <v>0</v>
      </c>
      <c r="AH11" s="178"/>
    </row>
    <row r="12" spans="1:34" hidden="1">
      <c r="A12" s="34" t="s">
        <v>21</v>
      </c>
      <c r="B12" s="38">
        <f>B13+B15</f>
        <v>9768.7999999999993</v>
      </c>
      <c r="C12" s="1669"/>
      <c r="D12" s="1669"/>
      <c r="E12" s="1669"/>
      <c r="F12" s="1669"/>
      <c r="G12" s="1669"/>
      <c r="H12" s="1669"/>
      <c r="I12" s="1669"/>
      <c r="J12" s="1605">
        <f>J13+J15</f>
        <v>8195.2000000000007</v>
      </c>
      <c r="K12" s="1689"/>
      <c r="L12" s="1689"/>
      <c r="M12" s="45">
        <f>J12/B12*100</f>
        <v>83.891573171730414</v>
      </c>
      <c r="N12" s="1605">
        <f>N13+N15</f>
        <v>7996.7999999999993</v>
      </c>
      <c r="O12" s="108">
        <f>N12/J12*100</f>
        <v>97.579070675517357</v>
      </c>
      <c r="P12" s="1608">
        <f>P13+P15</f>
        <v>7496.5</v>
      </c>
      <c r="Q12" s="1669"/>
      <c r="R12" s="45">
        <f t="shared" si="1"/>
        <v>93.74374749899961</v>
      </c>
      <c r="S12" s="113">
        <f>S13+S15</f>
        <v>5795</v>
      </c>
      <c r="T12" s="1679"/>
      <c r="U12" s="1606"/>
      <c r="V12" s="1605">
        <f>V13+V15</f>
        <v>6086.2000000000007</v>
      </c>
      <c r="W12" s="1608">
        <f>W13+W15</f>
        <v>5783.1</v>
      </c>
      <c r="X12" s="1639"/>
      <c r="Y12" s="799"/>
      <c r="Z12" s="799"/>
      <c r="AA12" s="799"/>
      <c r="AB12" s="1797"/>
      <c r="AC12" s="799"/>
      <c r="AD12" s="1630"/>
      <c r="AE12" s="799"/>
      <c r="AF12" s="1605">
        <f>AF13+AF15</f>
        <v>5505</v>
      </c>
      <c r="AG12" s="6">
        <f t="shared" si="0"/>
        <v>94.995685936151858</v>
      </c>
      <c r="AH12" s="260">
        <f>AH13+AH15</f>
        <v>7024</v>
      </c>
    </row>
    <row r="13" spans="1:34" hidden="1">
      <c r="A13" s="34" t="s">
        <v>51</v>
      </c>
      <c r="B13" s="38">
        <v>4444.8999999999996</v>
      </c>
      <c r="C13" s="1669"/>
      <c r="D13" s="1669"/>
      <c r="E13" s="1669"/>
      <c r="F13" s="1669"/>
      <c r="G13" s="1669"/>
      <c r="H13" s="1669"/>
      <c r="I13" s="1669"/>
      <c r="J13" s="1605">
        <v>3172</v>
      </c>
      <c r="K13" s="1689"/>
      <c r="L13" s="1689"/>
      <c r="M13" s="45">
        <f>J13/B13*100</f>
        <v>71.36268532475421</v>
      </c>
      <c r="N13" s="1605">
        <v>3094</v>
      </c>
      <c r="O13" s="108">
        <f>N13/J13*100</f>
        <v>97.540983606557376</v>
      </c>
      <c r="P13" s="1608">
        <v>2972.2</v>
      </c>
      <c r="Q13" s="1669"/>
      <c r="R13" s="45">
        <f t="shared" si="1"/>
        <v>96.063348416289585</v>
      </c>
      <c r="S13" s="113">
        <v>1150</v>
      </c>
      <c r="T13" s="1677"/>
      <c r="U13" s="795"/>
      <c r="V13" s="11">
        <v>2822.4</v>
      </c>
      <c r="W13" s="1608">
        <v>1683.1</v>
      </c>
      <c r="X13" s="1639"/>
      <c r="Y13" s="799"/>
      <c r="Z13" s="799"/>
      <c r="AA13" s="799"/>
      <c r="AB13" s="1797"/>
      <c r="AC13" s="799"/>
      <c r="AD13" s="1630"/>
      <c r="AE13" s="799"/>
      <c r="AF13" s="1605">
        <v>1100</v>
      </c>
      <c r="AG13" s="6">
        <f t="shared" si="0"/>
        <v>95.652173913043484</v>
      </c>
      <c r="AH13" s="178">
        <v>2796.3</v>
      </c>
    </row>
    <row r="14" spans="1:34" ht="27.75" hidden="1" customHeight="1">
      <c r="A14" s="35" t="s">
        <v>117</v>
      </c>
      <c r="B14" s="39">
        <f>B13/B12*100</f>
        <v>45.500982720497909</v>
      </c>
      <c r="C14" s="1671"/>
      <c r="D14" s="1671"/>
      <c r="E14" s="1671"/>
      <c r="F14" s="1671"/>
      <c r="G14" s="1671"/>
      <c r="H14" s="1671"/>
      <c r="I14" s="1671"/>
      <c r="J14" s="30">
        <f>J13/J12*100</f>
        <v>38.705583756345177</v>
      </c>
      <c r="K14" s="1691"/>
      <c r="L14" s="1691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671"/>
      <c r="R14" s="45"/>
      <c r="S14" s="118">
        <f>S13/S12*100</f>
        <v>19.844693701466781</v>
      </c>
      <c r="T14" s="1678"/>
      <c r="U14" s="796"/>
      <c r="V14" s="31">
        <f>V13/V12*100</f>
        <v>46.373763596332687</v>
      </c>
      <c r="W14" s="46">
        <f>W13/W12*100</f>
        <v>29.103767875360965</v>
      </c>
      <c r="X14" s="1641"/>
      <c r="Y14" s="799"/>
      <c r="Z14" s="799"/>
      <c r="AA14" s="799"/>
      <c r="AB14" s="1797"/>
      <c r="AC14" s="799"/>
      <c r="AD14" s="1630"/>
      <c r="AE14" s="799"/>
      <c r="AF14" s="94">
        <f>AF13/AF12*100</f>
        <v>19.981834695731155</v>
      </c>
      <c r="AG14" s="31">
        <f t="shared" si="0"/>
        <v>100.69107135805395</v>
      </c>
      <c r="AH14" s="261">
        <f>AH13/AH12*100</f>
        <v>39.810649202733487</v>
      </c>
    </row>
    <row r="15" spans="1:34" hidden="1">
      <c r="A15" s="34" t="s">
        <v>22</v>
      </c>
      <c r="B15" s="38">
        <f>SUM(B17:B19)</f>
        <v>5323.9</v>
      </c>
      <c r="C15" s="1669"/>
      <c r="D15" s="1669"/>
      <c r="E15" s="1669"/>
      <c r="F15" s="1669"/>
      <c r="G15" s="1669"/>
      <c r="H15" s="1669"/>
      <c r="I15" s="1669"/>
      <c r="J15" s="1605">
        <f>SUM(J17:J19)</f>
        <v>5023.2000000000007</v>
      </c>
      <c r="K15" s="1689"/>
      <c r="L15" s="1689"/>
      <c r="M15" s="45">
        <f>J15/B15*100</f>
        <v>94.351884896410539</v>
      </c>
      <c r="N15" s="1605">
        <f>SUM(N17:N19)</f>
        <v>4902.7999999999993</v>
      </c>
      <c r="O15" s="108">
        <f>N15/J15*100</f>
        <v>97.603121516164975</v>
      </c>
      <c r="P15" s="1608">
        <f>SUM(P17:P19)</f>
        <v>4524.3</v>
      </c>
      <c r="Q15" s="1669"/>
      <c r="R15" s="45">
        <f t="shared" si="1"/>
        <v>92.279921677408851</v>
      </c>
      <c r="S15" s="113">
        <f>SUM(S17:S19)</f>
        <v>4645</v>
      </c>
      <c r="T15" s="1679"/>
      <c r="U15" s="1606"/>
      <c r="V15" s="1605">
        <f>SUM(V17:V19)</f>
        <v>3263.8</v>
      </c>
      <c r="W15" s="1608">
        <f>SUM(W17:W19)</f>
        <v>4100</v>
      </c>
      <c r="X15" s="1639"/>
      <c r="Y15" s="799"/>
      <c r="Z15" s="799"/>
      <c r="AA15" s="799"/>
      <c r="AB15" s="1797"/>
      <c r="AC15" s="799"/>
      <c r="AD15" s="1630"/>
      <c r="AE15" s="799"/>
      <c r="AF15" s="1605">
        <f>SUM(AF17:AF19)</f>
        <v>4405</v>
      </c>
      <c r="AG15" s="6">
        <f t="shared" si="0"/>
        <v>94.833153928955866</v>
      </c>
      <c r="AH15" s="260">
        <f>SUM(AH17:AH19)</f>
        <v>4227.7</v>
      </c>
    </row>
    <row r="16" spans="1:34" hidden="1">
      <c r="A16" s="34" t="s">
        <v>50</v>
      </c>
      <c r="B16" s="38"/>
      <c r="C16" s="1669"/>
      <c r="D16" s="1669"/>
      <c r="E16" s="1669"/>
      <c r="F16" s="1669"/>
      <c r="G16" s="1669"/>
      <c r="H16" s="1669"/>
      <c r="I16" s="1669"/>
      <c r="J16" s="1605"/>
      <c r="K16" s="1689"/>
      <c r="L16" s="1689"/>
      <c r="M16" s="45"/>
      <c r="N16" s="1605"/>
      <c r="O16" s="108"/>
      <c r="P16" s="1608"/>
      <c r="Q16" s="1669"/>
      <c r="R16" s="45"/>
      <c r="S16" s="113"/>
      <c r="T16" s="1677"/>
      <c r="U16" s="795"/>
      <c r="V16" s="6"/>
      <c r="W16" s="1608"/>
      <c r="X16" s="1639"/>
      <c r="Y16" s="799"/>
      <c r="Z16" s="799"/>
      <c r="AA16" s="799"/>
      <c r="AB16" s="1797"/>
      <c r="AC16" s="799"/>
      <c r="AD16" s="1630"/>
      <c r="AE16" s="799"/>
      <c r="AF16" s="1605"/>
      <c r="AG16" s="6"/>
      <c r="AH16" s="178"/>
    </row>
    <row r="17" spans="1:34" hidden="1">
      <c r="A17" s="34" t="s">
        <v>24</v>
      </c>
      <c r="B17" s="38">
        <v>3682.8</v>
      </c>
      <c r="C17" s="1669"/>
      <c r="D17" s="1669"/>
      <c r="E17" s="1669"/>
      <c r="F17" s="1669"/>
      <c r="G17" s="1669"/>
      <c r="H17" s="1669"/>
      <c r="I17" s="1669"/>
      <c r="J17" s="1605">
        <v>3570.3</v>
      </c>
      <c r="K17" s="1689"/>
      <c r="L17" s="1689"/>
      <c r="M17" s="45">
        <f>J17/B17*100</f>
        <v>96.945259042033243</v>
      </c>
      <c r="N17" s="1605">
        <v>3407.1</v>
      </c>
      <c r="O17" s="108">
        <f>N17/J17*100</f>
        <v>95.42895554995377</v>
      </c>
      <c r="P17" s="1608">
        <v>3159.6</v>
      </c>
      <c r="Q17" s="1669"/>
      <c r="R17" s="45">
        <f t="shared" si="1"/>
        <v>92.735757682486579</v>
      </c>
      <c r="S17" s="113">
        <v>3192</v>
      </c>
      <c r="T17" s="1677"/>
      <c r="U17" s="795"/>
      <c r="V17" s="11">
        <v>2288.1</v>
      </c>
      <c r="W17" s="1608">
        <v>2860</v>
      </c>
      <c r="X17" s="1639"/>
      <c r="Y17" s="799"/>
      <c r="Z17" s="799"/>
      <c r="AA17" s="799"/>
      <c r="AB17" s="1797"/>
      <c r="AC17" s="799"/>
      <c r="AD17" s="1630"/>
      <c r="AE17" s="799"/>
      <c r="AF17" s="1605">
        <v>3100</v>
      </c>
      <c r="AG17" s="6">
        <f>AF17/S17*100</f>
        <v>97.11779448621553</v>
      </c>
      <c r="AH17" s="178">
        <v>2975.5</v>
      </c>
    </row>
    <row r="18" spans="1:34" hidden="1">
      <c r="A18" s="34" t="s">
        <v>25</v>
      </c>
      <c r="B18" s="38">
        <v>129.69999999999999</v>
      </c>
      <c r="C18" s="1669"/>
      <c r="D18" s="1669"/>
      <c r="E18" s="1669"/>
      <c r="F18" s="1669"/>
      <c r="G18" s="1669"/>
      <c r="H18" s="1669"/>
      <c r="I18" s="1669"/>
      <c r="J18" s="1605">
        <v>59.4</v>
      </c>
      <c r="K18" s="1689"/>
      <c r="L18" s="1689"/>
      <c r="M18" s="45">
        <f>J18/B18*100</f>
        <v>45.797995373939862</v>
      </c>
      <c r="N18" s="1605">
        <v>46.1</v>
      </c>
      <c r="O18" s="108">
        <f>N18/J18*100</f>
        <v>77.609427609427613</v>
      </c>
      <c r="P18" s="1608">
        <v>54.9</v>
      </c>
      <c r="Q18" s="1669"/>
      <c r="R18" s="45">
        <f t="shared" si="1"/>
        <v>119.08893709327548</v>
      </c>
      <c r="S18" s="113">
        <v>59</v>
      </c>
      <c r="T18" s="1677"/>
      <c r="U18" s="795"/>
      <c r="V18" s="11">
        <v>36.799999999999997</v>
      </c>
      <c r="W18" s="1608">
        <v>55</v>
      </c>
      <c r="X18" s="1639"/>
      <c r="Y18" s="799"/>
      <c r="Z18" s="799"/>
      <c r="AA18" s="799"/>
      <c r="AB18" s="1797"/>
      <c r="AC18" s="799"/>
      <c r="AD18" s="1630"/>
      <c r="AE18" s="799"/>
      <c r="AF18" s="1605">
        <v>55</v>
      </c>
      <c r="AG18" s="6">
        <f>AF18/S18*100</f>
        <v>93.220338983050837</v>
      </c>
      <c r="AH18" s="178">
        <v>46</v>
      </c>
    </row>
    <row r="19" spans="1:34" ht="13.5" hidden="1" thickBot="1">
      <c r="A19" s="36" t="s">
        <v>26</v>
      </c>
      <c r="B19" s="40">
        <v>1511.4</v>
      </c>
      <c r="C19" s="1672"/>
      <c r="D19" s="1672"/>
      <c r="E19" s="1672"/>
      <c r="F19" s="1672"/>
      <c r="G19" s="1672"/>
      <c r="H19" s="1672"/>
      <c r="I19" s="1672"/>
      <c r="J19" s="49">
        <v>1393.5</v>
      </c>
      <c r="K19" s="1692"/>
      <c r="L19" s="1692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684"/>
      <c r="R19" s="119">
        <f t="shared" si="1"/>
        <v>90.355960264900673</v>
      </c>
      <c r="S19" s="117">
        <v>1394</v>
      </c>
      <c r="T19" s="1680"/>
      <c r="U19" s="51"/>
      <c r="V19" s="51">
        <v>938.9</v>
      </c>
      <c r="W19" s="1609">
        <v>1185</v>
      </c>
      <c r="X19" s="1642"/>
      <c r="Y19" s="53"/>
      <c r="Z19" s="53"/>
      <c r="AA19" s="53"/>
      <c r="AB19" s="1631"/>
      <c r="AC19" s="53"/>
      <c r="AD19" s="1631"/>
      <c r="AE19" s="53"/>
      <c r="AF19" s="49">
        <v>1250</v>
      </c>
      <c r="AG19" s="53">
        <f>AF19/S19*100</f>
        <v>89.670014347202297</v>
      </c>
      <c r="AH19" s="179">
        <v>1206.2</v>
      </c>
    </row>
    <row r="20" spans="1:34" ht="13.5" hidden="1" thickBot="1">
      <c r="A20" s="4461" t="s">
        <v>47</v>
      </c>
      <c r="B20" s="4462"/>
      <c r="C20" s="4462"/>
      <c r="D20" s="4462"/>
      <c r="E20" s="4462"/>
      <c r="F20" s="4462"/>
      <c r="G20" s="4462"/>
      <c r="H20" s="4462"/>
      <c r="I20" s="4462"/>
      <c r="J20" s="4462"/>
      <c r="K20" s="4462"/>
      <c r="L20" s="4462"/>
      <c r="M20" s="4462"/>
      <c r="N20" s="4462"/>
      <c r="O20" s="4462"/>
      <c r="P20" s="4462"/>
      <c r="Q20" s="4462"/>
      <c r="R20" s="4462"/>
      <c r="S20" s="4462"/>
      <c r="T20" s="4462"/>
      <c r="U20" s="4462"/>
      <c r="V20" s="4462"/>
      <c r="W20" s="4462"/>
      <c r="X20" s="4462"/>
      <c r="Y20" s="4462"/>
      <c r="Z20" s="4462"/>
      <c r="AA20" s="4462"/>
      <c r="AB20" s="4462"/>
      <c r="AC20" s="4462"/>
      <c r="AD20" s="4462"/>
      <c r="AE20" s="4462"/>
      <c r="AF20" s="4462"/>
      <c r="AG20" s="4462"/>
      <c r="AH20" s="4463"/>
    </row>
    <row r="21" spans="1:34" hidden="1">
      <c r="A21" s="150" t="s">
        <v>122</v>
      </c>
      <c r="B21" s="151">
        <f>SUM(B23:B26)</f>
        <v>4738.2</v>
      </c>
      <c r="C21" s="153"/>
      <c r="D21" s="153"/>
      <c r="E21" s="153"/>
      <c r="F21" s="153"/>
      <c r="G21" s="153"/>
      <c r="H21" s="153"/>
      <c r="I21" s="153"/>
      <c r="J21" s="147">
        <f>SUM(J23:J26)</f>
        <v>4585.8</v>
      </c>
      <c r="K21" s="1693"/>
      <c r="L21" s="1693"/>
      <c r="M21" s="152">
        <f>J21/B21*100</f>
        <v>96.783588704571372</v>
      </c>
      <c r="N21" s="151">
        <f>SUM(N23:N26)</f>
        <v>4415.2</v>
      </c>
      <c r="O21" s="153">
        <f>SUM(O23:O26)</f>
        <v>389.68342743817789</v>
      </c>
      <c r="P21" s="154">
        <f>SUM(P23:P26)</f>
        <v>4093.2000000000003</v>
      </c>
      <c r="Q21" s="153"/>
      <c r="R21" s="155">
        <f>P21/N21*100</f>
        <v>92.707012139880419</v>
      </c>
      <c r="S21" s="116">
        <f>SUM(S23:S26)</f>
        <v>4224.5</v>
      </c>
      <c r="T21" s="147"/>
      <c r="U21" s="147"/>
      <c r="V21" s="147">
        <f>SUM(V23:V26)</f>
        <v>2958.3</v>
      </c>
      <c r="W21" s="1607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62">
        <f>SUM(AH23:AH26)</f>
        <v>3805.3</v>
      </c>
    </row>
    <row r="22" spans="1:34" hidden="1">
      <c r="A22" s="34" t="s">
        <v>23</v>
      </c>
      <c r="B22" s="38"/>
      <c r="C22" s="1669"/>
      <c r="D22" s="1669"/>
      <c r="E22" s="1669"/>
      <c r="F22" s="1669"/>
      <c r="G22" s="1669"/>
      <c r="H22" s="1669"/>
      <c r="I22" s="1669"/>
      <c r="J22" s="1605"/>
      <c r="K22" s="1689"/>
      <c r="L22" s="1689"/>
      <c r="M22" s="108"/>
      <c r="N22" s="38"/>
      <c r="O22" s="106"/>
      <c r="P22" s="120"/>
      <c r="Q22" s="1685"/>
      <c r="R22" s="45"/>
      <c r="S22" s="113"/>
      <c r="T22" s="1677"/>
      <c r="U22" s="795"/>
      <c r="V22" s="6"/>
      <c r="W22" s="1608"/>
      <c r="X22" s="1639"/>
      <c r="Y22" s="799"/>
      <c r="Z22" s="799"/>
      <c r="AA22" s="799"/>
      <c r="AB22" s="1797"/>
      <c r="AC22" s="799"/>
      <c r="AD22" s="1630"/>
      <c r="AE22" s="799"/>
      <c r="AF22" s="1605"/>
      <c r="AG22" s="6"/>
      <c r="AH22" s="263"/>
    </row>
    <row r="23" spans="1:34" hidden="1">
      <c r="A23" s="34" t="s">
        <v>27</v>
      </c>
      <c r="B23" s="38">
        <v>3483.6</v>
      </c>
      <c r="C23" s="1669"/>
      <c r="D23" s="1669"/>
      <c r="E23" s="1669"/>
      <c r="F23" s="1669"/>
      <c r="G23" s="1669"/>
      <c r="H23" s="1669"/>
      <c r="I23" s="1669"/>
      <c r="J23" s="1605">
        <v>3439.8</v>
      </c>
      <c r="K23" s="1689"/>
      <c r="L23" s="1689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686"/>
      <c r="R23" s="45">
        <f>P23/N23*100</f>
        <v>92.496110789128522</v>
      </c>
      <c r="S23" s="113">
        <v>3064.5</v>
      </c>
      <c r="T23" s="1677"/>
      <c r="U23" s="795"/>
      <c r="V23" s="11">
        <v>2188.8000000000002</v>
      </c>
      <c r="W23" s="1608">
        <v>2632</v>
      </c>
      <c r="X23" s="1639"/>
      <c r="Y23" s="799"/>
      <c r="Z23" s="799"/>
      <c r="AA23" s="799"/>
      <c r="AB23" s="1797"/>
      <c r="AC23" s="799"/>
      <c r="AD23" s="1630"/>
      <c r="AE23" s="799"/>
      <c r="AF23" s="1605">
        <v>2955</v>
      </c>
      <c r="AG23" s="6">
        <f>AF23/S23*100</f>
        <v>96.426823299069994</v>
      </c>
      <c r="AH23" s="263">
        <v>2735</v>
      </c>
    </row>
    <row r="24" spans="1:34" hidden="1">
      <c r="A24" s="34" t="s">
        <v>28</v>
      </c>
      <c r="B24" s="38">
        <v>293.89999999999998</v>
      </c>
      <c r="C24" s="1669"/>
      <c r="D24" s="1669"/>
      <c r="E24" s="1669"/>
      <c r="F24" s="1669"/>
      <c r="G24" s="1669"/>
      <c r="H24" s="1669"/>
      <c r="I24" s="1669"/>
      <c r="J24" s="1605">
        <v>272.2</v>
      </c>
      <c r="K24" s="1689"/>
      <c r="L24" s="1689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686"/>
      <c r="R24" s="45">
        <f>P24/N24*100</f>
        <v>0</v>
      </c>
      <c r="S24" s="113"/>
      <c r="T24" s="1677"/>
      <c r="U24" s="795"/>
      <c r="V24" s="11"/>
      <c r="W24" s="1608"/>
      <c r="X24" s="1639"/>
      <c r="Y24" s="799"/>
      <c r="Z24" s="799"/>
      <c r="AA24" s="799"/>
      <c r="AB24" s="1797"/>
      <c r="AC24" s="799"/>
      <c r="AD24" s="1630"/>
      <c r="AE24" s="799"/>
      <c r="AF24" s="1605"/>
      <c r="AG24" s="6"/>
      <c r="AH24" s="263"/>
    </row>
    <row r="25" spans="1:34" hidden="1">
      <c r="A25" s="34" t="s">
        <v>29</v>
      </c>
      <c r="B25" s="38">
        <v>932.3</v>
      </c>
      <c r="C25" s="1669"/>
      <c r="D25" s="1669"/>
      <c r="E25" s="1669"/>
      <c r="F25" s="1669"/>
      <c r="G25" s="1669"/>
      <c r="H25" s="1669"/>
      <c r="I25" s="1669"/>
      <c r="J25" s="1605">
        <v>845.1</v>
      </c>
      <c r="K25" s="1689"/>
      <c r="L25" s="1689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686"/>
      <c r="R25" s="45">
        <f>P25/N25*100</f>
        <v>120.92343658679134</v>
      </c>
      <c r="S25" s="116">
        <v>1132</v>
      </c>
      <c r="T25" s="1677"/>
      <c r="U25" s="795"/>
      <c r="V25" s="11">
        <v>755.4</v>
      </c>
      <c r="W25" s="1608">
        <v>1035</v>
      </c>
      <c r="X25" s="1639"/>
      <c r="Y25" s="799"/>
      <c r="Z25" s="799"/>
      <c r="AA25" s="799"/>
      <c r="AB25" s="1797"/>
      <c r="AC25" s="799"/>
      <c r="AD25" s="1630"/>
      <c r="AE25" s="799"/>
      <c r="AF25" s="1605">
        <v>1035</v>
      </c>
      <c r="AG25" s="6">
        <f>AF25/S25*100</f>
        <v>91.431095406360413</v>
      </c>
      <c r="AH25" s="263">
        <f>449.5+407.8+92.5+92.5</f>
        <v>1042.3</v>
      </c>
    </row>
    <row r="26" spans="1:34" ht="13.5" hidden="1" thickBot="1">
      <c r="A26" s="36" t="s">
        <v>68</v>
      </c>
      <c r="B26" s="40">
        <v>28.4</v>
      </c>
      <c r="C26" s="1672"/>
      <c r="D26" s="1672"/>
      <c r="E26" s="1672"/>
      <c r="F26" s="1672"/>
      <c r="G26" s="1672"/>
      <c r="H26" s="1672"/>
      <c r="I26" s="1672"/>
      <c r="J26" s="49">
        <v>28.7</v>
      </c>
      <c r="K26" s="1692"/>
      <c r="L26" s="1692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687"/>
      <c r="R26" s="50">
        <f>P26/N26*100</f>
        <v>91.666666666666657</v>
      </c>
      <c r="S26" s="117">
        <v>28</v>
      </c>
      <c r="T26" s="1680"/>
      <c r="U26" s="51"/>
      <c r="V26" s="51">
        <v>14.1</v>
      </c>
      <c r="W26" s="1609">
        <v>28</v>
      </c>
      <c r="X26" s="1642"/>
      <c r="Y26" s="53"/>
      <c r="Z26" s="53"/>
      <c r="AA26" s="53"/>
      <c r="AB26" s="1631"/>
      <c r="AC26" s="53"/>
      <c r="AD26" s="1631"/>
      <c r="AE26" s="53"/>
      <c r="AF26" s="49">
        <v>28</v>
      </c>
      <c r="AG26" s="53">
        <f>AF26/S26*100</f>
        <v>100</v>
      </c>
      <c r="AH26" s="264">
        <v>28</v>
      </c>
    </row>
    <row r="27" spans="1:34" hidden="1">
      <c r="A27" s="243" t="s">
        <v>369</v>
      </c>
      <c r="N27" s="163">
        <f>N10/N9</f>
        <v>9.1606584752169151E-2</v>
      </c>
      <c r="O27" s="163">
        <f t="shared" ref="O27:AF27" si="2">O10/O9</f>
        <v>1.257886347624589</v>
      </c>
      <c r="P27" s="163">
        <f t="shared" si="2"/>
        <v>0.10467102198760286</v>
      </c>
      <c r="Q27" s="163"/>
      <c r="S27" s="163">
        <f t="shared" si="2"/>
        <v>0.12638344521031369</v>
      </c>
      <c r="T27" s="163"/>
      <c r="U27" s="163"/>
      <c r="V27" s="163">
        <f t="shared" si="2"/>
        <v>8.7101951431699895E-2</v>
      </c>
      <c r="W27" s="163">
        <f t="shared" si="2"/>
        <v>0.1315493084651079</v>
      </c>
      <c r="X27" s="163"/>
      <c r="AF27" s="163">
        <f t="shared" si="2"/>
        <v>0.13728255759285379</v>
      </c>
      <c r="AH27" s="163">
        <f>AH10/AH9</f>
        <v>0.10358997919777427</v>
      </c>
    </row>
    <row r="28" spans="1:34" hidden="1">
      <c r="A28" s="105" t="s">
        <v>250</v>
      </c>
    </row>
    <row r="29" spans="1:34" hidden="1">
      <c r="A29" s="105"/>
    </row>
    <row r="30" spans="1:34" hidden="1">
      <c r="A30" s="105"/>
    </row>
    <row r="31" spans="1:34" ht="34.5" hidden="1" customHeight="1">
      <c r="A31" s="4460" t="s">
        <v>242</v>
      </c>
      <c r="B31" s="4460"/>
      <c r="C31" s="4460"/>
      <c r="D31" s="4460"/>
      <c r="E31" s="4460"/>
      <c r="F31" s="4460"/>
      <c r="G31" s="4460"/>
      <c r="H31" s="4460"/>
      <c r="I31" s="4460"/>
      <c r="J31" s="4460"/>
      <c r="K31" s="4460"/>
      <c r="L31" s="4460"/>
      <c r="M31" s="4460"/>
      <c r="N31" s="4460"/>
      <c r="O31" s="4460"/>
      <c r="P31" s="4460"/>
      <c r="Q31" s="4460"/>
      <c r="R31" s="4460"/>
      <c r="S31" s="4460"/>
      <c r="T31" s="4460"/>
      <c r="U31" s="4460"/>
      <c r="V31" s="4460"/>
    </row>
    <row r="32" spans="1:34" ht="9.75" customHeight="1" thickBot="1">
      <c r="A32" s="138"/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</row>
    <row r="33" spans="1:33" ht="34.5" customHeight="1">
      <c r="A33" s="4554" t="s">
        <v>546</v>
      </c>
      <c r="B33" s="4534" t="s">
        <v>95</v>
      </c>
      <c r="C33" s="4535"/>
      <c r="D33" s="4535"/>
      <c r="E33" s="4536"/>
      <c r="F33" s="4534" t="s">
        <v>124</v>
      </c>
      <c r="G33" s="4535"/>
      <c r="H33" s="4535"/>
      <c r="I33" s="4536"/>
      <c r="J33" s="4534" t="s">
        <v>163</v>
      </c>
      <c r="K33" s="4535"/>
      <c r="L33" s="4535"/>
      <c r="M33" s="4536"/>
      <c r="N33" s="4454" t="s">
        <v>241</v>
      </c>
      <c r="O33" s="4455"/>
      <c r="P33" s="4455"/>
      <c r="Q33" s="4455"/>
      <c r="R33" s="4455"/>
      <c r="S33" s="4455"/>
      <c r="T33" s="4557"/>
      <c r="U33" s="4456"/>
      <c r="V33" s="4455" t="s">
        <v>378</v>
      </c>
      <c r="W33" s="4455"/>
      <c r="X33" s="4455"/>
      <c r="Y33" s="4481"/>
      <c r="Z33" s="4457"/>
      <c r="AA33" s="4454" t="s">
        <v>663</v>
      </c>
      <c r="AB33" s="4455"/>
      <c r="AC33" s="4455"/>
      <c r="AD33" s="4455"/>
      <c r="AE33" s="4457"/>
      <c r="AF33" s="4558" t="s">
        <v>246</v>
      </c>
      <c r="AG33" s="4559"/>
    </row>
    <row r="34" spans="1:33" ht="21" customHeight="1">
      <c r="A34" s="4555"/>
      <c r="B34" s="4514" t="s">
        <v>532</v>
      </c>
      <c r="C34" s="4515"/>
      <c r="D34" s="4512" t="s">
        <v>895</v>
      </c>
      <c r="E34" s="4513"/>
      <c r="F34" s="4519" t="s">
        <v>532</v>
      </c>
      <c r="G34" s="4515"/>
      <c r="H34" s="4512" t="s">
        <v>895</v>
      </c>
      <c r="I34" s="4518"/>
      <c r="J34" s="4519" t="s">
        <v>532</v>
      </c>
      <c r="K34" s="4515"/>
      <c r="L34" s="4512" t="s">
        <v>895</v>
      </c>
      <c r="M34" s="4518"/>
      <c r="N34" s="4564" t="s">
        <v>531</v>
      </c>
      <c r="O34" s="4512" t="s">
        <v>161</v>
      </c>
      <c r="P34" s="4514" t="s">
        <v>532</v>
      </c>
      <c r="Q34" s="4515"/>
      <c r="R34" s="4512" t="s">
        <v>533</v>
      </c>
      <c r="S34" s="4512" t="s">
        <v>534</v>
      </c>
      <c r="T34" s="4512" t="s">
        <v>895</v>
      </c>
      <c r="U34" s="4518"/>
      <c r="V34" s="4529" t="s">
        <v>531</v>
      </c>
      <c r="W34" s="4514" t="s">
        <v>532</v>
      </c>
      <c r="X34" s="4515"/>
      <c r="Y34" s="4527" t="s">
        <v>533</v>
      </c>
      <c r="Z34" s="4569" t="s">
        <v>534</v>
      </c>
      <c r="AA34" s="4567" t="s">
        <v>531</v>
      </c>
      <c r="AB34" s="4568"/>
      <c r="AC34" s="4571" t="s">
        <v>532</v>
      </c>
      <c r="AD34" s="4568"/>
      <c r="AE34" s="4518" t="s">
        <v>535</v>
      </c>
      <c r="AF34" s="4560"/>
      <c r="AG34" s="4561"/>
    </row>
    <row r="35" spans="1:33" ht="6" customHeight="1">
      <c r="A35" s="4555"/>
      <c r="B35" s="4474"/>
      <c r="C35" s="4475"/>
      <c r="D35" s="4512"/>
      <c r="E35" s="4513"/>
      <c r="F35" s="4520"/>
      <c r="G35" s="4475"/>
      <c r="H35" s="4512"/>
      <c r="I35" s="4518"/>
      <c r="J35" s="4520"/>
      <c r="K35" s="4475"/>
      <c r="L35" s="4512"/>
      <c r="M35" s="4518"/>
      <c r="N35" s="4564"/>
      <c r="O35" s="4512"/>
      <c r="P35" s="4474"/>
      <c r="Q35" s="4475"/>
      <c r="R35" s="4512"/>
      <c r="S35" s="4512"/>
      <c r="T35" s="4512"/>
      <c r="U35" s="4518"/>
      <c r="V35" s="4529"/>
      <c r="W35" s="4474"/>
      <c r="X35" s="4475"/>
      <c r="Y35" s="4527"/>
      <c r="Z35" s="4569"/>
      <c r="AA35" s="4520"/>
      <c r="AB35" s="4475"/>
      <c r="AC35" s="4474"/>
      <c r="AD35" s="4475"/>
      <c r="AE35" s="4572"/>
      <c r="AF35" s="4560"/>
      <c r="AG35" s="4561"/>
    </row>
    <row r="36" spans="1:33" ht="38.25" thickBot="1">
      <c r="A36" s="4556"/>
      <c r="B36" s="1635" t="s">
        <v>384</v>
      </c>
      <c r="C36" s="1632" t="s">
        <v>25</v>
      </c>
      <c r="D36" s="1635" t="s">
        <v>384</v>
      </c>
      <c r="E36" s="1632" t="s">
        <v>25</v>
      </c>
      <c r="F36" s="1602" t="s">
        <v>384</v>
      </c>
      <c r="G36" s="1632" t="s">
        <v>25</v>
      </c>
      <c r="H36" s="1694" t="s">
        <v>384</v>
      </c>
      <c r="I36" s="506" t="s">
        <v>25</v>
      </c>
      <c r="J36" s="1602" t="s">
        <v>384</v>
      </c>
      <c r="K36" s="1632" t="s">
        <v>25</v>
      </c>
      <c r="L36" s="1694" t="s">
        <v>384</v>
      </c>
      <c r="M36" s="506" t="s">
        <v>25</v>
      </c>
      <c r="N36" s="4565"/>
      <c r="O36" s="4566"/>
      <c r="P36" s="1694" t="s">
        <v>384</v>
      </c>
      <c r="Q36" s="1632" t="s">
        <v>25</v>
      </c>
      <c r="R36" s="4566"/>
      <c r="S36" s="4566"/>
      <c r="T36" s="1694" t="s">
        <v>384</v>
      </c>
      <c r="U36" s="506" t="s">
        <v>25</v>
      </c>
      <c r="V36" s="4515"/>
      <c r="W36" s="1635" t="s">
        <v>384</v>
      </c>
      <c r="X36" s="1632" t="s">
        <v>25</v>
      </c>
      <c r="Y36" s="4528"/>
      <c r="Z36" s="4570"/>
      <c r="AA36" s="1628" t="s">
        <v>384</v>
      </c>
      <c r="AB36" s="1632" t="s">
        <v>25</v>
      </c>
      <c r="AC36" s="1695" t="s">
        <v>384</v>
      </c>
      <c r="AD36" s="1632" t="s">
        <v>25</v>
      </c>
      <c r="AE36" s="4573"/>
      <c r="AF36" s="4562"/>
      <c r="AG36" s="4563"/>
    </row>
    <row r="37" spans="1:33" ht="20.100000000000001" customHeight="1" thickBot="1">
      <c r="A37" s="4466" t="s">
        <v>529</v>
      </c>
      <c r="B37" s="4467"/>
      <c r="C37" s="4467"/>
      <c r="D37" s="4467"/>
      <c r="E37" s="4467"/>
      <c r="F37" s="4467"/>
      <c r="G37" s="4467"/>
      <c r="H37" s="4467"/>
      <c r="I37" s="4467"/>
      <c r="J37" s="4467"/>
      <c r="K37" s="4467"/>
      <c r="L37" s="4467"/>
      <c r="M37" s="4467"/>
      <c r="N37" s="4521"/>
      <c r="O37" s="4521"/>
      <c r="P37" s="4521"/>
      <c r="Q37" s="4521"/>
      <c r="R37" s="4521"/>
      <c r="S37" s="4521"/>
      <c r="T37" s="4521"/>
      <c r="U37" s="4521"/>
      <c r="V37" s="4467"/>
      <c r="W37" s="4467"/>
      <c r="X37" s="4467"/>
      <c r="Y37" s="4467"/>
      <c r="Z37" s="4467"/>
      <c r="AA37" s="4521"/>
      <c r="AB37" s="4521"/>
      <c r="AC37" s="4521"/>
      <c r="AD37" s="4521"/>
      <c r="AE37" s="4521"/>
      <c r="AF37" s="4467"/>
      <c r="AG37" s="4522"/>
    </row>
    <row r="38" spans="1:33" ht="36" customHeight="1">
      <c r="A38" s="808" t="s">
        <v>540</v>
      </c>
      <c r="B38" s="1696"/>
      <c r="C38" s="1697"/>
      <c r="D38" s="1698">
        <f>8372.9-E38</f>
        <v>8318</v>
      </c>
      <c r="E38" s="1827">
        <v>54.9</v>
      </c>
      <c r="F38" s="1700">
        <f>6659.1-G38</f>
        <v>6600.1</v>
      </c>
      <c r="G38" s="1701">
        <v>59</v>
      </c>
      <c r="H38" s="1698">
        <v>9115.2999999999993</v>
      </c>
      <c r="I38" s="1699">
        <v>52.2</v>
      </c>
      <c r="J38" s="1700">
        <v>6326</v>
      </c>
      <c r="K38" s="1701">
        <v>55</v>
      </c>
      <c r="L38" s="1698">
        <v>7789.7</v>
      </c>
      <c r="M38" s="1699">
        <v>46</v>
      </c>
      <c r="N38" s="1832">
        <f>N41+N43</f>
        <v>5850</v>
      </c>
      <c r="O38" s="1815">
        <f>N38/J38*100</f>
        <v>92.475497944988945</v>
      </c>
      <c r="P38" s="1702">
        <f>SUM(P41:P43)</f>
        <v>5498.0912165809077</v>
      </c>
      <c r="Q38" s="1704">
        <v>46.13</v>
      </c>
      <c r="R38" s="1704">
        <f>SUM(R41:R43)-R42</f>
        <v>3465.3000000000006</v>
      </c>
      <c r="S38" s="1704">
        <f>SUM(S41:S43)-S42</f>
        <v>5119.5</v>
      </c>
      <c r="T38" s="1705">
        <v>6928.1</v>
      </c>
      <c r="U38" s="1706">
        <v>49.8</v>
      </c>
      <c r="V38" s="1819">
        <f>SUM(V39:V40)</f>
        <v>5800.03</v>
      </c>
      <c r="W38" s="1702">
        <f>SUM(W39:W40)</f>
        <v>5561.39</v>
      </c>
      <c r="X38" s="1707">
        <v>46.13</v>
      </c>
      <c r="Y38" s="1798">
        <f t="shared" ref="Y38:Z38" si="3">SUM(Y39:Y40)</f>
        <v>0</v>
      </c>
      <c r="Z38" s="1706">
        <f t="shared" si="3"/>
        <v>0</v>
      </c>
      <c r="AA38" s="1644">
        <f>SUM(AA39:AA40)</f>
        <v>5782.63</v>
      </c>
      <c r="AB38" s="1798">
        <v>49.8</v>
      </c>
      <c r="AC38" s="1645">
        <f>SUM(AC39:AC40)</f>
        <v>5642.86</v>
      </c>
      <c r="AD38" s="1645">
        <f>SUM(AD39:AD40)</f>
        <v>49.8</v>
      </c>
      <c r="AE38" s="1707">
        <f>SUM(AC38/W38*100)</f>
        <v>101.46492153939933</v>
      </c>
      <c r="AF38" s="4523"/>
      <c r="AG38" s="4517"/>
    </row>
    <row r="39" spans="1:33" ht="36" hidden="1" customHeight="1">
      <c r="A39" s="804" t="s">
        <v>539</v>
      </c>
      <c r="B39" s="1708"/>
      <c r="C39" s="1709"/>
      <c r="D39" s="1710"/>
      <c r="E39" s="1828"/>
      <c r="F39" s="1712"/>
      <c r="G39" s="1836"/>
      <c r="H39" s="1837"/>
      <c r="I39" s="1711"/>
      <c r="J39" s="1712"/>
      <c r="K39" s="1836"/>
      <c r="L39" s="1837"/>
      <c r="M39" s="1711"/>
      <c r="N39" s="1786">
        <f>SUM(N38-N40)</f>
        <v>5825</v>
      </c>
      <c r="O39" s="1816"/>
      <c r="P39" s="1751">
        <f>SUM(P38-P40)</f>
        <v>5498.0912165809077</v>
      </c>
      <c r="Q39" s="1752"/>
      <c r="R39" s="1752">
        <f>SUM(R38-R40)</f>
        <v>3437.3000000000006</v>
      </c>
      <c r="S39" s="1752">
        <f>SUM(S38-S40)</f>
        <v>5081</v>
      </c>
      <c r="T39" s="1823"/>
      <c r="U39" s="1824">
        <v>6928.1</v>
      </c>
      <c r="V39" s="1820">
        <v>5753.9</v>
      </c>
      <c r="W39" s="1751">
        <v>5561.39</v>
      </c>
      <c r="X39" s="1740"/>
      <c r="Y39" s="1801"/>
      <c r="Z39" s="1714"/>
      <c r="AA39" s="1737">
        <v>5736.5</v>
      </c>
      <c r="AB39" s="1799"/>
      <c r="AC39" s="1738">
        <f>AC41+AC43</f>
        <v>5642.86</v>
      </c>
      <c r="AD39" s="1739"/>
      <c r="AE39" s="1740">
        <f>SUM(AC39/W39*100)</f>
        <v>101.46492153939933</v>
      </c>
      <c r="AF39" s="4524"/>
      <c r="AG39" s="4525"/>
    </row>
    <row r="40" spans="1:33" ht="36" hidden="1" customHeight="1">
      <c r="A40" s="804" t="s">
        <v>538</v>
      </c>
      <c r="B40" s="1708"/>
      <c r="C40" s="1709"/>
      <c r="D40" s="1710"/>
      <c r="E40" s="1828"/>
      <c r="F40" s="1712"/>
      <c r="G40" s="1836"/>
      <c r="H40" s="1837"/>
      <c r="I40" s="1711"/>
      <c r="J40" s="1712"/>
      <c r="K40" s="1836"/>
      <c r="L40" s="1837"/>
      <c r="M40" s="1711"/>
      <c r="N40" s="1786">
        <v>25</v>
      </c>
      <c r="O40" s="1816"/>
      <c r="P40" s="1751">
        <v>0</v>
      </c>
      <c r="Q40" s="1752"/>
      <c r="R40" s="1752">
        <v>28</v>
      </c>
      <c r="S40" s="1752">
        <v>38.5</v>
      </c>
      <c r="T40" s="1823"/>
      <c r="U40" s="1824">
        <v>49.8</v>
      </c>
      <c r="V40" s="1820">
        <v>46.13</v>
      </c>
      <c r="W40" s="1751">
        <v>0</v>
      </c>
      <c r="X40" s="1740">
        <v>46.13</v>
      </c>
      <c r="Y40" s="1801"/>
      <c r="Z40" s="1714"/>
      <c r="AA40" s="1737">
        <v>46.13</v>
      </c>
      <c r="AB40" s="1799"/>
      <c r="AC40" s="1738"/>
      <c r="AD40" s="1739">
        <v>49.8</v>
      </c>
      <c r="AE40" s="1740">
        <f>SUM(AC40/40*100)</f>
        <v>0</v>
      </c>
      <c r="AF40" s="4524"/>
      <c r="AG40" s="4525"/>
    </row>
    <row r="41" spans="1:33" ht="36" customHeight="1">
      <c r="A41" s="804" t="s">
        <v>20</v>
      </c>
      <c r="B41" s="1715"/>
      <c r="C41" s="1716"/>
      <c r="D41" s="1717">
        <v>876.4</v>
      </c>
      <c r="E41" s="1783"/>
      <c r="F41" s="1719">
        <f>841.6+22.5</f>
        <v>864.1</v>
      </c>
      <c r="G41" s="1838"/>
      <c r="H41" s="1766">
        <v>913.3</v>
      </c>
      <c r="I41" s="1718"/>
      <c r="J41" s="1719">
        <v>876</v>
      </c>
      <c r="K41" s="1838"/>
      <c r="L41" s="1766">
        <v>811.7</v>
      </c>
      <c r="M41" s="1718"/>
      <c r="N41" s="1786">
        <v>876</v>
      </c>
      <c r="O41" s="1793">
        <f>N41/J41*100</f>
        <v>100</v>
      </c>
      <c r="P41" s="1751">
        <v>507</v>
      </c>
      <c r="Q41" s="1752"/>
      <c r="R41" s="1752">
        <f>3493.3-3054.18</f>
        <v>439.12000000000035</v>
      </c>
      <c r="S41" s="1752">
        <v>648.79999999999995</v>
      </c>
      <c r="T41" s="1793">
        <v>841</v>
      </c>
      <c r="U41" s="1824"/>
      <c r="V41" s="1820">
        <v>754</v>
      </c>
      <c r="W41" s="1751">
        <v>557.12</v>
      </c>
      <c r="X41" s="1740"/>
      <c r="Y41" s="1799"/>
      <c r="Z41" s="1713"/>
      <c r="AA41" s="1737">
        <v>750</v>
      </c>
      <c r="AB41" s="1799"/>
      <c r="AC41" s="1741">
        <v>685</v>
      </c>
      <c r="AD41" s="1742"/>
      <c r="AE41" s="1740">
        <f>SUM(AC41/41*100)</f>
        <v>1670.7317073170732</v>
      </c>
      <c r="AF41" s="1664"/>
      <c r="AG41" s="1665"/>
    </row>
    <row r="42" spans="1:33" s="191" customFormat="1" ht="36" customHeight="1">
      <c r="A42" s="805" t="s">
        <v>389</v>
      </c>
      <c r="B42" s="802"/>
      <c r="C42" s="1673"/>
      <c r="D42" s="816">
        <f>D41/D38</f>
        <v>0.10536186583313296</v>
      </c>
      <c r="E42" s="1829"/>
      <c r="F42" s="1807">
        <f>F41/F38</f>
        <v>0.13092225875365524</v>
      </c>
      <c r="G42" s="1841"/>
      <c r="H42" s="1802">
        <f>H41/H38</f>
        <v>0.10019417901769552</v>
      </c>
      <c r="I42" s="1674"/>
      <c r="J42" s="1807">
        <f>J41/J38</f>
        <v>0.13847613025608599</v>
      </c>
      <c r="K42" s="1802"/>
      <c r="L42" s="1802">
        <f>L41/L38</f>
        <v>0.1042017022478401</v>
      </c>
      <c r="M42" s="1813"/>
      <c r="N42" s="1833">
        <f>N41/N38</f>
        <v>0.14974358974358976</v>
      </c>
      <c r="O42" s="1817"/>
      <c r="P42" s="1807">
        <f>507/5558.2</f>
        <v>9.1216580907488035E-2</v>
      </c>
      <c r="Q42" s="1802"/>
      <c r="R42" s="1802">
        <f>439.12/3493</f>
        <v>0.12571428571428572</v>
      </c>
      <c r="S42" s="1802">
        <f>SUM(648.8/5158)</f>
        <v>0.12578518805738659</v>
      </c>
      <c r="T42" s="1743">
        <f>SUM(T41/T38)</f>
        <v>0.12138970280452072</v>
      </c>
      <c r="U42" s="1743"/>
      <c r="V42" s="1821">
        <f>SUM(V41/V38)</f>
        <v>0.12999932758968488</v>
      </c>
      <c r="W42" s="1807">
        <f>SUM(W41/W38)</f>
        <v>0.10017639475023329</v>
      </c>
      <c r="X42" s="1813"/>
      <c r="Y42" s="1811" t="e">
        <f t="shared" ref="Y42:Z42" si="4">SUM(Y41/Y38)</f>
        <v>#DIV/0!</v>
      </c>
      <c r="Z42" s="912" t="e">
        <f t="shared" si="4"/>
        <v>#DIV/0!</v>
      </c>
      <c r="AA42" s="1754">
        <f>SUM(AA41/AA38)</f>
        <v>0.12969877028272603</v>
      </c>
      <c r="AB42" s="1800"/>
      <c r="AC42" s="1755">
        <f>SUM(AC41/AC38)</f>
        <v>0.12139234359881337</v>
      </c>
      <c r="AD42" s="1756"/>
      <c r="AE42" s="1744">
        <f>SUM(AC42/W42*100)</f>
        <v>121.1785909260132</v>
      </c>
      <c r="AF42" s="4502" t="s">
        <v>893</v>
      </c>
      <c r="AG42" s="4504"/>
    </row>
    <row r="43" spans="1:33" ht="36" customHeight="1">
      <c r="A43" s="806" t="s">
        <v>541</v>
      </c>
      <c r="B43" s="1720"/>
      <c r="C43" s="1721"/>
      <c r="D43" s="1722">
        <f>7496.5-E43</f>
        <v>7441.6</v>
      </c>
      <c r="E43" s="1830">
        <v>54.9</v>
      </c>
      <c r="F43" s="1724">
        <f>5795-G43</f>
        <v>5736</v>
      </c>
      <c r="G43" s="1839">
        <v>59</v>
      </c>
      <c r="H43" s="1840">
        <v>8202</v>
      </c>
      <c r="I43" s="1723">
        <v>52.2</v>
      </c>
      <c r="J43" s="1724">
        <v>5450</v>
      </c>
      <c r="K43" s="1839">
        <v>55</v>
      </c>
      <c r="L43" s="1840">
        <v>6978</v>
      </c>
      <c r="M43" s="1723">
        <v>46</v>
      </c>
      <c r="N43" s="1834">
        <f>N46+N48</f>
        <v>4974</v>
      </c>
      <c r="O43" s="1818">
        <f>N43/J43*100</f>
        <v>91.266055045871568</v>
      </c>
      <c r="P43" s="1814">
        <f>P46+P48</f>
        <v>4991</v>
      </c>
      <c r="Q43" s="1825">
        <v>46.13</v>
      </c>
      <c r="R43" s="1825">
        <f>R46+R48</f>
        <v>3026.1800000000003</v>
      </c>
      <c r="S43" s="1825">
        <f>S46+S48</f>
        <v>4470.7</v>
      </c>
      <c r="T43" s="1823">
        <v>6087.1</v>
      </c>
      <c r="U43" s="1826">
        <v>49.8</v>
      </c>
      <c r="V43" s="1822">
        <f>V46+V48</f>
        <v>4999.8999999999996</v>
      </c>
      <c r="W43" s="1814">
        <f>W46+W48</f>
        <v>5004.2700000000004</v>
      </c>
      <c r="X43" s="1746">
        <v>46.13</v>
      </c>
      <c r="Y43" s="1801">
        <f t="shared" ref="Y43:Z43" si="5">SUM(Y44:Y45)</f>
        <v>0</v>
      </c>
      <c r="Z43" s="1714">
        <f t="shared" si="5"/>
        <v>0</v>
      </c>
      <c r="AA43" s="1745">
        <f>SUM(AA44:AA45)</f>
        <v>5032.63</v>
      </c>
      <c r="AB43" s="1801">
        <v>49.8</v>
      </c>
      <c r="AC43" s="1738">
        <f>SUM(AC44:AC45)</f>
        <v>4957.8599999999997</v>
      </c>
      <c r="AD43" s="1738">
        <f>SUM(AD44:AD45)</f>
        <v>49.8</v>
      </c>
      <c r="AE43" s="1746">
        <f>SUM(AC43/W43*100)</f>
        <v>99.07259200642649</v>
      </c>
      <c r="AF43" s="4524"/>
      <c r="AG43" s="4526"/>
    </row>
    <row r="44" spans="1:33" ht="36" hidden="1" customHeight="1">
      <c r="A44" s="804" t="s">
        <v>539</v>
      </c>
      <c r="B44" s="1720"/>
      <c r="C44" s="1721"/>
      <c r="D44" s="1722"/>
      <c r="E44" s="1830"/>
      <c r="F44" s="1724"/>
      <c r="G44" s="1839"/>
      <c r="H44" s="1840"/>
      <c r="I44" s="1723"/>
      <c r="J44" s="1724"/>
      <c r="K44" s="1839"/>
      <c r="L44" s="1840"/>
      <c r="M44" s="1723"/>
      <c r="N44" s="1786">
        <f>SUM(N43-N45)</f>
        <v>4949</v>
      </c>
      <c r="O44" s="1816"/>
      <c r="P44" s="1751">
        <f>SUM(P43-P45)</f>
        <v>4945</v>
      </c>
      <c r="Q44" s="1752"/>
      <c r="R44" s="1752">
        <f>SUM(R43-R45)</f>
        <v>2998.1800000000003</v>
      </c>
      <c r="S44" s="1752">
        <f>SUM(S43-S45)</f>
        <v>4432.2</v>
      </c>
      <c r="T44" s="1823"/>
      <c r="U44" s="1824">
        <f>SUM(U39-U41)</f>
        <v>6928.1</v>
      </c>
      <c r="V44" s="1820">
        <f>SUM(V43-V45)</f>
        <v>4953.7699999999995</v>
      </c>
      <c r="W44" s="1751">
        <f>SUM(W43-W45)</f>
        <v>4958.1400000000003</v>
      </c>
      <c r="X44" s="1740"/>
      <c r="Y44" s="1799">
        <f t="shared" ref="Y44:Z44" si="6">SUM(Y39-Y41)</f>
        <v>0</v>
      </c>
      <c r="Z44" s="1713">
        <f t="shared" si="6"/>
        <v>0</v>
      </c>
      <c r="AA44" s="1737">
        <f>SUM(AA39-AA41)</f>
        <v>4986.5</v>
      </c>
      <c r="AB44" s="1799"/>
      <c r="AC44" s="1741">
        <f>AC48+AC46</f>
        <v>4957.8599999999997</v>
      </c>
      <c r="AD44" s="1742"/>
      <c r="AE44" s="1740">
        <f>SUM(AC44/45*100)</f>
        <v>11017.466666666665</v>
      </c>
      <c r="AF44" s="4524"/>
      <c r="AG44" s="4526"/>
    </row>
    <row r="45" spans="1:33" ht="36" hidden="1" customHeight="1">
      <c r="A45" s="804" t="s">
        <v>538</v>
      </c>
      <c r="B45" s="1720"/>
      <c r="C45" s="1721"/>
      <c r="D45" s="1722"/>
      <c r="E45" s="1830"/>
      <c r="F45" s="1724"/>
      <c r="G45" s="1839"/>
      <c r="H45" s="1840"/>
      <c r="I45" s="1723"/>
      <c r="J45" s="1724"/>
      <c r="K45" s="1839"/>
      <c r="L45" s="1840"/>
      <c r="M45" s="1723"/>
      <c r="N45" s="1786">
        <v>25</v>
      </c>
      <c r="O45" s="1816"/>
      <c r="P45" s="1751">
        <v>46</v>
      </c>
      <c r="Q45" s="1752"/>
      <c r="R45" s="1752">
        <v>28</v>
      </c>
      <c r="S45" s="1752">
        <v>38.5</v>
      </c>
      <c r="T45" s="1823"/>
      <c r="U45" s="1824">
        <f>SUM(U40)</f>
        <v>49.8</v>
      </c>
      <c r="V45" s="1820">
        <v>46.13</v>
      </c>
      <c r="W45" s="1751">
        <v>46.13</v>
      </c>
      <c r="X45" s="1740"/>
      <c r="Y45" s="1799">
        <f t="shared" ref="Y45:Z45" si="7">SUM(Y40)</f>
        <v>0</v>
      </c>
      <c r="Z45" s="1713">
        <f t="shared" si="7"/>
        <v>0</v>
      </c>
      <c r="AA45" s="1737">
        <f>SUM(AA40)</f>
        <v>46.13</v>
      </c>
      <c r="AB45" s="1799"/>
      <c r="AC45" s="1741">
        <f>SUM(AC40)</f>
        <v>0</v>
      </c>
      <c r="AD45" s="1742">
        <v>49.8</v>
      </c>
      <c r="AE45" s="1740">
        <f>SUM(AC45/46*100)</f>
        <v>0</v>
      </c>
      <c r="AF45" s="4524"/>
      <c r="AG45" s="4526"/>
    </row>
    <row r="46" spans="1:33" ht="36" customHeight="1">
      <c r="A46" s="804" t="s">
        <v>51</v>
      </c>
      <c r="B46" s="1715"/>
      <c r="C46" s="1716"/>
      <c r="D46" s="1717">
        <v>2972.2</v>
      </c>
      <c r="E46" s="1783"/>
      <c r="F46" s="1719">
        <v>1150</v>
      </c>
      <c r="G46" s="1838"/>
      <c r="H46" s="1766">
        <v>3822.7</v>
      </c>
      <c r="I46" s="1718"/>
      <c r="J46" s="1719">
        <v>1100</v>
      </c>
      <c r="K46" s="1838"/>
      <c r="L46" s="1766">
        <v>2796.3</v>
      </c>
      <c r="M46" s="1718"/>
      <c r="N46" s="1786">
        <v>999</v>
      </c>
      <c r="O46" s="1793">
        <f>N46/J46*100</f>
        <v>90.818181818181813</v>
      </c>
      <c r="P46" s="1751">
        <f>N46</f>
        <v>999</v>
      </c>
      <c r="Q46" s="1752"/>
      <c r="R46" s="1752">
        <v>981.98</v>
      </c>
      <c r="S46" s="1752">
        <v>1481.3</v>
      </c>
      <c r="T46" s="1793">
        <v>2097.9</v>
      </c>
      <c r="U46" s="1824"/>
      <c r="V46" s="1820">
        <v>1007.9</v>
      </c>
      <c r="W46" s="1751">
        <v>998</v>
      </c>
      <c r="X46" s="1740"/>
      <c r="Y46" s="1799"/>
      <c r="Z46" s="1713"/>
      <c r="AA46" s="1737">
        <v>997.3</v>
      </c>
      <c r="AB46" s="1799"/>
      <c r="AC46" s="1741">
        <v>982.5</v>
      </c>
      <c r="AD46" s="1742"/>
      <c r="AE46" s="1740">
        <f>SUM(AC46/W46*100)</f>
        <v>98.446893787575149</v>
      </c>
      <c r="AF46" s="4524"/>
      <c r="AG46" s="4526"/>
    </row>
    <row r="47" spans="1:33" s="191" customFormat="1" ht="36" customHeight="1">
      <c r="A47" s="805" t="s">
        <v>117</v>
      </c>
      <c r="B47" s="816"/>
      <c r="C47" s="816"/>
      <c r="D47" s="816">
        <f>D46/D43</f>
        <v>0.39940335411739408</v>
      </c>
      <c r="E47" s="1810"/>
      <c r="F47" s="1807">
        <f>F46/F43</f>
        <v>0.20048814504881451</v>
      </c>
      <c r="G47" s="1802"/>
      <c r="H47" s="1802">
        <f>H46/H43</f>
        <v>0.46606925140209704</v>
      </c>
      <c r="I47" s="1813"/>
      <c r="J47" s="1807">
        <f>J46/J43</f>
        <v>0.20183486238532111</v>
      </c>
      <c r="K47" s="1802"/>
      <c r="L47" s="1802">
        <f>L46/L43</f>
        <v>0.40073086844368017</v>
      </c>
      <c r="M47" s="1813"/>
      <c r="N47" s="1833">
        <f>N46/N43*100</f>
        <v>20.084439083232812</v>
      </c>
      <c r="O47" s="1810"/>
      <c r="P47" s="1807">
        <f>P46/P43</f>
        <v>0.20016028851933479</v>
      </c>
      <c r="Q47" s="1802"/>
      <c r="R47" s="1802">
        <f>R46/R43*100</f>
        <v>32.449490777151389</v>
      </c>
      <c r="S47" s="1802">
        <f>S46/S43*100</f>
        <v>33.133513767418968</v>
      </c>
      <c r="T47" s="1802"/>
      <c r="U47" s="1813"/>
      <c r="V47" s="1821">
        <f>V46/V43</f>
        <v>0.20158403168063363</v>
      </c>
      <c r="W47" s="1807">
        <f>W46/W43</f>
        <v>0.19942968704726163</v>
      </c>
      <c r="X47" s="1813"/>
      <c r="Y47" s="1812" t="e">
        <f t="shared" ref="Y47:Z47" si="8">Y46/Y43*100</f>
        <v>#DIV/0!</v>
      </c>
      <c r="Z47" s="913" t="e">
        <f t="shared" si="8"/>
        <v>#DIV/0!</v>
      </c>
      <c r="AA47" s="1807">
        <f>AA46/AA43</f>
        <v>0.19816676370009317</v>
      </c>
      <c r="AB47" s="1802"/>
      <c r="AC47" s="1802">
        <f>AC46/AC43</f>
        <v>0.19817017826239547</v>
      </c>
      <c r="AD47" s="1802"/>
      <c r="AE47" s="1744">
        <f>SUM(AC47/W47*100)</f>
        <v>99.368444686689159</v>
      </c>
      <c r="AF47" s="4552"/>
      <c r="AG47" s="4553"/>
    </row>
    <row r="48" spans="1:33" ht="36" customHeight="1">
      <c r="A48" s="806" t="s">
        <v>536</v>
      </c>
      <c r="B48" s="1720"/>
      <c r="C48" s="1721"/>
      <c r="D48" s="1722">
        <v>4524.3</v>
      </c>
      <c r="E48" s="1830">
        <v>54.9</v>
      </c>
      <c r="F48" s="1724">
        <f>4645-G48</f>
        <v>4586</v>
      </c>
      <c r="G48" s="1839">
        <v>59</v>
      </c>
      <c r="H48" s="1840">
        <v>4379.3</v>
      </c>
      <c r="I48" s="1723">
        <v>52.2</v>
      </c>
      <c r="J48" s="1724">
        <v>4405</v>
      </c>
      <c r="K48" s="1839">
        <v>55</v>
      </c>
      <c r="L48" s="1840">
        <v>4181.7</v>
      </c>
      <c r="M48" s="1723">
        <v>46</v>
      </c>
      <c r="N48" s="1834">
        <f>SUM(N49:N50)</f>
        <v>3975</v>
      </c>
      <c r="O48" s="1818">
        <f>N48/J48*100</f>
        <v>90.238365493757087</v>
      </c>
      <c r="P48" s="1814">
        <f>SUM(P49:P50)</f>
        <v>3992</v>
      </c>
      <c r="Q48" s="1825">
        <v>46.13</v>
      </c>
      <c r="R48" s="1825">
        <f>SUM(R49:R50)</f>
        <v>2044.2</v>
      </c>
      <c r="S48" s="1825">
        <f>SUM(S49:S50)</f>
        <v>2989.3999999999996</v>
      </c>
      <c r="T48" s="1823">
        <v>3989.2</v>
      </c>
      <c r="U48" s="1826">
        <v>49.8</v>
      </c>
      <c r="V48" s="1822">
        <f>SUM(V49:V50)</f>
        <v>3992</v>
      </c>
      <c r="W48" s="1814">
        <f>SUM(W49:W51)</f>
        <v>4006.2700000000004</v>
      </c>
      <c r="X48" s="1746">
        <v>46.13</v>
      </c>
      <c r="Y48" s="1801">
        <f>SUM(Y49:Y50)</f>
        <v>0</v>
      </c>
      <c r="Z48" s="1714">
        <f>SUM(Z49:Z50)</f>
        <v>0</v>
      </c>
      <c r="AA48" s="1745">
        <f>SUM(AA49:AA51)</f>
        <v>3989.2169999999996</v>
      </c>
      <c r="AB48" s="1801">
        <v>49.8</v>
      </c>
      <c r="AC48" s="1738">
        <f>SUM(AC49:AC51)</f>
        <v>3975.3599999999997</v>
      </c>
      <c r="AD48" s="1738">
        <f>SUM(AD49:AD51)</f>
        <v>49.8</v>
      </c>
      <c r="AE48" s="1842">
        <f>AC48/W48</f>
        <v>0.99228459389906298</v>
      </c>
      <c r="AF48" s="4524"/>
      <c r="AG48" s="4526"/>
    </row>
    <row r="49" spans="1:33" ht="36" customHeight="1">
      <c r="A49" s="804" t="s">
        <v>24</v>
      </c>
      <c r="B49" s="1715"/>
      <c r="C49" s="1716"/>
      <c r="D49" s="1717">
        <v>3159.6</v>
      </c>
      <c r="E49" s="1783"/>
      <c r="F49" s="1719">
        <v>3192</v>
      </c>
      <c r="G49" s="1838"/>
      <c r="H49" s="1766">
        <v>3094</v>
      </c>
      <c r="I49" s="1718"/>
      <c r="J49" s="1719">
        <v>3100</v>
      </c>
      <c r="K49" s="1838"/>
      <c r="L49" s="1766">
        <v>2975.5</v>
      </c>
      <c r="M49" s="1718"/>
      <c r="N49" s="1786">
        <v>2800</v>
      </c>
      <c r="O49" s="1793">
        <f>N49/J49*100</f>
        <v>90.322580645161281</v>
      </c>
      <c r="P49" s="1751">
        <v>2800</v>
      </c>
      <c r="Q49" s="1752"/>
      <c r="R49" s="1752">
        <f>1426.4</f>
        <v>1426.4</v>
      </c>
      <c r="S49" s="1752">
        <v>2084.6999999999998</v>
      </c>
      <c r="T49" s="1793">
        <v>2780.7</v>
      </c>
      <c r="U49" s="1824"/>
      <c r="V49" s="1820">
        <v>2800</v>
      </c>
      <c r="W49" s="1751">
        <v>2445.422</v>
      </c>
      <c r="X49" s="1740"/>
      <c r="Y49" s="1799"/>
      <c r="Z49" s="1713"/>
      <c r="AA49" s="1737">
        <v>2428.56</v>
      </c>
      <c r="AB49" s="1799"/>
      <c r="AC49" s="1741">
        <f>AA49</f>
        <v>2428.56</v>
      </c>
      <c r="AD49" s="1742">
        <v>0</v>
      </c>
      <c r="AE49" s="1740">
        <f>SUM(AC49/W49*100)</f>
        <v>99.310466659742161</v>
      </c>
      <c r="AF49" s="4539" t="s">
        <v>900</v>
      </c>
      <c r="AG49" s="4540"/>
    </row>
    <row r="50" spans="1:33" ht="36" customHeight="1">
      <c r="A50" s="1043" t="s">
        <v>26</v>
      </c>
      <c r="B50" s="1725"/>
      <c r="C50" s="1726"/>
      <c r="D50" s="1727">
        <v>1309.8</v>
      </c>
      <c r="E50" s="1831">
        <v>54.9</v>
      </c>
      <c r="F50" s="1762">
        <v>1394</v>
      </c>
      <c r="G50" s="1759">
        <v>59</v>
      </c>
      <c r="H50" s="1760">
        <v>1285.3</v>
      </c>
      <c r="I50" s="1761">
        <v>52.2</v>
      </c>
      <c r="J50" s="1762">
        <v>1250</v>
      </c>
      <c r="K50" s="1759">
        <v>55</v>
      </c>
      <c r="L50" s="1760">
        <v>1206.2</v>
      </c>
      <c r="M50" s="1761">
        <v>46</v>
      </c>
      <c r="N50" s="1835">
        <v>1175</v>
      </c>
      <c r="O50" s="1753">
        <f>N50/J50*100</f>
        <v>94</v>
      </c>
      <c r="P50" s="1763">
        <v>1192</v>
      </c>
      <c r="Q50" s="1764">
        <v>46.13</v>
      </c>
      <c r="R50" s="1764">
        <v>617.79999999999995</v>
      </c>
      <c r="S50" s="1764">
        <v>904.7</v>
      </c>
      <c r="T50" s="1753">
        <v>1208.5</v>
      </c>
      <c r="U50" s="1765">
        <v>49.8</v>
      </c>
      <c r="V50" s="1804">
        <v>1192</v>
      </c>
      <c r="W50" s="1763">
        <v>1003.2910000000001</v>
      </c>
      <c r="X50" s="1750">
        <v>46.13</v>
      </c>
      <c r="Y50" s="1803"/>
      <c r="Z50" s="1728"/>
      <c r="AA50" s="1747">
        <v>1003.1</v>
      </c>
      <c r="AB50" s="1803">
        <v>49.8</v>
      </c>
      <c r="AC50" s="1748">
        <v>1003.1</v>
      </c>
      <c r="AD50" s="1749">
        <v>49.8</v>
      </c>
      <c r="AE50" s="1750">
        <f>SUM(AC50/W50*100)</f>
        <v>99.980962651912549</v>
      </c>
      <c r="AF50" s="4539" t="s">
        <v>900</v>
      </c>
      <c r="AG50" s="4540"/>
    </row>
    <row r="51" spans="1:33" ht="36" customHeight="1">
      <c r="A51" s="804" t="s">
        <v>843</v>
      </c>
      <c r="B51" s="1715"/>
      <c r="C51" s="1716"/>
      <c r="D51" s="1717"/>
      <c r="E51" s="1783"/>
      <c r="F51" s="1719"/>
      <c r="G51" s="1838"/>
      <c r="H51" s="1766"/>
      <c r="I51" s="1718"/>
      <c r="J51" s="1719"/>
      <c r="K51" s="1838"/>
      <c r="L51" s="1766"/>
      <c r="M51" s="1718"/>
      <c r="N51" s="1786"/>
      <c r="O51" s="1793"/>
      <c r="P51" s="1751"/>
      <c r="Q51" s="1752"/>
      <c r="R51" s="1752"/>
      <c r="S51" s="1752"/>
      <c r="T51" s="1793"/>
      <c r="U51" s="1824"/>
      <c r="V51" s="1820"/>
      <c r="W51" s="1751">
        <f>SUM(W52:W53)</f>
        <v>557.55700000000002</v>
      </c>
      <c r="X51" s="1740"/>
      <c r="Y51" s="1799"/>
      <c r="Z51" s="1713"/>
      <c r="AA51" s="1751">
        <f>SUM(AA52:AA53)</f>
        <v>557.55700000000002</v>
      </c>
      <c r="AB51" s="1786"/>
      <c r="AC51" s="1752">
        <f>SUM(AC52:AC53)</f>
        <v>543.70000000000005</v>
      </c>
      <c r="AD51" s="1753">
        <v>0</v>
      </c>
      <c r="AE51" s="1750">
        <f>SUM(AC51/W51*100)</f>
        <v>97.514693564962869</v>
      </c>
      <c r="AF51" s="4541"/>
      <c r="AG51" s="4542"/>
    </row>
    <row r="52" spans="1:33" ht="50.25" customHeight="1">
      <c r="A52" s="805" t="s">
        <v>655</v>
      </c>
      <c r="B52" s="1715"/>
      <c r="C52" s="1716"/>
      <c r="D52" s="1717"/>
      <c r="E52" s="1783"/>
      <c r="F52" s="1719"/>
      <c r="G52" s="1838"/>
      <c r="H52" s="1766"/>
      <c r="I52" s="1718"/>
      <c r="J52" s="1719"/>
      <c r="K52" s="1838"/>
      <c r="L52" s="1766"/>
      <c r="M52" s="1718"/>
      <c r="N52" s="1786"/>
      <c r="O52" s="1793"/>
      <c r="P52" s="1751"/>
      <c r="Q52" s="1752"/>
      <c r="R52" s="1752"/>
      <c r="S52" s="1752"/>
      <c r="T52" s="1793"/>
      <c r="U52" s="1824"/>
      <c r="V52" s="1820"/>
      <c r="W52" s="1751">
        <v>509.79</v>
      </c>
      <c r="X52" s="1740"/>
      <c r="Y52" s="1799"/>
      <c r="Z52" s="1713"/>
      <c r="AA52" s="1751">
        <v>509.79</v>
      </c>
      <c r="AB52" s="1804"/>
      <c r="AC52" s="1753">
        <v>494</v>
      </c>
      <c r="AD52" s="1753">
        <v>0</v>
      </c>
      <c r="AE52" s="1750">
        <f>SUM(AC52/W52*100)</f>
        <v>96.902646187645885</v>
      </c>
      <c r="AF52" s="4541" t="s">
        <v>892</v>
      </c>
      <c r="AG52" s="4542"/>
    </row>
    <row r="53" spans="1:33" ht="58.5" customHeight="1" thickBot="1">
      <c r="A53" s="1757" t="s">
        <v>656</v>
      </c>
      <c r="B53" s="1758"/>
      <c r="C53" s="1759"/>
      <c r="D53" s="1760"/>
      <c r="E53" s="1831"/>
      <c r="F53" s="1732"/>
      <c r="G53" s="1729"/>
      <c r="H53" s="1730"/>
      <c r="I53" s="1731"/>
      <c r="J53" s="1732"/>
      <c r="K53" s="1729"/>
      <c r="L53" s="1730"/>
      <c r="M53" s="1731"/>
      <c r="N53" s="1835"/>
      <c r="O53" s="1753"/>
      <c r="P53" s="1733"/>
      <c r="Q53" s="1734"/>
      <c r="R53" s="1734"/>
      <c r="S53" s="1734"/>
      <c r="T53" s="1646"/>
      <c r="U53" s="1735"/>
      <c r="V53" s="1804"/>
      <c r="W53" s="1733">
        <v>47.767000000000003</v>
      </c>
      <c r="X53" s="1736"/>
      <c r="Y53" s="1803"/>
      <c r="Z53" s="1765"/>
      <c r="AA53" s="1733">
        <v>47.767000000000003</v>
      </c>
      <c r="AB53" s="1808"/>
      <c r="AC53" s="1646">
        <v>49.7</v>
      </c>
      <c r="AD53" s="1646">
        <v>0</v>
      </c>
      <c r="AE53" s="1736">
        <f>SUM(AC53/W53*100)</f>
        <v>104.04672681977097</v>
      </c>
      <c r="AF53" s="4543" t="s">
        <v>892</v>
      </c>
      <c r="AG53" s="4544"/>
    </row>
    <row r="54" spans="1:33" ht="58.5" customHeight="1">
      <c r="A54" s="1774" t="s">
        <v>896</v>
      </c>
      <c r="B54" s="1780"/>
      <c r="C54" s="1767"/>
      <c r="D54" s="1767"/>
      <c r="E54" s="1781"/>
      <c r="F54" s="1777"/>
      <c r="G54" s="1767"/>
      <c r="H54" s="1767"/>
      <c r="I54" s="1782"/>
      <c r="J54" s="1780"/>
      <c r="K54" s="1767"/>
      <c r="L54" s="1767"/>
      <c r="M54" s="1781"/>
      <c r="N54" s="1785"/>
      <c r="O54" s="1768"/>
      <c r="P54" s="1768"/>
      <c r="Q54" s="1768"/>
      <c r="R54" s="1768"/>
      <c r="S54" s="1768"/>
      <c r="T54" s="1768"/>
      <c r="U54" s="1788"/>
      <c r="V54" s="1843"/>
      <c r="W54" s="1790"/>
      <c r="X54" s="1791"/>
      <c r="Y54" s="1769"/>
      <c r="Z54" s="1769"/>
      <c r="AA54" s="1768"/>
      <c r="AB54" s="1768"/>
      <c r="AC54" s="1768">
        <f>1/3*((T48-L48)/L48+(L48-H48)/H48+(H48-D48)/D48)</f>
        <v>-4.1068144286008995E-2</v>
      </c>
      <c r="AD54" s="1768"/>
      <c r="AE54" s="1792"/>
      <c r="AF54" s="1794"/>
      <c r="AG54" s="1770"/>
    </row>
    <row r="55" spans="1:33" ht="58.5" customHeight="1">
      <c r="A55" s="1775" t="s">
        <v>897</v>
      </c>
      <c r="B55" s="1719"/>
      <c r="C55" s="1766"/>
      <c r="D55" s="1766"/>
      <c r="E55" s="1718"/>
      <c r="F55" s="1778"/>
      <c r="G55" s="1766"/>
      <c r="H55" s="1766"/>
      <c r="I55" s="1783"/>
      <c r="J55" s="1719"/>
      <c r="K55" s="1766"/>
      <c r="L55" s="1766"/>
      <c r="M55" s="1718"/>
      <c r="N55" s="1786"/>
      <c r="O55" s="1752"/>
      <c r="P55" s="1752"/>
      <c r="Q55" s="1752"/>
      <c r="R55" s="1752"/>
      <c r="S55" s="1752"/>
      <c r="T55" s="1752"/>
      <c r="U55" s="1742"/>
      <c r="V55" s="1809"/>
      <c r="W55" s="1751"/>
      <c r="X55" s="1740"/>
      <c r="Y55" s="1741"/>
      <c r="Z55" s="1741"/>
      <c r="AA55" s="1752"/>
      <c r="AB55" s="1752"/>
      <c r="AC55" s="1752">
        <f>AC54</f>
        <v>-4.1068144286008995E-2</v>
      </c>
      <c r="AD55" s="1752"/>
      <c r="AE55" s="1793"/>
      <c r="AF55" s="1795"/>
      <c r="AG55" s="1771"/>
    </row>
    <row r="56" spans="1:33" ht="58.5" customHeight="1" thickBot="1">
      <c r="A56" s="1776" t="s">
        <v>898</v>
      </c>
      <c r="B56" s="1732"/>
      <c r="C56" s="1730"/>
      <c r="D56" s="1730"/>
      <c r="E56" s="1731"/>
      <c r="F56" s="1779"/>
      <c r="G56" s="1730"/>
      <c r="H56" s="1730"/>
      <c r="I56" s="1784"/>
      <c r="J56" s="1732"/>
      <c r="K56" s="1730"/>
      <c r="L56" s="1730"/>
      <c r="M56" s="1731"/>
      <c r="N56" s="1787"/>
      <c r="O56" s="1734"/>
      <c r="P56" s="1734"/>
      <c r="Q56" s="1734"/>
      <c r="R56" s="1734"/>
      <c r="S56" s="1734"/>
      <c r="T56" s="1734"/>
      <c r="U56" s="1789"/>
      <c r="V56" s="1844"/>
      <c r="W56" s="1733"/>
      <c r="X56" s="1736"/>
      <c r="Y56" s="1772"/>
      <c r="Z56" s="1772"/>
      <c r="AA56" s="1734"/>
      <c r="AB56" s="1734"/>
      <c r="AC56" s="1734">
        <f>T48*(1+AC55)*(1+AC55)</f>
        <v>3668.2700723301605</v>
      </c>
      <c r="AD56" s="1734"/>
      <c r="AE56" s="1646">
        <f>AC56/W48</f>
        <v>0.9156322645079239</v>
      </c>
      <c r="AF56" s="1625"/>
      <c r="AG56" s="1773"/>
    </row>
    <row r="57" spans="1:33" ht="20.100000000000001" customHeight="1" thickBot="1">
      <c r="A57" s="4545" t="s">
        <v>530</v>
      </c>
      <c r="B57" s="4546"/>
      <c r="C57" s="4546"/>
      <c r="D57" s="4546"/>
      <c r="E57" s="4546"/>
      <c r="F57" s="4546"/>
      <c r="G57" s="4546"/>
      <c r="H57" s="4546"/>
      <c r="I57" s="4546"/>
      <c r="J57" s="4546"/>
      <c r="K57" s="4546"/>
      <c r="L57" s="4546"/>
      <c r="M57" s="4546"/>
      <c r="N57" s="4546"/>
      <c r="O57" s="4546"/>
      <c r="P57" s="4546"/>
      <c r="Q57" s="4546"/>
      <c r="R57" s="4546"/>
      <c r="S57" s="4546"/>
      <c r="T57" s="4546"/>
      <c r="U57" s="4546"/>
      <c r="V57" s="4546"/>
      <c r="W57" s="4546"/>
      <c r="X57" s="4546"/>
      <c r="Y57" s="4546"/>
      <c r="Z57" s="4546"/>
      <c r="AA57" s="4546"/>
      <c r="AB57" s="4546"/>
      <c r="AC57" s="4546"/>
      <c r="AD57" s="4546"/>
      <c r="AE57" s="4546"/>
      <c r="AF57" s="4546"/>
      <c r="AG57" s="4547"/>
    </row>
    <row r="58" spans="1:33" ht="20.100000000000001" customHeight="1">
      <c r="A58" s="803" t="s">
        <v>899</v>
      </c>
      <c r="B58" s="1780"/>
      <c r="C58" s="1767"/>
      <c r="D58" s="1767"/>
      <c r="E58" s="1781"/>
      <c r="F58" s="1780">
        <f>F59</f>
        <v>4196.5</v>
      </c>
      <c r="G58" s="1767">
        <v>28</v>
      </c>
      <c r="H58" s="1767">
        <v>8680.7000000000007</v>
      </c>
      <c r="I58" s="1781">
        <v>18.3</v>
      </c>
      <c r="J58" s="1780">
        <v>3990</v>
      </c>
      <c r="K58" s="1767">
        <v>28</v>
      </c>
      <c r="L58" s="1767">
        <v>4731.6000000000004</v>
      </c>
      <c r="M58" s="1781">
        <v>30.2</v>
      </c>
      <c r="N58" s="1832">
        <v>3600</v>
      </c>
      <c r="O58" s="1703" t="e">
        <f>N58/#REF!*100</f>
        <v>#REF!</v>
      </c>
      <c r="P58" s="1704">
        <v>3644.7</v>
      </c>
      <c r="Q58" s="1704">
        <f>Q59</f>
        <v>28</v>
      </c>
      <c r="R58" s="1704">
        <f>SUM(R59:R61)</f>
        <v>3537.9999999999995</v>
      </c>
      <c r="S58" s="1704">
        <f>SUM(S59:S61)</f>
        <v>5192.1999999999989</v>
      </c>
      <c r="T58" s="1704">
        <v>4374.8</v>
      </c>
      <c r="U58" s="1645">
        <v>30.2</v>
      </c>
      <c r="V58" s="1705">
        <f t="shared" ref="U58:X59" si="9">SUM(V59:V61)</f>
        <v>7317.4</v>
      </c>
      <c r="W58" s="1702">
        <f>W59</f>
        <v>3644.7</v>
      </c>
      <c r="X58" s="1707">
        <f t="shared" si="9"/>
        <v>28</v>
      </c>
      <c r="Y58" s="1798">
        <f t="shared" ref="Y58:Z59" si="10">SUM(Y59:Y61)</f>
        <v>0</v>
      </c>
      <c r="Z58" s="1851">
        <f t="shared" si="10"/>
        <v>0</v>
      </c>
      <c r="AA58" s="1702">
        <v>4658</v>
      </c>
      <c r="AB58" s="1704">
        <v>28</v>
      </c>
      <c r="AC58" s="1704">
        <f>AC59</f>
        <v>3445</v>
      </c>
      <c r="AD58" s="1704">
        <f t="shared" ref="AA58:AD59" si="11">SUM(AD59:AD61)</f>
        <v>28</v>
      </c>
      <c r="AE58" s="1791">
        <f>SUM(AC58/W58*100)</f>
        <v>94.520811040689225</v>
      </c>
      <c r="AF58" s="4516"/>
      <c r="AG58" s="4517"/>
    </row>
    <row r="59" spans="1:33" ht="36" customHeight="1">
      <c r="A59" s="1848" t="s">
        <v>537</v>
      </c>
      <c r="B59" s="1719"/>
      <c r="C59" s="1766"/>
      <c r="D59" s="1766">
        <v>4093.2</v>
      </c>
      <c r="E59" s="1718">
        <v>26.4</v>
      </c>
      <c r="F59" s="1719">
        <v>4196.5</v>
      </c>
      <c r="G59" s="1766">
        <v>28</v>
      </c>
      <c r="H59" s="1766">
        <v>3988.3</v>
      </c>
      <c r="I59" s="1718">
        <v>18.3</v>
      </c>
      <c r="J59" s="1719">
        <v>3990</v>
      </c>
      <c r="K59" s="1766">
        <v>28</v>
      </c>
      <c r="L59" s="1766">
        <v>3771</v>
      </c>
      <c r="M59" s="1718">
        <f>M60+M61+M62</f>
        <v>30.2</v>
      </c>
      <c r="N59" s="1834">
        <v>3600</v>
      </c>
      <c r="O59" s="1845" t="e">
        <f>N59/#REF!*100</f>
        <v>#REF!</v>
      </c>
      <c r="P59" s="1825">
        <f>SUM(P60:P62)</f>
        <v>3644.7</v>
      </c>
      <c r="Q59" s="1825">
        <v>28</v>
      </c>
      <c r="R59" s="1825">
        <f>SUM(R60:R62)</f>
        <v>1773.7999999999997</v>
      </c>
      <c r="S59" s="1825">
        <f>SUM(S60:S62)</f>
        <v>2603.1999999999998</v>
      </c>
      <c r="T59" s="1825">
        <v>3476.2</v>
      </c>
      <c r="U59" s="1738">
        <f t="shared" si="9"/>
        <v>30.2</v>
      </c>
      <c r="V59" s="1823">
        <f t="shared" si="9"/>
        <v>3672.7</v>
      </c>
      <c r="W59" s="1814">
        <f t="shared" si="9"/>
        <v>3644.7</v>
      </c>
      <c r="X59" s="1746">
        <f t="shared" si="9"/>
        <v>28</v>
      </c>
      <c r="Y59" s="1801">
        <f t="shared" si="10"/>
        <v>0</v>
      </c>
      <c r="Z59" s="1739">
        <f t="shared" si="10"/>
        <v>0</v>
      </c>
      <c r="AA59" s="1814">
        <f t="shared" si="11"/>
        <v>3445</v>
      </c>
      <c r="AB59" s="1825">
        <v>28</v>
      </c>
      <c r="AC59" s="1825">
        <f t="shared" si="11"/>
        <v>3445</v>
      </c>
      <c r="AD59" s="1825">
        <f t="shared" si="11"/>
        <v>28</v>
      </c>
      <c r="AE59" s="1740">
        <f>SUM(AC59/W59*100)</f>
        <v>94.520811040689225</v>
      </c>
      <c r="AF59" s="4537"/>
      <c r="AG59" s="4538"/>
    </row>
    <row r="60" spans="1:33" ht="36" customHeight="1">
      <c r="A60" s="1849" t="s">
        <v>27</v>
      </c>
      <c r="B60" s="1719"/>
      <c r="C60" s="1766"/>
      <c r="D60" s="1766">
        <v>3032.3</v>
      </c>
      <c r="E60" s="1718">
        <v>0</v>
      </c>
      <c r="F60" s="1719">
        <v>3064.5</v>
      </c>
      <c r="G60" s="1766">
        <v>0</v>
      </c>
      <c r="H60" s="1766">
        <v>2946</v>
      </c>
      <c r="I60" s="1718">
        <v>0</v>
      </c>
      <c r="J60" s="1719">
        <v>2955</v>
      </c>
      <c r="K60" s="1766">
        <v>0</v>
      </c>
      <c r="L60" s="1766">
        <v>2748.3</v>
      </c>
      <c r="M60" s="1718">
        <v>0</v>
      </c>
      <c r="N60" s="1786">
        <v>2600</v>
      </c>
      <c r="O60" s="1846" t="e">
        <f>N60/#REF!*100</f>
        <v>#REF!</v>
      </c>
      <c r="P60" s="1752">
        <v>2600</v>
      </c>
      <c r="Q60" s="1752">
        <v>0</v>
      </c>
      <c r="R60" s="1752">
        <v>1250.8</v>
      </c>
      <c r="S60" s="1752">
        <v>1837.1</v>
      </c>
      <c r="T60" s="1752">
        <v>2448.6999999999998</v>
      </c>
      <c r="U60" s="1741">
        <v>0</v>
      </c>
      <c r="V60" s="1793">
        <v>2600</v>
      </c>
      <c r="W60" s="1751">
        <f>V60</f>
        <v>2600</v>
      </c>
      <c r="X60" s="1740">
        <v>0</v>
      </c>
      <c r="Y60" s="1799"/>
      <c r="Z60" s="1742"/>
      <c r="AA60" s="1751">
        <v>2448</v>
      </c>
      <c r="AB60" s="1752">
        <v>0</v>
      </c>
      <c r="AC60" s="1752">
        <f>AA60</f>
        <v>2448</v>
      </c>
      <c r="AD60" s="1752">
        <v>0</v>
      </c>
      <c r="AE60" s="1740">
        <f>SUM(AC60/W60*100)</f>
        <v>94.15384615384616</v>
      </c>
      <c r="AF60" s="4548" t="s">
        <v>900</v>
      </c>
      <c r="AG60" s="4549"/>
    </row>
    <row r="61" spans="1:33" ht="36" customHeight="1">
      <c r="A61" s="1849" t="s">
        <v>29</v>
      </c>
      <c r="B61" s="1719"/>
      <c r="C61" s="1766"/>
      <c r="D61" s="1766">
        <v>1034.5</v>
      </c>
      <c r="E61" s="1718">
        <v>0</v>
      </c>
      <c r="F61" s="1719">
        <v>1132</v>
      </c>
      <c r="G61" s="1766">
        <v>0</v>
      </c>
      <c r="H61" s="1766">
        <v>1042.3</v>
      </c>
      <c r="I61" s="1718">
        <v>0</v>
      </c>
      <c r="J61" s="1719">
        <v>1035</v>
      </c>
      <c r="K61" s="1766">
        <v>0</v>
      </c>
      <c r="L61" s="1766">
        <v>1022.7</v>
      </c>
      <c r="M61" s="1718">
        <v>0</v>
      </c>
      <c r="N61" s="1786">
        <v>972</v>
      </c>
      <c r="O61" s="1846" t="e">
        <f>N61/#REF!*100</f>
        <v>#REF!</v>
      </c>
      <c r="P61" s="1752">
        <v>1044.7</v>
      </c>
      <c r="Q61" s="1752">
        <v>0</v>
      </c>
      <c r="R61" s="1752">
        <v>513.4</v>
      </c>
      <c r="S61" s="1752">
        <v>751.9</v>
      </c>
      <c r="T61" s="1752">
        <v>997.3</v>
      </c>
      <c r="U61" s="1741">
        <v>0</v>
      </c>
      <c r="V61" s="1793">
        <v>1044.7</v>
      </c>
      <c r="W61" s="1751">
        <f>V61</f>
        <v>1044.7</v>
      </c>
      <c r="X61" s="1740">
        <v>0</v>
      </c>
      <c r="Y61" s="1799"/>
      <c r="Z61" s="1742"/>
      <c r="AA61" s="1751">
        <v>997</v>
      </c>
      <c r="AB61" s="1752">
        <v>0</v>
      </c>
      <c r="AC61" s="1752">
        <f>AA61</f>
        <v>997</v>
      </c>
      <c r="AD61" s="1752">
        <v>0</v>
      </c>
      <c r="AE61" s="1740">
        <f>SUM(AC61/W61*100)</f>
        <v>95.434095912702205</v>
      </c>
      <c r="AF61" s="4548" t="s">
        <v>900</v>
      </c>
      <c r="AG61" s="4549"/>
    </row>
    <row r="62" spans="1:33" ht="36" customHeight="1" thickBot="1">
      <c r="A62" s="807" t="s">
        <v>68</v>
      </c>
      <c r="B62" s="1732"/>
      <c r="C62" s="1730"/>
      <c r="D62" s="1730">
        <v>0</v>
      </c>
      <c r="E62" s="1731">
        <v>26.4</v>
      </c>
      <c r="F62" s="1732">
        <v>0</v>
      </c>
      <c r="G62" s="1730">
        <v>28</v>
      </c>
      <c r="H62" s="1730">
        <v>0</v>
      </c>
      <c r="I62" s="1731">
        <v>18.3</v>
      </c>
      <c r="J62" s="1732">
        <v>0</v>
      </c>
      <c r="K62" s="1730">
        <v>28</v>
      </c>
      <c r="L62" s="1730">
        <v>0</v>
      </c>
      <c r="M62" s="1731">
        <v>30.2</v>
      </c>
      <c r="N62" s="1787">
        <v>28</v>
      </c>
      <c r="O62" s="1847" t="e">
        <f>N62/#REF!*100</f>
        <v>#REF!</v>
      </c>
      <c r="P62" s="1734">
        <v>0</v>
      </c>
      <c r="Q62" s="1734">
        <v>28</v>
      </c>
      <c r="R62" s="1734">
        <v>9.6</v>
      </c>
      <c r="S62" s="1734">
        <v>14.2</v>
      </c>
      <c r="T62" s="1734">
        <v>0</v>
      </c>
      <c r="U62" s="1772">
        <v>30.2</v>
      </c>
      <c r="V62" s="1646">
        <v>28</v>
      </c>
      <c r="W62" s="1733">
        <v>0</v>
      </c>
      <c r="X62" s="1736">
        <v>28</v>
      </c>
      <c r="Y62" s="1850"/>
      <c r="Z62" s="1789"/>
      <c r="AA62" s="1733">
        <v>0</v>
      </c>
      <c r="AB62" s="1734">
        <v>28</v>
      </c>
      <c r="AC62" s="1734">
        <v>0</v>
      </c>
      <c r="AD62" s="1734">
        <v>28</v>
      </c>
      <c r="AE62" s="1736" t="e">
        <f>SUM(AC62/W62*100)</f>
        <v>#DIV/0!</v>
      </c>
      <c r="AF62" s="4550"/>
      <c r="AG62" s="4551"/>
    </row>
    <row r="64" spans="1:33" hidden="1" outlineLevel="1">
      <c r="A64" s="159" t="s">
        <v>276</v>
      </c>
    </row>
    <row r="65" spans="1:34" hidden="1" outlineLevel="1">
      <c r="A65" s="25"/>
      <c r="B65" s="25"/>
      <c r="C65" s="1633"/>
      <c r="D65" s="1633"/>
      <c r="E65" s="1633"/>
      <c r="F65" s="1633"/>
      <c r="G65" s="1633"/>
      <c r="H65" s="1633"/>
      <c r="I65" s="1633"/>
      <c r="J65" s="25"/>
      <c r="K65" s="1633"/>
      <c r="L65" s="1633"/>
      <c r="M65" s="25"/>
      <c r="N65" s="25" t="s">
        <v>267</v>
      </c>
      <c r="O65" s="25" t="s">
        <v>268</v>
      </c>
      <c r="P65" s="25" t="s">
        <v>268</v>
      </c>
      <c r="Q65" s="1633"/>
      <c r="R65" s="25" t="s">
        <v>269</v>
      </c>
      <c r="S65" s="25" t="s">
        <v>270</v>
      </c>
      <c r="T65" s="1633"/>
      <c r="U65" s="699"/>
      <c r="V65" s="25" t="s">
        <v>271</v>
      </c>
      <c r="W65" s="25" t="s">
        <v>273</v>
      </c>
      <c r="X65" s="1633"/>
      <c r="Y65" s="699"/>
      <c r="Z65" s="699"/>
      <c r="AA65" s="699"/>
      <c r="AB65" s="1805"/>
      <c r="AC65" s="699"/>
      <c r="AD65" s="1633"/>
      <c r="AE65" s="699"/>
      <c r="AF65" s="25" t="s">
        <v>274</v>
      </c>
      <c r="AG65" s="25" t="s">
        <v>275</v>
      </c>
    </row>
    <row r="66" spans="1:34" hidden="1" outlineLevel="1">
      <c r="A66" s="25" t="s">
        <v>263</v>
      </c>
      <c r="B66" s="25"/>
      <c r="C66" s="1633"/>
      <c r="D66" s="1633"/>
      <c r="E66" s="1633"/>
      <c r="F66" s="1633"/>
      <c r="G66" s="1633"/>
      <c r="H66" s="1633"/>
      <c r="I66" s="1633"/>
      <c r="J66" s="25"/>
      <c r="K66" s="1633"/>
      <c r="L66" s="1633"/>
      <c r="M66" s="25"/>
      <c r="N66" s="25"/>
      <c r="O66" s="25"/>
      <c r="P66" s="25"/>
      <c r="Q66" s="1633"/>
      <c r="R66" s="25"/>
      <c r="S66" s="25"/>
      <c r="T66" s="1633"/>
      <c r="U66" s="699"/>
      <c r="V66" s="25"/>
      <c r="W66" s="25"/>
      <c r="X66" s="1633"/>
      <c r="Y66" s="699"/>
      <c r="Z66" s="699"/>
      <c r="AA66" s="699"/>
      <c r="AB66" s="1805"/>
      <c r="AC66" s="699"/>
      <c r="AD66" s="1633"/>
      <c r="AE66" s="699"/>
      <c r="AF66" s="25"/>
      <c r="AG66" s="25"/>
    </row>
    <row r="67" spans="1:34" hidden="1" outlineLevel="1">
      <c r="A67" s="158" t="s">
        <v>239</v>
      </c>
      <c r="B67" s="25"/>
      <c r="C67" s="1633"/>
      <c r="D67" s="1633"/>
      <c r="E67" s="1633"/>
      <c r="F67" s="1633"/>
      <c r="G67" s="1633"/>
      <c r="H67" s="1633"/>
      <c r="I67" s="1633"/>
      <c r="J67" s="25"/>
      <c r="K67" s="1633"/>
      <c r="L67" s="1633"/>
      <c r="M67" s="25"/>
      <c r="N67" s="25"/>
      <c r="O67" s="25"/>
      <c r="P67" s="25"/>
      <c r="Q67" s="1633"/>
      <c r="R67" s="25"/>
      <c r="S67" s="25"/>
      <c r="T67" s="1633"/>
      <c r="U67" s="699"/>
      <c r="V67" s="25"/>
      <c r="W67" s="25"/>
      <c r="X67" s="1633"/>
      <c r="Y67" s="699"/>
      <c r="Z67" s="699"/>
      <c r="AA67" s="699"/>
      <c r="AB67" s="1805"/>
      <c r="AC67" s="699"/>
      <c r="AD67" s="1633"/>
      <c r="AE67" s="699"/>
      <c r="AF67" s="25"/>
      <c r="AG67" s="25"/>
    </row>
    <row r="68" spans="1:34" hidden="1" outlineLevel="1">
      <c r="A68" s="25" t="s">
        <v>264</v>
      </c>
      <c r="B68" s="25"/>
      <c r="C68" s="1633"/>
      <c r="D68" s="1633"/>
      <c r="E68" s="1633"/>
      <c r="F68" s="1633"/>
      <c r="G68" s="1633"/>
      <c r="H68" s="1633"/>
      <c r="I68" s="1633"/>
      <c r="J68" s="25"/>
      <c r="K68" s="1633"/>
      <c r="L68" s="1633"/>
      <c r="M68" s="25"/>
      <c r="N68" s="25">
        <v>236.8</v>
      </c>
      <c r="O68" s="25">
        <v>236.8</v>
      </c>
      <c r="P68" s="25">
        <v>236.8</v>
      </c>
      <c r="Q68" s="1633"/>
      <c r="R68" s="25">
        <v>236.8</v>
      </c>
      <c r="S68" s="25">
        <v>236.8</v>
      </c>
      <c r="T68" s="1633"/>
      <c r="U68" s="699"/>
      <c r="V68" s="25">
        <f>S68</f>
        <v>236.8</v>
      </c>
      <c r="W68" s="25">
        <v>229.09</v>
      </c>
      <c r="X68" s="1633"/>
      <c r="Y68" s="699"/>
      <c r="Z68" s="699"/>
      <c r="AA68" s="699"/>
      <c r="AB68" s="1805"/>
      <c r="AC68" s="699"/>
      <c r="AD68" s="1633"/>
      <c r="AE68" s="699"/>
      <c r="AF68" s="25">
        <v>236.8</v>
      </c>
      <c r="AG68" s="25">
        <v>236.8</v>
      </c>
      <c r="AH68" t="e">
        <f>#REF!/12</f>
        <v>#REF!</v>
      </c>
    </row>
    <row r="69" spans="1:34" hidden="1" outlineLevel="1">
      <c r="A69" s="25" t="s">
        <v>265</v>
      </c>
      <c r="B69" s="25"/>
      <c r="C69" s="1633"/>
      <c r="D69" s="1633"/>
      <c r="E69" s="1633"/>
      <c r="F69" s="1633"/>
      <c r="G69" s="1633"/>
      <c r="H69" s="1633"/>
      <c r="I69" s="1633"/>
      <c r="J69" s="25"/>
      <c r="K69" s="1633"/>
      <c r="L69" s="1633"/>
      <c r="M69" s="25"/>
      <c r="N69" s="25">
        <v>100.3</v>
      </c>
      <c r="O69" s="25">
        <v>100.3</v>
      </c>
      <c r="P69" s="25">
        <v>100.3</v>
      </c>
      <c r="Q69" s="1633"/>
      <c r="R69" s="25">
        <v>100.3</v>
      </c>
      <c r="S69" s="25">
        <v>100.3</v>
      </c>
      <c r="T69" s="1633"/>
      <c r="U69" s="699"/>
      <c r="V69" s="25">
        <f>S69</f>
        <v>100.3</v>
      </c>
      <c r="W69" s="25">
        <v>87.4</v>
      </c>
      <c r="X69" s="1633"/>
      <c r="Y69" s="699"/>
      <c r="Z69" s="699"/>
      <c r="AA69" s="699"/>
      <c r="AB69" s="1805"/>
      <c r="AC69" s="699"/>
      <c r="AD69" s="1633"/>
      <c r="AE69" s="699"/>
      <c r="AF69" s="25">
        <v>100.3</v>
      </c>
      <c r="AG69" s="25">
        <v>100.3</v>
      </c>
      <c r="AH69" t="e">
        <f>#REF!/12</f>
        <v>#REF!</v>
      </c>
    </row>
    <row r="70" spans="1:34" hidden="1" outlineLevel="1">
      <c r="A70" s="25" t="s">
        <v>266</v>
      </c>
      <c r="B70" s="25"/>
      <c r="C70" s="1633"/>
      <c r="D70" s="1633"/>
      <c r="E70" s="1633"/>
      <c r="F70" s="1633"/>
      <c r="G70" s="1633"/>
      <c r="H70" s="1633"/>
      <c r="I70" s="1633"/>
      <c r="J70" s="25"/>
      <c r="K70" s="1633"/>
      <c r="L70" s="1633"/>
      <c r="M70" s="25"/>
      <c r="N70" s="25">
        <v>3.6</v>
      </c>
      <c r="O70" s="25">
        <v>3.6</v>
      </c>
      <c r="P70" s="25">
        <v>3.6</v>
      </c>
      <c r="Q70" s="1633"/>
      <c r="R70" s="25">
        <v>3.6</v>
      </c>
      <c r="S70" s="25">
        <v>3.6</v>
      </c>
      <c r="T70" s="1633"/>
      <c r="U70" s="699"/>
      <c r="V70" s="25">
        <f>S70</f>
        <v>3.6</v>
      </c>
      <c r="W70" s="25">
        <v>2.1</v>
      </c>
      <c r="X70" s="1633"/>
      <c r="Y70" s="699"/>
      <c r="Z70" s="699"/>
      <c r="AA70" s="699"/>
      <c r="AB70" s="1805"/>
      <c r="AC70" s="699"/>
      <c r="AD70" s="1633"/>
      <c r="AE70" s="699"/>
      <c r="AF70" s="25">
        <v>3.6</v>
      </c>
      <c r="AG70" s="25">
        <v>3.6</v>
      </c>
      <c r="AH70" t="e">
        <f>#REF!/12</f>
        <v>#REF!</v>
      </c>
    </row>
    <row r="71" spans="1:34" hidden="1" outlineLevel="1">
      <c r="A71" s="25"/>
      <c r="B71" s="25"/>
      <c r="C71" s="1633"/>
      <c r="D71" s="1633"/>
      <c r="E71" s="1633"/>
      <c r="F71" s="1633"/>
      <c r="G71" s="1633"/>
      <c r="H71" s="1633"/>
      <c r="I71" s="1633"/>
      <c r="J71" s="25"/>
      <c r="K71" s="1633"/>
      <c r="L71" s="1633"/>
      <c r="M71" s="25"/>
      <c r="N71" s="4530" t="s">
        <v>277</v>
      </c>
      <c r="O71" s="4531"/>
      <c r="P71" s="4531"/>
      <c r="Q71" s="4532"/>
      <c r="R71" s="4531"/>
      <c r="S71" s="4531"/>
      <c r="T71" s="1681"/>
      <c r="U71" s="798"/>
      <c r="V71" s="4531" t="s">
        <v>278</v>
      </c>
      <c r="W71" s="4531"/>
      <c r="X71" s="1643"/>
      <c r="Y71" s="800"/>
      <c r="Z71" s="800"/>
      <c r="AA71" s="800"/>
      <c r="AB71" s="1806"/>
      <c r="AC71" s="800"/>
      <c r="AD71" s="1634"/>
      <c r="AE71" s="800"/>
      <c r="AF71" s="4533" t="s">
        <v>279</v>
      </c>
      <c r="AG71" s="4533"/>
    </row>
    <row r="72" spans="1:34" collapsed="1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2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C132"/>
  <sheetViews>
    <sheetView zoomScale="70" zoomScaleNormal="70" zoomScalePageLayoutView="70" workbookViewId="0">
      <pane xSplit="24" ySplit="7" topLeftCell="BM118" activePane="bottomRight" state="frozen"/>
      <selection pane="topRight" activeCell="Y1" sqref="Y1"/>
      <selection pane="bottomLeft" activeCell="A7" sqref="A7"/>
      <selection pane="bottomRight" sqref="A1:CC128"/>
    </sheetView>
  </sheetViews>
  <sheetFormatPr defaultRowHeight="12.75" outlineLevelCol="1"/>
  <cols>
    <col min="1" max="1" width="52.140625" customWidth="1"/>
    <col min="2" max="2" width="0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 collapsed="1"/>
    <col min="18" max="19" width="8" hidden="1" customWidth="1" outlineLevel="1"/>
    <col min="20" max="20" width="11.42578125" hidden="1" customWidth="1" collapsed="1"/>
    <col min="21" max="23" width="11.7109375" hidden="1" customWidth="1"/>
    <col min="24" max="24" width="11.7109375" hidden="1" customWidth="1" outlineLevel="1"/>
    <col min="25" max="25" width="17" hidden="1" customWidth="1" collapsed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1" hidden="1" customWidth="1"/>
    <col min="34" max="34" width="16.5703125" hidden="1" customWidth="1"/>
    <col min="35" max="35" width="12.5703125" hidden="1" customWidth="1"/>
    <col min="36" max="36" width="14" style="340" hidden="1" customWidth="1"/>
    <col min="37" max="37" width="11" style="340" hidden="1" customWidth="1"/>
    <col min="38" max="38" width="16.5703125" customWidth="1"/>
    <col min="39" max="39" width="11.5703125" hidden="1" customWidth="1"/>
    <col min="40" max="40" width="14" customWidth="1"/>
    <col min="41" max="41" width="11" customWidth="1"/>
    <col min="42" max="45" width="11.7109375" hidden="1" customWidth="1" outlineLevel="1"/>
    <col min="46" max="46" width="16.5703125" customWidth="1" outlineLevel="1"/>
    <col min="47" max="47" width="14" customWidth="1" outlineLevel="1"/>
    <col min="48" max="48" width="12.28515625" customWidth="1" outlineLevel="1"/>
    <col min="49" max="49" width="16.5703125" customWidth="1" outlineLevel="1"/>
    <col min="50" max="50" width="14" customWidth="1" outlineLevel="1"/>
    <col min="51" max="51" width="11" customWidth="1" outlineLevel="1"/>
    <col min="52" max="52" width="16.7109375" customWidth="1" outlineLevel="1"/>
    <col min="53" max="53" width="14.140625" customWidth="1" outlineLevel="1"/>
    <col min="54" max="54" width="11" customWidth="1" outlineLevel="1"/>
    <col min="55" max="55" width="16.5703125" customWidth="1" outlineLevel="1"/>
    <col min="56" max="56" width="11.7109375" style="191" customWidth="1" outlineLevel="1"/>
    <col min="57" max="57" width="14" customWidth="1" outlineLevel="1"/>
    <col min="58" max="58" width="11" customWidth="1" outlineLevel="1"/>
    <col min="59" max="59" width="16.5703125" customWidth="1" outlineLevel="1"/>
    <col min="60" max="60" width="11.7109375" style="191" customWidth="1" outlineLevel="1"/>
    <col min="61" max="61" width="14" customWidth="1" outlineLevel="1"/>
    <col min="62" max="62" width="11" customWidth="1" outlineLevel="1"/>
    <col min="63" max="63" width="27.85546875" hidden="1" customWidth="1"/>
    <col min="64" max="64" width="16.7109375" customWidth="1"/>
    <col min="65" max="65" width="13.85546875" customWidth="1"/>
    <col min="66" max="66" width="11" customWidth="1"/>
    <col min="67" max="67" width="16.7109375" customWidth="1"/>
    <col min="68" max="68" width="13.85546875" customWidth="1"/>
    <col min="69" max="69" width="11" customWidth="1"/>
    <col min="70" max="70" width="16.7109375" customWidth="1"/>
    <col min="71" max="71" width="13.85546875" customWidth="1"/>
    <col min="72" max="72" width="11" customWidth="1"/>
    <col min="73" max="73" width="16.7109375" customWidth="1"/>
    <col min="74" max="74" width="11.5703125" customWidth="1"/>
    <col min="75" max="75" width="13.85546875" customWidth="1"/>
    <col min="76" max="76" width="11" customWidth="1"/>
    <col min="77" max="77" width="16.7109375" customWidth="1"/>
    <col min="78" max="78" width="11.5703125" customWidth="1"/>
    <col min="79" max="79" width="13.85546875" customWidth="1"/>
    <col min="80" max="80" width="11" customWidth="1"/>
    <col min="81" max="81" width="29.5703125" hidden="1" customWidth="1"/>
  </cols>
  <sheetData>
    <row r="1" spans="1:81">
      <c r="A1" s="4426" t="s">
        <v>1524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  <c r="AT1" s="4426"/>
      <c r="AU1" s="4426"/>
      <c r="AV1" s="4426"/>
      <c r="AW1" s="4426"/>
      <c r="AX1" s="4426"/>
      <c r="AY1" s="4426"/>
      <c r="AZ1" s="4426"/>
      <c r="BA1" s="4426"/>
      <c r="BB1" s="4426"/>
      <c r="BC1" s="4426"/>
      <c r="BD1" s="4426"/>
      <c r="BE1" s="4426"/>
      <c r="BF1" s="4426"/>
      <c r="BG1" s="4426"/>
      <c r="BH1" s="4426"/>
      <c r="BI1" s="4426"/>
      <c r="BJ1" s="4426"/>
      <c r="BK1" s="4426"/>
      <c r="BL1" s="4426"/>
      <c r="BM1" s="4426"/>
      <c r="BN1" s="4426"/>
      <c r="BO1" s="4426"/>
      <c r="BP1" s="4426"/>
      <c r="BQ1" s="4426"/>
      <c r="BR1" s="4426"/>
      <c r="BS1" s="4426"/>
      <c r="BT1" s="4426"/>
      <c r="BU1" s="4426"/>
      <c r="BV1" s="4426"/>
      <c r="BW1" s="4426"/>
      <c r="BX1" s="4426"/>
      <c r="BY1" s="4426"/>
      <c r="BZ1" s="4426"/>
      <c r="CA1" s="4426"/>
      <c r="CB1" s="4426"/>
      <c r="CC1" s="4426"/>
    </row>
    <row r="2" spans="1:81" ht="27">
      <c r="A2" s="4581" t="s">
        <v>1688</v>
      </c>
      <c r="B2" s="4581"/>
      <c r="C2" s="4581"/>
      <c r="D2" s="4581"/>
      <c r="E2" s="4581"/>
      <c r="F2" s="4581"/>
      <c r="G2" s="4581"/>
      <c r="H2" s="4581"/>
      <c r="I2" s="4581"/>
      <c r="J2" s="4581"/>
      <c r="K2" s="4581"/>
      <c r="L2" s="4581"/>
      <c r="M2" s="4581"/>
      <c r="N2" s="4581"/>
      <c r="O2" s="4581"/>
      <c r="P2" s="4581"/>
      <c r="Q2" s="4581"/>
      <c r="R2" s="4581"/>
      <c r="S2" s="4581"/>
      <c r="T2" s="4581"/>
      <c r="U2" s="4581"/>
      <c r="V2" s="4581"/>
      <c r="W2" s="4581"/>
      <c r="X2" s="4581"/>
      <c r="Y2" s="4581"/>
      <c r="Z2" s="4581"/>
      <c r="AA2" s="4581"/>
      <c r="AB2" s="4581"/>
      <c r="AC2" s="4581"/>
      <c r="AD2" s="4581"/>
      <c r="AE2" s="4581"/>
      <c r="AF2" s="4581"/>
      <c r="AG2" s="4581"/>
      <c r="AH2" s="4581"/>
      <c r="AI2" s="4581"/>
      <c r="AJ2" s="4581"/>
      <c r="AK2" s="4581"/>
      <c r="AL2" s="4581"/>
      <c r="AM2" s="4581"/>
      <c r="AN2" s="4581"/>
      <c r="AO2" s="4581"/>
      <c r="AP2" s="4581"/>
      <c r="AQ2" s="4581"/>
      <c r="AR2" s="4581"/>
      <c r="AS2" s="4581"/>
      <c r="AT2" s="4581"/>
      <c r="AU2" s="4581"/>
      <c r="AV2" s="4581"/>
      <c r="AW2" s="4581"/>
      <c r="AX2" s="4581"/>
      <c r="AY2" s="4581"/>
      <c r="AZ2" s="4581"/>
      <c r="BA2" s="4581"/>
      <c r="BB2" s="4581"/>
      <c r="BC2" s="4581"/>
      <c r="BD2" s="4581"/>
      <c r="BE2" s="4581"/>
      <c r="BF2" s="4581"/>
      <c r="BG2" s="4581"/>
      <c r="BH2" s="4581"/>
      <c r="BI2" s="4581"/>
      <c r="BJ2" s="4581"/>
      <c r="BK2" s="4581"/>
      <c r="BL2" s="4582"/>
      <c r="BM2" s="4582"/>
      <c r="BN2" s="4582"/>
      <c r="BO2" s="4582"/>
      <c r="BP2" s="4582"/>
      <c r="BQ2" s="4582"/>
      <c r="BR2" s="4582"/>
      <c r="BS2" s="4582"/>
      <c r="BT2" s="4582"/>
      <c r="BU2" s="4582"/>
      <c r="BV2" s="4582"/>
      <c r="BW2" s="4582"/>
      <c r="BX2" s="4582"/>
      <c r="BY2" s="4582"/>
      <c r="BZ2" s="4582"/>
      <c r="CA2" s="4582"/>
      <c r="CB2" s="4582"/>
      <c r="CC2" s="4582"/>
    </row>
    <row r="3" spans="1:81" ht="13.5" thickBot="1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1321"/>
      <c r="AF3" s="1321"/>
      <c r="AG3" s="1321"/>
      <c r="AH3" s="1321"/>
      <c r="AI3" s="388"/>
      <c r="AJ3" s="389"/>
      <c r="AK3" s="389"/>
      <c r="AL3" s="388"/>
      <c r="AM3" s="388"/>
      <c r="AN3" s="388"/>
      <c r="AO3" s="388"/>
      <c r="AP3" s="388"/>
      <c r="AQ3" s="388"/>
      <c r="AR3" s="388"/>
      <c r="AS3" s="388"/>
      <c r="AT3" s="1321"/>
      <c r="AU3" s="1321"/>
      <c r="AV3" s="1321"/>
      <c r="AW3" s="1321"/>
      <c r="AX3" s="1321"/>
      <c r="AY3" s="1321"/>
      <c r="AZ3" s="2716"/>
      <c r="BA3" s="2716"/>
      <c r="BB3" s="2716"/>
      <c r="BC3" s="1321"/>
      <c r="BD3" s="2221"/>
      <c r="BE3" s="1321"/>
      <c r="BF3" s="1321"/>
      <c r="BG3" s="1321"/>
      <c r="BH3" s="2221"/>
      <c r="BI3" s="1321"/>
      <c r="BJ3" s="1321"/>
      <c r="BK3" s="388"/>
    </row>
    <row r="4" spans="1:81" ht="39" customHeight="1" thickBot="1">
      <c r="A4" s="4600" t="s">
        <v>546</v>
      </c>
      <c r="B4" s="4603" t="s">
        <v>58</v>
      </c>
      <c r="C4" s="4605" t="s">
        <v>59</v>
      </c>
      <c r="D4" s="4605"/>
      <c r="E4" s="4606" t="s">
        <v>67</v>
      </c>
      <c r="F4" s="4606"/>
      <c r="G4" s="4607" t="s">
        <v>95</v>
      </c>
      <c r="H4" s="4608"/>
      <c r="I4" s="4607" t="s">
        <v>124</v>
      </c>
      <c r="J4" s="4609"/>
      <c r="K4" s="4609"/>
      <c r="L4" s="4609"/>
      <c r="M4" s="4609"/>
      <c r="N4" s="4608"/>
      <c r="O4" s="4610" t="s">
        <v>163</v>
      </c>
      <c r="P4" s="4455"/>
      <c r="Q4" s="4455"/>
      <c r="R4" s="4455"/>
      <c r="S4" s="4455"/>
      <c r="T4" s="4455"/>
      <c r="U4" s="4455"/>
      <c r="V4" s="4455"/>
      <c r="W4" s="4455"/>
      <c r="X4" s="4455"/>
      <c r="Y4" s="4611" t="s">
        <v>238</v>
      </c>
      <c r="Z4" s="4612"/>
      <c r="AA4" s="4612"/>
      <c r="AB4" s="4612"/>
      <c r="AC4" s="4612"/>
      <c r="AD4" s="4612"/>
      <c r="AE4" s="4613"/>
      <c r="AF4" s="4613"/>
      <c r="AG4" s="4614"/>
      <c r="AH4" s="4611" t="s">
        <v>380</v>
      </c>
      <c r="AI4" s="4636"/>
      <c r="AJ4" s="4636"/>
      <c r="AK4" s="4636"/>
      <c r="AL4" s="4636"/>
      <c r="AM4" s="4636"/>
      <c r="AN4" s="4636"/>
      <c r="AO4" s="4636"/>
      <c r="AP4" s="4636"/>
      <c r="AQ4" s="4636"/>
      <c r="AR4" s="4636"/>
      <c r="AS4" s="4636"/>
      <c r="AT4" s="4636"/>
      <c r="AU4" s="4636"/>
      <c r="AV4" s="4636"/>
      <c r="AW4" s="4636"/>
      <c r="AX4" s="4636"/>
      <c r="AY4" s="4636"/>
      <c r="AZ4" s="4636"/>
      <c r="BA4" s="4636"/>
      <c r="BB4" s="4637"/>
      <c r="BC4" s="4615" t="s">
        <v>833</v>
      </c>
      <c r="BD4" s="4616"/>
      <c r="BE4" s="4616"/>
      <c r="BF4" s="4616"/>
      <c r="BG4" s="4616"/>
      <c r="BH4" s="4616"/>
      <c r="BI4" s="4616"/>
      <c r="BJ4" s="4617"/>
      <c r="BK4" s="4554" t="s">
        <v>160</v>
      </c>
      <c r="BL4" s="4640" t="s">
        <v>1659</v>
      </c>
      <c r="BM4" s="4641"/>
      <c r="BN4" s="4641"/>
      <c r="BO4" s="4641"/>
      <c r="BP4" s="4641"/>
      <c r="BQ4" s="4641"/>
      <c r="BR4" s="4641"/>
      <c r="BS4" s="4641"/>
      <c r="BT4" s="4642"/>
      <c r="BU4" s="4643" t="s">
        <v>912</v>
      </c>
      <c r="BV4" s="4644"/>
      <c r="BW4" s="4644"/>
      <c r="BX4" s="4644"/>
      <c r="BY4" s="4644"/>
      <c r="BZ4" s="4644"/>
      <c r="CA4" s="4644"/>
      <c r="CB4" s="4645"/>
      <c r="CC4" s="4554" t="s">
        <v>160</v>
      </c>
    </row>
    <row r="5" spans="1:81" ht="46.5" customHeight="1" thickBot="1">
      <c r="A5" s="4601"/>
      <c r="B5" s="4599"/>
      <c r="C5" s="4593" t="s">
        <v>61</v>
      </c>
      <c r="D5" s="4593" t="s">
        <v>62</v>
      </c>
      <c r="E5" s="4593" t="s">
        <v>61</v>
      </c>
      <c r="F5" s="4595" t="s">
        <v>66</v>
      </c>
      <c r="G5" s="4593" t="s">
        <v>61</v>
      </c>
      <c r="H5" s="4595" t="s">
        <v>112</v>
      </c>
      <c r="I5" s="4593" t="s">
        <v>60</v>
      </c>
      <c r="J5" s="4595" t="s">
        <v>120</v>
      </c>
      <c r="K5" s="4595" t="s">
        <v>110</v>
      </c>
      <c r="L5" s="4595" t="s">
        <v>61</v>
      </c>
      <c r="M5" s="4593" t="s">
        <v>65</v>
      </c>
      <c r="N5" s="4593" t="s">
        <v>223</v>
      </c>
      <c r="O5" s="4596" t="s">
        <v>126</v>
      </c>
      <c r="P5" s="4596" t="s">
        <v>97</v>
      </c>
      <c r="Q5" s="4596" t="s">
        <v>127</v>
      </c>
      <c r="R5" s="4596" t="s">
        <v>97</v>
      </c>
      <c r="S5" s="4595" t="s">
        <v>161</v>
      </c>
      <c r="T5" s="4598" t="s">
        <v>23</v>
      </c>
      <c r="U5" s="4599"/>
      <c r="V5" s="4595" t="s">
        <v>110</v>
      </c>
      <c r="W5" s="4618" t="s">
        <v>386</v>
      </c>
      <c r="X5" s="4619"/>
      <c r="Y5" s="4620" t="s">
        <v>126</v>
      </c>
      <c r="Z5" s="4627" t="s">
        <v>97</v>
      </c>
      <c r="AA5" s="4583" t="s">
        <v>127</v>
      </c>
      <c r="AB5" s="4584"/>
      <c r="AC5" s="4584"/>
      <c r="AD5" s="4584"/>
      <c r="AE5" s="4583" t="s">
        <v>832</v>
      </c>
      <c r="AF5" s="4584"/>
      <c r="AG5" s="4584"/>
      <c r="AH5" s="4583" t="str">
        <f>Y5</f>
        <v>предложение предприятия</v>
      </c>
      <c r="AI5" s="4584"/>
      <c r="AJ5" s="4584"/>
      <c r="AK5" s="4584"/>
      <c r="AL5" s="4583" t="str">
        <f>AA5</f>
        <v>предложение агентства</v>
      </c>
      <c r="AM5" s="4584"/>
      <c r="AN5" s="4584"/>
      <c r="AO5" s="4584"/>
      <c r="AP5" s="1472"/>
      <c r="AQ5" s="1472"/>
      <c r="AR5" s="1472"/>
      <c r="AS5" s="1472"/>
      <c r="AT5" s="4583" t="s">
        <v>863</v>
      </c>
      <c r="AU5" s="4584"/>
      <c r="AV5" s="4584"/>
      <c r="AW5" s="4583" t="s">
        <v>864</v>
      </c>
      <c r="AX5" s="4584"/>
      <c r="AY5" s="4584"/>
      <c r="AZ5" s="4583" t="s">
        <v>1640</v>
      </c>
      <c r="BA5" s="4584"/>
      <c r="BB5" s="4584"/>
      <c r="BC5" s="4583" t="s">
        <v>1517</v>
      </c>
      <c r="BD5" s="4583"/>
      <c r="BE5" s="4584"/>
      <c r="BF5" s="4584"/>
      <c r="BG5" s="4583" t="s">
        <v>866</v>
      </c>
      <c r="BH5" s="4583"/>
      <c r="BI5" s="4584"/>
      <c r="BJ5" s="4584"/>
      <c r="BK5" s="4591"/>
      <c r="BL5" s="4583" t="s">
        <v>1662</v>
      </c>
      <c r="BM5" s="4584"/>
      <c r="BN5" s="4584"/>
      <c r="BO5" s="4583" t="s">
        <v>1663</v>
      </c>
      <c r="BP5" s="4584"/>
      <c r="BQ5" s="4584"/>
      <c r="BR5" s="4583" t="s">
        <v>1667</v>
      </c>
      <c r="BS5" s="4584"/>
      <c r="BT5" s="4584"/>
      <c r="BU5" s="4646" t="s">
        <v>1660</v>
      </c>
      <c r="BV5" s="4646"/>
      <c r="BW5" s="4647"/>
      <c r="BX5" s="4647"/>
      <c r="BY5" s="4646" t="s">
        <v>1661</v>
      </c>
      <c r="BZ5" s="4646"/>
      <c r="CA5" s="4647"/>
      <c r="CB5" s="4647"/>
      <c r="CC5" s="4591"/>
    </row>
    <row r="6" spans="1:81" ht="18.75" customHeight="1">
      <c r="A6" s="4601"/>
      <c r="B6" s="4599"/>
      <c r="C6" s="4593"/>
      <c r="D6" s="4593"/>
      <c r="E6" s="4593"/>
      <c r="F6" s="4596"/>
      <c r="G6" s="4593"/>
      <c r="H6" s="4596"/>
      <c r="I6" s="4593"/>
      <c r="J6" s="4596"/>
      <c r="K6" s="4596"/>
      <c r="L6" s="4596"/>
      <c r="M6" s="4593"/>
      <c r="N6" s="4593"/>
      <c r="O6" s="4596"/>
      <c r="P6" s="4596"/>
      <c r="Q6" s="4596"/>
      <c r="R6" s="4596"/>
      <c r="S6" s="4596"/>
      <c r="T6" s="4596" t="s">
        <v>164</v>
      </c>
      <c r="U6" s="4596" t="s">
        <v>165</v>
      </c>
      <c r="V6" s="4596"/>
      <c r="W6" s="4618"/>
      <c r="X6" s="4619"/>
      <c r="Y6" s="4621"/>
      <c r="Z6" s="4628"/>
      <c r="AA6" s="4585" t="s">
        <v>301</v>
      </c>
      <c r="AB6" s="1379"/>
      <c r="AC6" s="4587" t="s">
        <v>50</v>
      </c>
      <c r="AD6" s="4588"/>
      <c r="AE6" s="4585" t="s">
        <v>301</v>
      </c>
      <c r="AF6" s="4587" t="s">
        <v>50</v>
      </c>
      <c r="AG6" s="4588"/>
      <c r="AH6" s="4585" t="s">
        <v>301</v>
      </c>
      <c r="AI6" s="4587" t="s">
        <v>97</v>
      </c>
      <c r="AJ6" s="4587" t="s">
        <v>50</v>
      </c>
      <c r="AK6" s="4588"/>
      <c r="AL6" s="4585" t="s">
        <v>301</v>
      </c>
      <c r="AM6" s="4587" t="s">
        <v>97</v>
      </c>
      <c r="AN6" s="4587" t="s">
        <v>50</v>
      </c>
      <c r="AO6" s="4588"/>
      <c r="AP6" s="1386"/>
      <c r="AQ6" s="1380"/>
      <c r="AR6" s="1380"/>
      <c r="AS6" s="1387"/>
      <c r="AT6" s="4585" t="s">
        <v>301</v>
      </c>
      <c r="AU6" s="4587" t="s">
        <v>50</v>
      </c>
      <c r="AV6" s="4588"/>
      <c r="AW6" s="4585" t="s">
        <v>301</v>
      </c>
      <c r="AX6" s="4587" t="s">
        <v>50</v>
      </c>
      <c r="AY6" s="4588"/>
      <c r="AZ6" s="4585" t="s">
        <v>301</v>
      </c>
      <c r="BA6" s="4587" t="s">
        <v>50</v>
      </c>
      <c r="BB6" s="4588"/>
      <c r="BC6" s="4585" t="s">
        <v>301</v>
      </c>
      <c r="BD6" s="4623" t="s">
        <v>97</v>
      </c>
      <c r="BE6" s="4587" t="s">
        <v>50</v>
      </c>
      <c r="BF6" s="4588"/>
      <c r="BG6" s="4585" t="s">
        <v>301</v>
      </c>
      <c r="BH6" s="4623" t="s">
        <v>97</v>
      </c>
      <c r="BI6" s="4587" t="s">
        <v>50</v>
      </c>
      <c r="BJ6" s="4588"/>
      <c r="BK6" s="4591"/>
      <c r="BL6" s="4585" t="s">
        <v>301</v>
      </c>
      <c r="BM6" s="4587" t="s">
        <v>50</v>
      </c>
      <c r="BN6" s="4588"/>
      <c r="BO6" s="4585" t="s">
        <v>301</v>
      </c>
      <c r="BP6" s="4587" t="s">
        <v>50</v>
      </c>
      <c r="BQ6" s="4588"/>
      <c r="BR6" s="4585" t="s">
        <v>301</v>
      </c>
      <c r="BS6" s="4587" t="s">
        <v>50</v>
      </c>
      <c r="BT6" s="4588"/>
      <c r="BU6" s="4648" t="s">
        <v>301</v>
      </c>
      <c r="BV6" s="4650" t="s">
        <v>97</v>
      </c>
      <c r="BW6" s="4652" t="s">
        <v>50</v>
      </c>
      <c r="BX6" s="4653"/>
      <c r="BY6" s="4648" t="s">
        <v>301</v>
      </c>
      <c r="BZ6" s="4650" t="s">
        <v>97</v>
      </c>
      <c r="CA6" s="4652" t="s">
        <v>50</v>
      </c>
      <c r="CB6" s="4653"/>
      <c r="CC6" s="4591"/>
    </row>
    <row r="7" spans="1:81" ht="39.75" customHeight="1" thickBot="1">
      <c r="A7" s="4602"/>
      <c r="B7" s="4604"/>
      <c r="C7" s="4594"/>
      <c r="D7" s="4594"/>
      <c r="E7" s="4594"/>
      <c r="F7" s="4597"/>
      <c r="G7" s="4594"/>
      <c r="H7" s="4597"/>
      <c r="I7" s="4594"/>
      <c r="J7" s="4597"/>
      <c r="K7" s="4597"/>
      <c r="L7" s="4597"/>
      <c r="M7" s="4594"/>
      <c r="N7" s="4594"/>
      <c r="O7" s="4597"/>
      <c r="P7" s="4597"/>
      <c r="Q7" s="4597"/>
      <c r="R7" s="4597"/>
      <c r="S7" s="4597"/>
      <c r="T7" s="4597"/>
      <c r="U7" s="4597"/>
      <c r="V7" s="4597"/>
      <c r="W7" s="1490" t="str">
        <f>T6</f>
        <v>питьевая</v>
      </c>
      <c r="X7" s="1491" t="str">
        <f>U6</f>
        <v>техническая</v>
      </c>
      <c r="Y7" s="4622"/>
      <c r="Z7" s="4629"/>
      <c r="AA7" s="4586"/>
      <c r="AB7" s="1310"/>
      <c r="AC7" s="1310" t="s">
        <v>384</v>
      </c>
      <c r="AD7" s="620" t="s">
        <v>385</v>
      </c>
      <c r="AE7" s="4589"/>
      <c r="AF7" s="1310" t="s">
        <v>384</v>
      </c>
      <c r="AG7" s="620" t="s">
        <v>385</v>
      </c>
      <c r="AH7" s="4586"/>
      <c r="AI7" s="4590"/>
      <c r="AJ7" s="1310" t="s">
        <v>384</v>
      </c>
      <c r="AK7" s="620" t="s">
        <v>385</v>
      </c>
      <c r="AL7" s="4589"/>
      <c r="AM7" s="4590"/>
      <c r="AN7" s="1310" t="s">
        <v>384</v>
      </c>
      <c r="AO7" s="620" t="s">
        <v>385</v>
      </c>
      <c r="AP7" s="1492"/>
      <c r="AQ7" s="1493" t="s">
        <v>371</v>
      </c>
      <c r="AR7" s="1493" t="s">
        <v>372</v>
      </c>
      <c r="AS7" s="1494"/>
      <c r="AT7" s="4589"/>
      <c r="AU7" s="1310" t="s">
        <v>384</v>
      </c>
      <c r="AV7" s="620" t="s">
        <v>385</v>
      </c>
      <c r="AW7" s="4589"/>
      <c r="AX7" s="1310" t="s">
        <v>384</v>
      </c>
      <c r="AY7" s="620" t="s">
        <v>385</v>
      </c>
      <c r="AZ7" s="4589"/>
      <c r="BA7" s="2715" t="s">
        <v>384</v>
      </c>
      <c r="BB7" s="620" t="s">
        <v>385</v>
      </c>
      <c r="BC7" s="4586"/>
      <c r="BD7" s="4624"/>
      <c r="BE7" s="1310" t="s">
        <v>384</v>
      </c>
      <c r="BF7" s="620" t="s">
        <v>385</v>
      </c>
      <c r="BG7" s="4586"/>
      <c r="BH7" s="4624"/>
      <c r="BI7" s="1310" t="s">
        <v>384</v>
      </c>
      <c r="BJ7" s="620" t="s">
        <v>385</v>
      </c>
      <c r="BK7" s="4592"/>
      <c r="BL7" s="4589"/>
      <c r="BM7" s="3395" t="s">
        <v>384</v>
      </c>
      <c r="BN7" s="3396" t="s">
        <v>385</v>
      </c>
      <c r="BO7" s="4589"/>
      <c r="BP7" s="3395" t="s">
        <v>384</v>
      </c>
      <c r="BQ7" s="3396" t="s">
        <v>385</v>
      </c>
      <c r="BR7" s="4589"/>
      <c r="BS7" s="3395" t="s">
        <v>384</v>
      </c>
      <c r="BT7" s="3396" t="s">
        <v>385</v>
      </c>
      <c r="BU7" s="4649"/>
      <c r="BV7" s="4651"/>
      <c r="BW7" s="2937" t="s">
        <v>384</v>
      </c>
      <c r="BX7" s="3584" t="s">
        <v>385</v>
      </c>
      <c r="BY7" s="4649"/>
      <c r="BZ7" s="4651"/>
      <c r="CA7" s="2937" t="s">
        <v>384</v>
      </c>
      <c r="CB7" s="3584" t="s">
        <v>385</v>
      </c>
      <c r="CC7" s="4592"/>
    </row>
    <row r="8" spans="1:81" ht="21" customHeight="1">
      <c r="A8" s="1338" t="s">
        <v>15</v>
      </c>
      <c r="B8" s="1481"/>
      <c r="C8" s="1381"/>
      <c r="D8" s="1381"/>
      <c r="E8" s="242">
        <f t="shared" ref="E8:U8" si="0">SUM(E9:E16)-E15</f>
        <v>14586.3</v>
      </c>
      <c r="F8" s="242">
        <f t="shared" si="0"/>
        <v>599.44377737908462</v>
      </c>
      <c r="G8" s="242">
        <f t="shared" si="0"/>
        <v>17580.600000000002</v>
      </c>
      <c r="H8" s="242">
        <f t="shared" si="0"/>
        <v>1301.6186267528969</v>
      </c>
      <c r="I8" s="242">
        <f t="shared" si="0"/>
        <v>15573.576100000002</v>
      </c>
      <c r="J8" s="242">
        <f t="shared" si="0"/>
        <v>8330.6</v>
      </c>
      <c r="K8" s="242">
        <f t="shared" si="0"/>
        <v>12986.934203563882</v>
      </c>
      <c r="L8" s="242">
        <f t="shared" si="0"/>
        <v>18032</v>
      </c>
      <c r="M8" s="242">
        <f t="shared" si="0"/>
        <v>765.16293628894141</v>
      </c>
      <c r="N8" s="242">
        <f t="shared" si="0"/>
        <v>578.89100723393869</v>
      </c>
      <c r="O8" s="242">
        <f t="shared" si="0"/>
        <v>21075.699999999997</v>
      </c>
      <c r="P8" s="242">
        <f t="shared" si="0"/>
        <v>940.91457929714295</v>
      </c>
      <c r="Q8" s="1482">
        <f t="shared" si="0"/>
        <v>18706.910516308828</v>
      </c>
      <c r="R8" s="242">
        <f t="shared" si="0"/>
        <v>790.298382141395</v>
      </c>
      <c r="S8" s="242">
        <f t="shared" si="0"/>
        <v>659.14699828891662</v>
      </c>
      <c r="T8" s="242" t="e">
        <f t="shared" si="0"/>
        <v>#REF!</v>
      </c>
      <c r="U8" s="242" t="e">
        <f t="shared" si="0"/>
        <v>#REF!</v>
      </c>
      <c r="V8" s="242">
        <f>SUM(V9:V16)-V15</f>
        <v>13489.2</v>
      </c>
      <c r="W8" s="242">
        <f>SUM(W9:W16)-W15</f>
        <v>10440.06706739666</v>
      </c>
      <c r="X8" s="1322">
        <f>SUM(X9:X16)-X15</f>
        <v>61.532932603341123</v>
      </c>
      <c r="Y8" s="1483">
        <f>SUM(Y9:Y16)-Y15</f>
        <v>21736.2</v>
      </c>
      <c r="Z8" s="1484">
        <f>Y8/Q8</f>
        <v>1.1619342478305124</v>
      </c>
      <c r="AA8" s="1485">
        <f>SUM(AA9:AA16)-AA15</f>
        <v>18045.304741901102</v>
      </c>
      <c r="AB8" s="1486">
        <f t="shared" ref="AB8:AB47" si="1">AA8/Q8</f>
        <v>0.96463308177847251</v>
      </c>
      <c r="AC8" s="1487">
        <f>SUM(AC9:AC16)</f>
        <v>17784.373750227747</v>
      </c>
      <c r="AD8" s="1488">
        <f>SUM(AD9:AD16)</f>
        <v>260.93099167335583</v>
      </c>
      <c r="AE8" s="1485">
        <f>SUM(AE9:AE16)-AE15</f>
        <v>18010.500000000004</v>
      </c>
      <c r="AF8" s="1487">
        <f>SUM(AF9:AF16)-AF15</f>
        <v>17789.478747214656</v>
      </c>
      <c r="AG8" s="1488">
        <f>SUM(AG9:AG16)-AG15</f>
        <v>221.02125278534345</v>
      </c>
      <c r="AH8" s="1485">
        <f>SUM(AJ8+AK8)</f>
        <v>19788.650000000001</v>
      </c>
      <c r="AI8" s="1489">
        <f>SUM(AH8/AA8)</f>
        <v>1.0966093553438785</v>
      </c>
      <c r="AJ8" s="1487">
        <f>SUM(AJ9:AJ16)-AJ15</f>
        <v>19566.560000000001</v>
      </c>
      <c r="AK8" s="1488">
        <f>SUM(AK9:AK16)-AK15</f>
        <v>222.09</v>
      </c>
      <c r="AL8" s="1485">
        <f>SUM(AN8+AO8)</f>
        <v>17147.985534335647</v>
      </c>
      <c r="AM8" s="1489">
        <f>SUM(AL8/AA8)</f>
        <v>0.9502740895540609</v>
      </c>
      <c r="AN8" s="1487">
        <f>SUM(AN9:AN16)-AN15</f>
        <v>16952.7835373218</v>
      </c>
      <c r="AO8" s="1488">
        <f>SUM(AO9:AO16)-AO15</f>
        <v>195.20199701384624</v>
      </c>
      <c r="AP8" s="1388">
        <f>AA8-Y8</f>
        <v>-3690.8952580988989</v>
      </c>
      <c r="AQ8" s="1389">
        <f>AP8*AC8/AA8</f>
        <v>-3637.5257543064808</v>
      </c>
      <c r="AR8" s="1389">
        <f>AP8-AQ8</f>
        <v>-53.369503792418072</v>
      </c>
      <c r="AS8" s="1390">
        <f t="shared" ref="AS8:AS35" si="2">AQ8+AR8</f>
        <v>-3690.8952580988989</v>
      </c>
      <c r="AT8" s="1485">
        <f t="shared" ref="AT8:BC8" si="3">SUM(AT9:AT16)-AT15</f>
        <v>8911.48</v>
      </c>
      <c r="AU8" s="1487">
        <f t="shared" si="3"/>
        <v>8850.280179956595</v>
      </c>
      <c r="AV8" s="1488">
        <f t="shared" si="3"/>
        <v>61.199820043406589</v>
      </c>
      <c r="AW8" s="1485">
        <f t="shared" si="3"/>
        <v>13047.65</v>
      </c>
      <c r="AX8" s="1487">
        <f t="shared" si="3"/>
        <v>12967.51590732671</v>
      </c>
      <c r="AY8" s="2737">
        <f t="shared" si="3"/>
        <v>80.134092673289842</v>
      </c>
      <c r="AZ8" s="1485">
        <f t="shared" ref="AZ8:BB8" si="4">SUM(AZ9:AZ16)-AZ15</f>
        <v>17487.72</v>
      </c>
      <c r="BA8" s="1487">
        <f t="shared" si="4"/>
        <v>17403.678646287979</v>
      </c>
      <c r="BB8" s="2737">
        <f t="shared" si="4"/>
        <v>84.041353712021191</v>
      </c>
      <c r="BC8" s="1485">
        <f t="shared" si="3"/>
        <v>20844.7973009989</v>
      </c>
      <c r="BD8" s="2222">
        <f>SUM(BC8/AL8)</f>
        <v>1.2155828601126981</v>
      </c>
      <c r="BE8" s="1487">
        <f>SUM(BE9:BE16)-BE15</f>
        <v>20733.921825560112</v>
      </c>
      <c r="BF8" s="1488">
        <f>SUM(BF9:BF16)-BF15</f>
        <v>110.87547543878928</v>
      </c>
      <c r="BG8" s="1485">
        <f>SUM(BG9:BG16)-BG15</f>
        <v>18195.35524776376</v>
      </c>
      <c r="BH8" s="2222">
        <f>SUM(BG8/AL8)</f>
        <v>1.0610782946679627</v>
      </c>
      <c r="BI8" s="1487">
        <f>SUM(BI9:BI16)-BI15</f>
        <v>18098.177540230743</v>
      </c>
      <c r="BJ8" s="1488">
        <f>SUM(BJ9:BJ16)-BJ15</f>
        <v>97.177707533017951</v>
      </c>
      <c r="BK8" s="1989"/>
      <c r="BL8" s="1485">
        <f t="shared" ref="BL8:BN8" si="5">SUM(BL9:BL16)-BL15</f>
        <v>8038.5899999999992</v>
      </c>
      <c r="BM8" s="1487">
        <f t="shared" si="5"/>
        <v>8032.1415783842494</v>
      </c>
      <c r="BN8" s="1488">
        <f t="shared" si="5"/>
        <v>6.4484216157495666</v>
      </c>
      <c r="BO8" s="1485">
        <f t="shared" ref="BO8:BQ8" si="6">SUM(BO9:BO16)-BO15</f>
        <v>12121.170000000002</v>
      </c>
      <c r="BP8" s="1487">
        <f t="shared" si="6"/>
        <v>12112.354107475114</v>
      </c>
      <c r="BQ8" s="1488">
        <f t="shared" si="6"/>
        <v>8.8158925248862943</v>
      </c>
      <c r="BR8" s="1485">
        <f t="shared" ref="BR8:BT8" si="7">SUM(BR9:BR16)-BR15</f>
        <v>16466.680025079117</v>
      </c>
      <c r="BS8" s="1487">
        <f t="shared" si="7"/>
        <v>16454.679177123926</v>
      </c>
      <c r="BT8" s="1488">
        <f t="shared" si="7"/>
        <v>12.000847955190238</v>
      </c>
      <c r="BU8" s="2794">
        <f t="shared" ref="BU8" si="8">SUM(BU9:BU16)-BU15</f>
        <v>20086.958863454834</v>
      </c>
      <c r="BV8" s="3378">
        <f>SUM(BU8/BG8)</f>
        <v>1.1039607960346669</v>
      </c>
      <c r="BW8" s="2795">
        <f>SUM(BW9:BW16)-BW15</f>
        <v>19991.653120635572</v>
      </c>
      <c r="BX8" s="2796">
        <f>SUM(BX9:BX16)-BX15</f>
        <v>95.305742819263827</v>
      </c>
      <c r="BY8" s="2794">
        <f>SUM(BY9:BY16)-BY15</f>
        <v>19100.660356215267</v>
      </c>
      <c r="BZ8" s="3379">
        <f t="shared" ref="BZ8:BZ10" si="9">SUM(BY8/BG8)</f>
        <v>1.0497547366415267</v>
      </c>
      <c r="CA8" s="2795">
        <f>SUM(CA9:CA16)-CA15</f>
        <v>18998.142930995742</v>
      </c>
      <c r="CB8" s="2796">
        <f>SUM(CB9:CB16)-CB15</f>
        <v>102.51742521952714</v>
      </c>
      <c r="CC8" s="1989"/>
    </row>
    <row r="9" spans="1:81" ht="21" customHeight="1">
      <c r="A9" s="1231" t="s">
        <v>1</v>
      </c>
      <c r="B9" s="1333">
        <v>4424.7</v>
      </c>
      <c r="C9" s="17">
        <v>4746.7</v>
      </c>
      <c r="D9" s="31">
        <f t="shared" ref="D9:D42" si="10">C9/B9*100</f>
        <v>107.27732953646576</v>
      </c>
      <c r="E9" s="17">
        <v>5856.8</v>
      </c>
      <c r="F9" s="31">
        <f t="shared" ref="F9:F29" si="11">E9/C9*100</f>
        <v>123.38677396928392</v>
      </c>
      <c r="G9" s="17">
        <v>6391.7</v>
      </c>
      <c r="H9" s="31">
        <f t="shared" ref="H9:H53" si="12">G9/E9*100</f>
        <v>109.1329736374812</v>
      </c>
      <c r="I9" s="142">
        <v>4954.6000000000004</v>
      </c>
      <c r="J9" s="142">
        <v>3215.8</v>
      </c>
      <c r="K9" s="142">
        <v>4218.5</v>
      </c>
      <c r="L9" s="142">
        <v>6305.3</v>
      </c>
      <c r="M9" s="162">
        <f t="shared" ref="M9:M54" si="13">L9/I9*100</f>
        <v>127.2615347353974</v>
      </c>
      <c r="N9" s="162">
        <f t="shared" ref="N9:N53" si="14">L9/G9*100</f>
        <v>98.648246945257128</v>
      </c>
      <c r="O9" s="142">
        <v>5985</v>
      </c>
      <c r="P9" s="162">
        <f t="shared" ref="P9:P56" si="15">O9/I9*100</f>
        <v>120.7968352641989</v>
      </c>
      <c r="Q9" s="237">
        <f>электр!AC9</f>
        <v>5549</v>
      </c>
      <c r="R9" s="162">
        <f>Q9/I9*100</f>
        <v>111.9969321438663</v>
      </c>
      <c r="S9" s="162">
        <f>Q9/L9*100</f>
        <v>88.005328850332248</v>
      </c>
      <c r="T9" s="142" t="e">
        <f>Q9/Q52*T52</f>
        <v>#REF!</v>
      </c>
      <c r="U9" s="142" t="e">
        <f>Q9-T9</f>
        <v>#REF!</v>
      </c>
      <c r="V9" s="142">
        <v>4317.3</v>
      </c>
      <c r="W9" s="142">
        <f>1138.8*(объемы!$AB$9-объемы!$AB$18)/объемы!$AB$9</f>
        <v>1132.1145985680921</v>
      </c>
      <c r="X9" s="1348">
        <f>1138.8-W9</f>
        <v>6.6854014319078487</v>
      </c>
      <c r="Y9" s="1356">
        <v>6269</v>
      </c>
      <c r="Z9" s="1360">
        <f t="shared" ref="Z9:Z56" si="16">Y9/Q9</f>
        <v>1.1297531086682284</v>
      </c>
      <c r="AA9" s="1110">
        <f>электр!Q48</f>
        <v>4514.8884207278079</v>
      </c>
      <c r="AB9" s="1362">
        <f t="shared" si="1"/>
        <v>0.81364001094391925</v>
      </c>
      <c r="AC9" s="1069">
        <f t="shared" ref="AC9:AC14" si="17">$AC$52/$AA$52*AA9</f>
        <v>4463.6360473618633</v>
      </c>
      <c r="AD9" s="1107">
        <f>AA9-AC9</f>
        <v>51.25237336594455</v>
      </c>
      <c r="AE9" s="1110">
        <f>SUM(электр!AG48)</f>
        <v>4561</v>
      </c>
      <c r="AF9" s="1069">
        <f>AE9*AF52/(AF52+AG52)</f>
        <v>4504.7638524387221</v>
      </c>
      <c r="AG9" s="1107">
        <f>SUM(AE9-AF9)</f>
        <v>56.236147561277903</v>
      </c>
      <c r="AH9" s="1327">
        <f t="shared" ref="AH9:AH57" si="18">SUM(AJ9+AK9)</f>
        <v>5268.12</v>
      </c>
      <c r="AI9" s="1324">
        <f t="shared" ref="AI9:AI59" si="19">SUM(AH9/AA9)</f>
        <v>1.1668328226704592</v>
      </c>
      <c r="AJ9" s="1069">
        <v>5208.1499999999996</v>
      </c>
      <c r="AK9" s="1107">
        <v>59.97</v>
      </c>
      <c r="AL9" s="1327">
        <f t="shared" ref="AL9:AL57" si="20">SUM(AN9+AO9)</f>
        <v>4595.8327049355248</v>
      </c>
      <c r="AM9" s="1324">
        <f t="shared" ref="AM9:AM59" si="21">SUM(AL9/AA9)</f>
        <v>1.0179283022446586</v>
      </c>
      <c r="AN9" s="1069">
        <f>электр!AN48*AN52/(AN52+AO52)</f>
        <v>4543.5166051727474</v>
      </c>
      <c r="AO9" s="1107">
        <f>-AN9+электр!AN48</f>
        <v>52.316099762777412</v>
      </c>
      <c r="AP9" s="1388">
        <f t="shared" ref="AP9:AP59" si="22">AA9-Y9</f>
        <v>-1754.1115792721921</v>
      </c>
      <c r="AQ9" s="1389">
        <f>AP9*AC9/AA9</f>
        <v>-1734.1991532698917</v>
      </c>
      <c r="AR9" s="1389">
        <f t="shared" ref="AR9:AR59" si="23">AP9-AQ9</f>
        <v>-19.912426002300435</v>
      </c>
      <c r="AS9" s="1390">
        <f t="shared" si="2"/>
        <v>-1754.1115792721921</v>
      </c>
      <c r="AT9" s="1110">
        <f>SUM(электр!AT48)</f>
        <v>2048.4</v>
      </c>
      <c r="AU9" s="1069">
        <f>AT9*AU52/(AU52+AV52)</f>
        <v>2034.3013504280375</v>
      </c>
      <c r="AV9" s="1107">
        <f>SUM(AT9-AU9)</f>
        <v>14.098649571962596</v>
      </c>
      <c r="AW9" s="1110">
        <f>SUM(электр!AW48)</f>
        <v>2748</v>
      </c>
      <c r="AX9" s="1069">
        <f>AW9*AX52/(AX52+AY52)</f>
        <v>2731.0966946433327</v>
      </c>
      <c r="AY9" s="2738">
        <f>SUM(AW9-AX9)</f>
        <v>16.903305356667261</v>
      </c>
      <c r="AZ9" s="1110">
        <v>3813.41</v>
      </c>
      <c r="BA9" s="1069">
        <f>AZ9*BA52/(BA52+BB52)</f>
        <v>3795.0310023753973</v>
      </c>
      <c r="BB9" s="2738">
        <f>SUM(AZ9-BA9)</f>
        <v>18.378997624602562</v>
      </c>
      <c r="BC9" s="1110">
        <v>5274.76</v>
      </c>
      <c r="BD9" s="2223">
        <f>SUM(BC9/AL9)</f>
        <v>1.1477267208476423</v>
      </c>
      <c r="BE9" s="1069">
        <f>BC9*BE52/(BE52+BF52)</f>
        <v>5246.5885750617672</v>
      </c>
      <c r="BF9" s="1107">
        <f>SUM(BC9-BE9)</f>
        <v>28.171424938233031</v>
      </c>
      <c r="BG9" s="1110">
        <f>SUM(электр!BD48)</f>
        <v>3864.6286869024211</v>
      </c>
      <c r="BH9" s="2223">
        <f>SUM(BG9/AL9)</f>
        <v>0.84089846933552348</v>
      </c>
      <c r="BI9" s="1069">
        <f>BG9*BI52/(BI52+BJ52)</f>
        <v>3843.9884877336981</v>
      </c>
      <c r="BJ9" s="1107">
        <f>SUM(BG9-BI9)</f>
        <v>20.640199168723029</v>
      </c>
      <c r="BK9" s="1990" t="s">
        <v>981</v>
      </c>
      <c r="BL9" s="3397">
        <f>SUM(электр!BM48)</f>
        <v>996.48</v>
      </c>
      <c r="BM9" s="3398">
        <f>BL9*BM52/(BM52+BN52)</f>
        <v>995.6762812746905</v>
      </c>
      <c r="BN9" s="3399">
        <f>SUM(BL9-BM9)</f>
        <v>0.8037187253095226</v>
      </c>
      <c r="BO9" s="3397">
        <f>SUM(электр!BP48)</f>
        <v>1351.63</v>
      </c>
      <c r="BP9" s="3398">
        <f>BO9*BP52/(BP52+BQ52)</f>
        <v>1350.6432720983255</v>
      </c>
      <c r="BQ9" s="3399">
        <f>SUM(BO9-BP9)</f>
        <v>0.98672790167461244</v>
      </c>
      <c r="BR9" s="3397">
        <f>SUM(электр!BS48)</f>
        <v>1779.1907190017323</v>
      </c>
      <c r="BS9" s="3398">
        <f>BR9*BS52/(BS52+BT52)</f>
        <v>1777.8893030908459</v>
      </c>
      <c r="BT9" s="3399">
        <f>SUM(BR9-BS9)</f>
        <v>1.3014159108863623</v>
      </c>
      <c r="BU9" s="2941">
        <f>SUM('электр 2017-2018'!CH48)</f>
        <v>4221.5160392754542</v>
      </c>
      <c r="BV9" s="3379">
        <f>SUM(BU9/BG9)</f>
        <v>1.0923471260208146</v>
      </c>
      <c r="BW9" s="2942">
        <f>BU9*BW52/(BW52+BX52)</f>
        <v>4201.4613312503925</v>
      </c>
      <c r="BX9" s="2784">
        <f>SUM(BU9-BW9)</f>
        <v>20.0547080250617</v>
      </c>
      <c r="BY9" s="2941">
        <f>SUM(электр!BZ48)</f>
        <v>3899.14</v>
      </c>
      <c r="BZ9" s="3379">
        <f t="shared" si="9"/>
        <v>1.0089300462977313</v>
      </c>
      <c r="CA9" s="2942">
        <f>BY9*CA52/(CA52+CB52)</f>
        <v>3878.2124621078142</v>
      </c>
      <c r="CB9" s="2784">
        <f>SUM(BY9-CA9)</f>
        <v>20.927537892185683</v>
      </c>
      <c r="CC9" s="1990"/>
    </row>
    <row r="10" spans="1:81" ht="21" customHeight="1">
      <c r="A10" s="1231" t="s">
        <v>2</v>
      </c>
      <c r="B10" s="1333">
        <v>332.4</v>
      </c>
      <c r="C10" s="17">
        <v>358.9</v>
      </c>
      <c r="D10" s="31">
        <f t="shared" si="10"/>
        <v>107.97232250300843</v>
      </c>
      <c r="E10" s="17">
        <v>315.89999999999998</v>
      </c>
      <c r="F10" s="31">
        <f t="shared" si="11"/>
        <v>88.018946781833378</v>
      </c>
      <c r="G10" s="17">
        <v>2033.4</v>
      </c>
      <c r="H10" s="31">
        <f t="shared" si="12"/>
        <v>643.68471035137713</v>
      </c>
      <c r="I10" s="142">
        <v>1050</v>
      </c>
      <c r="J10" s="142">
        <v>158.4</v>
      </c>
      <c r="K10" s="142">
        <v>2823.9</v>
      </c>
      <c r="L10" s="142">
        <v>3765.8</v>
      </c>
      <c r="M10" s="162">
        <f t="shared" si="13"/>
        <v>358.64761904761906</v>
      </c>
      <c r="N10" s="162">
        <f t="shared" si="14"/>
        <v>185.19720664896232</v>
      </c>
      <c r="O10" s="142">
        <v>3856</v>
      </c>
      <c r="P10" s="162">
        <f t="shared" si="15"/>
        <v>367.23809523809524</v>
      </c>
      <c r="Q10" s="237">
        <v>3772</v>
      </c>
      <c r="R10" s="162">
        <f t="shared" ref="R10:R56" si="24">Q10/I10*100</f>
        <v>359.23809523809524</v>
      </c>
      <c r="S10" s="162">
        <f t="shared" ref="S10:S53" si="25">Q10/L10*100</f>
        <v>100.16463965160125</v>
      </c>
      <c r="T10" s="142" t="e">
        <f>Q10/Q52*T52</f>
        <v>#REF!</v>
      </c>
      <c r="U10" s="142" t="e">
        <f t="shared" ref="U10:U16" si="26">Q10-T10</f>
        <v>#REF!</v>
      </c>
      <c r="V10" s="142">
        <v>2819.3</v>
      </c>
      <c r="W10" s="142">
        <f>3756.7*(объемы!$AB$9-объемы!$AB$18)/объемы!$AB$9</f>
        <v>3734.646041834169</v>
      </c>
      <c r="X10" s="1348">
        <f>3756.7-W10</f>
        <v>22.053958165830863</v>
      </c>
      <c r="Y10" s="1356">
        <v>3847.4</v>
      </c>
      <c r="Z10" s="1360">
        <f t="shared" si="16"/>
        <v>1.0199893955461294</v>
      </c>
      <c r="AA10" s="1110">
        <f>Аморт!G21</f>
        <v>3756.7</v>
      </c>
      <c r="AB10" s="1362">
        <f t="shared" si="1"/>
        <v>0.9959437963944856</v>
      </c>
      <c r="AC10" s="1069">
        <f t="shared" si="17"/>
        <v>3714.0544741128274</v>
      </c>
      <c r="AD10" s="1107">
        <f t="shared" ref="AD10:AD46" si="27">AA10-AC10</f>
        <v>42.645525887172425</v>
      </c>
      <c r="AE10" s="1110">
        <f>SUM(Аморт!L21)</f>
        <v>3695.7</v>
      </c>
      <c r="AF10" s="1069">
        <f>AE10*AF52/(AF52+AG52)</f>
        <v>3650.1328150532308</v>
      </c>
      <c r="AG10" s="1107">
        <f>SUM(AE10-AF10)</f>
        <v>45.567184946768975</v>
      </c>
      <c r="AH10" s="1327">
        <f t="shared" si="18"/>
        <v>3759.1</v>
      </c>
      <c r="AI10" s="1324">
        <f t="shared" si="19"/>
        <v>1.0006388585726835</v>
      </c>
      <c r="AJ10" s="1069">
        <v>3716.31</v>
      </c>
      <c r="AK10" s="1107">
        <v>42.79</v>
      </c>
      <c r="AL10" s="1327">
        <f t="shared" si="20"/>
        <v>3759.1</v>
      </c>
      <c r="AM10" s="1324">
        <f t="shared" si="21"/>
        <v>1.0006388585726835</v>
      </c>
      <c r="AN10" s="1069">
        <f>Аморт!O21*AN52/(AN52+AO52)</f>
        <v>3716.3087446945019</v>
      </c>
      <c r="AO10" s="1107">
        <f>-AN10+Аморт!O21</f>
        <v>42.791255305497998</v>
      </c>
      <c r="AP10" s="1388">
        <f t="shared" si="22"/>
        <v>-90.700000000000273</v>
      </c>
      <c r="AQ10" s="1389">
        <f>AP10*AC10/AA10</f>
        <v>-89.67038645673982</v>
      </c>
      <c r="AR10" s="1389">
        <f t="shared" si="23"/>
        <v>-1.029613543260453</v>
      </c>
      <c r="AS10" s="1390">
        <f t="shared" si="2"/>
        <v>-90.700000000000273</v>
      </c>
      <c r="AT10" s="1110">
        <f>SUM(Аморт!Q21)</f>
        <v>1827.75</v>
      </c>
      <c r="AU10" s="1069">
        <f>AT10*AU52/(AU52+AV52)</f>
        <v>1815.1700318516137</v>
      </c>
      <c r="AV10" s="1107">
        <f>SUM(AT10-AU10)</f>
        <v>12.579968148386342</v>
      </c>
      <c r="AW10" s="1110">
        <v>2733.41</v>
      </c>
      <c r="AX10" s="1069">
        <f>AW10*AX52/(AX52+AY52)</f>
        <v>2716.5964396306517</v>
      </c>
      <c r="AY10" s="2738">
        <f>SUM(AW10-AX10)</f>
        <v>16.813560369348124</v>
      </c>
      <c r="AZ10" s="1110">
        <v>3621.84</v>
      </c>
      <c r="BA10" s="1069">
        <f>AZ10*BA52/(BA52+BB52)</f>
        <v>3604.3842874601237</v>
      </c>
      <c r="BB10" s="2738">
        <f>SUM(AZ10-BA10)</f>
        <v>17.455712539876458</v>
      </c>
      <c r="BC10" s="1110">
        <f>SUM(Аморт!U21)</f>
        <v>3759.1</v>
      </c>
      <c r="BD10" s="2223">
        <f t="shared" ref="BD10:BD59" si="28">SUM(BC10/AL10)</f>
        <v>1</v>
      </c>
      <c r="BE10" s="1069">
        <f>BC10*BE52/(BE52+BF52)</f>
        <v>3739.0234081768058</v>
      </c>
      <c r="BF10" s="1107">
        <f>SUM(BC10-BE10)</f>
        <v>20.076591823194121</v>
      </c>
      <c r="BG10" s="1110">
        <f>SUM(Аморт!V21)</f>
        <v>3644.5466666666666</v>
      </c>
      <c r="BH10" s="2223">
        <f t="shared" ref="BH10:BH59" si="29">SUM(BG10/AL10)</f>
        <v>0.96952639372899541</v>
      </c>
      <c r="BI10" s="1069">
        <f>BG10*BI52/(BI52+BJ52)</f>
        <v>3625.0818809979564</v>
      </c>
      <c r="BJ10" s="1107">
        <f>SUM(BG10-BI10)</f>
        <v>19.464785668710192</v>
      </c>
      <c r="BK10" s="1990" t="s">
        <v>981</v>
      </c>
      <c r="BL10" s="3397">
        <f>SUM(Аморт!AB21)</f>
        <v>1784.48</v>
      </c>
      <c r="BM10" s="3398">
        <f>BL10*BM52/(BM52+BN52)</f>
        <v>1783.040713721359</v>
      </c>
      <c r="BN10" s="3399">
        <f>SUM(BL10-BM10)</f>
        <v>1.4392862786410205</v>
      </c>
      <c r="BO10" s="3397">
        <f>SUM(Аморт!AC21)</f>
        <v>2673.44</v>
      </c>
      <c r="BP10" s="3398">
        <f>BO10*BP52/(BP52+BQ52)</f>
        <v>2671.4883136350536</v>
      </c>
      <c r="BQ10" s="3399">
        <f>SUM(BO10-BP10)</f>
        <v>1.951686364946454</v>
      </c>
      <c r="BR10" s="3397">
        <f>SUM(Аморт!AD21)</f>
        <v>3564.5866666666666</v>
      </c>
      <c r="BS10" s="3398">
        <f>BR10*BS52/(BS52+BT52)</f>
        <v>3561.9792959367114</v>
      </c>
      <c r="BT10" s="3399">
        <f>SUM(BR10-BS10)</f>
        <v>2.6073707299551643</v>
      </c>
      <c r="BU10" s="2941">
        <f>SUM(Аморт!AE21)</f>
        <v>3621.84</v>
      </c>
      <c r="BV10" s="3379">
        <f t="shared" ref="BV10:BV59" si="30">SUM(BU10/BG10)</f>
        <v>0.99376968694780521</v>
      </c>
      <c r="BW10" s="2942">
        <f>BU10*BW52/(BW52+BX52)</f>
        <v>3604.634109263658</v>
      </c>
      <c r="BX10" s="2784">
        <f>SUM(BU10-BW10)</f>
        <v>17.205890736342099</v>
      </c>
      <c r="BY10" s="2941">
        <f>SUM(Аморт!AF21)</f>
        <v>3621.84</v>
      </c>
      <c r="BZ10" s="3379">
        <f t="shared" si="9"/>
        <v>0.99376968694780521</v>
      </c>
      <c r="CA10" s="2942">
        <f>BY10*CA52/(CA52+CB52)</f>
        <v>3602.4007919081046</v>
      </c>
      <c r="CB10" s="2784">
        <f>SUM(BY10-CA10)</f>
        <v>19.43920809189558</v>
      </c>
      <c r="CC10" s="1990"/>
    </row>
    <row r="11" spans="1:81" ht="21" customHeight="1">
      <c r="A11" s="1231" t="s">
        <v>219</v>
      </c>
      <c r="B11" s="1333"/>
      <c r="C11" s="17"/>
      <c r="D11" s="31"/>
      <c r="E11" s="17"/>
      <c r="F11" s="31"/>
      <c r="G11" s="17"/>
      <c r="H11" s="31"/>
      <c r="I11" s="142"/>
      <c r="J11" s="142"/>
      <c r="K11" s="142">
        <v>9.1999999999999993</v>
      </c>
      <c r="L11" s="142">
        <v>9.1999999999999993</v>
      </c>
      <c r="M11" s="162"/>
      <c r="N11" s="162"/>
      <c r="O11" s="142"/>
      <c r="P11" s="162"/>
      <c r="Q11" s="237"/>
      <c r="R11" s="162"/>
      <c r="S11" s="162">
        <f t="shared" si="25"/>
        <v>0</v>
      </c>
      <c r="T11" s="142"/>
      <c r="U11" s="142">
        <f t="shared" si="26"/>
        <v>0</v>
      </c>
      <c r="V11" s="142">
        <v>0</v>
      </c>
      <c r="W11" s="142">
        <v>0</v>
      </c>
      <c r="X11" s="1348">
        <v>0</v>
      </c>
      <c r="Y11" s="1356"/>
      <c r="Z11" s="1360"/>
      <c r="AA11" s="1110"/>
      <c r="AB11" s="1362"/>
      <c r="AC11" s="1069">
        <f t="shared" si="17"/>
        <v>0</v>
      </c>
      <c r="AD11" s="1107">
        <f t="shared" si="27"/>
        <v>0</v>
      </c>
      <c r="AE11" s="1110">
        <f>SUM(AF11:AG11)</f>
        <v>0</v>
      </c>
      <c r="AF11" s="1069">
        <v>0</v>
      </c>
      <c r="AG11" s="1107">
        <v>0</v>
      </c>
      <c r="AH11" s="1327">
        <v>0</v>
      </c>
      <c r="AI11" s="1324"/>
      <c r="AJ11" s="1069">
        <v>0</v>
      </c>
      <c r="AK11" s="1107">
        <v>0</v>
      </c>
      <c r="AL11" s="1327">
        <v>0</v>
      </c>
      <c r="AM11" s="1324"/>
      <c r="AN11" s="1069">
        <v>0</v>
      </c>
      <c r="AO11" s="1107">
        <v>0</v>
      </c>
      <c r="AP11" s="1388">
        <f t="shared" si="22"/>
        <v>0</v>
      </c>
      <c r="AQ11" s="1389"/>
      <c r="AR11" s="1389"/>
      <c r="AS11" s="1390">
        <f t="shared" si="2"/>
        <v>0</v>
      </c>
      <c r="AT11" s="1110">
        <v>0</v>
      </c>
      <c r="AU11" s="1069">
        <v>0</v>
      </c>
      <c r="AV11" s="1107">
        <v>0</v>
      </c>
      <c r="AW11" s="1110">
        <v>0</v>
      </c>
      <c r="AX11" s="1069">
        <v>0</v>
      </c>
      <c r="AY11" s="2738">
        <v>0</v>
      </c>
      <c r="AZ11" s="1110">
        <v>0</v>
      </c>
      <c r="BA11" s="1069">
        <v>0</v>
      </c>
      <c r="BB11" s="2738">
        <v>0</v>
      </c>
      <c r="BC11" s="1327">
        <v>0</v>
      </c>
      <c r="BD11" s="2223"/>
      <c r="BE11" s="1069">
        <v>0</v>
      </c>
      <c r="BF11" s="1107">
        <v>0</v>
      </c>
      <c r="BG11" s="1327">
        <v>0</v>
      </c>
      <c r="BH11" s="2223"/>
      <c r="BI11" s="1069">
        <v>0</v>
      </c>
      <c r="BJ11" s="1107">
        <v>0</v>
      </c>
      <c r="BK11" s="1991"/>
      <c r="BL11" s="3397">
        <v>0</v>
      </c>
      <c r="BM11" s="3398">
        <v>0</v>
      </c>
      <c r="BN11" s="3399">
        <v>0</v>
      </c>
      <c r="BO11" s="3397">
        <v>0</v>
      </c>
      <c r="BP11" s="3398">
        <v>0</v>
      </c>
      <c r="BQ11" s="3399">
        <v>0</v>
      </c>
      <c r="BR11" s="3397">
        <v>0</v>
      </c>
      <c r="BS11" s="3398">
        <v>0</v>
      </c>
      <c r="BT11" s="3399">
        <v>0</v>
      </c>
      <c r="BU11" s="3366">
        <v>0</v>
      </c>
      <c r="BV11" s="3379"/>
      <c r="BW11" s="2942">
        <v>0</v>
      </c>
      <c r="BX11" s="2784">
        <v>0</v>
      </c>
      <c r="BY11" s="3366">
        <v>0</v>
      </c>
      <c r="BZ11" s="3379"/>
      <c r="CA11" s="2942">
        <v>0</v>
      </c>
      <c r="CB11" s="2784">
        <v>0</v>
      </c>
      <c r="CC11" s="1991"/>
    </row>
    <row r="12" spans="1:81" ht="21" customHeight="1">
      <c r="A12" s="1231" t="s">
        <v>3</v>
      </c>
      <c r="B12" s="1333">
        <v>430.7</v>
      </c>
      <c r="C12" s="17">
        <v>299.2</v>
      </c>
      <c r="D12" s="31">
        <f t="shared" si="10"/>
        <v>69.468307406547481</v>
      </c>
      <c r="E12" s="17">
        <v>196.7</v>
      </c>
      <c r="F12" s="31">
        <f t="shared" si="11"/>
        <v>65.741978609625662</v>
      </c>
      <c r="G12" s="17">
        <v>430.7</v>
      </c>
      <c r="H12" s="31">
        <f t="shared" si="12"/>
        <v>218.96288764616165</v>
      </c>
      <c r="I12" s="142">
        <v>477.1</v>
      </c>
      <c r="J12" s="142">
        <v>283.5</v>
      </c>
      <c r="K12" s="142">
        <v>89</v>
      </c>
      <c r="L12" s="142">
        <v>94.7</v>
      </c>
      <c r="M12" s="162">
        <f t="shared" si="13"/>
        <v>19.849088241458812</v>
      </c>
      <c r="N12" s="162">
        <f t="shared" si="14"/>
        <v>21.987462270722084</v>
      </c>
      <c r="O12" s="142">
        <v>524.79999999999995</v>
      </c>
      <c r="P12" s="162">
        <f t="shared" si="15"/>
        <v>109.99790400335358</v>
      </c>
      <c r="Q12" s="237">
        <v>124.5</v>
      </c>
      <c r="R12" s="162">
        <f t="shared" si="24"/>
        <v>26.095158247746802</v>
      </c>
      <c r="S12" s="162">
        <f t="shared" si="25"/>
        <v>131.46779303062303</v>
      </c>
      <c r="T12" s="142" t="e">
        <f>Q12/Q52*T52</f>
        <v>#REF!</v>
      </c>
      <c r="U12" s="142" t="e">
        <f t="shared" si="26"/>
        <v>#REF!</v>
      </c>
      <c r="V12" s="142">
        <v>9.9</v>
      </c>
      <c r="W12" s="142">
        <v>20</v>
      </c>
      <c r="X12" s="1348">
        <v>0</v>
      </c>
      <c r="Y12" s="1356">
        <v>478</v>
      </c>
      <c r="Z12" s="1360">
        <f t="shared" si="16"/>
        <v>3.8393574297188753</v>
      </c>
      <c r="AA12" s="1110">
        <v>0</v>
      </c>
      <c r="AB12" s="1362">
        <f t="shared" si="1"/>
        <v>0</v>
      </c>
      <c r="AC12" s="1069">
        <f t="shared" si="17"/>
        <v>0</v>
      </c>
      <c r="AD12" s="1107">
        <f t="shared" si="27"/>
        <v>0</v>
      </c>
      <c r="AE12" s="1110">
        <f>SUM(AF12:AG12)</f>
        <v>84.7</v>
      </c>
      <c r="AF12" s="1069">
        <v>84.7</v>
      </c>
      <c r="AG12" s="1107">
        <v>0</v>
      </c>
      <c r="AH12" s="1327">
        <f t="shared" si="18"/>
        <v>278</v>
      </c>
      <c r="AI12" s="1324"/>
      <c r="AJ12" s="1069">
        <v>278</v>
      </c>
      <c r="AK12" s="1107">
        <v>0</v>
      </c>
      <c r="AL12" s="1327">
        <f t="shared" si="20"/>
        <v>0</v>
      </c>
      <c r="AM12" s="1324"/>
      <c r="AN12" s="1069">
        <v>0</v>
      </c>
      <c r="AO12" s="1107">
        <v>0</v>
      </c>
      <c r="AP12" s="1388">
        <f t="shared" si="22"/>
        <v>-478</v>
      </c>
      <c r="AQ12" s="1389">
        <f>AP12</f>
        <v>-478</v>
      </c>
      <c r="AR12" s="1389">
        <f t="shared" si="23"/>
        <v>0</v>
      </c>
      <c r="AS12" s="1390">
        <f t="shared" si="2"/>
        <v>-478</v>
      </c>
      <c r="AT12" s="1110">
        <f>SUM(AU12:AV12)</f>
        <v>20.11</v>
      </c>
      <c r="AU12" s="1069">
        <v>20.11</v>
      </c>
      <c r="AV12" s="1107">
        <v>0</v>
      </c>
      <c r="AW12" s="1110">
        <f>SUM(AX12:AY12)</f>
        <v>20.11</v>
      </c>
      <c r="AX12" s="1069">
        <v>20.11</v>
      </c>
      <c r="AY12" s="2738">
        <v>0</v>
      </c>
      <c r="AZ12" s="1110">
        <f>SUM(BA12:BB12)</f>
        <v>50.2</v>
      </c>
      <c r="BA12" s="1069">
        <v>50.2</v>
      </c>
      <c r="BB12" s="2738">
        <v>0</v>
      </c>
      <c r="BC12" s="1327">
        <f>SUM(BE12:BF12)</f>
        <v>84.7</v>
      </c>
      <c r="BD12" s="2223"/>
      <c r="BE12" s="1069">
        <f>SUM(AF12)</f>
        <v>84.7</v>
      </c>
      <c r="BF12" s="1107">
        <v>0</v>
      </c>
      <c r="BG12" s="1327">
        <f>SUM(BI12:BJ12)</f>
        <v>0</v>
      </c>
      <c r="BH12" s="2223"/>
      <c r="BI12" s="1069">
        <v>0</v>
      </c>
      <c r="BJ12" s="1107">
        <v>0</v>
      </c>
      <c r="BK12" s="1990" t="s">
        <v>1522</v>
      </c>
      <c r="BL12" s="3397">
        <f>SUM(BM12:BN12)</f>
        <v>43.6</v>
      </c>
      <c r="BM12" s="3398">
        <v>43.6</v>
      </c>
      <c r="BN12" s="3399">
        <v>0</v>
      </c>
      <c r="BO12" s="3397">
        <f>SUM(BP12:BQ12)</f>
        <v>45.07</v>
      </c>
      <c r="BP12" s="3398">
        <v>45.07</v>
      </c>
      <c r="BQ12" s="3399">
        <v>0</v>
      </c>
      <c r="BR12" s="3397">
        <f>SUM(BS12:BT12)</f>
        <v>60.09</v>
      </c>
      <c r="BS12" s="3398">
        <v>60.09</v>
      </c>
      <c r="BT12" s="3399">
        <v>0</v>
      </c>
      <c r="BU12" s="3366">
        <f>SUM(AZ12/2)</f>
        <v>25.1</v>
      </c>
      <c r="BV12" s="3379"/>
      <c r="BW12" s="2942">
        <f>SUM(BU12)</f>
        <v>25.1</v>
      </c>
      <c r="BX12" s="2784">
        <v>0</v>
      </c>
      <c r="BY12" s="3366">
        <f>BG12*(1-0.01)*(1+0.071)*(1+0)</f>
        <v>0</v>
      </c>
      <c r="BZ12" s="3379"/>
      <c r="CA12" s="2942">
        <v>0</v>
      </c>
      <c r="CB12" s="2784">
        <v>0</v>
      </c>
      <c r="CC12" s="1990"/>
    </row>
    <row r="13" spans="1:81" ht="21" customHeight="1">
      <c r="A13" s="1231" t="s">
        <v>4</v>
      </c>
      <c r="B13" s="1333">
        <v>3660.5</v>
      </c>
      <c r="C13" s="17">
        <v>4691.6000000000004</v>
      </c>
      <c r="D13" s="31">
        <f t="shared" si="10"/>
        <v>128.16828302144515</v>
      </c>
      <c r="E13" s="17">
        <v>5232.7</v>
      </c>
      <c r="F13" s="31">
        <f t="shared" si="11"/>
        <v>111.53337880467218</v>
      </c>
      <c r="G13" s="17">
        <v>5489.3</v>
      </c>
      <c r="H13" s="31">
        <f t="shared" si="12"/>
        <v>104.90377816423644</v>
      </c>
      <c r="I13" s="142">
        <v>5688.7</v>
      </c>
      <c r="J13" s="142">
        <v>2902.6</v>
      </c>
      <c r="K13" s="142">
        <v>3448.6</v>
      </c>
      <c r="L13" s="142">
        <v>4913.3999999999996</v>
      </c>
      <c r="M13" s="162">
        <f t="shared" si="13"/>
        <v>86.371227169652116</v>
      </c>
      <c r="N13" s="162">
        <f t="shared" si="14"/>
        <v>89.508680523928362</v>
      </c>
      <c r="O13" s="142">
        <v>6949</v>
      </c>
      <c r="P13" s="162">
        <f t="shared" si="15"/>
        <v>122.15444653435759</v>
      </c>
      <c r="Q13" s="237">
        <f>ЗП!AP9</f>
        <v>6092.5977000000012</v>
      </c>
      <c r="R13" s="162">
        <f t="shared" si="24"/>
        <v>107.10000000000002</v>
      </c>
      <c r="S13" s="162">
        <f t="shared" si="25"/>
        <v>123.99962754915133</v>
      </c>
      <c r="T13" s="142" t="e">
        <f>Q13/Q52*T52</f>
        <v>#REF!</v>
      </c>
      <c r="U13" s="142" t="e">
        <f t="shared" si="26"/>
        <v>#REF!</v>
      </c>
      <c r="V13" s="142">
        <v>4239.5</v>
      </c>
      <c r="W13" s="142">
        <f>5586.1*(объемы!$AB$9-объемы!$AB$18)/объемы!$AB$9</f>
        <v>5553.306426994398</v>
      </c>
      <c r="X13" s="1348">
        <f>5586.1-W13</f>
        <v>32.793573005602411</v>
      </c>
      <c r="Y13" s="1356">
        <v>7172.3</v>
      </c>
      <c r="Z13" s="1360">
        <f t="shared" si="16"/>
        <v>1.1772154265166725</v>
      </c>
      <c r="AA13" s="1110">
        <f>ЗП!U25</f>
        <v>6433.7831712000025</v>
      </c>
      <c r="AB13" s="1362">
        <f t="shared" si="1"/>
        <v>1.0560000000000003</v>
      </c>
      <c r="AC13" s="1069">
        <f t="shared" si="17"/>
        <v>6360.7477766303364</v>
      </c>
      <c r="AD13" s="1107">
        <f t="shared" si="27"/>
        <v>73.035394569666096</v>
      </c>
      <c r="AE13" s="1110">
        <f>SUM(ЗП!AS25)</f>
        <v>6293.5</v>
      </c>
      <c r="AF13" s="1069">
        <f>AE13*AF52/(AF52+AG52)</f>
        <v>6215.902500618965</v>
      </c>
      <c r="AG13" s="1107">
        <f>SUM(AE13-AF13)</f>
        <v>77.59749938103505</v>
      </c>
      <c r="AH13" s="1327">
        <f t="shared" si="18"/>
        <v>6900.59</v>
      </c>
      <c r="AI13" s="1324">
        <f t="shared" si="19"/>
        <v>1.0725555736614809</v>
      </c>
      <c r="AJ13" s="1069">
        <v>6822.04</v>
      </c>
      <c r="AK13" s="1107">
        <v>78.55</v>
      </c>
      <c r="AL13" s="1327">
        <f t="shared" si="20"/>
        <v>5622.7018867924526</v>
      </c>
      <c r="AM13" s="1324">
        <f t="shared" si="21"/>
        <v>0.87393400386288267</v>
      </c>
      <c r="AN13" s="1069">
        <f>ЗП!BB25*AN52/(AN52+AO52)</f>
        <v>5558.6965472312695</v>
      </c>
      <c r="AO13" s="1107">
        <f>-AN13+ЗП!BB25</f>
        <v>64.005339561183064</v>
      </c>
      <c r="AP13" s="1388">
        <f t="shared" si="22"/>
        <v>-738.51682879999771</v>
      </c>
      <c r="AQ13" s="1389">
        <f t="shared" ref="AQ13:AQ20" si="31">AP13*AC13/AA13</f>
        <v>-730.13329044433897</v>
      </c>
      <c r="AR13" s="1389">
        <f t="shared" si="23"/>
        <v>-8.3835383556587431</v>
      </c>
      <c r="AS13" s="1390">
        <f t="shared" si="2"/>
        <v>-738.51682879999771</v>
      </c>
      <c r="AT13" s="1110">
        <f>SUM(ЗП!BG25)</f>
        <v>3051.5</v>
      </c>
      <c r="AU13" s="1069">
        <f>AT13*AU52/(AU52+AV52)</f>
        <v>3030.4972519191351</v>
      </c>
      <c r="AV13" s="1107">
        <f>SUM(AT13-AU13)</f>
        <v>21.002748080864876</v>
      </c>
      <c r="AW13" s="1110">
        <v>4675.2299999999996</v>
      </c>
      <c r="AX13" s="1069">
        <f>AW13*AX52/(AX52+AY52)</f>
        <v>4646.4720522916105</v>
      </c>
      <c r="AY13" s="2738">
        <f>SUM(AW13-AX13)</f>
        <v>28.757947708389111</v>
      </c>
      <c r="AZ13" s="1110">
        <v>6226.66</v>
      </c>
      <c r="BA13" s="1069">
        <f>AZ13*BA52/(BA52+BB52)</f>
        <v>6196.6501743192557</v>
      </c>
      <c r="BB13" s="2738">
        <f>SUM(AZ13-BA13)</f>
        <v>30.009825680744143</v>
      </c>
      <c r="BC13" s="1110">
        <v>7590.65</v>
      </c>
      <c r="BD13" s="2223">
        <f t="shared" si="28"/>
        <v>1.3500004362369262</v>
      </c>
      <c r="BE13" s="1069">
        <f>BC13*BE52/(BE52+BF52)</f>
        <v>7550.109875575874</v>
      </c>
      <c r="BF13" s="1107">
        <f>SUM(BC13-BE13)</f>
        <v>40.540124424125679</v>
      </c>
      <c r="BG13" s="1110">
        <f>SUM(ЗП!BW25)</f>
        <v>6975.4151999999985</v>
      </c>
      <c r="BH13" s="2223">
        <f t="shared" si="29"/>
        <v>1.2405806568520068</v>
      </c>
      <c r="BI13" s="1069">
        <f>BG13*BI52/(BI52+BJ52)</f>
        <v>6938.1609200479606</v>
      </c>
      <c r="BJ13" s="1107">
        <f>SUM(BG13-BI13)</f>
        <v>37.254279952037905</v>
      </c>
      <c r="BK13" s="1990" t="s">
        <v>981</v>
      </c>
      <c r="BL13" s="3397">
        <f>SUM(ЗП!CB25)</f>
        <v>3331.41</v>
      </c>
      <c r="BM13" s="3398">
        <f>BL13*BM52/(BM52+BN52)</f>
        <v>3328.7230252501972</v>
      </c>
      <c r="BN13" s="3399">
        <f>SUM(BL13-BM13)</f>
        <v>2.68697474980263</v>
      </c>
      <c r="BO13" s="3397">
        <f>SUM(ЗП!CF25)</f>
        <v>5158.3900000000003</v>
      </c>
      <c r="BP13" s="3398">
        <f>BO13*BP52/(BP52+BQ52)</f>
        <v>5154.6242302695864</v>
      </c>
      <c r="BQ13" s="3399">
        <f>SUM(BO13-BP13)</f>
        <v>3.7657697304139219</v>
      </c>
      <c r="BR13" s="3397">
        <f>SUM(ЗП!CJ25)</f>
        <v>6985.3700000000008</v>
      </c>
      <c r="BS13" s="3398">
        <f>BR13*BS52/(BS52+BT52)</f>
        <v>6980.260445659178</v>
      </c>
      <c r="BT13" s="3399">
        <f>SUM(BR13-BS13)</f>
        <v>5.1095543408227968</v>
      </c>
      <c r="BU13" s="2941">
        <f>SUM(ЗП!CN25)</f>
        <v>7672.9567199999992</v>
      </c>
      <c r="BV13" s="3379">
        <f t="shared" si="30"/>
        <v>1.1000000000000001</v>
      </c>
      <c r="BW13" s="2942">
        <f>BU13*BW52/(BW52+BX52)</f>
        <v>7636.5056191923977</v>
      </c>
      <c r="BX13" s="2784">
        <f>SUM(BU13-BW13)</f>
        <v>36.451100807601506</v>
      </c>
      <c r="BY13" s="2941">
        <f>SUM(ЗП!CR25)</f>
        <v>7395.9629824079975</v>
      </c>
      <c r="BZ13" s="3379">
        <f t="shared" ref="BZ13:BZ20" si="32">SUM(BY13/BG13)</f>
        <v>1.06029</v>
      </c>
      <c r="CA13" s="2942">
        <f>BY13*CA52/(CA52+CB52)</f>
        <v>7356.2672301232506</v>
      </c>
      <c r="CB13" s="2784">
        <f>SUM(BY13-CA13)</f>
        <v>39.695752284746959</v>
      </c>
      <c r="CC13" s="1990"/>
    </row>
    <row r="14" spans="1:81" ht="21" customHeight="1">
      <c r="A14" s="1231" t="s">
        <v>5</v>
      </c>
      <c r="B14" s="1333">
        <v>941.4</v>
      </c>
      <c r="C14" s="17">
        <v>1188.5999999999999</v>
      </c>
      <c r="D14" s="31">
        <f t="shared" si="10"/>
        <v>126.25876354365838</v>
      </c>
      <c r="E14" s="17">
        <v>1266.7</v>
      </c>
      <c r="F14" s="31">
        <f t="shared" si="11"/>
        <v>106.57075551068485</v>
      </c>
      <c r="G14" s="17">
        <v>1763.9</v>
      </c>
      <c r="H14" s="31">
        <f t="shared" si="12"/>
        <v>139.251598642141</v>
      </c>
      <c r="I14" s="142">
        <f>I13*30.3/100</f>
        <v>1723.6760999999999</v>
      </c>
      <c r="J14" s="142">
        <v>893.7</v>
      </c>
      <c r="K14" s="142">
        <v>1027.5999999999999</v>
      </c>
      <c r="L14" s="142">
        <v>1463.3</v>
      </c>
      <c r="M14" s="162">
        <f t="shared" si="13"/>
        <v>84.894139914105665</v>
      </c>
      <c r="N14" s="162">
        <f t="shared" si="14"/>
        <v>82.958217586030941</v>
      </c>
      <c r="O14" s="142">
        <v>2098.6</v>
      </c>
      <c r="P14" s="162">
        <f t="shared" si="15"/>
        <v>121.75141257687568</v>
      </c>
      <c r="Q14" s="237">
        <f>Q13*0.302</f>
        <v>1839.9645054000002</v>
      </c>
      <c r="R14" s="162">
        <f t="shared" si="24"/>
        <v>106.74653465346537</v>
      </c>
      <c r="S14" s="162">
        <f t="shared" si="25"/>
        <v>125.74075756167569</v>
      </c>
      <c r="T14" s="142" t="e">
        <f>Q14/Q52*T52</f>
        <v>#REF!</v>
      </c>
      <c r="U14" s="142" t="e">
        <f t="shared" si="26"/>
        <v>#REF!</v>
      </c>
      <c r="V14" s="142">
        <v>1271.0999999999999</v>
      </c>
      <c r="W14" s="142"/>
      <c r="X14" s="1348"/>
      <c r="Y14" s="1356">
        <v>2166</v>
      </c>
      <c r="Z14" s="1360">
        <f t="shared" si="16"/>
        <v>1.1771966218060934</v>
      </c>
      <c r="AA14" s="1110">
        <f>AA13*V15</f>
        <v>1928.9967658715232</v>
      </c>
      <c r="AB14" s="1362">
        <f t="shared" si="1"/>
        <v>1.0483880315137752</v>
      </c>
      <c r="AC14" s="1069">
        <f t="shared" si="17"/>
        <v>1907.0990680209504</v>
      </c>
      <c r="AD14" s="1107">
        <f t="shared" si="27"/>
        <v>21.89769785057274</v>
      </c>
      <c r="AE14" s="1110">
        <v>1885.2</v>
      </c>
      <c r="AF14" s="1069">
        <f>AE14*AF52/(AF52+AG52)</f>
        <v>1861.9558900718</v>
      </c>
      <c r="AG14" s="1107">
        <f>SUM(AE14-AF14)</f>
        <v>23.244109928200032</v>
      </c>
      <c r="AH14" s="1327">
        <f t="shared" si="18"/>
        <v>2077.0699999999997</v>
      </c>
      <c r="AI14" s="1324">
        <f t="shared" si="19"/>
        <v>1.0767617845442976</v>
      </c>
      <c r="AJ14" s="1069">
        <v>2053.4299999999998</v>
      </c>
      <c r="AK14" s="1107">
        <v>23.64</v>
      </c>
      <c r="AL14" s="1327">
        <f t="shared" si="20"/>
        <v>1685.815867036652</v>
      </c>
      <c r="AM14" s="1324">
        <f t="shared" si="21"/>
        <v>0.87393400386288267</v>
      </c>
      <c r="AN14" s="1069">
        <f>AN13*AA15</f>
        <v>1666.6255882027754</v>
      </c>
      <c r="AO14" s="1107">
        <f>AO13*AA15</f>
        <v>19.190278833876587</v>
      </c>
      <c r="AP14" s="1388">
        <f t="shared" si="22"/>
        <v>-237.00323412847683</v>
      </c>
      <c r="AQ14" s="1389">
        <f t="shared" si="31"/>
        <v>-234.3128070098968</v>
      </c>
      <c r="AR14" s="1389">
        <f t="shared" si="23"/>
        <v>-2.6904271185800326</v>
      </c>
      <c r="AS14" s="1390">
        <f t="shared" si="2"/>
        <v>-237.00323412847683</v>
      </c>
      <c r="AT14" s="1110">
        <v>916.4</v>
      </c>
      <c r="AU14" s="1069">
        <v>910.09</v>
      </c>
      <c r="AV14" s="1107">
        <f>AT14-AU14</f>
        <v>6.3099999999999454</v>
      </c>
      <c r="AW14" s="1110">
        <v>1405.56</v>
      </c>
      <c r="AX14" s="1069">
        <f>AW14*AX52/(AX52+AY52)</f>
        <v>1396.9142176575263</v>
      </c>
      <c r="AY14" s="2738">
        <f>AW14-AX14</f>
        <v>8.6457823424736944</v>
      </c>
      <c r="AZ14" s="1110">
        <v>1871.76</v>
      </c>
      <c r="BA14" s="1069">
        <f>AZ14*BA52/(BA52+BB52)</f>
        <v>1862.7389210722617</v>
      </c>
      <c r="BB14" s="2738">
        <f>AZ14-BA14</f>
        <v>9.0210789277382446</v>
      </c>
      <c r="BC14" s="1327">
        <f t="shared" ref="BC14" si="33">SUM(BE14+BF14)</f>
        <v>2284.7773009988996</v>
      </c>
      <c r="BD14" s="2223">
        <f t="shared" si="28"/>
        <v>1.3552946947967155</v>
      </c>
      <c r="BE14" s="1069">
        <f>SUM(BE13*AH15)</f>
        <v>2272.5747681375619</v>
      </c>
      <c r="BF14" s="1107">
        <f>SUM(BF13*AH15)</f>
        <v>12.202532861337756</v>
      </c>
      <c r="BG14" s="1327">
        <f t="shared" ref="BG14" si="34">SUM(BI14+BJ14)</f>
        <v>2099.5923028993166</v>
      </c>
      <c r="BH14" s="2223">
        <f t="shared" si="29"/>
        <v>1.2454458069551841</v>
      </c>
      <c r="BI14" s="1069">
        <f>SUM(BI13*BC15)</f>
        <v>2088.3788056099575</v>
      </c>
      <c r="BJ14" s="1107">
        <f>SUM(BJ13*BC15)</f>
        <v>11.213497289359223</v>
      </c>
      <c r="BK14" s="1990" t="s">
        <v>250</v>
      </c>
      <c r="BL14" s="3397">
        <v>1004.66</v>
      </c>
      <c r="BM14" s="3398">
        <f>BL14*BM52/(BM52+BN52)</f>
        <v>1003.8496836318145</v>
      </c>
      <c r="BN14" s="3399">
        <f>BL14-BM14</f>
        <v>0.81031636818545394</v>
      </c>
      <c r="BO14" s="3397">
        <v>1556.35</v>
      </c>
      <c r="BP14" s="3398">
        <f>BO14*BP52/(BP52+BQ52)</f>
        <v>1555.2138207425321</v>
      </c>
      <c r="BQ14" s="3399">
        <f>BO14-BP14</f>
        <v>1.136179257467802</v>
      </c>
      <c r="BR14" s="3397">
        <v>2107.4899999999998</v>
      </c>
      <c r="BS14" s="3398">
        <f>BR14*BS52/(BS52+BT52)</f>
        <v>2105.9484446238721</v>
      </c>
      <c r="BT14" s="3399">
        <f>BR14-BS14</f>
        <v>1.5415553761276897</v>
      </c>
      <c r="BU14" s="3366">
        <f t="shared" ref="BU14" si="35">SUM(BW14+BX14)</f>
        <v>2309.5599727199997</v>
      </c>
      <c r="BV14" s="3379">
        <f t="shared" si="30"/>
        <v>1.1000040196045393</v>
      </c>
      <c r="BW14" s="2942">
        <f>SUM(BW13*BW15)</f>
        <v>2298.5881913769117</v>
      </c>
      <c r="BX14" s="2784">
        <f>SUM(BX13*BX15)</f>
        <v>10.971781343088052</v>
      </c>
      <c r="BY14" s="3366">
        <f t="shared" ref="BY14" si="36">SUM(CA14+CB14)</f>
        <v>2226.1848577048072</v>
      </c>
      <c r="BZ14" s="3379">
        <f t="shared" si="32"/>
        <v>1.0602938744968151</v>
      </c>
      <c r="CA14" s="2942">
        <f>SUM(CA13*BU15)</f>
        <v>2214.2364362670983</v>
      </c>
      <c r="CB14" s="2784">
        <f>SUM(CB13*BU15)</f>
        <v>11.948421437708834</v>
      </c>
      <c r="CC14" s="1990"/>
    </row>
    <row r="15" spans="1:81" s="191" customFormat="1" ht="21" customHeight="1">
      <c r="A15" s="1232" t="s">
        <v>322</v>
      </c>
      <c r="B15" s="1334"/>
      <c r="C15" s="31"/>
      <c r="D15" s="31"/>
      <c r="E15" s="190">
        <f t="shared" ref="E15:K15" si="37">E14/E13</f>
        <v>0.24207388155254458</v>
      </c>
      <c r="F15" s="190">
        <f t="shared" si="37"/>
        <v>0.95550548770984201</v>
      </c>
      <c r="G15" s="190">
        <f t="shared" si="37"/>
        <v>0.32133423205144557</v>
      </c>
      <c r="H15" s="190"/>
      <c r="I15" s="190">
        <f t="shared" si="37"/>
        <v>0.30299999999999999</v>
      </c>
      <c r="J15" s="190">
        <f t="shared" si="37"/>
        <v>0.30789636877282439</v>
      </c>
      <c r="K15" s="190">
        <f t="shared" si="37"/>
        <v>0.29797599025691585</v>
      </c>
      <c r="L15" s="190">
        <f>L14/L13</f>
        <v>0.29781821142182602</v>
      </c>
      <c r="M15" s="162"/>
      <c r="N15" s="162"/>
      <c r="O15" s="162"/>
      <c r="P15" s="162"/>
      <c r="Q15" s="244">
        <f>Q14/Q13</f>
        <v>0.30199999999999999</v>
      </c>
      <c r="R15" s="162"/>
      <c r="S15" s="162"/>
      <c r="T15" s="162"/>
      <c r="U15" s="162"/>
      <c r="V15" s="190">
        <f>V14/V13</f>
        <v>0.29982309234579546</v>
      </c>
      <c r="W15" s="190"/>
      <c r="X15" s="1349"/>
      <c r="Y15" s="1357">
        <f>Y14/Y13</f>
        <v>0.30199517588500202</v>
      </c>
      <c r="Z15" s="1360">
        <f t="shared" si="16"/>
        <v>0.99998402610927828</v>
      </c>
      <c r="AA15" s="1108">
        <f>AA14/AA13</f>
        <v>0.29982309234579546</v>
      </c>
      <c r="AB15" s="1362"/>
      <c r="AC15" s="1174"/>
      <c r="AD15" s="1363"/>
      <c r="AE15" s="1108">
        <f>AE14/AE13</f>
        <v>0.29954715182330977</v>
      </c>
      <c r="AF15" s="1070">
        <f>AF14/AF13</f>
        <v>0.29954715182330977</v>
      </c>
      <c r="AG15" s="1109">
        <f>AG14/AG13</f>
        <v>0.29954715182330899</v>
      </c>
      <c r="AH15" s="1108">
        <f>SUM(AH14/AH13)</f>
        <v>0.30099890009404989</v>
      </c>
      <c r="AI15" s="1324"/>
      <c r="AJ15" s="1070">
        <f>SUM(AJ14/AJ13)</f>
        <v>0.30099940780177187</v>
      </c>
      <c r="AK15" s="1109">
        <f>SUM(AK14/AK13)</f>
        <v>0.30095480585614259</v>
      </c>
      <c r="AL15" s="1108">
        <f>SUM(AL14/AL13)</f>
        <v>0.29982309234579546</v>
      </c>
      <c r="AM15" s="1324">
        <f t="shared" si="21"/>
        <v>1</v>
      </c>
      <c r="AN15" s="1070">
        <f>AN14/AN13</f>
        <v>0.29982309234579546</v>
      </c>
      <c r="AO15" s="1109">
        <f>AO14/AO13</f>
        <v>0.29982309234579546</v>
      </c>
      <c r="AP15" s="1388">
        <f t="shared" si="22"/>
        <v>-2.1720835392065596E-3</v>
      </c>
      <c r="AQ15" s="1389">
        <f t="shared" si="31"/>
        <v>0</v>
      </c>
      <c r="AR15" s="1389">
        <f t="shared" si="23"/>
        <v>-2.1720835392065596E-3</v>
      </c>
      <c r="AS15" s="1390">
        <f t="shared" si="2"/>
        <v>-2.1720835392065596E-3</v>
      </c>
      <c r="AT15" s="1108">
        <f>AT14/AT13</f>
        <v>0.30031132230050794</v>
      </c>
      <c r="AU15" s="1070">
        <f t="shared" ref="AU15:AV15" si="38">AU14/AU13</f>
        <v>0.3003104521621538</v>
      </c>
      <c r="AV15" s="1109">
        <f t="shared" si="38"/>
        <v>0.30043687500822058</v>
      </c>
      <c r="AW15" s="1108">
        <f>AW14/AW13</f>
        <v>0.30063975462169779</v>
      </c>
      <c r="AX15" s="1070">
        <f t="shared" ref="AX15" si="39">AX14/AX13</f>
        <v>0.30063975462169779</v>
      </c>
      <c r="AY15" s="2739">
        <f t="shared" ref="AY15" si="40">AY14/AY13</f>
        <v>0.30063975462169695</v>
      </c>
      <c r="AZ15" s="1108">
        <f>AZ14/AZ13</f>
        <v>0.30060417623573471</v>
      </c>
      <c r="BA15" s="1070">
        <f t="shared" ref="BA15:BB15" si="41">BA14/BA13</f>
        <v>0.30060417623573471</v>
      </c>
      <c r="BB15" s="2739">
        <f t="shared" si="41"/>
        <v>0.30060417623573987</v>
      </c>
      <c r="BC15" s="1108">
        <f>SUM(BC14/BC13)</f>
        <v>0.30099890009404989</v>
      </c>
      <c r="BD15" s="2223">
        <f t="shared" si="28"/>
        <v>1.0039216717400083</v>
      </c>
      <c r="BE15" s="1070">
        <f>SUM(BE14/BE13)</f>
        <v>0.30099890009404989</v>
      </c>
      <c r="BF15" s="1109">
        <f>SUM(BF14/BF13)</f>
        <v>0.30099890009404989</v>
      </c>
      <c r="BG15" s="1108">
        <f>SUM(BG14/BG13)</f>
        <v>0.30099890009404989</v>
      </c>
      <c r="BH15" s="2223">
        <f t="shared" si="29"/>
        <v>1.0039216717400083</v>
      </c>
      <c r="BI15" s="1070">
        <f>SUM(BI14/BI13)</f>
        <v>0.30099890009404989</v>
      </c>
      <c r="BJ15" s="1109">
        <f>SUM(BJ14/BJ13)</f>
        <v>0.30099890009404989</v>
      </c>
      <c r="BK15" s="1992"/>
      <c r="BL15" s="3400">
        <f>BL14/BL13</f>
        <v>0.30157200704806675</v>
      </c>
      <c r="BM15" s="3401">
        <f t="shared" ref="BM15:BN15" si="42">BM14/BM13</f>
        <v>0.30157200704806675</v>
      </c>
      <c r="BN15" s="3402">
        <f t="shared" si="42"/>
        <v>0.30157200704806592</v>
      </c>
      <c r="BO15" s="3400">
        <f>BO14/BO13</f>
        <v>0.30171235598704244</v>
      </c>
      <c r="BP15" s="3401">
        <f t="shared" ref="BP15:BQ15" si="43">BP14/BP13</f>
        <v>0.30171235598704244</v>
      </c>
      <c r="BQ15" s="3402">
        <f t="shared" si="43"/>
        <v>0.30171235598702328</v>
      </c>
      <c r="BR15" s="3400">
        <f>BR14/BR13</f>
        <v>0.30170055415819053</v>
      </c>
      <c r="BS15" s="3401">
        <f t="shared" ref="BS15:BT15" si="44">BS14/BS13</f>
        <v>0.30170055415819053</v>
      </c>
      <c r="BT15" s="3402">
        <f t="shared" si="44"/>
        <v>0.30170055415820307</v>
      </c>
      <c r="BU15" s="2943">
        <v>0.30099999999999999</v>
      </c>
      <c r="BV15" s="3379">
        <f t="shared" si="30"/>
        <v>1.0000036541859447</v>
      </c>
      <c r="BW15" s="2944">
        <v>0.30099999999999999</v>
      </c>
      <c r="BX15" s="2785">
        <v>0.30099999999999999</v>
      </c>
      <c r="BY15" s="2943">
        <f>SUM(BY14/BY13)</f>
        <v>0.30099999999999999</v>
      </c>
      <c r="BZ15" s="3379">
        <f t="shared" si="32"/>
        <v>1.0000036541859447</v>
      </c>
      <c r="CA15" s="2944">
        <f>SUM(CA14/CA13)</f>
        <v>0.30099999999999999</v>
      </c>
      <c r="CB15" s="2785">
        <f>SUM(CB14/CB13)</f>
        <v>0.30099999999999999</v>
      </c>
      <c r="CC15" s="1992"/>
    </row>
    <row r="16" spans="1:81" ht="21" customHeight="1">
      <c r="A16" s="1231" t="s">
        <v>6</v>
      </c>
      <c r="B16" s="1333">
        <v>1425.4</v>
      </c>
      <c r="C16" s="17">
        <v>1648.4</v>
      </c>
      <c r="D16" s="31">
        <f t="shared" si="10"/>
        <v>115.64473130349376</v>
      </c>
      <c r="E16" s="17">
        <v>1717.5</v>
      </c>
      <c r="F16" s="31">
        <f t="shared" si="11"/>
        <v>104.1919437029847</v>
      </c>
      <c r="G16" s="17">
        <v>1471.6</v>
      </c>
      <c r="H16" s="31">
        <f t="shared" si="12"/>
        <v>85.682678311499274</v>
      </c>
      <c r="I16" s="142">
        <v>1679.5</v>
      </c>
      <c r="J16" s="142">
        <v>876.6</v>
      </c>
      <c r="K16" s="142">
        <f>'цех вода'!K47</f>
        <v>1370.1342035638834</v>
      </c>
      <c r="L16" s="142">
        <v>1480.3</v>
      </c>
      <c r="M16" s="162">
        <f t="shared" si="13"/>
        <v>88.139327180708534</v>
      </c>
      <c r="N16" s="162">
        <f t="shared" si="14"/>
        <v>100.59119325903778</v>
      </c>
      <c r="O16" s="142">
        <v>1662.3</v>
      </c>
      <c r="P16" s="162">
        <f t="shared" si="15"/>
        <v>98.975885680261982</v>
      </c>
      <c r="Q16" s="237">
        <f>'цех вода'!P47</f>
        <v>1328.848310908827</v>
      </c>
      <c r="R16" s="162">
        <f t="shared" si="24"/>
        <v>79.121661858221316</v>
      </c>
      <c r="S16" s="162">
        <f t="shared" si="25"/>
        <v>89.768851645533132</v>
      </c>
      <c r="T16" s="142" t="e">
        <f>Q16/Q52*T52</f>
        <v>#REF!</v>
      </c>
      <c r="U16" s="142" t="e">
        <f t="shared" si="26"/>
        <v>#REF!</v>
      </c>
      <c r="V16" s="160">
        <v>832.1</v>
      </c>
      <c r="W16" s="160"/>
      <c r="X16" s="1350"/>
      <c r="Y16" s="1356">
        <v>1803.5</v>
      </c>
      <c r="Z16" s="1360">
        <f t="shared" si="16"/>
        <v>1.357190271601842</v>
      </c>
      <c r="AA16" s="1110">
        <f>'цех вода'!W47</f>
        <v>1410.9363841017698</v>
      </c>
      <c r="AB16" s="1362">
        <f t="shared" si="1"/>
        <v>1.0617738477138907</v>
      </c>
      <c r="AC16" s="1069">
        <f>AA16-AD16</f>
        <v>1338.8363841017699</v>
      </c>
      <c r="AD16" s="1107">
        <v>72.099999999999994</v>
      </c>
      <c r="AE16" s="1110">
        <v>1490.4</v>
      </c>
      <c r="AF16" s="1069">
        <f>AE16*AF52/(AF52+AG52)</f>
        <v>1472.0236890319386</v>
      </c>
      <c r="AG16" s="1107">
        <f>SUM(AE16-AF16)</f>
        <v>18.376310968061489</v>
      </c>
      <c r="AH16" s="1327">
        <f t="shared" si="18"/>
        <v>1505.7700000000002</v>
      </c>
      <c r="AI16" s="1324">
        <f t="shared" si="19"/>
        <v>1.0672132471504754</v>
      </c>
      <c r="AJ16" s="1069">
        <v>1488.63</v>
      </c>
      <c r="AK16" s="1107">
        <v>17.14</v>
      </c>
      <c r="AL16" s="1327">
        <f t="shared" si="20"/>
        <v>1484.5350755710156</v>
      </c>
      <c r="AM16" s="1324">
        <f t="shared" si="21"/>
        <v>1.0521630119532994</v>
      </c>
      <c r="AN16" s="1069">
        <f>'цех вода'!AB47*AN52/(AN52+AO52)</f>
        <v>1467.6360520205044</v>
      </c>
      <c r="AO16" s="1107">
        <f>-AN16+'цех вода'!AB47</f>
        <v>16.899023550511174</v>
      </c>
      <c r="AP16" s="1388">
        <f t="shared" si="22"/>
        <v>-392.56361589823018</v>
      </c>
      <c r="AQ16" s="1389">
        <f t="shared" si="31"/>
        <v>-372.50329494741624</v>
      </c>
      <c r="AR16" s="1389">
        <f t="shared" si="23"/>
        <v>-20.060320950813946</v>
      </c>
      <c r="AS16" s="1390">
        <f t="shared" si="2"/>
        <v>-392.56361589823018</v>
      </c>
      <c r="AT16" s="1110">
        <v>1047.32</v>
      </c>
      <c r="AU16" s="1069">
        <f>AT16*AU52/(AU52+AV52)</f>
        <v>1040.1115457578071</v>
      </c>
      <c r="AV16" s="1107">
        <f>SUM(AT16-AU16)</f>
        <v>7.208454242192829</v>
      </c>
      <c r="AW16" s="1110">
        <v>1465.34</v>
      </c>
      <c r="AX16" s="1069">
        <f>AW16*AX52/(AX52+AY52)</f>
        <v>1456.3265031035883</v>
      </c>
      <c r="AY16" s="2738">
        <f>SUM(AW16-AX16)</f>
        <v>9.0134968964116524</v>
      </c>
      <c r="AZ16" s="1110">
        <v>1903.85</v>
      </c>
      <c r="BA16" s="1069">
        <f>AZ16*BA52/(BA52+BB52)</f>
        <v>1894.6742610609401</v>
      </c>
      <c r="BB16" s="2738">
        <f>SUM(AZ16-BA16)</f>
        <v>9.1757389390597837</v>
      </c>
      <c r="BC16" s="1110">
        <v>1850.81</v>
      </c>
      <c r="BD16" s="2223">
        <f t="shared" ref="BD16" si="45">SUM(BC16/AL16)</f>
        <v>1.2467270261621131</v>
      </c>
      <c r="BE16" s="1069">
        <f>BC16*BE52/(BE52+BF52)</f>
        <v>1840.9251986081013</v>
      </c>
      <c r="BF16" s="1107">
        <f>SUM(BC16-BE16)</f>
        <v>9.8848013918986908</v>
      </c>
      <c r="BG16" s="1110">
        <f>SUM('цех вода'!AG47)</f>
        <v>1611.1723912953566</v>
      </c>
      <c r="BH16" s="2223">
        <f t="shared" ref="BH16" si="46">SUM(BG16/AL16)</f>
        <v>1.0853043608118393</v>
      </c>
      <c r="BI16" s="1069">
        <f>BG16*BI52/(BI52+BJ52)</f>
        <v>1602.567445841169</v>
      </c>
      <c r="BJ16" s="1107">
        <f>SUM(BG16-BI16)</f>
        <v>8.6049454541876003</v>
      </c>
      <c r="BK16" s="1990" t="s">
        <v>981</v>
      </c>
      <c r="BL16" s="3397">
        <f>SUM('цех вода'!AM47)</f>
        <v>877.96</v>
      </c>
      <c r="BM16" s="3398">
        <f>BL16*BM52/(BM52+BN52)</f>
        <v>877.2518745061891</v>
      </c>
      <c r="BN16" s="3399">
        <f>SUM(BL16-BM16)</f>
        <v>0.70812549381093959</v>
      </c>
      <c r="BO16" s="3397">
        <f>SUM('цех вода'!AN47)</f>
        <v>1336.29</v>
      </c>
      <c r="BP16" s="3398">
        <f>BO16*BP52/(BP52+BQ52)</f>
        <v>1335.3144707296165</v>
      </c>
      <c r="BQ16" s="3399">
        <f>SUM(BO16-BP16)</f>
        <v>0.9755292703835039</v>
      </c>
      <c r="BR16" s="3397">
        <f>SUM('цех вода'!AO47)</f>
        <v>1969.9526394107181</v>
      </c>
      <c r="BS16" s="3398">
        <f>BR16*BS52/(BS52+BT52)</f>
        <v>1968.5116878133199</v>
      </c>
      <c r="BT16" s="3399">
        <f>SUM(BR16-BS16)</f>
        <v>1.4409515973982252</v>
      </c>
      <c r="BU16" s="2941">
        <f>SUM('цех вода'!AP47)</f>
        <v>2235.9861314593818</v>
      </c>
      <c r="BV16" s="3379">
        <f t="shared" si="30"/>
        <v>1.3878006745520788</v>
      </c>
      <c r="BW16" s="2942">
        <f>BU16*BW52/(BW52+BX52)</f>
        <v>2225.3638695522113</v>
      </c>
      <c r="BX16" s="2784">
        <f>SUM(BU16-BW16)</f>
        <v>10.622261907170468</v>
      </c>
      <c r="BY16" s="2941">
        <f>SUM('цех вода'!AQ47)</f>
        <v>1957.532516102463</v>
      </c>
      <c r="BZ16" s="3379">
        <f t="shared" si="32"/>
        <v>1.2149739696871533</v>
      </c>
      <c r="CA16" s="2942">
        <f>BY16*CA52/(CA52+CB52)</f>
        <v>1947.0260105894729</v>
      </c>
      <c r="CB16" s="2784">
        <f>SUM(BY16-CA16)</f>
        <v>10.506505512990088</v>
      </c>
      <c r="CC16" s="1990"/>
    </row>
    <row r="17" spans="1:81" ht="21" customHeight="1">
      <c r="A17" s="1346" t="s">
        <v>7</v>
      </c>
      <c r="B17" s="1335">
        <f>SUM(B18:B26)</f>
        <v>32241.4</v>
      </c>
      <c r="C17" s="18">
        <f>SUM(C18:C26)</f>
        <v>38466.400000000001</v>
      </c>
      <c r="D17" s="31">
        <f t="shared" si="10"/>
        <v>119.30747424119299</v>
      </c>
      <c r="E17" s="18">
        <f>SUM(E18:E26)-E25</f>
        <v>40420.1</v>
      </c>
      <c r="F17" s="18">
        <f t="shared" ref="F17:AO17" si="47">SUM(F18:F26)-F25</f>
        <v>846.38801117543824</v>
      </c>
      <c r="G17" s="18">
        <f t="shared" si="47"/>
        <v>43502.200000000004</v>
      </c>
      <c r="H17" s="31">
        <f t="shared" si="12"/>
        <v>107.62516668687114</v>
      </c>
      <c r="I17" s="18">
        <f t="shared" si="47"/>
        <v>42972.08265199999</v>
      </c>
      <c r="J17" s="18">
        <f t="shared" si="47"/>
        <v>22818.600000000002</v>
      </c>
      <c r="K17" s="18">
        <f t="shared" si="47"/>
        <v>33887.847162203478</v>
      </c>
      <c r="L17" s="18">
        <f t="shared" si="47"/>
        <v>49679.3</v>
      </c>
      <c r="M17" s="18">
        <f t="shared" si="47"/>
        <v>811.78554777666386</v>
      </c>
      <c r="N17" s="18">
        <f t="shared" si="47"/>
        <v>826.1004360911046</v>
      </c>
      <c r="O17" s="18">
        <f t="shared" si="47"/>
        <v>55955.439999999995</v>
      </c>
      <c r="P17" s="18">
        <f t="shared" si="47"/>
        <v>885.33762958856801</v>
      </c>
      <c r="Q17" s="390" t="e">
        <f t="shared" si="47"/>
        <v>#REF!</v>
      </c>
      <c r="R17" s="18" t="e">
        <f t="shared" si="47"/>
        <v>#REF!</v>
      </c>
      <c r="S17" s="18" t="e">
        <f t="shared" si="47"/>
        <v>#REF!</v>
      </c>
      <c r="T17" s="135" t="e">
        <f t="shared" si="47"/>
        <v>#REF!</v>
      </c>
      <c r="U17" s="135">
        <f t="shared" si="47"/>
        <v>0</v>
      </c>
      <c r="V17" s="135">
        <f t="shared" si="47"/>
        <v>37348.199999999997</v>
      </c>
      <c r="W17" s="135">
        <f t="shared" si="47"/>
        <v>26965.47</v>
      </c>
      <c r="X17" s="1351">
        <f t="shared" si="47"/>
        <v>0</v>
      </c>
      <c r="Y17" s="1358">
        <f t="shared" si="47"/>
        <v>58405.5</v>
      </c>
      <c r="Z17" s="1361" t="e">
        <f t="shared" si="16"/>
        <v>#REF!</v>
      </c>
      <c r="AA17" s="1330">
        <f t="shared" si="47"/>
        <v>45651.484790404604</v>
      </c>
      <c r="AB17" s="1364" t="e">
        <f t="shared" si="1"/>
        <v>#REF!</v>
      </c>
      <c r="AC17" s="1328">
        <f t="shared" si="47"/>
        <v>45651.484790404604</v>
      </c>
      <c r="AD17" s="1329">
        <f t="shared" si="47"/>
        <v>0</v>
      </c>
      <c r="AE17" s="1330">
        <f t="shared" ref="AE17:AG17" si="48">SUM(AE18:AE26)-AE25</f>
        <v>46595.739391100004</v>
      </c>
      <c r="AF17" s="1328">
        <f t="shared" si="48"/>
        <v>46595.739391100004</v>
      </c>
      <c r="AG17" s="1329">
        <f t="shared" si="48"/>
        <v>0</v>
      </c>
      <c r="AH17" s="1323">
        <f t="shared" si="18"/>
        <v>48828.71</v>
      </c>
      <c r="AI17" s="1324">
        <f t="shared" si="19"/>
        <v>1.069597412311619</v>
      </c>
      <c r="AJ17" s="1328">
        <f t="shared" si="47"/>
        <v>48828.71</v>
      </c>
      <c r="AK17" s="1329">
        <f t="shared" si="47"/>
        <v>0</v>
      </c>
      <c r="AL17" s="1323">
        <f t="shared" si="20"/>
        <v>46235.338744382956</v>
      </c>
      <c r="AM17" s="1324">
        <f t="shared" si="21"/>
        <v>1.012789374905525</v>
      </c>
      <c r="AN17" s="1328">
        <f t="shared" si="47"/>
        <v>46235.338744382956</v>
      </c>
      <c r="AO17" s="1329">
        <f t="shared" si="47"/>
        <v>0</v>
      </c>
      <c r="AP17" s="1388">
        <f t="shared" si="22"/>
        <v>-12754.015209595396</v>
      </c>
      <c r="AQ17" s="1389">
        <f t="shared" si="31"/>
        <v>-12754.015209595396</v>
      </c>
      <c r="AR17" s="1389">
        <f t="shared" si="23"/>
        <v>0</v>
      </c>
      <c r="AS17" s="1390">
        <f t="shared" si="2"/>
        <v>-12754.015209595396</v>
      </c>
      <c r="AT17" s="1330">
        <f t="shared" ref="AT17:BG17" si="49">SUM(AT18:AT26)-AT25</f>
        <v>25684.637081399997</v>
      </c>
      <c r="AU17" s="1328">
        <f t="shared" si="49"/>
        <v>25684.637081399997</v>
      </c>
      <c r="AV17" s="1329">
        <f t="shared" si="49"/>
        <v>0</v>
      </c>
      <c r="AW17" s="1330">
        <f t="shared" si="49"/>
        <v>37636.14</v>
      </c>
      <c r="AX17" s="1328">
        <f t="shared" si="49"/>
        <v>37636.14</v>
      </c>
      <c r="AY17" s="2740">
        <f t="shared" si="49"/>
        <v>0</v>
      </c>
      <c r="AZ17" s="1330">
        <f t="shared" ref="AZ17:BB17" si="50">SUM(AZ18:AZ26)-AZ25</f>
        <v>50837.42</v>
      </c>
      <c r="BA17" s="1328">
        <f t="shared" si="50"/>
        <v>50837.42</v>
      </c>
      <c r="BB17" s="2740">
        <f t="shared" si="50"/>
        <v>0</v>
      </c>
      <c r="BC17" s="1330">
        <f t="shared" si="49"/>
        <v>53392.06897</v>
      </c>
      <c r="BD17" s="2223">
        <f t="shared" si="28"/>
        <v>1.1547891811755462</v>
      </c>
      <c r="BE17" s="1328">
        <f t="shared" si="49"/>
        <v>53392.06897</v>
      </c>
      <c r="BF17" s="1329">
        <f t="shared" si="49"/>
        <v>0</v>
      </c>
      <c r="BG17" s="1330">
        <f t="shared" si="49"/>
        <v>53576.309872976482</v>
      </c>
      <c r="BH17" s="2223">
        <f t="shared" si="29"/>
        <v>1.1587740314649553</v>
      </c>
      <c r="BI17" s="1328">
        <f t="shared" ref="BI17:BJ17" si="51">SUM(BI18:BI26)-BI25</f>
        <v>53576.309872976482</v>
      </c>
      <c r="BJ17" s="1329">
        <f t="shared" si="51"/>
        <v>0</v>
      </c>
      <c r="BK17" s="1990"/>
      <c r="BL17" s="3403">
        <f t="shared" ref="BL17:BU17" si="52">SUM(BL18:BL26)-BL25</f>
        <v>27922.149424089999</v>
      </c>
      <c r="BM17" s="3404">
        <f t="shared" si="52"/>
        <v>27922.149424089999</v>
      </c>
      <c r="BN17" s="3405">
        <f t="shared" si="52"/>
        <v>0</v>
      </c>
      <c r="BO17" s="3403">
        <f t="shared" ref="BO17:BQ17" si="53">SUM(BO18:BO26)-BO25</f>
        <v>41817.164896189999</v>
      </c>
      <c r="BP17" s="3404">
        <f t="shared" si="53"/>
        <v>41817.164896189999</v>
      </c>
      <c r="BQ17" s="3405">
        <f t="shared" si="53"/>
        <v>0</v>
      </c>
      <c r="BR17" s="3403">
        <f t="shared" ref="BR17:BT17" si="54">SUM(BR18:BR26)-BR25</f>
        <v>57335.371569060699</v>
      </c>
      <c r="BS17" s="3404">
        <f t="shared" si="54"/>
        <v>57335.371569060699</v>
      </c>
      <c r="BT17" s="3405">
        <f t="shared" si="54"/>
        <v>0</v>
      </c>
      <c r="BU17" s="2945">
        <f t="shared" si="52"/>
        <v>58956.692607496123</v>
      </c>
      <c r="BV17" s="3379">
        <f t="shared" si="30"/>
        <v>1.1004246605874113</v>
      </c>
      <c r="BW17" s="2946">
        <f t="shared" ref="BW17:BY17" si="55">SUM(BW18:BW26)-BW25</f>
        <v>58956.692607496123</v>
      </c>
      <c r="BX17" s="2947">
        <f t="shared" si="55"/>
        <v>0</v>
      </c>
      <c r="BY17" s="2945">
        <f t="shared" si="55"/>
        <v>55240.021891225886</v>
      </c>
      <c r="BZ17" s="3379">
        <f t="shared" si="32"/>
        <v>1.0310531281865787</v>
      </c>
      <c r="CA17" s="2946">
        <f t="shared" ref="CA17:CB17" si="56">SUM(CA18:CA26)-CA25</f>
        <v>55240.021891225886</v>
      </c>
      <c r="CB17" s="2947">
        <f t="shared" si="56"/>
        <v>0</v>
      </c>
      <c r="CC17" s="1990"/>
    </row>
    <row r="18" spans="1:81" ht="21" customHeight="1">
      <c r="A18" s="1231" t="s">
        <v>1</v>
      </c>
      <c r="B18" s="1333">
        <v>3989.5</v>
      </c>
      <c r="C18" s="17">
        <v>6013.8</v>
      </c>
      <c r="D18" s="31">
        <f t="shared" si="10"/>
        <v>150.74069432259682</v>
      </c>
      <c r="E18" s="17">
        <v>6816.9</v>
      </c>
      <c r="F18" s="31">
        <f t="shared" si="11"/>
        <v>113.35428514416841</v>
      </c>
      <c r="G18" s="17">
        <v>6550.5</v>
      </c>
      <c r="H18" s="31">
        <f t="shared" si="12"/>
        <v>96.092065308277967</v>
      </c>
      <c r="I18" s="142">
        <v>6178.2</v>
      </c>
      <c r="J18" s="142">
        <v>3776.7</v>
      </c>
      <c r="K18" s="142">
        <v>4790</v>
      </c>
      <c r="L18" s="142">
        <v>7070.5</v>
      </c>
      <c r="M18" s="162">
        <f t="shared" si="13"/>
        <v>114.44271794373766</v>
      </c>
      <c r="N18" s="162">
        <f t="shared" si="14"/>
        <v>107.93832531867797</v>
      </c>
      <c r="O18" s="142">
        <v>7686</v>
      </c>
      <c r="P18" s="162">
        <f t="shared" si="15"/>
        <v>124.40516655336506</v>
      </c>
      <c r="Q18" s="237" t="e">
        <f>электр!AC11</f>
        <v>#REF!</v>
      </c>
      <c r="R18" s="162" t="e">
        <f t="shared" si="24"/>
        <v>#REF!</v>
      </c>
      <c r="S18" s="162" t="e">
        <f t="shared" si="25"/>
        <v>#REF!</v>
      </c>
      <c r="T18" s="142" t="e">
        <f>Q18</f>
        <v>#REF!</v>
      </c>
      <c r="U18" s="142"/>
      <c r="V18" s="142">
        <v>5782</v>
      </c>
      <c r="W18" s="142">
        <v>1930.37</v>
      </c>
      <c r="X18" s="1348">
        <v>0</v>
      </c>
      <c r="Y18" s="1356">
        <v>7979.9</v>
      </c>
      <c r="Z18" s="1360" t="e">
        <f t="shared" si="16"/>
        <v>#REF!</v>
      </c>
      <c r="AA18" s="1110">
        <f>электр!Q50</f>
        <v>6117.2992084997777</v>
      </c>
      <c r="AB18" s="1362" t="e">
        <f t="shared" si="1"/>
        <v>#REF!</v>
      </c>
      <c r="AC18" s="1069">
        <f>AA18</f>
        <v>6117.2992084997777</v>
      </c>
      <c r="AD18" s="1107">
        <v>0</v>
      </c>
      <c r="AE18" s="1110">
        <f>SUM(электр!AG50)</f>
        <v>6145.2</v>
      </c>
      <c r="AF18" s="1069">
        <f>SUM(AE18)</f>
        <v>6145.2</v>
      </c>
      <c r="AG18" s="1107">
        <v>0</v>
      </c>
      <c r="AH18" s="1327">
        <f t="shared" si="18"/>
        <v>5917.63</v>
      </c>
      <c r="AI18" s="1324">
        <f t="shared" si="19"/>
        <v>0.96735990807473593</v>
      </c>
      <c r="AJ18" s="1069">
        <v>5917.63</v>
      </c>
      <c r="AK18" s="1107">
        <v>0</v>
      </c>
      <c r="AL18" s="1327">
        <f t="shared" si="20"/>
        <v>5168.2931157992934</v>
      </c>
      <c r="AM18" s="1324">
        <f t="shared" si="21"/>
        <v>0.84486518308898917</v>
      </c>
      <c r="AN18" s="1069">
        <f>электр!AN50</f>
        <v>5168.2931157992934</v>
      </c>
      <c r="AO18" s="1107">
        <v>0</v>
      </c>
      <c r="AP18" s="1388">
        <f t="shared" si="22"/>
        <v>-1862.6007915002219</v>
      </c>
      <c r="AQ18" s="1389">
        <f t="shared" si="31"/>
        <v>-1862.6007915002219</v>
      </c>
      <c r="AR18" s="1389">
        <f t="shared" si="23"/>
        <v>0</v>
      </c>
      <c r="AS18" s="1390">
        <f t="shared" si="2"/>
        <v>-1862.6007915002219</v>
      </c>
      <c r="AT18" s="1110">
        <v>2722.6</v>
      </c>
      <c r="AU18" s="1069">
        <f>SUM(AT18)</f>
        <v>2722.6</v>
      </c>
      <c r="AV18" s="1107">
        <v>0</v>
      </c>
      <c r="AW18" s="1110">
        <v>4221.8999999999996</v>
      </c>
      <c r="AX18" s="1069">
        <f>SUM(AW18)</f>
        <v>4221.8999999999996</v>
      </c>
      <c r="AY18" s="2738">
        <v>0</v>
      </c>
      <c r="AZ18" s="1110">
        <v>6087.79</v>
      </c>
      <c r="BA18" s="1069">
        <f t="shared" ref="BA18:BA24" si="57">SUM(AZ18)</f>
        <v>6087.79</v>
      </c>
      <c r="BB18" s="2738">
        <v>0</v>
      </c>
      <c r="BC18" s="1110">
        <v>5514.45</v>
      </c>
      <c r="BD18" s="2223">
        <f t="shared" si="28"/>
        <v>1.0669770224801138</v>
      </c>
      <c r="BE18" s="1069">
        <f>SUM(BC18)</f>
        <v>5514.45</v>
      </c>
      <c r="BF18" s="1107">
        <v>0</v>
      </c>
      <c r="BG18" s="1110">
        <f>SUM(электр!BD50)</f>
        <v>5376.3079941809738</v>
      </c>
      <c r="BH18" s="2223">
        <f t="shared" si="29"/>
        <v>1.0402482741827832</v>
      </c>
      <c r="BI18" s="1069">
        <f>SUM(BG18)</f>
        <v>5376.3079941809738</v>
      </c>
      <c r="BJ18" s="1107">
        <v>0</v>
      </c>
      <c r="BK18" s="1990" t="str">
        <f>BK9</f>
        <v>Приложение</v>
      </c>
      <c r="BL18" s="3397">
        <f>SUM(BM18:BN18)</f>
        <v>4528.37</v>
      </c>
      <c r="BM18" s="3398">
        <f>SUM(электр!BM50)</f>
        <v>4528.37</v>
      </c>
      <c r="BN18" s="3399">
        <v>0</v>
      </c>
      <c r="BO18" s="3397">
        <f>SUM(BP18:BQ18)</f>
        <v>6265.7</v>
      </c>
      <c r="BP18" s="3398">
        <f>SUM(электр!BP50)</f>
        <v>6265.7</v>
      </c>
      <c r="BQ18" s="3399">
        <v>0</v>
      </c>
      <c r="BR18" s="3397">
        <f>SUM(BS18:BT18)</f>
        <v>8415.2711662128604</v>
      </c>
      <c r="BS18" s="3398">
        <f>SUM(электр!BS50)</f>
        <v>8415.2711662128604</v>
      </c>
      <c r="BT18" s="3399">
        <v>0</v>
      </c>
      <c r="BU18" s="2941">
        <f>SUM('электр 2017-2018'!CH50)</f>
        <v>5638.1563160543146</v>
      </c>
      <c r="BV18" s="3379">
        <f t="shared" si="30"/>
        <v>1.0487041148231744</v>
      </c>
      <c r="BW18" s="2942">
        <f>SUM(BU18)</f>
        <v>5638.1563160543146</v>
      </c>
      <c r="BX18" s="2784">
        <v>0</v>
      </c>
      <c r="BY18" s="2941">
        <f>SUM(электр!BZ50)</f>
        <v>4900.22</v>
      </c>
      <c r="BZ18" s="3379">
        <f t="shared" si="32"/>
        <v>0.91144703861901788</v>
      </c>
      <c r="CA18" s="2942">
        <f>SUM(BY18)</f>
        <v>4900.22</v>
      </c>
      <c r="CB18" s="2784">
        <v>0</v>
      </c>
      <c r="CC18" s="1990"/>
    </row>
    <row r="19" spans="1:81" ht="21" customHeight="1">
      <c r="A19" s="1231" t="s">
        <v>8</v>
      </c>
      <c r="B19" s="1333">
        <v>5737.6</v>
      </c>
      <c r="C19" s="17">
        <v>5889.5</v>
      </c>
      <c r="D19" s="31">
        <f t="shared" si="10"/>
        <v>102.64744841048521</v>
      </c>
      <c r="E19" s="17">
        <v>4309.1000000000004</v>
      </c>
      <c r="F19" s="31">
        <f t="shared" si="11"/>
        <v>73.165803548688345</v>
      </c>
      <c r="G19" s="17">
        <v>3796.7</v>
      </c>
      <c r="H19" s="31">
        <f t="shared" si="12"/>
        <v>88.108885846232383</v>
      </c>
      <c r="I19" s="142">
        <f>6071.7*0.95756</f>
        <v>5814.0170519999992</v>
      </c>
      <c r="J19" s="142">
        <v>1709.7</v>
      </c>
      <c r="K19" s="142">
        <v>5672.4</v>
      </c>
      <c r="L19" s="142">
        <v>8063.5</v>
      </c>
      <c r="M19" s="162">
        <f t="shared" si="13"/>
        <v>138.69068370252177</v>
      </c>
      <c r="N19" s="162">
        <f t="shared" si="14"/>
        <v>212.38180525192934</v>
      </c>
      <c r="O19" s="142">
        <f>ХР!AB15</f>
        <v>6597.94</v>
      </c>
      <c r="P19" s="162">
        <f t="shared" si="15"/>
        <v>113.48332729313778</v>
      </c>
      <c r="Q19" s="237" t="e">
        <f>ХР!AK15</f>
        <v>#REF!</v>
      </c>
      <c r="R19" s="162" t="e">
        <f t="shared" si="24"/>
        <v>#REF!</v>
      </c>
      <c r="S19" s="162" t="e">
        <f t="shared" si="25"/>
        <v>#REF!</v>
      </c>
      <c r="T19" s="142" t="e">
        <f t="shared" ref="T19:T26" si="58">Q19</f>
        <v>#REF!</v>
      </c>
      <c r="U19" s="142"/>
      <c r="V19" s="142">
        <v>3670.1</v>
      </c>
      <c r="W19" s="142">
        <v>4408.3999999999996</v>
      </c>
      <c r="X19" s="1348">
        <v>0</v>
      </c>
      <c r="Y19" s="1356">
        <v>6984.1</v>
      </c>
      <c r="Z19" s="1360" t="e">
        <f t="shared" si="16"/>
        <v>#REF!</v>
      </c>
      <c r="AA19" s="1110">
        <f>ХР!O39</f>
        <v>4253.0293007044547</v>
      </c>
      <c r="AB19" s="1362" t="e">
        <f t="shared" si="1"/>
        <v>#REF!</v>
      </c>
      <c r="AC19" s="1069">
        <f t="shared" ref="AC19:AC26" si="59">AA19</f>
        <v>4253.0293007044547</v>
      </c>
      <c r="AD19" s="1107">
        <v>0</v>
      </c>
      <c r="AE19" s="1110">
        <f>SUM(ХР!AF39)</f>
        <v>4087.3393910999998</v>
      </c>
      <c r="AF19" s="1069">
        <f>SUM(AE19)</f>
        <v>4087.3393910999998</v>
      </c>
      <c r="AG19" s="1107">
        <v>0</v>
      </c>
      <c r="AH19" s="1327">
        <f t="shared" si="18"/>
        <v>4631.88</v>
      </c>
      <c r="AI19" s="1324">
        <f t="shared" si="19"/>
        <v>1.0890778484015602</v>
      </c>
      <c r="AJ19" s="1069">
        <v>4631.88</v>
      </c>
      <c r="AK19" s="1107">
        <v>0</v>
      </c>
      <c r="AL19" s="1327">
        <f t="shared" si="20"/>
        <v>3968.311174693004</v>
      </c>
      <c r="AM19" s="1324">
        <f t="shared" si="21"/>
        <v>0.93305521643965839</v>
      </c>
      <c r="AN19" s="1069">
        <f>ХР!AP39</f>
        <v>3968.311174693004</v>
      </c>
      <c r="AO19" s="1107">
        <v>0</v>
      </c>
      <c r="AP19" s="1388">
        <f t="shared" si="22"/>
        <v>-2731.0706992955456</v>
      </c>
      <c r="AQ19" s="1389">
        <f t="shared" si="31"/>
        <v>-2731.0706992955456</v>
      </c>
      <c r="AR19" s="1389">
        <f t="shared" si="23"/>
        <v>0</v>
      </c>
      <c r="AS19" s="1390">
        <f t="shared" si="2"/>
        <v>-2731.0706992955456</v>
      </c>
      <c r="AT19" s="1110">
        <f>SUM(ХР!AT39)</f>
        <v>2640.0770813999998</v>
      </c>
      <c r="AU19" s="1069">
        <f>SUM(AT19)</f>
        <v>2640.0770813999998</v>
      </c>
      <c r="AV19" s="1107">
        <v>0</v>
      </c>
      <c r="AW19" s="1110">
        <v>3975.16</v>
      </c>
      <c r="AX19" s="1069">
        <f>SUM(AW19)</f>
        <v>3975.16</v>
      </c>
      <c r="AY19" s="2738">
        <v>0</v>
      </c>
      <c r="AZ19" s="1110">
        <v>5707.19</v>
      </c>
      <c r="BA19" s="1069">
        <f t="shared" si="57"/>
        <v>5707.19</v>
      </c>
      <c r="BB19" s="2738">
        <v>0</v>
      </c>
      <c r="BC19" s="1110">
        <v>6791.38</v>
      </c>
      <c r="BD19" s="2223">
        <f t="shared" ref="BD19" si="60">SUM(BC19/AL19)</f>
        <v>1.711403088374337</v>
      </c>
      <c r="BE19" s="1069">
        <f>SUM(BC19)</f>
        <v>6791.38</v>
      </c>
      <c r="BF19" s="1107">
        <v>0</v>
      </c>
      <c r="BG19" s="1110">
        <f>SUM(ХР!BL39)</f>
        <v>6985.4283978386675</v>
      </c>
      <c r="BH19" s="2223">
        <f t="shared" ref="BH19" si="61">SUM(BG19/AL19)</f>
        <v>1.7603025796935075</v>
      </c>
      <c r="BI19" s="1069">
        <f>SUM(BG19)</f>
        <v>6985.4283978386675</v>
      </c>
      <c r="BJ19" s="1107">
        <v>0</v>
      </c>
      <c r="BK19" s="1990" t="str">
        <f t="shared" ref="BK19" si="62">BK10</f>
        <v>Приложение</v>
      </c>
      <c r="BL19" s="3397">
        <f>SUM(BM19:BN19)</f>
        <v>4515.2094240899987</v>
      </c>
      <c r="BM19" s="3398">
        <f>SUM(ХР!BT39)</f>
        <v>4515.2094240899987</v>
      </c>
      <c r="BN19" s="3399">
        <v>0</v>
      </c>
      <c r="BO19" s="3397">
        <f>SUM(BP19:BQ19)</f>
        <v>7061.8548961899996</v>
      </c>
      <c r="BP19" s="3398">
        <f>SUM(ХР!BX39)</f>
        <v>7061.8548961899996</v>
      </c>
      <c r="BQ19" s="3399">
        <v>0</v>
      </c>
      <c r="BR19" s="3397">
        <f>SUM(BS19:BT19)</f>
        <v>9542.8633802805743</v>
      </c>
      <c r="BS19" s="3398">
        <f>SUM(ХР!CB39)</f>
        <v>9542.8633802805743</v>
      </c>
      <c r="BT19" s="3399">
        <v>0</v>
      </c>
      <c r="BU19" s="2941">
        <f>SUM(ХР!CG39)</f>
        <v>7687.4405852046175</v>
      </c>
      <c r="BV19" s="3379">
        <f t="shared" si="30"/>
        <v>1.1004966549486295</v>
      </c>
      <c r="BW19" s="2942">
        <f>SUM(BU19)</f>
        <v>7687.4405852046175</v>
      </c>
      <c r="BX19" s="2784">
        <v>0</v>
      </c>
      <c r="BY19" s="2941">
        <f>SUM(ХР!CL39)</f>
        <v>7406.5798759443596</v>
      </c>
      <c r="BZ19" s="3379">
        <f t="shared" si="32"/>
        <v>1.0602899999999997</v>
      </c>
      <c r="CA19" s="2942">
        <f>SUM(BY19)</f>
        <v>7406.5798759443596</v>
      </c>
      <c r="CB19" s="2784">
        <v>0</v>
      </c>
      <c r="CC19" s="1990"/>
    </row>
    <row r="20" spans="1:81" ht="21" customHeight="1">
      <c r="A20" s="1231" t="s">
        <v>2</v>
      </c>
      <c r="B20" s="1333">
        <v>401</v>
      </c>
      <c r="C20" s="17">
        <v>472.2</v>
      </c>
      <c r="D20" s="31">
        <f t="shared" si="10"/>
        <v>117.75561097256858</v>
      </c>
      <c r="E20" s="17">
        <v>481.5</v>
      </c>
      <c r="F20" s="31">
        <f t="shared" si="11"/>
        <v>101.96950444726811</v>
      </c>
      <c r="G20" s="17">
        <v>782.8</v>
      </c>
      <c r="H20" s="31">
        <f t="shared" si="12"/>
        <v>162.57528556593977</v>
      </c>
      <c r="I20" s="142">
        <v>542</v>
      </c>
      <c r="J20" s="142">
        <v>268.7</v>
      </c>
      <c r="K20" s="142">
        <v>396.5</v>
      </c>
      <c r="L20" s="142">
        <v>535</v>
      </c>
      <c r="M20" s="162">
        <f t="shared" si="13"/>
        <v>98.708487084870839</v>
      </c>
      <c r="N20" s="162">
        <f t="shared" si="14"/>
        <v>68.344404701073074</v>
      </c>
      <c r="O20" s="142">
        <v>698</v>
      </c>
      <c r="P20" s="162">
        <f t="shared" si="15"/>
        <v>128.78228782287823</v>
      </c>
      <c r="Q20" s="237">
        <v>542</v>
      </c>
      <c r="R20" s="162">
        <f t="shared" si="24"/>
        <v>100</v>
      </c>
      <c r="S20" s="162">
        <f t="shared" si="25"/>
        <v>101.30841121495327</v>
      </c>
      <c r="T20" s="142">
        <f t="shared" si="58"/>
        <v>542</v>
      </c>
      <c r="U20" s="142"/>
      <c r="V20" s="142">
        <v>461.2</v>
      </c>
      <c r="W20" s="142">
        <v>635.20000000000005</v>
      </c>
      <c r="X20" s="1348">
        <v>0</v>
      </c>
      <c r="Y20" s="1356">
        <v>575.29999999999995</v>
      </c>
      <c r="Z20" s="1360">
        <f t="shared" si="16"/>
        <v>1.0614391143911439</v>
      </c>
      <c r="AA20" s="1110">
        <f>Аморт!G22</f>
        <v>575.29999999999995</v>
      </c>
      <c r="AB20" s="1362">
        <f t="shared" si="1"/>
        <v>1.0614391143911439</v>
      </c>
      <c r="AC20" s="1069">
        <f t="shared" si="59"/>
        <v>575.29999999999995</v>
      </c>
      <c r="AD20" s="1107">
        <v>0</v>
      </c>
      <c r="AE20" s="1110">
        <f>SUM(Аморт!L22)</f>
        <v>1043.5999999999999</v>
      </c>
      <c r="AF20" s="1069">
        <f>SUM(AE20)</f>
        <v>1043.5999999999999</v>
      </c>
      <c r="AG20" s="1107">
        <v>0</v>
      </c>
      <c r="AH20" s="1327">
        <f t="shared" si="18"/>
        <v>721.2</v>
      </c>
      <c r="AI20" s="1324">
        <f t="shared" si="19"/>
        <v>1.2536068138362595</v>
      </c>
      <c r="AJ20" s="1069">
        <v>721.2</v>
      </c>
      <c r="AK20" s="1107">
        <v>0</v>
      </c>
      <c r="AL20" s="1327">
        <f t="shared" si="20"/>
        <v>721.2</v>
      </c>
      <c r="AM20" s="1324">
        <f t="shared" si="21"/>
        <v>1.2536068138362595</v>
      </c>
      <c r="AN20" s="1069">
        <f>Аморт!O22</f>
        <v>721.2</v>
      </c>
      <c r="AO20" s="1107">
        <v>0</v>
      </c>
      <c r="AP20" s="1388">
        <f t="shared" si="22"/>
        <v>0</v>
      </c>
      <c r="AQ20" s="1389">
        <f t="shared" si="31"/>
        <v>0</v>
      </c>
      <c r="AR20" s="1389">
        <f t="shared" si="23"/>
        <v>0</v>
      </c>
      <c r="AS20" s="1390">
        <f t="shared" si="2"/>
        <v>0</v>
      </c>
      <c r="AT20" s="1110">
        <f>SUM(Аморт!Q22)</f>
        <v>725.7</v>
      </c>
      <c r="AU20" s="1069">
        <f>SUM(AT20)</f>
        <v>725.7</v>
      </c>
      <c r="AV20" s="1107">
        <v>0</v>
      </c>
      <c r="AW20" s="1110">
        <v>1151.78</v>
      </c>
      <c r="AX20" s="1069">
        <f>SUM(AW20)</f>
        <v>1151.78</v>
      </c>
      <c r="AY20" s="2738">
        <v>0</v>
      </c>
      <c r="AZ20" s="1110">
        <v>1561.14</v>
      </c>
      <c r="BA20" s="1069">
        <f t="shared" si="57"/>
        <v>1561.14</v>
      </c>
      <c r="BB20" s="2738">
        <v>0</v>
      </c>
      <c r="BC20" s="1110">
        <f>SUM(Аморт!U22)</f>
        <v>721.2</v>
      </c>
      <c r="BD20" s="2223">
        <f t="shared" si="28"/>
        <v>1</v>
      </c>
      <c r="BE20" s="1069">
        <f>SUM(BC20)</f>
        <v>721.2</v>
      </c>
      <c r="BF20" s="1107">
        <f>SUM(BC20-BE20)</f>
        <v>0</v>
      </c>
      <c r="BG20" s="1110">
        <f>SUM(Аморт!V22)</f>
        <v>1535.7066666666667</v>
      </c>
      <c r="BH20" s="2223">
        <f t="shared" si="29"/>
        <v>2.1293769643187281</v>
      </c>
      <c r="BI20" s="1069">
        <f>SUM(BG20)</f>
        <v>1535.7066666666667</v>
      </c>
      <c r="BJ20" s="1107">
        <f>SUM(BG20-BI20)</f>
        <v>0</v>
      </c>
      <c r="BK20" s="1990" t="s">
        <v>981</v>
      </c>
      <c r="BL20" s="3397">
        <f>SUM(BM20:BN20)</f>
        <v>808.9</v>
      </c>
      <c r="BM20" s="3398">
        <f>SUM(Аморт!AB22)</f>
        <v>808.9</v>
      </c>
      <c r="BN20" s="3399">
        <v>0</v>
      </c>
      <c r="BO20" s="3397">
        <f>SUM(BP20:BQ20)</f>
        <v>1040.5899999999999</v>
      </c>
      <c r="BP20" s="3398">
        <f>SUM(Аморт!AC22)</f>
        <v>1040.5899999999999</v>
      </c>
      <c r="BQ20" s="3399">
        <v>0</v>
      </c>
      <c r="BR20" s="3397">
        <f>SUM(BS20:BT20)</f>
        <v>1387.4533333333331</v>
      </c>
      <c r="BS20" s="3398">
        <f>SUM(Аморт!AD22)</f>
        <v>1387.4533333333331</v>
      </c>
      <c r="BT20" s="3399">
        <v>0</v>
      </c>
      <c r="BU20" s="2941">
        <f>SUM(Аморт!AE22)</f>
        <v>1561.14</v>
      </c>
      <c r="BV20" s="3379">
        <f t="shared" si="30"/>
        <v>1.0165613224747783</v>
      </c>
      <c r="BW20" s="2942">
        <f>SUM(BU20)</f>
        <v>1561.14</v>
      </c>
      <c r="BX20" s="2784">
        <f>SUM(BU20-BW20)</f>
        <v>0</v>
      </c>
      <c r="BY20" s="2941">
        <f>SUM(Аморт!AF22)</f>
        <v>1561.17</v>
      </c>
      <c r="BZ20" s="3379">
        <f t="shared" si="32"/>
        <v>1.0165808574554169</v>
      </c>
      <c r="CA20" s="2942">
        <f>SUM(BY20)</f>
        <v>1561.17</v>
      </c>
      <c r="CB20" s="2784">
        <f>SUM(BY20-CA20)</f>
        <v>0</v>
      </c>
      <c r="CC20" s="1990"/>
    </row>
    <row r="21" spans="1:81" ht="21" customHeight="1">
      <c r="A21" s="1231" t="s">
        <v>219</v>
      </c>
      <c r="B21" s="1333">
        <v>90.7</v>
      </c>
      <c r="C21" s="17">
        <v>52.1</v>
      </c>
      <c r="D21" s="31">
        <f t="shared" si="10"/>
        <v>57.44211686879823</v>
      </c>
      <c r="E21" s="17">
        <v>49</v>
      </c>
      <c r="F21" s="31">
        <f t="shared" si="11"/>
        <v>94.049904030710181</v>
      </c>
      <c r="G21" s="17"/>
      <c r="H21" s="31">
        <f t="shared" si="12"/>
        <v>0</v>
      </c>
      <c r="I21" s="142">
        <v>0</v>
      </c>
      <c r="J21" s="142">
        <v>216.7</v>
      </c>
      <c r="K21" s="142">
        <v>125.5</v>
      </c>
      <c r="L21" s="142">
        <v>169.7</v>
      </c>
      <c r="M21" s="162"/>
      <c r="N21" s="162"/>
      <c r="O21" s="142">
        <v>0</v>
      </c>
      <c r="P21" s="162"/>
      <c r="Q21" s="237"/>
      <c r="R21" s="162"/>
      <c r="S21" s="162">
        <f t="shared" si="25"/>
        <v>0</v>
      </c>
      <c r="T21" s="142">
        <f t="shared" si="58"/>
        <v>0</v>
      </c>
      <c r="U21" s="142"/>
      <c r="V21" s="142">
        <v>0</v>
      </c>
      <c r="W21" s="142">
        <v>0</v>
      </c>
      <c r="X21" s="1348">
        <v>0</v>
      </c>
      <c r="Y21" s="1356">
        <v>0</v>
      </c>
      <c r="Z21" s="1360"/>
      <c r="AA21" s="1110">
        <v>0</v>
      </c>
      <c r="AB21" s="1362"/>
      <c r="AC21" s="1069">
        <f t="shared" si="59"/>
        <v>0</v>
      </c>
      <c r="AD21" s="1107">
        <v>0</v>
      </c>
      <c r="AE21" s="1110">
        <v>0</v>
      </c>
      <c r="AF21" s="1069">
        <f t="shared" ref="AF21" si="63">AD21</f>
        <v>0</v>
      </c>
      <c r="AG21" s="1107">
        <v>0</v>
      </c>
      <c r="AH21" s="1327">
        <f t="shared" si="18"/>
        <v>0</v>
      </c>
      <c r="AI21" s="1324"/>
      <c r="AJ21" s="1069">
        <v>0</v>
      </c>
      <c r="AK21" s="1107">
        <v>0</v>
      </c>
      <c r="AL21" s="1327">
        <f t="shared" si="20"/>
        <v>0</v>
      </c>
      <c r="AM21" s="1324"/>
      <c r="AN21" s="1069">
        <v>0</v>
      </c>
      <c r="AO21" s="1107">
        <v>0</v>
      </c>
      <c r="AP21" s="1388">
        <f t="shared" si="22"/>
        <v>0</v>
      </c>
      <c r="AQ21" s="1389"/>
      <c r="AR21" s="1389"/>
      <c r="AS21" s="1390">
        <f t="shared" si="2"/>
        <v>0</v>
      </c>
      <c r="AT21" s="1110">
        <v>0</v>
      </c>
      <c r="AU21" s="1069">
        <f t="shared" ref="AU21" si="64">AS21</f>
        <v>0</v>
      </c>
      <c r="AV21" s="1107">
        <v>0</v>
      </c>
      <c r="AW21" s="1110">
        <v>0</v>
      </c>
      <c r="AX21" s="1069">
        <f t="shared" ref="AX21" si="65">AV21</f>
        <v>0</v>
      </c>
      <c r="AY21" s="2738">
        <v>0</v>
      </c>
      <c r="AZ21" s="1110">
        <v>0</v>
      </c>
      <c r="BA21" s="1069">
        <f t="shared" si="57"/>
        <v>0</v>
      </c>
      <c r="BB21" s="2738">
        <v>0</v>
      </c>
      <c r="BC21" s="1327">
        <f t="shared" ref="BC21:BC22" si="66">SUM(BE21+BF21)</f>
        <v>0</v>
      </c>
      <c r="BD21" s="2223"/>
      <c r="BE21" s="1069">
        <v>0</v>
      </c>
      <c r="BF21" s="1107">
        <v>0</v>
      </c>
      <c r="BG21" s="1327">
        <f t="shared" ref="BG21:BG22" si="67">SUM(BI21+BJ21)</f>
        <v>0</v>
      </c>
      <c r="BH21" s="2223"/>
      <c r="BI21" s="1069">
        <v>0</v>
      </c>
      <c r="BJ21" s="1107">
        <v>0</v>
      </c>
      <c r="BK21" s="1990"/>
      <c r="BL21" s="3397">
        <v>0</v>
      </c>
      <c r="BM21" s="3398">
        <f t="shared" ref="BM21" si="68">BK21</f>
        <v>0</v>
      </c>
      <c r="BN21" s="3399">
        <v>0</v>
      </c>
      <c r="BO21" s="3397">
        <v>0</v>
      </c>
      <c r="BP21" s="3398">
        <f t="shared" ref="BP21" si="69">BN21</f>
        <v>0</v>
      </c>
      <c r="BQ21" s="3399">
        <v>0</v>
      </c>
      <c r="BR21" s="3397">
        <v>0</v>
      </c>
      <c r="BS21" s="3398">
        <f t="shared" ref="BS21" si="70">BQ21</f>
        <v>0</v>
      </c>
      <c r="BT21" s="3399">
        <v>0</v>
      </c>
      <c r="BU21" s="3366">
        <f t="shared" ref="BU21" si="71">SUM(BW21+BX21)</f>
        <v>0</v>
      </c>
      <c r="BV21" s="3379"/>
      <c r="BW21" s="2942">
        <v>0</v>
      </c>
      <c r="BX21" s="2784">
        <v>0</v>
      </c>
      <c r="BY21" s="3366">
        <f t="shared" ref="BY21" si="72">SUM(CA21+CB21)</f>
        <v>0</v>
      </c>
      <c r="BZ21" s="3379"/>
      <c r="CA21" s="2942">
        <v>0</v>
      </c>
      <c r="CB21" s="2784">
        <v>0</v>
      </c>
      <c r="CC21" s="1990"/>
    </row>
    <row r="22" spans="1:81" ht="21" customHeight="1">
      <c r="A22" s="1231" t="s">
        <v>3</v>
      </c>
      <c r="B22" s="1333">
        <v>2355.1999999999998</v>
      </c>
      <c r="C22" s="17">
        <v>1131.3</v>
      </c>
      <c r="D22" s="31">
        <f t="shared" si="10"/>
        <v>48.034137228260867</v>
      </c>
      <c r="E22" s="17">
        <v>1504.8</v>
      </c>
      <c r="F22" s="31">
        <f t="shared" si="11"/>
        <v>133.0151153540175</v>
      </c>
      <c r="G22" s="17">
        <v>822.8</v>
      </c>
      <c r="H22" s="31">
        <f t="shared" si="12"/>
        <v>54.678362573099413</v>
      </c>
      <c r="I22" s="142">
        <v>864.8</v>
      </c>
      <c r="J22" s="142">
        <v>479</v>
      </c>
      <c r="K22" s="142">
        <v>683.2</v>
      </c>
      <c r="L22" s="142">
        <v>1076.5999999999999</v>
      </c>
      <c r="M22" s="162">
        <f t="shared" si="13"/>
        <v>124.49121184088807</v>
      </c>
      <c r="N22" s="162">
        <f t="shared" si="14"/>
        <v>130.84589207583858</v>
      </c>
      <c r="O22" s="142">
        <v>951.3</v>
      </c>
      <c r="P22" s="162">
        <f t="shared" si="15"/>
        <v>110.0023126734505</v>
      </c>
      <c r="Q22" s="237">
        <v>0</v>
      </c>
      <c r="R22" s="162">
        <f t="shared" si="24"/>
        <v>0</v>
      </c>
      <c r="S22" s="162">
        <f t="shared" si="25"/>
        <v>0</v>
      </c>
      <c r="T22" s="142">
        <f t="shared" si="58"/>
        <v>0</v>
      </c>
      <c r="U22" s="142"/>
      <c r="V22" s="142">
        <f>936.5+417.8+6.4</f>
        <v>1360.7</v>
      </c>
      <c r="W22" s="142">
        <v>1500</v>
      </c>
      <c r="X22" s="1348">
        <v>0</v>
      </c>
      <c r="Y22" s="1356">
        <v>1076</v>
      </c>
      <c r="Z22" s="1360"/>
      <c r="AA22" s="1110">
        <v>0</v>
      </c>
      <c r="AB22" s="1362"/>
      <c r="AC22" s="1069">
        <f t="shared" si="59"/>
        <v>0</v>
      </c>
      <c r="AD22" s="1107">
        <v>0</v>
      </c>
      <c r="AE22" s="1110">
        <f>SUM(AF22:AG22)</f>
        <v>1500</v>
      </c>
      <c r="AF22" s="1069">
        <v>1500</v>
      </c>
      <c r="AG22" s="1107">
        <v>0</v>
      </c>
      <c r="AH22" s="1327">
        <f t="shared" si="18"/>
        <v>998</v>
      </c>
      <c r="AI22" s="1324"/>
      <c r="AJ22" s="1069">
        <v>998</v>
      </c>
      <c r="AK22" s="1107">
        <v>0</v>
      </c>
      <c r="AL22" s="1327">
        <f t="shared" si="20"/>
        <v>0</v>
      </c>
      <c r="AM22" s="1324"/>
      <c r="AN22" s="1069">
        <v>0</v>
      </c>
      <c r="AO22" s="1107">
        <v>0</v>
      </c>
      <c r="AP22" s="1388">
        <f t="shared" si="22"/>
        <v>-1076</v>
      </c>
      <c r="AQ22" s="1389">
        <f>AP22</f>
        <v>-1076</v>
      </c>
      <c r="AR22" s="1389">
        <f t="shared" si="23"/>
        <v>0</v>
      </c>
      <c r="AS22" s="1390">
        <f t="shared" si="2"/>
        <v>-1076</v>
      </c>
      <c r="AT22" s="1110">
        <v>2401.02</v>
      </c>
      <c r="AU22" s="1069">
        <v>2401.02</v>
      </c>
      <c r="AV22" s="1107">
        <v>0</v>
      </c>
      <c r="AW22" s="1110">
        <v>2637.9</v>
      </c>
      <c r="AX22" s="1069">
        <v>2637.9</v>
      </c>
      <c r="AY22" s="2738">
        <v>0</v>
      </c>
      <c r="AZ22" s="1110">
        <v>2704.14</v>
      </c>
      <c r="BA22" s="1069">
        <f t="shared" si="57"/>
        <v>2704.14</v>
      </c>
      <c r="BB22" s="2738">
        <v>0</v>
      </c>
      <c r="BC22" s="1327">
        <f t="shared" si="66"/>
        <v>1500</v>
      </c>
      <c r="BD22" s="2223"/>
      <c r="BE22" s="1069">
        <f>SUM(AF22)</f>
        <v>1500</v>
      </c>
      <c r="BF22" s="1107">
        <v>0</v>
      </c>
      <c r="BG22" s="1327">
        <f t="shared" si="67"/>
        <v>0</v>
      </c>
      <c r="BH22" s="2223"/>
      <c r="BI22" s="1069">
        <v>0</v>
      </c>
      <c r="BJ22" s="1107">
        <v>0</v>
      </c>
      <c r="BK22" s="1990" t="s">
        <v>1522</v>
      </c>
      <c r="BL22" s="3397">
        <f>SUM(BM22:BN22)</f>
        <v>520.9</v>
      </c>
      <c r="BM22" s="3398">
        <v>520.9</v>
      </c>
      <c r="BN22" s="3399">
        <v>0</v>
      </c>
      <c r="BO22" s="3397">
        <f>SUM(BP22:BQ22)</f>
        <v>667.51</v>
      </c>
      <c r="BP22" s="3398">
        <v>667.51</v>
      </c>
      <c r="BQ22" s="3399">
        <v>0</v>
      </c>
      <c r="BR22" s="3397">
        <f>SUM(BS22:BT22)</f>
        <v>890.01</v>
      </c>
      <c r="BS22" s="3398">
        <v>890.01</v>
      </c>
      <c r="BT22" s="3399">
        <v>0</v>
      </c>
      <c r="BU22" s="3366">
        <f>SUM(AZ22/2)</f>
        <v>1352.07</v>
      </c>
      <c r="BV22" s="3379"/>
      <c r="BW22" s="2942">
        <f>SUM(BU22)</f>
        <v>1352.07</v>
      </c>
      <c r="BX22" s="2784">
        <v>0</v>
      </c>
      <c r="BY22" s="3366">
        <f>BG22*(1-0.01)*(1+0.071)*(1+0)</f>
        <v>0</v>
      </c>
      <c r="BZ22" s="3379"/>
      <c r="CA22" s="2942">
        <v>0</v>
      </c>
      <c r="CB22" s="2784">
        <v>0</v>
      </c>
      <c r="CC22" s="1990"/>
    </row>
    <row r="23" spans="1:81" ht="21" customHeight="1">
      <c r="A23" s="1231" t="s">
        <v>4</v>
      </c>
      <c r="B23" s="1333">
        <v>10759.4</v>
      </c>
      <c r="C23" s="17">
        <v>14019.6</v>
      </c>
      <c r="D23" s="31">
        <f t="shared" si="10"/>
        <v>130.30094614941353</v>
      </c>
      <c r="E23" s="17">
        <v>14545.3</v>
      </c>
      <c r="F23" s="31">
        <f t="shared" si="11"/>
        <v>103.74975034951068</v>
      </c>
      <c r="G23" s="17">
        <v>15741.5</v>
      </c>
      <c r="H23" s="31">
        <f t="shared" si="12"/>
        <v>108.22396237960028</v>
      </c>
      <c r="I23" s="142">
        <v>16062.8</v>
      </c>
      <c r="J23" s="142">
        <v>8015.8</v>
      </c>
      <c r="K23" s="142">
        <v>11685.6</v>
      </c>
      <c r="L23" s="142">
        <v>16509</v>
      </c>
      <c r="M23" s="162">
        <f t="shared" si="13"/>
        <v>102.77784695071843</v>
      </c>
      <c r="N23" s="162">
        <f t="shared" si="14"/>
        <v>104.87564717466569</v>
      </c>
      <c r="O23" s="142">
        <v>20707.5</v>
      </c>
      <c r="P23" s="162">
        <f t="shared" si="15"/>
        <v>128.91588017033146</v>
      </c>
      <c r="Q23" s="237">
        <f>ЗП!AP10</f>
        <v>17203.258799999996</v>
      </c>
      <c r="R23" s="162">
        <f t="shared" si="24"/>
        <v>107.09999999999997</v>
      </c>
      <c r="S23" s="162">
        <f t="shared" si="25"/>
        <v>104.20533527166998</v>
      </c>
      <c r="T23" s="142">
        <f t="shared" si="58"/>
        <v>17203.258799999996</v>
      </c>
      <c r="U23" s="142"/>
      <c r="V23" s="142">
        <v>13934.4</v>
      </c>
      <c r="W23" s="142">
        <f>18491.5</f>
        <v>18491.5</v>
      </c>
      <c r="X23" s="1348">
        <f>18491.5-W23</f>
        <v>0</v>
      </c>
      <c r="Y23" s="1356">
        <v>21702.3</v>
      </c>
      <c r="Z23" s="1360">
        <f t="shared" si="16"/>
        <v>1.2615226133783446</v>
      </c>
      <c r="AA23" s="1110">
        <f>ЗП!U26</f>
        <v>18166.641292799999</v>
      </c>
      <c r="AB23" s="1362">
        <f t="shared" si="1"/>
        <v>1.0560000000000003</v>
      </c>
      <c r="AC23" s="1069">
        <f t="shared" si="59"/>
        <v>18166.641292799999</v>
      </c>
      <c r="AD23" s="1107">
        <v>0</v>
      </c>
      <c r="AE23" s="1110">
        <f>SUM(ЗП!AS26)</f>
        <v>18581.7</v>
      </c>
      <c r="AF23" s="1069">
        <f>SUM(AE23)</f>
        <v>18581.7</v>
      </c>
      <c r="AG23" s="1107">
        <v>0</v>
      </c>
      <c r="AH23" s="1327">
        <f t="shared" si="18"/>
        <v>19007.599999999999</v>
      </c>
      <c r="AI23" s="1324">
        <f t="shared" si="19"/>
        <v>1.0462913696398739</v>
      </c>
      <c r="AJ23" s="1069">
        <v>19007.599999999999</v>
      </c>
      <c r="AK23" s="1107">
        <v>0</v>
      </c>
      <c r="AL23" s="1327">
        <f t="shared" si="20"/>
        <v>19007.602758620687</v>
      </c>
      <c r="AM23" s="1324">
        <f t="shared" si="21"/>
        <v>1.046291521490766</v>
      </c>
      <c r="AN23" s="1069">
        <f>ЗП!BB26</f>
        <v>19007.602758620687</v>
      </c>
      <c r="AO23" s="1107">
        <v>0</v>
      </c>
      <c r="AP23" s="1388">
        <f t="shared" si="22"/>
        <v>-3535.6587072000002</v>
      </c>
      <c r="AQ23" s="1389">
        <f t="shared" ref="AQ23:AQ29" si="73">AP23*AC23/AA23</f>
        <v>-3535.6587072000002</v>
      </c>
      <c r="AR23" s="1389">
        <f t="shared" si="23"/>
        <v>0</v>
      </c>
      <c r="AS23" s="1390">
        <f t="shared" si="2"/>
        <v>-3535.6587072000002</v>
      </c>
      <c r="AT23" s="1110">
        <f>SUM(ЗП!BG26)</f>
        <v>9180.1</v>
      </c>
      <c r="AU23" s="1069">
        <f>SUM(AT23)</f>
        <v>9180.1</v>
      </c>
      <c r="AV23" s="1107">
        <v>0</v>
      </c>
      <c r="AW23" s="1110">
        <v>14344.37</v>
      </c>
      <c r="AX23" s="1069">
        <f>SUM(AW23)</f>
        <v>14344.37</v>
      </c>
      <c r="AY23" s="2738">
        <v>0</v>
      </c>
      <c r="AZ23" s="1110">
        <v>19270.03</v>
      </c>
      <c r="BA23" s="1069">
        <f t="shared" si="57"/>
        <v>19270.03</v>
      </c>
      <c r="BB23" s="2738">
        <v>0</v>
      </c>
      <c r="BC23" s="1110">
        <v>20617.97</v>
      </c>
      <c r="BD23" s="2223">
        <f t="shared" si="28"/>
        <v>1.0847222693902812</v>
      </c>
      <c r="BE23" s="1069">
        <f>SUM(BC23)</f>
        <v>20617.97</v>
      </c>
      <c r="BF23" s="1107">
        <v>0</v>
      </c>
      <c r="BG23" s="1327">
        <f>SUM(ЗП!BW26)</f>
        <v>22489.748317808218</v>
      </c>
      <c r="BH23" s="2223">
        <f t="shared" si="29"/>
        <v>1.1831975133007366</v>
      </c>
      <c r="BI23" s="1069">
        <f>SUM(BG23)</f>
        <v>22489.748317808218</v>
      </c>
      <c r="BJ23" s="1107">
        <v>0</v>
      </c>
      <c r="BK23" s="1990" t="str">
        <f>BK13</f>
        <v>Приложение</v>
      </c>
      <c r="BL23" s="3397">
        <f>SUM(BM23:BN23)</f>
        <v>9779.77</v>
      </c>
      <c r="BM23" s="3398">
        <f>SUM(ЗП!CB26)</f>
        <v>9779.77</v>
      </c>
      <c r="BN23" s="3399">
        <v>0</v>
      </c>
      <c r="BO23" s="3397">
        <f>SUM(BP23:BQ23)</f>
        <v>15120</v>
      </c>
      <c r="BP23" s="3398">
        <f>SUM(ЗП!CF26)</f>
        <v>15120</v>
      </c>
      <c r="BQ23" s="3399">
        <v>0</v>
      </c>
      <c r="BR23" s="3397">
        <f>SUM(BS23:BT23)</f>
        <v>20460.23</v>
      </c>
      <c r="BS23" s="3398">
        <f>SUM(ЗП!CJ26)</f>
        <v>20460.23</v>
      </c>
      <c r="BT23" s="3399">
        <v>0</v>
      </c>
      <c r="BU23" s="2941">
        <f>SUM(ЗП!CN26)</f>
        <v>24738.723149589041</v>
      </c>
      <c r="BV23" s="3379">
        <f t="shared" si="30"/>
        <v>1.1000000000000001</v>
      </c>
      <c r="BW23" s="2942">
        <f>SUM(BU23)</f>
        <v>24738.723149589041</v>
      </c>
      <c r="BX23" s="2784">
        <v>0</v>
      </c>
      <c r="BY23" s="3366">
        <f>SUM(ЗП!CR26)</f>
        <v>23845.655243888872</v>
      </c>
      <c r="BZ23" s="3379">
        <f t="shared" ref="BZ23:BZ59" si="74">SUM(BY23/BG23)</f>
        <v>1.0602899999999997</v>
      </c>
      <c r="CA23" s="2942">
        <f>SUM(BY23)</f>
        <v>23845.655243888872</v>
      </c>
      <c r="CB23" s="2784">
        <v>0</v>
      </c>
      <c r="CC23" s="1990"/>
    </row>
    <row r="24" spans="1:81" ht="21" customHeight="1">
      <c r="A24" s="1231" t="s">
        <v>5</v>
      </c>
      <c r="B24" s="1333">
        <v>2718.6</v>
      </c>
      <c r="C24" s="17">
        <v>3582.5</v>
      </c>
      <c r="D24" s="31">
        <f t="shared" si="10"/>
        <v>131.77738541896565</v>
      </c>
      <c r="E24" s="17">
        <v>3729.7</v>
      </c>
      <c r="F24" s="31">
        <f t="shared" si="11"/>
        <v>104.10886252616886</v>
      </c>
      <c r="G24" s="17">
        <v>5216.5</v>
      </c>
      <c r="H24" s="31">
        <f t="shared" si="12"/>
        <v>139.86379601576536</v>
      </c>
      <c r="I24" s="142">
        <f>I23*30.2/100</f>
        <v>4850.9655999999995</v>
      </c>
      <c r="J24" s="142">
        <v>2641.4</v>
      </c>
      <c r="K24" s="142">
        <v>3470.4</v>
      </c>
      <c r="L24" s="142">
        <v>4958.8</v>
      </c>
      <c r="M24" s="162">
        <f t="shared" si="13"/>
        <v>102.22294711799236</v>
      </c>
      <c r="N24" s="162">
        <f t="shared" si="14"/>
        <v>95.059906067286505</v>
      </c>
      <c r="O24" s="142">
        <v>6253.7</v>
      </c>
      <c r="P24" s="162">
        <f t="shared" si="15"/>
        <v>128.91660167616939</v>
      </c>
      <c r="Q24" s="237">
        <f>Q23*0.302</f>
        <v>5195.3841575999986</v>
      </c>
      <c r="R24" s="162">
        <f t="shared" si="24"/>
        <v>107.09999999999997</v>
      </c>
      <c r="S24" s="162">
        <f t="shared" si="25"/>
        <v>104.77099616036134</v>
      </c>
      <c r="T24" s="142">
        <f t="shared" si="58"/>
        <v>5195.3841575999986</v>
      </c>
      <c r="U24" s="142"/>
      <c r="V24" s="142">
        <v>4182.8</v>
      </c>
      <c r="W24" s="142"/>
      <c r="X24" s="1348">
        <v>0</v>
      </c>
      <c r="Y24" s="1356">
        <v>6554.1</v>
      </c>
      <c r="Z24" s="1360">
        <f t="shared" si="16"/>
        <v>1.2615236527625051</v>
      </c>
      <c r="AA24" s="1110">
        <f>AA23*V25</f>
        <v>5453.2256286258353</v>
      </c>
      <c r="AB24" s="1362">
        <f t="shared" si="1"/>
        <v>1.0496289520089976</v>
      </c>
      <c r="AC24" s="1069">
        <f t="shared" si="59"/>
        <v>5453.2256286258353</v>
      </c>
      <c r="AD24" s="1107">
        <v>0</v>
      </c>
      <c r="AE24" s="1110">
        <v>5541.6</v>
      </c>
      <c r="AF24" s="1069">
        <f>SUM(AE24)</f>
        <v>5541.6</v>
      </c>
      <c r="AG24" s="1107">
        <v>0</v>
      </c>
      <c r="AH24" s="1327">
        <f t="shared" si="18"/>
        <v>5721.29</v>
      </c>
      <c r="AI24" s="1324">
        <f t="shared" si="19"/>
        <v>1.0491570291841592</v>
      </c>
      <c r="AJ24" s="1069">
        <v>5721.29</v>
      </c>
      <c r="AK24" s="1107">
        <v>0</v>
      </c>
      <c r="AL24" s="1327">
        <f t="shared" si="20"/>
        <v>5705.6637400073641</v>
      </c>
      <c r="AM24" s="1324">
        <f t="shared" si="21"/>
        <v>1.046291521490766</v>
      </c>
      <c r="AN24" s="1069">
        <f>AN23*AA25</f>
        <v>5705.6637400073641</v>
      </c>
      <c r="AO24" s="1107">
        <v>0</v>
      </c>
      <c r="AP24" s="1388">
        <f t="shared" si="22"/>
        <v>-1100.8743713741651</v>
      </c>
      <c r="AQ24" s="1389">
        <f t="shared" si="73"/>
        <v>-1100.8743713741651</v>
      </c>
      <c r="AR24" s="1389">
        <f t="shared" si="23"/>
        <v>0</v>
      </c>
      <c r="AS24" s="1390">
        <f t="shared" si="2"/>
        <v>-1100.8743713741651</v>
      </c>
      <c r="AT24" s="1110">
        <v>2693.1</v>
      </c>
      <c r="AU24" s="1069">
        <f>SUM(AT24)</f>
        <v>2693.1</v>
      </c>
      <c r="AV24" s="1107">
        <v>0</v>
      </c>
      <c r="AW24" s="1110">
        <v>4238.47</v>
      </c>
      <c r="AX24" s="1069">
        <f>SUM(AW24)</f>
        <v>4238.47</v>
      </c>
      <c r="AY24" s="2738">
        <v>0</v>
      </c>
      <c r="AZ24" s="1110">
        <v>5698.26</v>
      </c>
      <c r="BA24" s="1069">
        <f t="shared" si="57"/>
        <v>5698.26</v>
      </c>
      <c r="BB24" s="2738">
        <v>0</v>
      </c>
      <c r="BC24" s="1327">
        <f t="shared" ref="BC24" si="75">SUM(BE24+BF24)</f>
        <v>6206.0089699999999</v>
      </c>
      <c r="BD24" s="2223">
        <f t="shared" si="28"/>
        <v>1.0876927300296861</v>
      </c>
      <c r="BE24" s="1069">
        <f>SUM(BE23*AH25)</f>
        <v>6206.0089699999999</v>
      </c>
      <c r="BF24" s="1107">
        <f>SUM(BF23*AH25)</f>
        <v>0</v>
      </c>
      <c r="BG24" s="1327">
        <f t="shared" ref="BG24" si="76">SUM(BI24+BJ24)</f>
        <v>6707.09296124499</v>
      </c>
      <c r="BH24" s="2223">
        <f t="shared" si="29"/>
        <v>1.1755149386417107</v>
      </c>
      <c r="BI24" s="1069">
        <f>BI23*BI25</f>
        <v>6707.09296124499</v>
      </c>
      <c r="BJ24" s="1107">
        <f>SUM(BJ23*BC25)</f>
        <v>0</v>
      </c>
      <c r="BK24" s="1990" t="s">
        <v>250</v>
      </c>
      <c r="BL24" s="3397">
        <f>SUM(BM24:BN24)</f>
        <v>2936.21</v>
      </c>
      <c r="BM24" s="3398">
        <v>2936.21</v>
      </c>
      <c r="BN24" s="3399">
        <v>0</v>
      </c>
      <c r="BO24" s="3397">
        <f>SUM(BP24:BQ24)</f>
        <v>4551.8599999999997</v>
      </c>
      <c r="BP24" s="3398">
        <v>4551.8599999999997</v>
      </c>
      <c r="BQ24" s="3399">
        <v>0</v>
      </c>
      <c r="BR24" s="3397">
        <f>SUM(BS24:BT24)</f>
        <v>6158.53</v>
      </c>
      <c r="BS24" s="3398">
        <v>6158.53</v>
      </c>
      <c r="BT24" s="3399">
        <v>0</v>
      </c>
      <c r="BU24" s="3366">
        <f t="shared" ref="BU24" si="77">SUM(BW24+BX24)</f>
        <v>7377.087243207453</v>
      </c>
      <c r="BV24" s="3379">
        <f t="shared" si="30"/>
        <v>1.0998933943265483</v>
      </c>
      <c r="BW24" s="2942">
        <f>SUM(BW23*BW25)</f>
        <v>7377.087243207453</v>
      </c>
      <c r="BX24" s="2784">
        <f>SUM(BX23*AZ25)</f>
        <v>0</v>
      </c>
      <c r="BY24" s="3366">
        <f>BG24*(1-0.01)*(1+0.071)*(1+0)</f>
        <v>7111.4635958784502</v>
      </c>
      <c r="BZ24" s="3379">
        <f t="shared" si="74"/>
        <v>1.06029</v>
      </c>
      <c r="CA24" s="2942">
        <f>SUM(BY24)</f>
        <v>7111.4635958784502</v>
      </c>
      <c r="CB24" s="2784">
        <f>SUM(CB23*BU25)</f>
        <v>0</v>
      </c>
      <c r="CC24" s="1990"/>
    </row>
    <row r="25" spans="1:81" s="191" customFormat="1" ht="21" customHeight="1">
      <c r="A25" s="1232" t="str">
        <f>A15</f>
        <v>то же в %</v>
      </c>
      <c r="B25" s="1334"/>
      <c r="C25" s="31"/>
      <c r="D25" s="31"/>
      <c r="E25" s="391">
        <f>E24/E23</f>
        <v>0.25641959945824422</v>
      </c>
      <c r="F25" s="391">
        <f t="shared" ref="F25:AC25" si="78">F24/F23</f>
        <v>1.0034613305135522</v>
      </c>
      <c r="G25" s="391">
        <f t="shared" si="78"/>
        <v>0.33138519200838545</v>
      </c>
      <c r="H25" s="391"/>
      <c r="I25" s="391">
        <f t="shared" si="78"/>
        <v>0.30199999999999999</v>
      </c>
      <c r="J25" s="391">
        <f t="shared" si="78"/>
        <v>0.32952418972529257</v>
      </c>
      <c r="K25" s="391">
        <f t="shared" si="78"/>
        <v>0.29698089956869994</v>
      </c>
      <c r="L25" s="391">
        <f t="shared" si="78"/>
        <v>0.30036949542673697</v>
      </c>
      <c r="M25" s="391">
        <f t="shared" si="78"/>
        <v>0.99460097823422844</v>
      </c>
      <c r="N25" s="391">
        <f t="shared" si="78"/>
        <v>0.90640590669222276</v>
      </c>
      <c r="O25" s="391">
        <f t="shared" si="78"/>
        <v>0.30200169020886153</v>
      </c>
      <c r="P25" s="391">
        <f t="shared" si="78"/>
        <v>1.0000055967180845</v>
      </c>
      <c r="Q25" s="392">
        <f t="shared" si="78"/>
        <v>0.30199999999999999</v>
      </c>
      <c r="R25" s="391">
        <f t="shared" si="78"/>
        <v>1</v>
      </c>
      <c r="S25" s="391">
        <f t="shared" si="78"/>
        <v>1.0054283294345403</v>
      </c>
      <c r="T25" s="391">
        <f t="shared" si="78"/>
        <v>0.30199999999999999</v>
      </c>
      <c r="U25" s="391"/>
      <c r="V25" s="391">
        <f t="shared" si="78"/>
        <v>0.30017797680560343</v>
      </c>
      <c r="W25" s="391"/>
      <c r="X25" s="1352">
        <v>0</v>
      </c>
      <c r="Y25" s="1357">
        <f t="shared" si="78"/>
        <v>0.30200024882155352</v>
      </c>
      <c r="Z25" s="1360">
        <f t="shared" si="16"/>
        <v>1.0000008239124289</v>
      </c>
      <c r="AA25" s="1108">
        <f t="shared" si="78"/>
        <v>0.30017797680560343</v>
      </c>
      <c r="AB25" s="1070"/>
      <c r="AC25" s="1070">
        <f t="shared" si="78"/>
        <v>0.30017797680560343</v>
      </c>
      <c r="AD25" s="1109"/>
      <c r="AE25" s="1108">
        <f t="shared" ref="AE25" si="79">AE24/AE23</f>
        <v>0.29822890263000695</v>
      </c>
      <c r="AF25" s="1070">
        <f t="shared" ref="AF25" si="80">AF24/AF23</f>
        <v>0.29822890263000695</v>
      </c>
      <c r="AG25" s="1109"/>
      <c r="AH25" s="1108">
        <v>0.30099999999999999</v>
      </c>
      <c r="AI25" s="1324">
        <f t="shared" si="19"/>
        <v>1.0027384527111025</v>
      </c>
      <c r="AJ25" s="1070">
        <v>0.30099999999999999</v>
      </c>
      <c r="AK25" s="1109">
        <v>0</v>
      </c>
      <c r="AL25" s="1108">
        <f>SUM(AL24/AL23)</f>
        <v>0.30017797680560343</v>
      </c>
      <c r="AM25" s="1324">
        <f t="shared" si="21"/>
        <v>1</v>
      </c>
      <c r="AN25" s="1070">
        <f>AA25</f>
        <v>0.30017797680560343</v>
      </c>
      <c r="AO25" s="1109">
        <v>0</v>
      </c>
      <c r="AP25" s="1388">
        <f t="shared" si="22"/>
        <v>-1.8222720159500883E-3</v>
      </c>
      <c r="AQ25" s="1389">
        <f t="shared" si="73"/>
        <v>-1.8222720159500883E-3</v>
      </c>
      <c r="AR25" s="1389">
        <f t="shared" si="23"/>
        <v>0</v>
      </c>
      <c r="AS25" s="1390">
        <f t="shared" si="2"/>
        <v>-1.8222720159500883E-3</v>
      </c>
      <c r="AT25" s="1108">
        <f>AT24/AT23</f>
        <v>0.29336281739850328</v>
      </c>
      <c r="AU25" s="1070">
        <f t="shared" ref="AU25" si="81">AU24/AU23</f>
        <v>0.29336281739850328</v>
      </c>
      <c r="AV25" s="1109">
        <v>0</v>
      </c>
      <c r="AW25" s="1108">
        <f>AW24/AW23</f>
        <v>0.29547968994107093</v>
      </c>
      <c r="AX25" s="1070">
        <f t="shared" ref="AX25" si="82">AX24/AX23</f>
        <v>0.29547968994107093</v>
      </c>
      <c r="AY25" s="2739"/>
      <c r="AZ25" s="1108">
        <f>AZ24/AZ23</f>
        <v>0.29570581882851249</v>
      </c>
      <c r="BA25" s="1070">
        <f t="shared" ref="BA25" si="83">BA24/BA23</f>
        <v>0.29570581882851249</v>
      </c>
      <c r="BB25" s="2739"/>
      <c r="BC25" s="1108">
        <f>SUM(BC24/BC23)</f>
        <v>0.30099999999999999</v>
      </c>
      <c r="BD25" s="2223">
        <f t="shared" si="28"/>
        <v>1.0027384527111025</v>
      </c>
      <c r="BE25" s="1070">
        <f>SUM(BE24/BE23)</f>
        <v>0.30099999999999999</v>
      </c>
      <c r="BF25" s="1109"/>
      <c r="BG25" s="1108">
        <f>AF25</f>
        <v>0.29822890263000695</v>
      </c>
      <c r="BH25" s="2223">
        <f t="shared" si="29"/>
        <v>0.99350693812937951</v>
      </c>
      <c r="BI25" s="1070">
        <f>BG25</f>
        <v>0.29822890263000695</v>
      </c>
      <c r="BJ25" s="1109"/>
      <c r="BK25" s="1992"/>
      <c r="BL25" s="3400">
        <f>BL24/BL23</f>
        <v>0.30023303206517127</v>
      </c>
      <c r="BM25" s="3401">
        <f t="shared" ref="BM25" si="84">BM24/BM23</f>
        <v>0.30023303206517127</v>
      </c>
      <c r="BN25" s="3402">
        <v>0</v>
      </c>
      <c r="BO25" s="3400">
        <f>BO24/BO23</f>
        <v>0.30104894179894176</v>
      </c>
      <c r="BP25" s="3401">
        <f t="shared" ref="BP25" si="85">BP24/BP23</f>
        <v>0.30104894179894176</v>
      </c>
      <c r="BQ25" s="3402">
        <v>0</v>
      </c>
      <c r="BR25" s="3400">
        <f>BR24/BR23</f>
        <v>0.30100003763398553</v>
      </c>
      <c r="BS25" s="3401">
        <f t="shared" ref="BS25" si="86">BS24/BS23</f>
        <v>0.30100003763398553</v>
      </c>
      <c r="BT25" s="3402">
        <v>0</v>
      </c>
      <c r="BU25" s="2943">
        <v>0.29820000000000002</v>
      </c>
      <c r="BV25" s="3379">
        <f t="shared" si="30"/>
        <v>0.99990308575140752</v>
      </c>
      <c r="BW25" s="2944">
        <v>0.29820000000000002</v>
      </c>
      <c r="BX25" s="2785">
        <v>0</v>
      </c>
      <c r="BY25" s="2944">
        <f>SUM(BY24/BY23)</f>
        <v>0.29822890263000701</v>
      </c>
      <c r="BZ25" s="3379">
        <f t="shared" si="74"/>
        <v>1.0000000000000002</v>
      </c>
      <c r="CA25" s="2944">
        <f>SUM(CA24/CA23)</f>
        <v>0.29822890263000701</v>
      </c>
      <c r="CB25" s="2785">
        <v>0</v>
      </c>
      <c r="CC25" s="1992"/>
    </row>
    <row r="26" spans="1:81" ht="21" customHeight="1">
      <c r="A26" s="1231" t="s">
        <v>6</v>
      </c>
      <c r="B26" s="1333">
        <v>6189.4</v>
      </c>
      <c r="C26" s="17">
        <v>7305.4</v>
      </c>
      <c r="D26" s="31">
        <f t="shared" si="10"/>
        <v>118.03082689759911</v>
      </c>
      <c r="E26" s="17">
        <v>8983.7999999999993</v>
      </c>
      <c r="F26" s="31">
        <f t="shared" si="11"/>
        <v>122.97478577490624</v>
      </c>
      <c r="G26" s="17">
        <v>10591.4</v>
      </c>
      <c r="H26" s="31">
        <f t="shared" si="12"/>
        <v>117.89443220018256</v>
      </c>
      <c r="I26" s="142">
        <v>8659.2999999999993</v>
      </c>
      <c r="J26" s="142">
        <v>5710.6</v>
      </c>
      <c r="K26" s="142">
        <f>'цех вода'!K48</f>
        <v>7064.2471622034736</v>
      </c>
      <c r="L26" s="142">
        <v>11296.2</v>
      </c>
      <c r="M26" s="162">
        <f t="shared" si="13"/>
        <v>130.45165313593478</v>
      </c>
      <c r="N26" s="162">
        <f t="shared" si="14"/>
        <v>106.65445550163342</v>
      </c>
      <c r="O26" s="142">
        <v>13061</v>
      </c>
      <c r="P26" s="162">
        <f t="shared" si="15"/>
        <v>150.83205339923552</v>
      </c>
      <c r="Q26" s="237">
        <f>'цех вода'!P48</f>
        <v>10441.008114528178</v>
      </c>
      <c r="R26" s="162">
        <f t="shared" si="24"/>
        <v>120.57565986313188</v>
      </c>
      <c r="S26" s="162">
        <f t="shared" si="25"/>
        <v>92.42938434631273</v>
      </c>
      <c r="T26" s="142">
        <f t="shared" si="58"/>
        <v>10441.008114528178</v>
      </c>
      <c r="U26" s="142"/>
      <c r="V26" s="142">
        <v>7957</v>
      </c>
      <c r="W26" s="142"/>
      <c r="X26" s="1348">
        <v>0</v>
      </c>
      <c r="Y26" s="1356">
        <v>13533.8</v>
      </c>
      <c r="Z26" s="1360">
        <f t="shared" si="16"/>
        <v>1.2962158300756748</v>
      </c>
      <c r="AA26" s="1110">
        <f>'цех вода'!W48</f>
        <v>11085.989359774539</v>
      </c>
      <c r="AB26" s="1362">
        <f t="shared" si="1"/>
        <v>1.0617738477138907</v>
      </c>
      <c r="AC26" s="1069">
        <f t="shared" si="59"/>
        <v>11085.989359774539</v>
      </c>
      <c r="AD26" s="1107">
        <v>0</v>
      </c>
      <c r="AE26" s="1110">
        <v>9696.2999999999993</v>
      </c>
      <c r="AF26" s="1069">
        <f>SUM(AE26)</f>
        <v>9696.2999999999993</v>
      </c>
      <c r="AG26" s="1107">
        <v>0</v>
      </c>
      <c r="AH26" s="1327">
        <f t="shared" si="18"/>
        <v>11831.11</v>
      </c>
      <c r="AI26" s="1324">
        <f t="shared" si="19"/>
        <v>1.0672128229645546</v>
      </c>
      <c r="AJ26" s="1069">
        <v>11831.11</v>
      </c>
      <c r="AK26" s="1107">
        <v>0</v>
      </c>
      <c r="AL26" s="1327">
        <f t="shared" si="20"/>
        <v>11664.267955262609</v>
      </c>
      <c r="AM26" s="1324">
        <f t="shared" si="21"/>
        <v>1.0521630119532994</v>
      </c>
      <c r="AN26" s="1069">
        <f>'цех вода'!AB48</f>
        <v>11664.267955262609</v>
      </c>
      <c r="AO26" s="1107">
        <v>0</v>
      </c>
      <c r="AP26" s="1388">
        <f t="shared" si="22"/>
        <v>-2447.8106402254598</v>
      </c>
      <c r="AQ26" s="1389">
        <f t="shared" si="73"/>
        <v>-2447.8106402254598</v>
      </c>
      <c r="AR26" s="1389">
        <f t="shared" si="23"/>
        <v>0</v>
      </c>
      <c r="AS26" s="1390">
        <f t="shared" si="2"/>
        <v>-2447.8106402254598</v>
      </c>
      <c r="AT26" s="1110">
        <v>5322.04</v>
      </c>
      <c r="AU26" s="1069">
        <f>SUM(AT26)</f>
        <v>5322.04</v>
      </c>
      <c r="AV26" s="1107">
        <v>0</v>
      </c>
      <c r="AW26" s="1110">
        <v>7066.56</v>
      </c>
      <c r="AX26" s="1069">
        <f>SUM(AW26)</f>
        <v>7066.56</v>
      </c>
      <c r="AY26" s="2738">
        <v>0</v>
      </c>
      <c r="AZ26" s="1110">
        <v>9808.8700000000008</v>
      </c>
      <c r="BA26" s="1069">
        <f>SUM(AZ26)</f>
        <v>9808.8700000000008</v>
      </c>
      <c r="BB26" s="2738">
        <v>0</v>
      </c>
      <c r="BC26" s="1110">
        <v>12041.06</v>
      </c>
      <c r="BD26" s="2223">
        <f t="shared" ref="BD26" si="87">SUM(BC26/AL26)</f>
        <v>1.0323031026192597</v>
      </c>
      <c r="BE26" s="1069">
        <f>SUM(BC26)</f>
        <v>12041.06</v>
      </c>
      <c r="BF26" s="1107">
        <v>0</v>
      </c>
      <c r="BG26" s="1327">
        <f>'цех вода'!AG48</f>
        <v>10482.025535236962</v>
      </c>
      <c r="BH26" s="2223">
        <f t="shared" ref="BH26" si="88">SUM(BG26/AL26)</f>
        <v>0.89864409626390229</v>
      </c>
      <c r="BI26" s="1069">
        <f>SUM(BG26)</f>
        <v>10482.025535236962</v>
      </c>
      <c r="BJ26" s="1107">
        <v>0</v>
      </c>
      <c r="BK26" s="1990" t="str">
        <f>BK16</f>
        <v>Приложение</v>
      </c>
      <c r="BL26" s="3397">
        <f>SUM(BM26:BN26)</f>
        <v>4832.79</v>
      </c>
      <c r="BM26" s="3398">
        <f>SUM('цех вода'!AM48)</f>
        <v>4832.79</v>
      </c>
      <c r="BN26" s="3399">
        <v>0</v>
      </c>
      <c r="BO26" s="3397">
        <f>SUM(BP26:BQ26)</f>
        <v>7109.65</v>
      </c>
      <c r="BP26" s="3398">
        <f>SUM('цех вода'!AN48)</f>
        <v>7109.65</v>
      </c>
      <c r="BQ26" s="3399">
        <v>0</v>
      </c>
      <c r="BR26" s="3397">
        <f>SUM(BS26:BT26)</f>
        <v>10481.013689233931</v>
      </c>
      <c r="BS26" s="3398">
        <f>SUM('цех вода'!AO48)</f>
        <v>10481.013689233931</v>
      </c>
      <c r="BT26" s="3399">
        <v>0</v>
      </c>
      <c r="BU26" s="2941">
        <f>SUM('цех вода'!AP48)</f>
        <v>10602.075313440699</v>
      </c>
      <c r="BV26" s="3379">
        <f t="shared" si="30"/>
        <v>1.0114529179308112</v>
      </c>
      <c r="BW26" s="2942">
        <f>SUM(BU26)</f>
        <v>10602.075313440699</v>
      </c>
      <c r="BX26" s="2784">
        <v>0</v>
      </c>
      <c r="BY26" s="3366">
        <f>SUM('цех вода'!AQ48)</f>
        <v>10414.933175514203</v>
      </c>
      <c r="BZ26" s="3379">
        <f t="shared" si="74"/>
        <v>0.99359929438282535</v>
      </c>
      <c r="CA26" s="2942">
        <f>SUM(BY26)</f>
        <v>10414.933175514203</v>
      </c>
      <c r="CB26" s="2784">
        <v>0</v>
      </c>
      <c r="CC26" s="1990"/>
    </row>
    <row r="27" spans="1:81" ht="21" customHeight="1">
      <c r="A27" s="1346" t="s">
        <v>16</v>
      </c>
      <c r="B27" s="1335">
        <f>SUM(B28:B34)</f>
        <v>12845.2</v>
      </c>
      <c r="C27" s="18">
        <f>SUM(C28:C34)</f>
        <v>12180.900000000001</v>
      </c>
      <c r="D27" s="31">
        <f t="shared" si="10"/>
        <v>94.828418397533724</v>
      </c>
      <c r="E27" s="18">
        <f>SUM(E28:E34)-E33</f>
        <v>13961.699999999999</v>
      </c>
      <c r="F27" s="18">
        <f>SUM(F28:F34)-F33</f>
        <v>568.47806769444355</v>
      </c>
      <c r="G27" s="18">
        <f>SUM(G28:G34)-G33</f>
        <v>16318.199999999999</v>
      </c>
      <c r="H27" s="31">
        <f t="shared" si="12"/>
        <v>116.87831711038055</v>
      </c>
      <c r="I27" s="135">
        <f>SUM(I28:I34)-I33</f>
        <v>15689.528200000002</v>
      </c>
      <c r="J27" s="135">
        <f>SUM(J28:J34)-J33</f>
        <v>8282.6</v>
      </c>
      <c r="K27" s="135">
        <f>SUM(K28:K34)-K33</f>
        <v>11231.541001831447</v>
      </c>
      <c r="L27" s="135">
        <f>SUM(L28:L34)-L33</f>
        <v>16770.900000000001</v>
      </c>
      <c r="M27" s="161">
        <f t="shared" si="13"/>
        <v>106.89231560194396</v>
      </c>
      <c r="N27" s="162">
        <f t="shared" si="14"/>
        <v>102.7742030370997</v>
      </c>
      <c r="O27" s="135">
        <f>SUM(O28:O34)</f>
        <v>19432.602000566199</v>
      </c>
      <c r="P27" s="162">
        <f t="shared" si="15"/>
        <v>123.85714696357917</v>
      </c>
      <c r="Q27" s="245">
        <f>SUM(Q28:Q34)-Q33</f>
        <v>16138.03883700253</v>
      </c>
      <c r="R27" s="162">
        <f t="shared" si="24"/>
        <v>102.85866235928323</v>
      </c>
      <c r="S27" s="162">
        <f t="shared" si="25"/>
        <v>96.226432910592337</v>
      </c>
      <c r="T27" s="135" t="e">
        <f>SUM(T28:T34)-T33</f>
        <v>#REF!</v>
      </c>
      <c r="U27" s="135" t="e">
        <f>SUM(U28:U34)</f>
        <v>#REF!</v>
      </c>
      <c r="V27" s="135">
        <f>SUM(V28:V34)-V33</f>
        <v>13925.8</v>
      </c>
      <c r="W27" s="135">
        <f>SUM(W28:W34)-W33</f>
        <v>10238.013705220976</v>
      </c>
      <c r="X27" s="1351">
        <f>SUM(X28:X34)-X33</f>
        <v>58.686294779024138</v>
      </c>
      <c r="Y27" s="1358">
        <f>SUM(Y28:Y34)-Y33</f>
        <v>20746.8</v>
      </c>
      <c r="Z27" s="1360">
        <f t="shared" si="16"/>
        <v>1.2855837199022071</v>
      </c>
      <c r="AA27" s="1330">
        <f>SUM(AA28:AA34)-AA33</f>
        <v>17844.931718610074</v>
      </c>
      <c r="AB27" s="1362">
        <f t="shared" si="1"/>
        <v>1.1057682968077787</v>
      </c>
      <c r="AC27" s="1328">
        <f>SUM(AC28:AC34)-AC33</f>
        <v>17642.358583262347</v>
      </c>
      <c r="AD27" s="1329">
        <f>SUM(AD28:AD34)-AD33</f>
        <v>202.57313534772925</v>
      </c>
      <c r="AE27" s="1330">
        <f>SUM(AE28:AE34)-AE33</f>
        <v>16058.300000000001</v>
      </c>
      <c r="AF27" s="1328">
        <f>SUM(AF28:AF34)-AF33</f>
        <v>15863.911081950979</v>
      </c>
      <c r="AG27" s="1329">
        <f>SUM(AG28:AG34)-AG33</f>
        <v>194.38891804902261</v>
      </c>
      <c r="AH27" s="1323">
        <f t="shared" si="18"/>
        <v>18846.049999999996</v>
      </c>
      <c r="AI27" s="1324">
        <f t="shared" si="19"/>
        <v>1.0561009869455471</v>
      </c>
      <c r="AJ27" s="1328">
        <f>SUM(AJ28:AJ34)-AJ33</f>
        <v>18631.679999999997</v>
      </c>
      <c r="AK27" s="1329">
        <f>SUM(AK28:AK34)-AK33</f>
        <v>214.36999999999998</v>
      </c>
      <c r="AL27" s="1323">
        <f t="shared" si="20"/>
        <v>18173.702953335123</v>
      </c>
      <c r="AM27" s="1324">
        <f t="shared" si="21"/>
        <v>1.0184237877683882</v>
      </c>
      <c r="AN27" s="1328">
        <f>SUM(AN28:AN34)-AN33</f>
        <v>17969.281918178836</v>
      </c>
      <c r="AO27" s="1329">
        <f>SUM(AO28:AO34)-AO33</f>
        <v>204.42103515628872</v>
      </c>
      <c r="AP27" s="1388">
        <f t="shared" si="22"/>
        <v>-2901.868281389925</v>
      </c>
      <c r="AQ27" s="1389">
        <f t="shared" si="73"/>
        <v>-2868.9266839998809</v>
      </c>
      <c r="AR27" s="1389">
        <f t="shared" si="23"/>
        <v>-32.94159739004408</v>
      </c>
      <c r="AS27" s="1390">
        <f t="shared" si="2"/>
        <v>-2901.868281389925</v>
      </c>
      <c r="AT27" s="1330">
        <f t="shared" ref="AT27:BC27" si="89">SUM(AT28:AT34)-AT33</f>
        <v>7881.34</v>
      </c>
      <c r="AU27" s="1328">
        <f t="shared" si="89"/>
        <v>7828.1401733250268</v>
      </c>
      <c r="AV27" s="1329">
        <f t="shared" si="89"/>
        <v>53.19982667497321</v>
      </c>
      <c r="AW27" s="1330">
        <f t="shared" si="89"/>
        <v>12325.890000000001</v>
      </c>
      <c r="AX27" s="1328">
        <f t="shared" si="89"/>
        <v>12251.507318863934</v>
      </c>
      <c r="AY27" s="2740">
        <f t="shared" si="89"/>
        <v>74.382681136067731</v>
      </c>
      <c r="AZ27" s="1330">
        <f t="shared" ref="AZ27:BB27" si="90">SUM(AZ28:AZ34)-AZ33</f>
        <v>16393.490000000002</v>
      </c>
      <c r="BA27" s="1328">
        <f t="shared" si="90"/>
        <v>16316.116136249411</v>
      </c>
      <c r="BB27" s="2740">
        <f t="shared" si="90"/>
        <v>77.373863750587688</v>
      </c>
      <c r="BC27" s="1330">
        <f t="shared" si="89"/>
        <v>20142.307000000001</v>
      </c>
      <c r="BD27" s="2223">
        <f t="shared" si="28"/>
        <v>1.1083215705527756</v>
      </c>
      <c r="BE27" s="1328">
        <f>SUM(BE28:BE34)-BE33</f>
        <v>21373.584955906259</v>
      </c>
      <c r="BF27" s="1329">
        <f>SUM(BF28:BF34)-BF33</f>
        <v>106.20804409374369</v>
      </c>
      <c r="BG27" s="1330">
        <f>SUM(BG28:BG34)-BG33</f>
        <v>18282.661760880437</v>
      </c>
      <c r="BH27" s="2223">
        <f t="shared" si="29"/>
        <v>1.0059954103918771</v>
      </c>
      <c r="BI27" s="1328">
        <f>SUM(BI28:BI34)-BI33</f>
        <v>18186.385721423845</v>
      </c>
      <c r="BJ27" s="1329">
        <f>SUM(BJ28:BJ34)-BJ33</f>
        <v>96.276039456590482</v>
      </c>
      <c r="BK27" s="1993"/>
      <c r="BL27" s="3403">
        <f t="shared" ref="BL27:BN27" si="91">SUM(BL28:BL34)-BL33</f>
        <v>8065.74</v>
      </c>
      <c r="BM27" s="3404">
        <f t="shared" si="91"/>
        <v>8059.3390765736103</v>
      </c>
      <c r="BN27" s="3405">
        <f t="shared" si="91"/>
        <v>6.4009234263892409</v>
      </c>
      <c r="BO27" s="3403">
        <f t="shared" ref="BO27:BQ27" si="92">SUM(BO28:BO34)-BO33</f>
        <v>12577.420000000002</v>
      </c>
      <c r="BP27" s="3404">
        <f t="shared" si="92"/>
        <v>12568.378579889411</v>
      </c>
      <c r="BQ27" s="3405">
        <f t="shared" si="92"/>
        <v>9.0414201105892431</v>
      </c>
      <c r="BR27" s="3403">
        <f t="shared" ref="BR27:BT27" si="93">SUM(BR28:BR34)-BR33</f>
        <v>17500.522676675908</v>
      </c>
      <c r="BS27" s="3404">
        <f t="shared" si="93"/>
        <v>17487.909290594744</v>
      </c>
      <c r="BT27" s="3405">
        <f t="shared" si="93"/>
        <v>12.613386081163497</v>
      </c>
      <c r="BU27" s="2945">
        <f t="shared" ref="BU27" si="94">SUM(BU28:BU34)-BU33</f>
        <v>20117.318246109822</v>
      </c>
      <c r="BV27" s="3379">
        <f t="shared" si="30"/>
        <v>1.1003495283796703</v>
      </c>
      <c r="BW27" s="2946">
        <f>SUM(BW28:BW34)-BW33</f>
        <v>20021.749038289825</v>
      </c>
      <c r="BX27" s="2947">
        <f>SUM(BX28:BX34)-BX33</f>
        <v>95.569207819999406</v>
      </c>
      <c r="BY27" s="2945">
        <f>SUM(BY28:BY34)-BY33</f>
        <v>19623.67377019069</v>
      </c>
      <c r="BZ27" s="3379">
        <f t="shared" si="74"/>
        <v>1.0733488387440184</v>
      </c>
      <c r="CA27" s="2946">
        <f>SUM(CA28:CA34)-CA33</f>
        <v>19520.096060778294</v>
      </c>
      <c r="CB27" s="2947">
        <f>SUM(CB28:CB34)-CB33</f>
        <v>103.57770941239451</v>
      </c>
      <c r="CC27" s="1993"/>
    </row>
    <row r="28" spans="1:81" ht="21" customHeight="1">
      <c r="A28" s="1339" t="s">
        <v>3</v>
      </c>
      <c r="B28" s="1333">
        <v>853.3</v>
      </c>
      <c r="C28" s="17">
        <v>417.9</v>
      </c>
      <c r="D28" s="31">
        <f t="shared" si="10"/>
        <v>48.974569319114025</v>
      </c>
      <c r="E28" s="17">
        <v>562.4</v>
      </c>
      <c r="F28" s="31">
        <f t="shared" si="11"/>
        <v>134.5776501555396</v>
      </c>
      <c r="G28" s="17">
        <v>623.79999999999995</v>
      </c>
      <c r="H28" s="31">
        <f t="shared" si="12"/>
        <v>110.91749644381224</v>
      </c>
      <c r="I28" s="142">
        <v>583.20000000000005</v>
      </c>
      <c r="J28" s="142">
        <v>332.5</v>
      </c>
      <c r="K28" s="142">
        <v>504.5</v>
      </c>
      <c r="L28" s="142">
        <v>710</v>
      </c>
      <c r="M28" s="162">
        <f t="shared" si="13"/>
        <v>121.7421124828532</v>
      </c>
      <c r="N28" s="162">
        <f t="shared" si="14"/>
        <v>113.81853158063481</v>
      </c>
      <c r="O28" s="142">
        <v>686.4</v>
      </c>
      <c r="P28" s="162">
        <f t="shared" si="15"/>
        <v>117.6954732510288</v>
      </c>
      <c r="Q28" s="237">
        <v>0</v>
      </c>
      <c r="R28" s="162">
        <f t="shared" si="24"/>
        <v>0</v>
      </c>
      <c r="S28" s="162">
        <f t="shared" si="25"/>
        <v>0</v>
      </c>
      <c r="T28" s="142" t="e">
        <f>Q28/Q52*T52</f>
        <v>#REF!</v>
      </c>
      <c r="U28" s="142" t="e">
        <f t="shared" ref="U28:U34" si="95">Q28-T28</f>
        <v>#REF!</v>
      </c>
      <c r="V28" s="142">
        <v>286</v>
      </c>
      <c r="W28" s="142">
        <v>300</v>
      </c>
      <c r="X28" s="1348"/>
      <c r="Y28" s="1356">
        <v>780</v>
      </c>
      <c r="Z28" s="1360"/>
      <c r="AA28" s="1110">
        <f>Y28</f>
        <v>780</v>
      </c>
      <c r="AB28" s="1362"/>
      <c r="AC28" s="1069">
        <f>$AC$52/$AA$52*AA28</f>
        <v>771.14555056512506</v>
      </c>
      <c r="AD28" s="1107">
        <f t="shared" si="27"/>
        <v>8.8544494348749367</v>
      </c>
      <c r="AE28" s="1110">
        <f>SUM(AF28:AG28)</f>
        <v>292.5</v>
      </c>
      <c r="AF28" s="1069">
        <v>292.5</v>
      </c>
      <c r="AG28" s="1107">
        <v>0</v>
      </c>
      <c r="AH28" s="1327">
        <f t="shared" si="18"/>
        <v>828.26</v>
      </c>
      <c r="AI28" s="1324">
        <f t="shared" si="19"/>
        <v>1.0618717948717948</v>
      </c>
      <c r="AJ28" s="1069">
        <v>819</v>
      </c>
      <c r="AK28" s="1107">
        <v>9.26</v>
      </c>
      <c r="AL28" s="1327">
        <f t="shared" si="20"/>
        <v>215.84899999999999</v>
      </c>
      <c r="AM28" s="1324">
        <f t="shared" si="21"/>
        <v>0.27672948717948714</v>
      </c>
      <c r="AN28" s="1069">
        <f>'Ремонт вода 2015'!G49/1000</f>
        <v>215.84899999999999</v>
      </c>
      <c r="AO28" s="1107">
        <v>0</v>
      </c>
      <c r="AP28" s="1388">
        <f t="shared" si="22"/>
        <v>0</v>
      </c>
      <c r="AQ28" s="1389">
        <f t="shared" si="73"/>
        <v>0</v>
      </c>
      <c r="AR28" s="1389">
        <f t="shared" si="23"/>
        <v>0</v>
      </c>
      <c r="AS28" s="1390">
        <f t="shared" si="2"/>
        <v>0</v>
      </c>
      <c r="AT28" s="1110">
        <v>151.91</v>
      </c>
      <c r="AU28" s="1069">
        <v>151.91</v>
      </c>
      <c r="AV28" s="1107">
        <v>0</v>
      </c>
      <c r="AW28" s="1110">
        <f>SUM(AX28:AY28)</f>
        <v>233.59</v>
      </c>
      <c r="AX28" s="1069">
        <v>233.59</v>
      </c>
      <c r="AY28" s="2738">
        <v>0</v>
      </c>
      <c r="AZ28" s="1110">
        <f>SUM(BA28:BB28)</f>
        <v>339.39</v>
      </c>
      <c r="BA28" s="1069">
        <v>339.39</v>
      </c>
      <c r="BB28" s="2738">
        <v>0</v>
      </c>
      <c r="BC28" s="1327">
        <v>256.13</v>
      </c>
      <c r="BD28" s="2223">
        <f t="shared" si="28"/>
        <v>1.1866165699169327</v>
      </c>
      <c r="BE28" s="1069">
        <f>SUM('Ремонт вода 2016'!K191/1000)</f>
        <v>1593.616</v>
      </c>
      <c r="BF28" s="1107">
        <v>0</v>
      </c>
      <c r="BG28" s="1327">
        <f>' текРемвода 2016'!I197/1000</f>
        <v>256.13299999999998</v>
      </c>
      <c r="BH28" s="2223">
        <f t="shared" si="29"/>
        <v>1.186630468521976</v>
      </c>
      <c r="BI28" s="1069">
        <f>BG28</f>
        <v>256.13299999999998</v>
      </c>
      <c r="BJ28" s="1107">
        <v>0</v>
      </c>
      <c r="BK28" s="1990" t="s">
        <v>981</v>
      </c>
      <c r="BL28" s="3397">
        <f>SUM(BM28:BN28)</f>
        <v>129.63999999999999</v>
      </c>
      <c r="BM28" s="3398">
        <v>129.63999999999999</v>
      </c>
      <c r="BN28" s="3399">
        <v>0</v>
      </c>
      <c r="BO28" s="3397">
        <f>SUM(BP28:BQ28)</f>
        <v>192.39</v>
      </c>
      <c r="BP28" s="3398">
        <v>192.39</v>
      </c>
      <c r="BQ28" s="3399">
        <v>0</v>
      </c>
      <c r="BR28" s="3397">
        <f>SUM(BS28:BT28)</f>
        <v>256.52</v>
      </c>
      <c r="BS28" s="3398">
        <v>256.52</v>
      </c>
      <c r="BT28" s="3399">
        <v>0</v>
      </c>
      <c r="BU28" s="3366">
        <f>SUM(AE28/2)</f>
        <v>146.25</v>
      </c>
      <c r="BV28" s="3379">
        <f t="shared" si="30"/>
        <v>0.57099241409736357</v>
      </c>
      <c r="BW28" s="2942">
        <f>BU28*BW52/(BW52+BX52)</f>
        <v>145.55522565320666</v>
      </c>
      <c r="BX28" s="2784">
        <f>SUM(BU28-BW28)</f>
        <v>0.69477434679333783</v>
      </c>
      <c r="BY28" s="3366">
        <f>BG28*(1-0.01)*(1+0.071)*(1+0)</f>
        <v>271.57525856999996</v>
      </c>
      <c r="BZ28" s="3379">
        <f t="shared" si="74"/>
        <v>1.06029</v>
      </c>
      <c r="CA28" s="2942">
        <f>BY28</f>
        <v>271.57525856999996</v>
      </c>
      <c r="CB28" s="2784">
        <v>0</v>
      </c>
      <c r="CC28" s="1990"/>
    </row>
    <row r="29" spans="1:81" ht="21" customHeight="1">
      <c r="A29" s="1339" t="s">
        <v>2</v>
      </c>
      <c r="B29" s="1333">
        <v>332.9</v>
      </c>
      <c r="C29" s="17">
        <v>352.9</v>
      </c>
      <c r="D29" s="31">
        <f t="shared" si="10"/>
        <v>106.00781015319916</v>
      </c>
      <c r="E29" s="17">
        <v>309.39999999999998</v>
      </c>
      <c r="F29" s="31">
        <f t="shared" si="11"/>
        <v>87.673561915556817</v>
      </c>
      <c r="G29" s="17">
        <v>267</v>
      </c>
      <c r="H29" s="31">
        <f t="shared" si="12"/>
        <v>86.296056884292184</v>
      </c>
      <c r="I29" s="142">
        <v>257</v>
      </c>
      <c r="J29" s="142">
        <v>129.80000000000001</v>
      </c>
      <c r="K29" s="142">
        <v>203.5</v>
      </c>
      <c r="L29" s="142">
        <v>272.89999999999998</v>
      </c>
      <c r="M29" s="162">
        <f t="shared" si="13"/>
        <v>106.18677042801556</v>
      </c>
      <c r="N29" s="162">
        <f t="shared" si="14"/>
        <v>102.20973782771534</v>
      </c>
      <c r="O29" s="142">
        <v>257</v>
      </c>
      <c r="P29" s="162">
        <f t="shared" si="15"/>
        <v>100</v>
      </c>
      <c r="Q29" s="237">
        <v>257</v>
      </c>
      <c r="R29" s="162">
        <f t="shared" si="24"/>
        <v>100</v>
      </c>
      <c r="S29" s="162">
        <f t="shared" si="25"/>
        <v>94.173689996335668</v>
      </c>
      <c r="T29" s="142" t="e">
        <f>Q29/Q52*T52</f>
        <v>#REF!</v>
      </c>
      <c r="U29" s="142" t="e">
        <f t="shared" si="95"/>
        <v>#REF!</v>
      </c>
      <c r="V29" s="142">
        <v>205.4</v>
      </c>
      <c r="W29" s="142">
        <f>272.9*(объемы!$AB$9-объемы!$AB$18)/объемы!$AB$9</f>
        <v>271.29792232984926</v>
      </c>
      <c r="X29" s="1348">
        <f>272.9-W29</f>
        <v>1.6020776701507202</v>
      </c>
      <c r="Y29" s="1356">
        <v>298.89999999999998</v>
      </c>
      <c r="Z29" s="1360">
        <f t="shared" si="16"/>
        <v>1.1630350194552528</v>
      </c>
      <c r="AA29" s="1110">
        <f>Аморт!G23</f>
        <v>272.89999999999998</v>
      </c>
      <c r="AB29" s="1362">
        <f t="shared" si="1"/>
        <v>1.0618677042801556</v>
      </c>
      <c r="AC29" s="1069">
        <f>$AC$52/$AA$52*AA29</f>
        <v>269.80207788361872</v>
      </c>
      <c r="AD29" s="1107">
        <f t="shared" si="27"/>
        <v>3.0979221163812554</v>
      </c>
      <c r="AE29" s="1110">
        <f>SUM(Аморт!L23)</f>
        <v>72.099999999999994</v>
      </c>
      <c r="AF29" s="1069">
        <f>AF52/AE52*AE29</f>
        <v>71.211022530329288</v>
      </c>
      <c r="AG29" s="1107">
        <f>AE29-AF29</f>
        <v>0.88897746967070645</v>
      </c>
      <c r="AH29" s="1327">
        <f t="shared" si="18"/>
        <v>273</v>
      </c>
      <c r="AI29" s="1324">
        <f t="shared" si="19"/>
        <v>1.0003664345914256</v>
      </c>
      <c r="AJ29" s="1069">
        <v>269.89</v>
      </c>
      <c r="AK29" s="1107">
        <v>3.11</v>
      </c>
      <c r="AL29" s="1327">
        <f t="shared" si="20"/>
        <v>273</v>
      </c>
      <c r="AM29" s="1324">
        <f t="shared" si="21"/>
        <v>1.0003664345914256</v>
      </c>
      <c r="AN29" s="1069">
        <f>Аморт!O23*AN52/(AN52+AO52)</f>
        <v>269.89233787385257</v>
      </c>
      <c r="AO29" s="1107">
        <f>-AN29+Аморт!O23</f>
        <v>3.1076621261474315</v>
      </c>
      <c r="AP29" s="1388">
        <f t="shared" si="22"/>
        <v>-26</v>
      </c>
      <c r="AQ29" s="1389">
        <f t="shared" si="73"/>
        <v>-25.70485168550417</v>
      </c>
      <c r="AR29" s="1389">
        <f t="shared" si="23"/>
        <v>-0.29514831449582957</v>
      </c>
      <c r="AS29" s="1390">
        <f t="shared" si="2"/>
        <v>-26</v>
      </c>
      <c r="AT29" s="1110">
        <f>SUM(Аморт!Q23)</f>
        <v>26.95</v>
      </c>
      <c r="AU29" s="1069">
        <f>AU52/AT52*AT29</f>
        <v>26.764509565531931</v>
      </c>
      <c r="AV29" s="1107">
        <f>AT29-AU29</f>
        <v>0.18549043446806834</v>
      </c>
      <c r="AW29" s="1110">
        <v>40.42</v>
      </c>
      <c r="AX29" s="1069">
        <v>40.17</v>
      </c>
      <c r="AY29" s="2738">
        <v>0.25</v>
      </c>
      <c r="AZ29" s="1110">
        <v>53.89</v>
      </c>
      <c r="BA29" s="1069">
        <f>BA52/AZ52*AZ29</f>
        <v>53.630273355870514</v>
      </c>
      <c r="BB29" s="1107">
        <f>AZ29-BA29</f>
        <v>0.25972664412948632</v>
      </c>
      <c r="BC29" s="1327">
        <f>SUM(Аморт!U23)</f>
        <v>273</v>
      </c>
      <c r="BD29" s="2223">
        <f t="shared" si="28"/>
        <v>1</v>
      </c>
      <c r="BE29" s="1069">
        <f>BE52/BC52*BC29</f>
        <v>271.54196228678882</v>
      </c>
      <c r="BF29" s="1107">
        <f>BC29-BE29</f>
        <v>1.4580377132111835</v>
      </c>
      <c r="BG29" s="1327">
        <f>SUM(Аморт!V23)</f>
        <v>53.893333333333338</v>
      </c>
      <c r="BH29" s="2223">
        <f t="shared" si="29"/>
        <v>0.19741147741147744</v>
      </c>
      <c r="BI29" s="1069">
        <f>BI52/BG52*BG29</f>
        <v>53.605499954246675</v>
      </c>
      <c r="BJ29" s="1107">
        <f>BG29-BI29</f>
        <v>0.2878333790866634</v>
      </c>
      <c r="BK29" s="1990" t="str">
        <f>BK20</f>
        <v>Приложение</v>
      </c>
      <c r="BL29" s="3397">
        <f>SUM(Аморт!AB23)</f>
        <v>26.94</v>
      </c>
      <c r="BM29" s="3398">
        <f>BM52/BL52*BL29</f>
        <v>26.918271332631026</v>
      </c>
      <c r="BN29" s="3399">
        <f>BL29-BM29</f>
        <v>2.1728667368975607E-2</v>
      </c>
      <c r="BO29" s="3397">
        <f>SUM(Аморт!AC23)</f>
        <v>40.409999999999997</v>
      </c>
      <c r="BP29" s="3398">
        <f>BP52/BO52*BO29</f>
        <v>40.380499563854997</v>
      </c>
      <c r="BQ29" s="3399">
        <f>BO29-BP29</f>
        <v>2.9500436144999753E-2</v>
      </c>
      <c r="BR29" s="3397">
        <f>SUM(Аморт!AD23)</f>
        <v>53.879999999999995</v>
      </c>
      <c r="BS29" s="3398">
        <f>BS52/BR52*BR29</f>
        <v>53.840588660603004</v>
      </c>
      <c r="BT29" s="3399">
        <f>BR29-BS29</f>
        <v>3.9411339396991707E-2</v>
      </c>
      <c r="BU29" s="3366">
        <f>SUM(Аморт!AE23)</f>
        <v>53.89</v>
      </c>
      <c r="BV29" s="3379">
        <f t="shared" si="30"/>
        <v>0.9999381494309747</v>
      </c>
      <c r="BW29" s="2942">
        <f>BW52/BU52*BU29</f>
        <v>53.633990498812352</v>
      </c>
      <c r="BX29" s="2784">
        <f>BU29-BW29</f>
        <v>0.25600950118764843</v>
      </c>
      <c r="BY29" s="3366">
        <f>SUM(Аморт!AF23)</f>
        <v>53.89</v>
      </c>
      <c r="BZ29" s="3379">
        <f t="shared" si="74"/>
        <v>0.9999381494309747</v>
      </c>
      <c r="CA29" s="2942">
        <v>53.89</v>
      </c>
      <c r="CB29" s="2784">
        <f>BY29-CA29</f>
        <v>0</v>
      </c>
      <c r="CC29" s="1990"/>
    </row>
    <row r="30" spans="1:81" ht="21" customHeight="1">
      <c r="A30" s="1339" t="s">
        <v>219</v>
      </c>
      <c r="B30" s="1333">
        <v>35.4</v>
      </c>
      <c r="C30" s="129"/>
      <c r="D30" s="31">
        <f t="shared" si="10"/>
        <v>0</v>
      </c>
      <c r="E30" s="2">
        <v>8.6999999999999993</v>
      </c>
      <c r="F30" s="31"/>
      <c r="G30" s="17"/>
      <c r="H30" s="31">
        <f t="shared" si="12"/>
        <v>0</v>
      </c>
      <c r="I30" s="142"/>
      <c r="J30" s="142"/>
      <c r="K30" s="142"/>
      <c r="L30" s="142">
        <v>33.299999999999997</v>
      </c>
      <c r="M30" s="162"/>
      <c r="N30" s="162"/>
      <c r="O30" s="142"/>
      <c r="P30" s="162"/>
      <c r="Q30" s="237"/>
      <c r="R30" s="162"/>
      <c r="S30" s="162"/>
      <c r="T30" s="142"/>
      <c r="U30" s="142">
        <f t="shared" si="95"/>
        <v>0</v>
      </c>
      <c r="V30" s="142">
        <v>0</v>
      </c>
      <c r="W30" s="142">
        <v>0</v>
      </c>
      <c r="X30" s="1348">
        <v>0</v>
      </c>
      <c r="Y30" s="1356">
        <v>0</v>
      </c>
      <c r="Z30" s="1360"/>
      <c r="AA30" s="1110">
        <v>0</v>
      </c>
      <c r="AB30" s="1362"/>
      <c r="AC30" s="1069">
        <f>$AC$52/$AA$52*AA30</f>
        <v>0</v>
      </c>
      <c r="AD30" s="1107">
        <f t="shared" si="27"/>
        <v>0</v>
      </c>
      <c r="AE30" s="1110">
        <v>0</v>
      </c>
      <c r="AF30" s="1069">
        <v>0</v>
      </c>
      <c r="AG30" s="1107">
        <v>0</v>
      </c>
      <c r="AH30" s="1327">
        <f t="shared" si="18"/>
        <v>0</v>
      </c>
      <c r="AI30" s="1324"/>
      <c r="AJ30" s="1069">
        <v>0</v>
      </c>
      <c r="AK30" s="1107">
        <v>0</v>
      </c>
      <c r="AL30" s="1327">
        <f t="shared" si="20"/>
        <v>0</v>
      </c>
      <c r="AM30" s="1324"/>
      <c r="AN30" s="1069">
        <v>0</v>
      </c>
      <c r="AO30" s="1107">
        <v>0</v>
      </c>
      <c r="AP30" s="1388">
        <f t="shared" si="22"/>
        <v>0</v>
      </c>
      <c r="AQ30" s="1389"/>
      <c r="AR30" s="1389"/>
      <c r="AS30" s="1390">
        <f t="shared" si="2"/>
        <v>0</v>
      </c>
      <c r="AT30" s="1110">
        <v>0</v>
      </c>
      <c r="AU30" s="1069">
        <v>0</v>
      </c>
      <c r="AV30" s="1107">
        <v>0</v>
      </c>
      <c r="AW30" s="1110">
        <v>0</v>
      </c>
      <c r="AX30" s="1069">
        <v>0</v>
      </c>
      <c r="AY30" s="2738">
        <v>0</v>
      </c>
      <c r="AZ30" s="1110">
        <v>0</v>
      </c>
      <c r="BA30" s="1069">
        <v>0</v>
      </c>
      <c r="BB30" s="2738">
        <v>0</v>
      </c>
      <c r="BC30" s="1327">
        <f t="shared" ref="BC30" si="96">SUM(BE30+BF30)</f>
        <v>0</v>
      </c>
      <c r="BD30" s="2223"/>
      <c r="BE30" s="1069">
        <v>0</v>
      </c>
      <c r="BF30" s="1107">
        <v>0</v>
      </c>
      <c r="BG30" s="1327">
        <f t="shared" ref="BG30" si="97">SUM(BI30+BJ30)</f>
        <v>0</v>
      </c>
      <c r="BH30" s="2223"/>
      <c r="BI30" s="1069">
        <v>0</v>
      </c>
      <c r="BJ30" s="1107">
        <v>0</v>
      </c>
      <c r="BK30" s="1990"/>
      <c r="BL30" s="3397">
        <v>0</v>
      </c>
      <c r="BM30" s="3398">
        <v>0</v>
      </c>
      <c r="BN30" s="3399">
        <v>0</v>
      </c>
      <c r="BO30" s="3397">
        <v>0</v>
      </c>
      <c r="BP30" s="3398">
        <v>0</v>
      </c>
      <c r="BQ30" s="3399">
        <v>0</v>
      </c>
      <c r="BR30" s="3397">
        <v>0</v>
      </c>
      <c r="BS30" s="3398">
        <v>0</v>
      </c>
      <c r="BT30" s="3399">
        <v>0</v>
      </c>
      <c r="BU30" s="3366">
        <f t="shared" ref="BU30" si="98">SUM(BW30+BX30)</f>
        <v>0</v>
      </c>
      <c r="BV30" s="3379"/>
      <c r="BW30" s="2942">
        <v>0</v>
      </c>
      <c r="BX30" s="2784">
        <v>0</v>
      </c>
      <c r="BY30" s="3366">
        <f t="shared" ref="BY30" si="99">SUM(CA30+CB30)</f>
        <v>0</v>
      </c>
      <c r="BZ30" s="3379"/>
      <c r="CA30" s="2942">
        <v>0</v>
      </c>
      <c r="CB30" s="2784">
        <v>0</v>
      </c>
      <c r="CC30" s="1990"/>
    </row>
    <row r="31" spans="1:81" ht="21" customHeight="1">
      <c r="A31" s="1339" t="s">
        <v>4</v>
      </c>
      <c r="B31" s="1333">
        <v>6114.5</v>
      </c>
      <c r="C31" s="17">
        <v>6562.1</v>
      </c>
      <c r="D31" s="31">
        <f t="shared" si="10"/>
        <v>107.32030419494644</v>
      </c>
      <c r="E31" s="17">
        <v>7516.4</v>
      </c>
      <c r="F31" s="31">
        <f t="shared" ref="F31:F42" si="100">E31/C31*100</f>
        <v>114.54260069185169</v>
      </c>
      <c r="G31" s="17">
        <v>8370</v>
      </c>
      <c r="H31" s="31">
        <f t="shared" si="12"/>
        <v>111.35650045234422</v>
      </c>
      <c r="I31" s="142">
        <v>8699.1</v>
      </c>
      <c r="J31" s="142">
        <v>4218.3999999999996</v>
      </c>
      <c r="K31" s="142">
        <v>5882</v>
      </c>
      <c r="L31" s="142">
        <v>8778.6</v>
      </c>
      <c r="M31" s="162">
        <f t="shared" si="13"/>
        <v>100.91388764354934</v>
      </c>
      <c r="N31" s="162">
        <f t="shared" si="14"/>
        <v>104.88172043010752</v>
      </c>
      <c r="O31" s="142">
        <v>10597</v>
      </c>
      <c r="P31" s="162">
        <f t="shared" si="15"/>
        <v>121.81719948040602</v>
      </c>
      <c r="Q31" s="237">
        <f>ЗП!AP11</f>
        <v>9316.8646200000003</v>
      </c>
      <c r="R31" s="162">
        <f t="shared" si="24"/>
        <v>107.10147739421319</v>
      </c>
      <c r="S31" s="162">
        <f t="shared" si="25"/>
        <v>106.13155423416035</v>
      </c>
      <c r="T31" s="142" t="e">
        <f>Q31/Q52*T52</f>
        <v>#REF!</v>
      </c>
      <c r="U31" s="142" t="e">
        <f t="shared" si="95"/>
        <v>#REF!</v>
      </c>
      <c r="V31" s="142">
        <v>7252.1</v>
      </c>
      <c r="W31" s="142">
        <f>9723.8*(объемы!$AB$9-объемы!$AB$18)/объемы!$AB$9</f>
        <v>9666.7157828911259</v>
      </c>
      <c r="X31" s="1348">
        <f>9723.8-W31</f>
        <v>57.084217108873418</v>
      </c>
      <c r="Y31" s="1356">
        <v>11262.6</v>
      </c>
      <c r="Z31" s="1360">
        <f t="shared" si="16"/>
        <v>1.2088401473413273</v>
      </c>
      <c r="AA31" s="1110">
        <f>ЗП!U27</f>
        <v>9838.6090387200002</v>
      </c>
      <c r="AB31" s="1362">
        <f t="shared" si="1"/>
        <v>1.056</v>
      </c>
      <c r="AC31" s="1069">
        <f>$AC$52/$AA$52*AA31</f>
        <v>9726.9225435368589</v>
      </c>
      <c r="AD31" s="1107">
        <f t="shared" si="27"/>
        <v>111.68649518314123</v>
      </c>
      <c r="AE31" s="1110">
        <f>SUM(ЗП!AS27)</f>
        <v>9116.1</v>
      </c>
      <c r="AF31" s="1069">
        <f>AF52/AE52*AE31</f>
        <v>9003.7004506065859</v>
      </c>
      <c r="AG31" s="1107">
        <f>AE31-AF31</f>
        <v>112.39954939341442</v>
      </c>
      <c r="AH31" s="1327">
        <f t="shared" si="18"/>
        <v>10364.799999999999</v>
      </c>
      <c r="AI31" s="1324">
        <f t="shared" si="19"/>
        <v>1.0534822513232476</v>
      </c>
      <c r="AJ31" s="1069">
        <v>10246.81</v>
      </c>
      <c r="AK31" s="1107">
        <v>117.99</v>
      </c>
      <c r="AL31" s="1327">
        <f t="shared" si="20"/>
        <v>10364.799999999999</v>
      </c>
      <c r="AM31" s="1324">
        <f t="shared" si="21"/>
        <v>1.0534822513232476</v>
      </c>
      <c r="AN31" s="1069">
        <f>ЗП!BB27*AN52/(AN52+AO52)</f>
        <v>10246.813566281709</v>
      </c>
      <c r="AO31" s="1107">
        <f>-AN31+ЗП!BB27</f>
        <v>117.98643371828985</v>
      </c>
      <c r="AP31" s="1388">
        <f t="shared" si="22"/>
        <v>-1423.9909612800002</v>
      </c>
      <c r="AQ31" s="1389">
        <f t="shared" ref="AQ31:AQ36" si="101">AP31*AC31/AA31</f>
        <v>-1407.8260177384966</v>
      </c>
      <c r="AR31" s="1389">
        <f t="shared" si="23"/>
        <v>-16.16494354150359</v>
      </c>
      <c r="AS31" s="1390">
        <f t="shared" si="2"/>
        <v>-1423.9909612800002</v>
      </c>
      <c r="AT31" s="1110">
        <f>SUM(ЗП!BG27)</f>
        <v>4499.5</v>
      </c>
      <c r="AU31" s="1069">
        <f>AU52/AT52*AT31</f>
        <v>4468.5310126200711</v>
      </c>
      <c r="AV31" s="1107">
        <f>AT31-AU31</f>
        <v>30.968987379928876</v>
      </c>
      <c r="AW31" s="1110">
        <v>6931.08</v>
      </c>
      <c r="AX31" s="1069">
        <f>AX52/AW52*AW31</f>
        <v>6888.4460255853382</v>
      </c>
      <c r="AY31" s="2738">
        <f>AW31-AX31</f>
        <v>42.633974414661679</v>
      </c>
      <c r="AZ31" s="1110">
        <v>9142.15</v>
      </c>
      <c r="BA31" s="1069">
        <f>BA52/AZ52*AZ31</f>
        <v>9098.0887652694673</v>
      </c>
      <c r="BB31" s="2738">
        <f>AZ31-BA31</f>
        <v>44.061234730532306</v>
      </c>
      <c r="BC31" s="1327">
        <f>SUM(ЗП!BS27)</f>
        <v>11401.28</v>
      </c>
      <c r="BD31" s="2223">
        <f t="shared" si="28"/>
        <v>1.1000000000000001</v>
      </c>
      <c r="BE31" s="1069">
        <f>BE52/BC52*BC31</f>
        <v>11340.388072458316</v>
      </c>
      <c r="BF31" s="1107">
        <f>BC31-BE31</f>
        <v>60.891927541684709</v>
      </c>
      <c r="BG31" s="1327">
        <f>SUM(ЗП!BW27)</f>
        <v>10629.419452631584</v>
      </c>
      <c r="BH31" s="2223">
        <f t="shared" si="29"/>
        <v>1.0255305893631894</v>
      </c>
      <c r="BI31" s="1069">
        <f>BI52/BG52*BG31</f>
        <v>10572.649875959507</v>
      </c>
      <c r="BJ31" s="1107">
        <f>BG31-BI31</f>
        <v>56.769576672077164</v>
      </c>
      <c r="BK31" s="1990" t="str">
        <f>BK23</f>
        <v>Приложение</v>
      </c>
      <c r="BL31" s="3397">
        <f>SUM(ЗП!CB27)</f>
        <v>4533.79</v>
      </c>
      <c r="BM31" s="3398">
        <f>BM52/BL52*BL31</f>
        <v>4530.1332362720568</v>
      </c>
      <c r="BN31" s="3399">
        <f>BL31-BM31</f>
        <v>3.6567637279431437</v>
      </c>
      <c r="BO31" s="3397">
        <f>SUM(ЗП!CF27)</f>
        <v>7131.68</v>
      </c>
      <c r="BP31" s="3398">
        <f>BP52/BO52*BO31</f>
        <v>7126.4736730896666</v>
      </c>
      <c r="BQ31" s="3399">
        <f>BO31-BP31</f>
        <v>5.2063269103337007</v>
      </c>
      <c r="BR31" s="3397">
        <f>SUM(ЗП!CJ27)</f>
        <v>9729.57</v>
      </c>
      <c r="BS31" s="3398">
        <f>BS52/BR52*BR31</f>
        <v>9722.4531591414852</v>
      </c>
      <c r="BT31" s="3399">
        <f>BR31-BS31</f>
        <v>7.1168408585144789</v>
      </c>
      <c r="BU31" s="3366">
        <f>SUM(ЗП!CN27)</f>
        <v>11692.361397894741</v>
      </c>
      <c r="BV31" s="3379">
        <f t="shared" si="30"/>
        <v>1.0999999999999999</v>
      </c>
      <c r="BW31" s="2942">
        <f>BW52/BU52*BU31</f>
        <v>11636.81573804726</v>
      </c>
      <c r="BX31" s="2784">
        <f>BU31-BW31</f>
        <v>55.545659847481147</v>
      </c>
      <c r="BY31" s="3366">
        <f>SUM(ЗП!CR27)</f>
        <v>11270.267151430742</v>
      </c>
      <c r="BZ31" s="3379">
        <f t="shared" si="74"/>
        <v>1.06029</v>
      </c>
      <c r="CA31" s="2942">
        <f>CA52/BY52*BY31</f>
        <v>11209.777160595168</v>
      </c>
      <c r="CB31" s="2784">
        <f>BY31-CA31</f>
        <v>60.489990835574645</v>
      </c>
      <c r="CC31" s="1990"/>
    </row>
    <row r="32" spans="1:81" ht="21" customHeight="1">
      <c r="A32" s="1339" t="s">
        <v>5</v>
      </c>
      <c r="B32" s="1333">
        <v>1537.3</v>
      </c>
      <c r="C32" s="17">
        <v>1692.9</v>
      </c>
      <c r="D32" s="31">
        <f t="shared" si="10"/>
        <v>110.1216418395889</v>
      </c>
      <c r="E32" s="17">
        <v>2020.4</v>
      </c>
      <c r="F32" s="31">
        <f t="shared" si="100"/>
        <v>119.34550180164216</v>
      </c>
      <c r="G32" s="17">
        <v>2846.8</v>
      </c>
      <c r="H32" s="31">
        <f t="shared" si="12"/>
        <v>140.90279152643041</v>
      </c>
      <c r="I32" s="142">
        <f>I31*30.2/100</f>
        <v>2627.1282000000001</v>
      </c>
      <c r="J32" s="142">
        <v>1433.5</v>
      </c>
      <c r="K32" s="142">
        <v>1767.4</v>
      </c>
      <c r="L32" s="142">
        <v>2640.5</v>
      </c>
      <c r="M32" s="162">
        <f t="shared" si="13"/>
        <v>100.50898924536686</v>
      </c>
      <c r="N32" s="162">
        <f t="shared" si="14"/>
        <v>92.75326682590979</v>
      </c>
      <c r="O32" s="142">
        <v>3200.3</v>
      </c>
      <c r="P32" s="162">
        <f t="shared" si="15"/>
        <v>121.81742786667206</v>
      </c>
      <c r="Q32" s="237">
        <f>Q31*0.302</f>
        <v>2813.6931152400002</v>
      </c>
      <c r="R32" s="162">
        <f t="shared" si="24"/>
        <v>107.10147739421321</v>
      </c>
      <c r="S32" s="162">
        <f t="shared" si="25"/>
        <v>106.5591030198826</v>
      </c>
      <c r="T32" s="142" t="e">
        <f>Q32/Q52*T52</f>
        <v>#REF!</v>
      </c>
      <c r="U32" s="142" t="e">
        <f t="shared" si="95"/>
        <v>#REF!</v>
      </c>
      <c r="V32" s="142">
        <v>2190.9</v>
      </c>
      <c r="W32" s="142"/>
      <c r="X32" s="1348"/>
      <c r="Y32" s="1356">
        <v>3401.3</v>
      </c>
      <c r="Z32" s="1360">
        <f t="shared" si="16"/>
        <v>1.2088382992364393</v>
      </c>
      <c r="AA32" s="1110">
        <f>AA31*0.302</f>
        <v>2971.25992969344</v>
      </c>
      <c r="AB32" s="1362">
        <f t="shared" si="1"/>
        <v>1.0559999999999998</v>
      </c>
      <c r="AC32" s="1069">
        <f>$AC$52/$AA$52*AA32</f>
        <v>2937.5306081481317</v>
      </c>
      <c r="AD32" s="1107">
        <f t="shared" si="27"/>
        <v>33.729321545308267</v>
      </c>
      <c r="AE32" s="1110">
        <v>2737.5</v>
      </c>
      <c r="AF32" s="1069">
        <f>AF52/AE52*AE32</f>
        <v>2703.7472146570935</v>
      </c>
      <c r="AG32" s="1107">
        <f>AE32-AF32</f>
        <v>33.752785342906463</v>
      </c>
      <c r="AH32" s="1327">
        <f t="shared" si="18"/>
        <v>3130.17</v>
      </c>
      <c r="AI32" s="1324">
        <f t="shared" si="19"/>
        <v>1.0534823859462727</v>
      </c>
      <c r="AJ32" s="1069">
        <v>3094.54</v>
      </c>
      <c r="AK32" s="1107">
        <v>35.630000000000003</v>
      </c>
      <c r="AL32" s="1327">
        <f t="shared" si="20"/>
        <v>3130.1695999999997</v>
      </c>
      <c r="AM32" s="1324">
        <f t="shared" si="21"/>
        <v>1.0534822513232476</v>
      </c>
      <c r="AN32" s="1069">
        <f>AN31*0.302</f>
        <v>3094.537697017076</v>
      </c>
      <c r="AO32" s="1107">
        <f>AO31*0.302</f>
        <v>35.631902982923535</v>
      </c>
      <c r="AP32" s="1388">
        <f t="shared" si="22"/>
        <v>-430.04007030656021</v>
      </c>
      <c r="AQ32" s="1389">
        <f t="shared" si="101"/>
        <v>-425.15831638668908</v>
      </c>
      <c r="AR32" s="1389">
        <f t="shared" si="23"/>
        <v>-4.8817539198711302</v>
      </c>
      <c r="AS32" s="1390">
        <f t="shared" si="2"/>
        <v>-430.04007030656021</v>
      </c>
      <c r="AT32" s="1110">
        <v>1349.84</v>
      </c>
      <c r="AU32" s="1069">
        <f>AT32*AU52/(AU52+AV52)</f>
        <v>1340.5493726136408</v>
      </c>
      <c r="AV32" s="1107">
        <f>AT32-AU32</f>
        <v>9.2906273863591196</v>
      </c>
      <c r="AW32" s="1110">
        <v>2082.86</v>
      </c>
      <c r="AX32" s="1069">
        <f>AW32*AX52/(AX52+AY52)</f>
        <v>2070.0480572797715</v>
      </c>
      <c r="AY32" s="2738">
        <f>AW32-AX32</f>
        <v>12.811942720228672</v>
      </c>
      <c r="AZ32" s="1110">
        <v>2748.41</v>
      </c>
      <c r="BA32" s="1069">
        <f>AZ32*BA52/(BA52+BB52)</f>
        <v>2735.1638447579899</v>
      </c>
      <c r="BB32" s="2738">
        <f>AZ32-BA32</f>
        <v>13.246155242009991</v>
      </c>
      <c r="BC32" s="1327">
        <f t="shared" ref="BC32" si="102">SUM(BE32+BF32)</f>
        <v>3443.1870000000008</v>
      </c>
      <c r="BD32" s="2223">
        <f t="shared" si="28"/>
        <v>1.1000001405674635</v>
      </c>
      <c r="BE32" s="1069">
        <f>SUM(BE31*AH33)</f>
        <v>3424.7976355324613</v>
      </c>
      <c r="BF32" s="1107">
        <f>SUM(BF31*AH33)</f>
        <v>18.389364467539679</v>
      </c>
      <c r="BG32" s="1327">
        <f t="shared" ref="BG32" si="103">SUM(BI32+BJ32)</f>
        <v>3191.9390695120683</v>
      </c>
      <c r="BH32" s="2223">
        <f t="shared" si="29"/>
        <v>1.0197335855258669</v>
      </c>
      <c r="BI32" s="1069">
        <f>BI31*BI33</f>
        <v>3174.8915693596114</v>
      </c>
      <c r="BJ32" s="1107">
        <f>BJ31*BJ33</f>
        <v>17.047500152456781</v>
      </c>
      <c r="BK32" s="1990" t="s">
        <v>250</v>
      </c>
      <c r="BL32" s="3397">
        <v>1321.82</v>
      </c>
      <c r="BM32" s="3398">
        <f>BL32*BM52/(BM52+BN52)</f>
        <v>1320.7538757571767</v>
      </c>
      <c r="BN32" s="3399">
        <f>BL32-BM32</f>
        <v>1.0661242428232072</v>
      </c>
      <c r="BO32" s="3397">
        <v>2043.06</v>
      </c>
      <c r="BP32" s="3398">
        <f>BO32*BP52/(BP52+BQ52)</f>
        <v>2041.5685087584654</v>
      </c>
      <c r="BQ32" s="3399">
        <f>BO32-BP32</f>
        <v>1.4914912415345043</v>
      </c>
      <c r="BR32" s="3397">
        <v>2787.53</v>
      </c>
      <c r="BS32" s="3398">
        <f>BR32*BS52/(BS52+BT52)</f>
        <v>2785.4910190996793</v>
      </c>
      <c r="BT32" s="3399">
        <f>BR32-BS32</f>
        <v>2.0389809003208939</v>
      </c>
      <c r="BU32" s="3366">
        <f t="shared" ref="BU32" si="104">SUM(BW32+BX32)</f>
        <v>3514.7238362071589</v>
      </c>
      <c r="BV32" s="3379">
        <f t="shared" si="30"/>
        <v>1.1011249775342462</v>
      </c>
      <c r="BW32" s="2942">
        <f>SUM(BW31*BW33)</f>
        <v>3498.0268108570062</v>
      </c>
      <c r="BX32" s="2784">
        <f>SUM(BX31*BX33)</f>
        <v>16.697025350152831</v>
      </c>
      <c r="BY32" s="3366">
        <f>BG32*(1-0.01)*(1+0.071)*(1+0)</f>
        <v>3384.3810760129504</v>
      </c>
      <c r="BZ32" s="3379">
        <f t="shared" si="74"/>
        <v>1.06029</v>
      </c>
      <c r="CA32" s="2942">
        <f>CA31*CA33</f>
        <v>3366.2163619452699</v>
      </c>
      <c r="CB32" s="2784">
        <f>CB31*CB33</f>
        <v>18.164714067680872</v>
      </c>
      <c r="CC32" s="1990"/>
    </row>
    <row r="33" spans="1:81" s="191" customFormat="1" ht="21" customHeight="1">
      <c r="A33" s="1340" t="str">
        <f>A25</f>
        <v>то же в %</v>
      </c>
      <c r="B33" s="1334"/>
      <c r="C33" s="31"/>
      <c r="D33" s="31"/>
      <c r="E33" s="391">
        <f>E32/E31</f>
        <v>0.26879889308711619</v>
      </c>
      <c r="F33" s="391">
        <f>F32/F31</f>
        <v>1.0419311337509394</v>
      </c>
      <c r="G33" s="391">
        <f>G32/G31</f>
        <v>0.3401194743130227</v>
      </c>
      <c r="H33" s="391"/>
      <c r="I33" s="391">
        <f t="shared" ref="I33:T33" si="105">I32/I31</f>
        <v>0.30199999999999999</v>
      </c>
      <c r="J33" s="391">
        <f t="shared" si="105"/>
        <v>0.33982078513180358</v>
      </c>
      <c r="K33" s="391">
        <f t="shared" si="105"/>
        <v>0.30047602856171374</v>
      </c>
      <c r="L33" s="391">
        <f t="shared" si="105"/>
        <v>0.30078828059143825</v>
      </c>
      <c r="M33" s="391">
        <f t="shared" si="105"/>
        <v>0.99598768407761007</v>
      </c>
      <c r="N33" s="391">
        <f t="shared" si="105"/>
        <v>0.88436065355850024</v>
      </c>
      <c r="O33" s="391">
        <f t="shared" si="105"/>
        <v>0.3020005661979806</v>
      </c>
      <c r="P33" s="391">
        <f t="shared" si="105"/>
        <v>1.0000018748277502</v>
      </c>
      <c r="Q33" s="392">
        <f t="shared" si="105"/>
        <v>0.30199999999999999</v>
      </c>
      <c r="R33" s="391">
        <f t="shared" si="105"/>
        <v>1.0000000000000002</v>
      </c>
      <c r="S33" s="391">
        <f t="shared" si="105"/>
        <v>1.0040284794546488</v>
      </c>
      <c r="T33" s="391" t="e">
        <f t="shared" si="105"/>
        <v>#REF!</v>
      </c>
      <c r="U33" s="391"/>
      <c r="V33" s="391">
        <f>V32/V31</f>
        <v>0.3021055969994898</v>
      </c>
      <c r="W33" s="391"/>
      <c r="X33" s="1352">
        <v>0</v>
      </c>
      <c r="Y33" s="1357">
        <f>Y32/Y31</f>
        <v>0.30199953829488752</v>
      </c>
      <c r="Z33" s="1360">
        <f>Y33/Q33</f>
        <v>0.9999984711751243</v>
      </c>
      <c r="AA33" s="1108">
        <f>AA32/AA31</f>
        <v>0.30199999999999999</v>
      </c>
      <c r="AB33" s="1070"/>
      <c r="AC33" s="1070">
        <f>AC32/AC31</f>
        <v>0.30200000000000005</v>
      </c>
      <c r="AD33" s="1109"/>
      <c r="AE33" s="1108">
        <f>AE32/AE31</f>
        <v>0.30029288840622631</v>
      </c>
      <c r="AF33" s="1070">
        <f>AF32/AF31</f>
        <v>0.30029288840622637</v>
      </c>
      <c r="AG33" s="1109"/>
      <c r="AH33" s="1108">
        <f>AH32/AH31</f>
        <v>0.30200003859215813</v>
      </c>
      <c r="AI33" s="1324">
        <f t="shared" si="19"/>
        <v>1.000000127788603</v>
      </c>
      <c r="AJ33" s="1070">
        <f>AJ32/AJ31</f>
        <v>0.30200032985875608</v>
      </c>
      <c r="AK33" s="1109">
        <f>AK32/AK31</f>
        <v>0.30197474362234089</v>
      </c>
      <c r="AL33" s="1108">
        <f>AL32/AL31</f>
        <v>0.30199999999999999</v>
      </c>
      <c r="AM33" s="1324">
        <f t="shared" si="21"/>
        <v>1</v>
      </c>
      <c r="AN33" s="1070">
        <f>AN32/AN31</f>
        <v>0.30199999999999999</v>
      </c>
      <c r="AO33" s="1109">
        <f>AO32/AO31</f>
        <v>0.30199999999999999</v>
      </c>
      <c r="AP33" s="1388">
        <f>AA33-Y33</f>
        <v>4.6170511247556334E-7</v>
      </c>
      <c r="AQ33" s="1389">
        <f t="shared" si="101"/>
        <v>4.6170511247556339E-7</v>
      </c>
      <c r="AR33" s="1389">
        <f>AP33-AQ33</f>
        <v>0</v>
      </c>
      <c r="AS33" s="1390">
        <f>AQ33+AR33</f>
        <v>4.6170511247556339E-7</v>
      </c>
      <c r="AT33" s="1108">
        <f>AT32/AT31</f>
        <v>0.29999777753083673</v>
      </c>
      <c r="AU33" s="1070">
        <f t="shared" ref="AU33" si="106">AU32/AU31</f>
        <v>0.29999777753083678</v>
      </c>
      <c r="AV33" s="1109">
        <f t="shared" ref="AV33" si="107">AV32/AV31</f>
        <v>0.29999777753083434</v>
      </c>
      <c r="AW33" s="1108">
        <f>AW32/AW31</f>
        <v>0.30051016580388629</v>
      </c>
      <c r="AX33" s="1070">
        <f t="shared" ref="AX33" si="108">AX32/AX31</f>
        <v>0.30051016580388629</v>
      </c>
      <c r="AY33" s="2739">
        <f t="shared" ref="AY33" si="109">AY32/AY31</f>
        <v>0.30051016580388734</v>
      </c>
      <c r="AZ33" s="1108">
        <f>AZ32/AZ31</f>
        <v>0.30063059564763212</v>
      </c>
      <c r="BA33" s="1070">
        <f t="shared" ref="BA33:BB33" si="110">BA32/BA31</f>
        <v>0.30063059564763212</v>
      </c>
      <c r="BB33" s="2739">
        <f t="shared" si="110"/>
        <v>0.30063059564763051</v>
      </c>
      <c r="BC33" s="1108">
        <f>SUM(BC32/BC31)</f>
        <v>0.30200003859215813</v>
      </c>
      <c r="BD33" s="2223">
        <f t="shared" si="28"/>
        <v>1.000000127788603</v>
      </c>
      <c r="BE33" s="1070">
        <f>SUM(BE32/BE31)</f>
        <v>0.30200003859215813</v>
      </c>
      <c r="BF33" s="1109">
        <f>SUM(BF32/BF31)</f>
        <v>0.30200003859215813</v>
      </c>
      <c r="BG33" s="1108">
        <f>AF33</f>
        <v>0.30029288840622637</v>
      </c>
      <c r="BH33" s="2223">
        <f t="shared" si="29"/>
        <v>0.99434731260339859</v>
      </c>
      <c r="BI33" s="1070">
        <f>BG33</f>
        <v>0.30029288840622637</v>
      </c>
      <c r="BJ33" s="1109">
        <f>BG33</f>
        <v>0.30029288840622637</v>
      </c>
      <c r="BK33" s="1992"/>
      <c r="BL33" s="3400">
        <f>BL32/BL31</f>
        <v>0.29154857194532607</v>
      </c>
      <c r="BM33" s="3401">
        <f t="shared" ref="BM33:BN33" si="111">BM32/BM31</f>
        <v>0.29154857194532613</v>
      </c>
      <c r="BN33" s="3402">
        <f t="shared" si="111"/>
        <v>0.29154857194530331</v>
      </c>
      <c r="BO33" s="3400">
        <f>BO32/BO31</f>
        <v>0.28647667870684046</v>
      </c>
      <c r="BP33" s="3401">
        <f t="shared" ref="BP33:BQ33" si="112">BP32/BP31</f>
        <v>0.28647667870684046</v>
      </c>
      <c r="BQ33" s="3402">
        <f t="shared" si="112"/>
        <v>0.28647667870685184</v>
      </c>
      <c r="BR33" s="3400">
        <f>BR32/BR31</f>
        <v>0.28650084227771633</v>
      </c>
      <c r="BS33" s="3401">
        <f t="shared" ref="BS33:BT33" si="113">BS32/BS31</f>
        <v>0.28650084227771633</v>
      </c>
      <c r="BT33" s="3402">
        <f t="shared" si="113"/>
        <v>0.28650084227772055</v>
      </c>
      <c r="BU33" s="2943">
        <v>0.30059999999999998</v>
      </c>
      <c r="BV33" s="3379">
        <f t="shared" si="30"/>
        <v>1.0010227068493149</v>
      </c>
      <c r="BW33" s="2944">
        <v>0.30059999999999998</v>
      </c>
      <c r="BX33" s="2785">
        <v>0.30059999999999998</v>
      </c>
      <c r="BY33" s="2943">
        <f>SUM(BY32/BY31)</f>
        <v>0.30029288840622637</v>
      </c>
      <c r="BZ33" s="3379">
        <f t="shared" si="74"/>
        <v>1</v>
      </c>
      <c r="CA33" s="2944">
        <f>BY33</f>
        <v>0.30029288840622637</v>
      </c>
      <c r="CB33" s="2785">
        <f>BY33</f>
        <v>0.30029288840622637</v>
      </c>
      <c r="CC33" s="1992"/>
    </row>
    <row r="34" spans="1:81" ht="21" customHeight="1">
      <c r="A34" s="1339" t="s">
        <v>6</v>
      </c>
      <c r="B34" s="1333">
        <v>3971.8</v>
      </c>
      <c r="C34" s="17">
        <v>3155.1</v>
      </c>
      <c r="D34" s="31">
        <f t="shared" si="10"/>
        <v>79.437534619064394</v>
      </c>
      <c r="E34" s="17">
        <v>3544.4</v>
      </c>
      <c r="F34" s="31">
        <f t="shared" si="100"/>
        <v>112.33875312985326</v>
      </c>
      <c r="G34" s="17">
        <v>4210.6000000000004</v>
      </c>
      <c r="H34" s="31">
        <f t="shared" si="12"/>
        <v>118.79584696986795</v>
      </c>
      <c r="I34" s="142">
        <v>3523.1</v>
      </c>
      <c r="J34" s="142">
        <v>2168.4</v>
      </c>
      <c r="K34" s="142">
        <f>'цех вода'!K49</f>
        <v>2874.1410018314482</v>
      </c>
      <c r="L34" s="142">
        <v>4335.6000000000004</v>
      </c>
      <c r="M34" s="162">
        <f t="shared" si="13"/>
        <v>123.06207601260255</v>
      </c>
      <c r="N34" s="162">
        <f t="shared" si="14"/>
        <v>102.96869804778417</v>
      </c>
      <c r="O34" s="142">
        <v>4691.6000000000004</v>
      </c>
      <c r="P34" s="162">
        <f t="shared" si="15"/>
        <v>133.16681331781669</v>
      </c>
      <c r="Q34" s="237">
        <f>'цех вода'!P49</f>
        <v>3750.4811017625302</v>
      </c>
      <c r="R34" s="162">
        <f t="shared" si="24"/>
        <v>106.45400646483296</v>
      </c>
      <c r="S34" s="162">
        <f t="shared" si="25"/>
        <v>86.50431547565573</v>
      </c>
      <c r="T34" s="142" t="e">
        <f>Q34/Q52*T52</f>
        <v>#REF!</v>
      </c>
      <c r="U34" s="142" t="e">
        <f t="shared" si="95"/>
        <v>#REF!</v>
      </c>
      <c r="V34" s="142">
        <v>3991.4</v>
      </c>
      <c r="W34" s="142"/>
      <c r="X34" s="1348"/>
      <c r="Y34" s="1356">
        <v>5004</v>
      </c>
      <c r="Z34" s="1360">
        <f t="shared" si="16"/>
        <v>1.3342288267092937</v>
      </c>
      <c r="AA34" s="1110">
        <f>'цех вода'!W49</f>
        <v>3982.1627501966336</v>
      </c>
      <c r="AB34" s="1362">
        <f t="shared" si="1"/>
        <v>1.0617738477138907</v>
      </c>
      <c r="AC34" s="1069">
        <f>$AC$52/$AA$52*AA34</f>
        <v>3936.9578031286101</v>
      </c>
      <c r="AD34" s="1107">
        <f t="shared" si="27"/>
        <v>45.204947068023557</v>
      </c>
      <c r="AE34" s="1110">
        <v>3840.1</v>
      </c>
      <c r="AF34" s="1069">
        <f>AE34*AF52/(AF52+AG52)</f>
        <v>3792.7523941569689</v>
      </c>
      <c r="AG34" s="1107">
        <f>SUM(AE34-AF34)</f>
        <v>47.347605843031033</v>
      </c>
      <c r="AH34" s="1327">
        <f t="shared" si="18"/>
        <v>4249.82</v>
      </c>
      <c r="AI34" s="1324">
        <f t="shared" si="19"/>
        <v>1.0672140408601205</v>
      </c>
      <c r="AJ34" s="1069">
        <v>4201.4399999999996</v>
      </c>
      <c r="AK34" s="1107">
        <v>48.38</v>
      </c>
      <c r="AL34" s="1327">
        <f t="shared" si="20"/>
        <v>4189.8843533351246</v>
      </c>
      <c r="AM34" s="1324">
        <f t="shared" si="21"/>
        <v>1.0521630119532994</v>
      </c>
      <c r="AN34" s="1069">
        <f>'цех вода'!AB49*AN52/(AN52+AO52)</f>
        <v>4142.1893170061967</v>
      </c>
      <c r="AO34" s="1107">
        <f>'цех вода'!AB49-AN34</f>
        <v>47.695036328927927</v>
      </c>
      <c r="AP34" s="1388">
        <f t="shared" si="22"/>
        <v>-1021.8372498033664</v>
      </c>
      <c r="AQ34" s="1389">
        <f t="shared" si="101"/>
        <v>-1010.2374981891927</v>
      </c>
      <c r="AR34" s="1389">
        <f t="shared" si="23"/>
        <v>-11.59975161417367</v>
      </c>
      <c r="AS34" s="1390">
        <f t="shared" si="2"/>
        <v>-1021.8372498033664</v>
      </c>
      <c r="AT34" s="1110">
        <v>1853.14</v>
      </c>
      <c r="AU34" s="1069">
        <f>AT34*AU52/(AU52+AV52)</f>
        <v>1840.385278525783</v>
      </c>
      <c r="AV34" s="1107">
        <f>SUM(AT34-AU34)</f>
        <v>12.754721474217149</v>
      </c>
      <c r="AW34" s="1110">
        <v>3037.94</v>
      </c>
      <c r="AX34" s="1069">
        <f>AW34*AX52/(AX52+AY52)</f>
        <v>3019.2532359988227</v>
      </c>
      <c r="AY34" s="2738">
        <f>SUM(AW34-AX34)</f>
        <v>18.68676400117738</v>
      </c>
      <c r="AZ34" s="1110">
        <v>4109.6499999999996</v>
      </c>
      <c r="BA34" s="1069">
        <f>AZ34*BA52/(BA52+BB52)</f>
        <v>4089.8432528660837</v>
      </c>
      <c r="BB34" s="2738">
        <f>SUM(AZ34-BA34)</f>
        <v>19.806747133915906</v>
      </c>
      <c r="BC34" s="1110">
        <v>4768.71</v>
      </c>
      <c r="BD34" s="2223">
        <f t="shared" si="28"/>
        <v>1.1381483587259713</v>
      </c>
      <c r="BE34" s="1069">
        <f>BC34*BE52/(BE52+BF52)</f>
        <v>4743.2412856286919</v>
      </c>
      <c r="BF34" s="1107">
        <f>SUM(BC34-BE34)</f>
        <v>25.468714371308124</v>
      </c>
      <c r="BG34" s="1110">
        <f>SUM('цех вода'!AG49)</f>
        <v>4151.2769054034479</v>
      </c>
      <c r="BH34" s="2223">
        <f t="shared" si="29"/>
        <v>0.99078555762501053</v>
      </c>
      <c r="BI34" s="1069">
        <f>BG34*BI52/(BI52+BJ52)</f>
        <v>4129.1057761504781</v>
      </c>
      <c r="BJ34" s="1107">
        <f>SUM(BG34-BI34)</f>
        <v>22.171129252969877</v>
      </c>
      <c r="BK34" s="1990" t="str">
        <f>BK26</f>
        <v>Приложение</v>
      </c>
      <c r="BL34" s="3397">
        <f>SUM('цех вода'!AM49)</f>
        <v>2053.5500000000002</v>
      </c>
      <c r="BM34" s="3398">
        <f>BL34*BM52/(BM52+BN52)</f>
        <v>2051.8936932117463</v>
      </c>
      <c r="BN34" s="3399">
        <f>SUM(BL34-BM34)</f>
        <v>1.6563067882539144</v>
      </c>
      <c r="BO34" s="3397">
        <f>SUM('цех вода'!AN49)</f>
        <v>3169.88</v>
      </c>
      <c r="BP34" s="3398">
        <f>BO34*BP52/(BP52+BQ52)</f>
        <v>3167.5658984774241</v>
      </c>
      <c r="BQ34" s="3399">
        <f>SUM(BO34-BP34)</f>
        <v>2.3141015225760384</v>
      </c>
      <c r="BR34" s="3397">
        <f>SUM('цех вода'!AO49)</f>
        <v>4673.022676675907</v>
      </c>
      <c r="BS34" s="3398">
        <f>BR34*BS52/(BS52+BT52)</f>
        <v>4669.6045236929758</v>
      </c>
      <c r="BT34" s="3399">
        <f>SUM(BR34-BS34)</f>
        <v>3.418152982931133</v>
      </c>
      <c r="BU34" s="2941">
        <f>SUM('цех вода'!AP49)</f>
        <v>4710.0930120079202</v>
      </c>
      <c r="BV34" s="3379">
        <f t="shared" si="30"/>
        <v>1.1346130646879031</v>
      </c>
      <c r="BW34" s="2942">
        <f>BU34*BW52/(BW52+BX52)</f>
        <v>4687.7172732335357</v>
      </c>
      <c r="BX34" s="2784">
        <f>SUM(BU34-BW34)</f>
        <v>22.375738774384445</v>
      </c>
      <c r="BY34" s="2941">
        <f>SUM('цех вода'!AQ49)</f>
        <v>4643.5602841769951</v>
      </c>
      <c r="BZ34" s="3379">
        <f t="shared" si="74"/>
        <v>1.1185860134101808</v>
      </c>
      <c r="CA34" s="2942">
        <f>BY34*CA52/(CA52+CB52)</f>
        <v>4618.6372796678561</v>
      </c>
      <c r="CB34" s="2784">
        <f>SUM(BY34-CA34)</f>
        <v>24.923004509138991</v>
      </c>
      <c r="CC34" s="1990"/>
    </row>
    <row r="35" spans="1:81" ht="21" customHeight="1">
      <c r="A35" s="1342" t="s">
        <v>542</v>
      </c>
      <c r="B35" s="1336">
        <f>SUM(B36:B42)</f>
        <v>7249.7</v>
      </c>
      <c r="C35" s="393">
        <f>SUM(C36:C42)</f>
        <v>10354.4</v>
      </c>
      <c r="D35" s="31">
        <f t="shared" si="10"/>
        <v>142.82522035394567</v>
      </c>
      <c r="E35" s="18">
        <f>SUM(E36:E42)-E41</f>
        <v>11764.7</v>
      </c>
      <c r="F35" s="134">
        <f t="shared" si="100"/>
        <v>113.62029668546705</v>
      </c>
      <c r="G35" s="393">
        <v>16478.3</v>
      </c>
      <c r="H35" s="31">
        <f t="shared" si="12"/>
        <v>140.06562003280999</v>
      </c>
      <c r="I35" s="18">
        <f>SUM(I36:I42)-I41</f>
        <v>14063.7084</v>
      </c>
      <c r="J35" s="18">
        <f>SUM(J36:J42)-J41</f>
        <v>8204.1999999999989</v>
      </c>
      <c r="K35" s="18">
        <f>SUM(K36:K42)-K41</f>
        <v>10064.388220844954</v>
      </c>
      <c r="L35" s="18">
        <f>SUM(L36:L42)-L41</f>
        <v>14542.8</v>
      </c>
      <c r="M35" s="161">
        <f t="shared" si="13"/>
        <v>103.40658087023475</v>
      </c>
      <c r="N35" s="162">
        <f t="shared" si="14"/>
        <v>88.25424952816735</v>
      </c>
      <c r="O35" s="394">
        <v>18477</v>
      </c>
      <c r="P35" s="162">
        <f t="shared" si="15"/>
        <v>131.38071036797095</v>
      </c>
      <c r="Q35" s="395">
        <f>SUM(Q36:Q42)-Q41</f>
        <v>13651.565713400467</v>
      </c>
      <c r="R35" s="162">
        <f t="shared" si="24"/>
        <v>97.069459385267592</v>
      </c>
      <c r="S35" s="162">
        <f t="shared" si="25"/>
        <v>93.871645854996757</v>
      </c>
      <c r="T35" s="394" t="e">
        <f t="shared" ref="T35:Y35" si="114">SUM(T36:T42)-T41</f>
        <v>#REF!</v>
      </c>
      <c r="U35" s="394" t="e">
        <f t="shared" si="114"/>
        <v>#REF!</v>
      </c>
      <c r="V35" s="394">
        <f t="shared" si="114"/>
        <v>11610.7</v>
      </c>
      <c r="W35" s="394">
        <f t="shared" si="114"/>
        <v>10720.805947139374</v>
      </c>
      <c r="X35" s="1353">
        <f t="shared" si="114"/>
        <v>55.994052860625288</v>
      </c>
      <c r="Y35" s="1358">
        <f t="shared" si="114"/>
        <v>18050.300000000003</v>
      </c>
      <c r="Z35" s="1360">
        <f t="shared" si="16"/>
        <v>1.3222146366904795</v>
      </c>
      <c r="AA35" s="1330">
        <f>SUM(AA36:AA42)-AA41</f>
        <v>14017.542644702471</v>
      </c>
      <c r="AB35" s="1362">
        <f t="shared" si="1"/>
        <v>1.0268084217580082</v>
      </c>
      <c r="AC35" s="1328">
        <f>SUM(AC36:AC42)-AC41</f>
        <v>13858.417487588729</v>
      </c>
      <c r="AD35" s="1329">
        <f>SUM(AD36:AD42)-AD41</f>
        <v>159.12515711374499</v>
      </c>
      <c r="AE35" s="1330">
        <f>SUM(AE36:AE42)-AE41</f>
        <v>14424.1</v>
      </c>
      <c r="AF35" s="1328">
        <f>SUM(AF36:AF42)-AF41</f>
        <v>14257.620782371874</v>
      </c>
      <c r="AG35" s="1329">
        <f>SUM(AG36:AG42)-AG41</f>
        <v>166.47921762812553</v>
      </c>
      <c r="AH35" s="1323">
        <f t="shared" si="18"/>
        <v>16341.494330000001</v>
      </c>
      <c r="AI35" s="1324">
        <f t="shared" si="19"/>
        <v>1.1657888079388723</v>
      </c>
      <c r="AJ35" s="1328">
        <f>SUM(AJ36:AJ42)-AJ41</f>
        <v>16173.394330000001</v>
      </c>
      <c r="AK35" s="1329">
        <f>SUM(AK36:AK42)-AK41</f>
        <v>168.1</v>
      </c>
      <c r="AL35" s="1323">
        <f t="shared" si="20"/>
        <v>14730.639229466891</v>
      </c>
      <c r="AM35" s="1324">
        <f t="shared" si="21"/>
        <v>1.0508717257253299</v>
      </c>
      <c r="AN35" s="1328">
        <f>SUM(AN36:AN42)-AN41</f>
        <v>14562.954798597453</v>
      </c>
      <c r="AO35" s="1329">
        <f>SUM(AO36:AO42)-AO41</f>
        <v>167.68443086943867</v>
      </c>
      <c r="AP35" s="1388">
        <f t="shared" si="22"/>
        <v>-4032.7573552975318</v>
      </c>
      <c r="AQ35" s="1389">
        <f t="shared" si="101"/>
        <v>-3986.978065444197</v>
      </c>
      <c r="AR35" s="1389">
        <f t="shared" si="23"/>
        <v>-45.779289853334831</v>
      </c>
      <c r="AS35" s="1390">
        <f t="shared" si="2"/>
        <v>-4032.7573552975318</v>
      </c>
      <c r="AT35" s="1330">
        <f t="shared" ref="AT35:BC35" si="115">SUM(AT36:AT42)-AT41</f>
        <v>6773.28</v>
      </c>
      <c r="AU35" s="1328">
        <f t="shared" si="115"/>
        <v>6728.6354464249835</v>
      </c>
      <c r="AV35" s="1329">
        <f t="shared" si="115"/>
        <v>44.644553575017312</v>
      </c>
      <c r="AW35" s="1330">
        <f t="shared" si="115"/>
        <v>10801.189999999999</v>
      </c>
      <c r="AX35" s="1328">
        <f t="shared" si="115"/>
        <v>10739.356626406423</v>
      </c>
      <c r="AY35" s="2740">
        <f t="shared" si="115"/>
        <v>61.833373593577107</v>
      </c>
      <c r="AZ35" s="1330">
        <f t="shared" ref="AZ35:BB35" si="116">SUM(AZ36:AZ42)-AZ41</f>
        <v>14627.66</v>
      </c>
      <c r="BA35" s="1328">
        <f t="shared" si="116"/>
        <v>14562.613199432866</v>
      </c>
      <c r="BB35" s="2740">
        <f t="shared" si="116"/>
        <v>65.04680056713164</v>
      </c>
      <c r="BC35" s="1330">
        <f t="shared" si="115"/>
        <v>17093.778010000002</v>
      </c>
      <c r="BD35" s="2223">
        <f t="shared" si="28"/>
        <v>1.1604233695307622</v>
      </c>
      <c r="BE35" s="1328">
        <f>SUM(BE36:BE42)-BE41</f>
        <v>17007.407284607951</v>
      </c>
      <c r="BF35" s="1329">
        <f>SUM(BF36:BF42)-BF41</f>
        <v>86.370725392052066</v>
      </c>
      <c r="BG35" s="1330">
        <f>SUM(BG36:BG42)-BG41</f>
        <v>15209.268497895879</v>
      </c>
      <c r="BH35" s="2223">
        <f t="shared" si="29"/>
        <v>1.0324920908708122</v>
      </c>
      <c r="BI35" s="1328">
        <f>SUM(BI36:BI42)-BI41</f>
        <v>15129.344202078384</v>
      </c>
      <c r="BJ35" s="1329">
        <f>SUM(BJ36:BJ42)-BJ41</f>
        <v>79.924295817495477</v>
      </c>
      <c r="BK35" s="1993"/>
      <c r="BL35" s="3403">
        <f t="shared" ref="BL35:BN35" si="117">SUM(BL36:BL42)-BL41</f>
        <v>6654.2200000000012</v>
      </c>
      <c r="BM35" s="3404">
        <f t="shared" si="117"/>
        <v>6649.1185944495655</v>
      </c>
      <c r="BN35" s="3405">
        <f t="shared" si="117"/>
        <v>5.1014055504346061</v>
      </c>
      <c r="BO35" s="3403">
        <f t="shared" ref="BO35:BQ35" si="118">SUM(BO36:BO42)-BO41</f>
        <v>10437.17</v>
      </c>
      <c r="BP35" s="3404">
        <f t="shared" si="118"/>
        <v>10430.090041330823</v>
      </c>
      <c r="BQ35" s="3405">
        <f t="shared" si="118"/>
        <v>7.079958669177131</v>
      </c>
      <c r="BR35" s="3403">
        <f t="shared" ref="BR35:BT35" si="119">SUM(BR36:BR42)-BR41</f>
        <v>14251.40432801277</v>
      </c>
      <c r="BS35" s="3404">
        <f t="shared" si="119"/>
        <v>14241.700628416249</v>
      </c>
      <c r="BT35" s="3405">
        <f t="shared" si="119"/>
        <v>9.7036995965224833</v>
      </c>
      <c r="BU35" s="2945">
        <f t="shared" ref="BU35" si="120">SUM(BU36:BU42)-BU41</f>
        <v>17008.355185336066</v>
      </c>
      <c r="BV35" s="3379">
        <f t="shared" si="30"/>
        <v>1.1182888373421169</v>
      </c>
      <c r="BW35" s="2946">
        <f>SUM(BW36:BW42)-BW41</f>
        <v>16927.555398232333</v>
      </c>
      <c r="BX35" s="2947">
        <f>SUM(BX36:BX42)-BX41</f>
        <v>80.799787103734261</v>
      </c>
      <c r="BY35" s="2945">
        <f>SUM(BY36:BY42)-BY41</f>
        <v>16220.774851495938</v>
      </c>
      <c r="BZ35" s="3379">
        <f t="shared" si="74"/>
        <v>1.0665059173450713</v>
      </c>
      <c r="CA35" s="2946">
        <f>SUM(CA36:CA42)-CA41</f>
        <v>16151.52778340369</v>
      </c>
      <c r="CB35" s="2947">
        <f>SUM(CB36:CB42)-CB41</f>
        <v>69.247068092248711</v>
      </c>
      <c r="CC35" s="1993"/>
    </row>
    <row r="36" spans="1:81" ht="21" customHeight="1">
      <c r="A36" s="1339" t="s">
        <v>2</v>
      </c>
      <c r="B36" s="1333">
        <v>928.8</v>
      </c>
      <c r="C36" s="17">
        <v>1802</v>
      </c>
      <c r="D36" s="31">
        <f t="shared" si="10"/>
        <v>194.01378122308356</v>
      </c>
      <c r="E36" s="396">
        <v>1837.4</v>
      </c>
      <c r="F36" s="31">
        <f t="shared" si="100"/>
        <v>101.96448390677027</v>
      </c>
      <c r="G36" s="31">
        <v>2253.5</v>
      </c>
      <c r="H36" s="31">
        <f t="shared" si="12"/>
        <v>122.6461304016545</v>
      </c>
      <c r="I36" s="142">
        <v>2250</v>
      </c>
      <c r="J36" s="142">
        <v>949.2</v>
      </c>
      <c r="K36" s="142">
        <v>1968.8</v>
      </c>
      <c r="L36" s="142">
        <v>2598.4</v>
      </c>
      <c r="M36" s="162">
        <f t="shared" si="13"/>
        <v>115.48444444444445</v>
      </c>
      <c r="N36" s="162">
        <f t="shared" si="14"/>
        <v>115.30508098513424</v>
      </c>
      <c r="O36" s="142">
        <v>2628</v>
      </c>
      <c r="P36" s="162">
        <f t="shared" si="15"/>
        <v>116.8</v>
      </c>
      <c r="Q36" s="237">
        <v>2628</v>
      </c>
      <c r="R36" s="162">
        <f t="shared" si="24"/>
        <v>116.8</v>
      </c>
      <c r="S36" s="162">
        <f t="shared" si="25"/>
        <v>101.13916256157636</v>
      </c>
      <c r="T36" s="142" t="e">
        <f>Q36/Q52*T52</f>
        <v>#REF!</v>
      </c>
      <c r="U36" s="142" t="e">
        <f t="shared" ref="U36:U42" si="121">Q36-T36</f>
        <v>#REF!</v>
      </c>
      <c r="V36" s="142">
        <v>2012.2</v>
      </c>
      <c r="W36" s="142">
        <f>2690.2*(объемы!$AB$9-объемы!$AB$18)/объемы!$AB$9</f>
        <v>2674.407001288972</v>
      </c>
      <c r="X36" s="1348">
        <f>2690.2-W36</f>
        <v>15.792998711027849</v>
      </c>
      <c r="Y36" s="1356">
        <v>2715.2</v>
      </c>
      <c r="Z36" s="1360">
        <f t="shared" si="16"/>
        <v>1.0331811263318111</v>
      </c>
      <c r="AA36" s="1110">
        <f>Аморт!G24</f>
        <v>2690.2</v>
      </c>
      <c r="AB36" s="1362">
        <f t="shared" si="1"/>
        <v>1.0236681887366819</v>
      </c>
      <c r="AC36" s="1069">
        <f>$AC$52/$AA$52*AA36</f>
        <v>2659.6612309362813</v>
      </c>
      <c r="AD36" s="1107">
        <f t="shared" si="27"/>
        <v>30.538769063718519</v>
      </c>
      <c r="AE36" s="1110">
        <f>SUM(Аморт!L24)</f>
        <v>2798.4</v>
      </c>
      <c r="AF36" s="1069">
        <f>AF52/AE52*AE36</f>
        <v>2763.8963307749445</v>
      </c>
      <c r="AG36" s="1107">
        <f>AE36-AF36</f>
        <v>34.503669225055546</v>
      </c>
      <c r="AH36" s="1327">
        <f t="shared" si="18"/>
        <v>2797</v>
      </c>
      <c r="AI36" s="1324">
        <f t="shared" si="19"/>
        <v>1.0396996505835998</v>
      </c>
      <c r="AJ36" s="1069">
        <v>2765.16</v>
      </c>
      <c r="AK36" s="1107">
        <v>31.84</v>
      </c>
      <c r="AL36" s="1327">
        <f t="shared" si="20"/>
        <v>2797</v>
      </c>
      <c r="AM36" s="1324">
        <f t="shared" si="21"/>
        <v>1.0396996505835998</v>
      </c>
      <c r="AN36" s="1069">
        <f>Аморт!O24*AN52/(AN52+AO52)</f>
        <v>2765.1606924291777</v>
      </c>
      <c r="AO36" s="1107">
        <f>-AN36+Аморт!O24</f>
        <v>31.839307570822257</v>
      </c>
      <c r="AP36" s="1388">
        <f t="shared" si="22"/>
        <v>-25</v>
      </c>
      <c r="AQ36" s="1389">
        <f t="shared" si="101"/>
        <v>-24.716203543754013</v>
      </c>
      <c r="AR36" s="1389">
        <f t="shared" si="23"/>
        <v>-0.28379645624598737</v>
      </c>
      <c r="AS36" s="1390">
        <f>AQ36+AR36</f>
        <v>-25</v>
      </c>
      <c r="AT36" s="1110">
        <f>SUM(Аморт!Q24)</f>
        <v>1412.82</v>
      </c>
      <c r="AU36" s="1069">
        <f>AU52/AT52*AT36</f>
        <v>1403.0958962662271</v>
      </c>
      <c r="AV36" s="1107">
        <f>AT36-AU36</f>
        <v>9.7241037337728358</v>
      </c>
      <c r="AW36" s="1110">
        <v>2176.46</v>
      </c>
      <c r="AX36" s="1069">
        <f>AX52/AW52*AW36</f>
        <v>2163.0723115077976</v>
      </c>
      <c r="AY36" s="2738">
        <f>AW36-AX36</f>
        <v>13.387688492202415</v>
      </c>
      <c r="AZ36" s="1110">
        <v>3059.78</v>
      </c>
      <c r="BA36" s="1069">
        <f>BA52/AZ52*AZ36</f>
        <v>3045.0331751498516</v>
      </c>
      <c r="BB36" s="2738">
        <f>AZ36-BA36</f>
        <v>14.746824850148641</v>
      </c>
      <c r="BC36" s="1327">
        <f>SUM(Аморт!U24)</f>
        <v>2797</v>
      </c>
      <c r="BD36" s="2223">
        <f t="shared" si="28"/>
        <v>1</v>
      </c>
      <c r="BE36" s="1069">
        <f>BE52/BC52*BC36</f>
        <v>2782.0617894364409</v>
      </c>
      <c r="BF36" s="1107">
        <f>BC36-BE36</f>
        <v>14.938210563559096</v>
      </c>
      <c r="BG36" s="1327">
        <f>SUM(Аморт!V24)</f>
        <v>2901.9466666666667</v>
      </c>
      <c r="BH36" s="2223">
        <f t="shared" si="29"/>
        <v>1.0375211536169706</v>
      </c>
      <c r="BI36" s="1069">
        <f>BI52/BG52*BG36</f>
        <v>2886.4479572097898</v>
      </c>
      <c r="BJ36" s="1107">
        <f>BG36-BI36</f>
        <v>15.498709456876895</v>
      </c>
      <c r="BK36" s="1990" t="str">
        <f>BK29</f>
        <v>Приложение</v>
      </c>
      <c r="BL36" s="3397">
        <f>SUM(Аморт!AB24)</f>
        <v>1766.64</v>
      </c>
      <c r="BM36" s="3398">
        <f>BM52/BL52*BL36</f>
        <v>1765.2151027126679</v>
      </c>
      <c r="BN36" s="3399">
        <f>BL36-BM36</f>
        <v>1.4248972873322145</v>
      </c>
      <c r="BO36" s="3397">
        <f>SUM(Аморт!AC24)</f>
        <v>2649.96</v>
      </c>
      <c r="BP36" s="3398">
        <f>BP52/BO52*BO36</f>
        <v>2648.0254546952042</v>
      </c>
      <c r="BQ36" s="3399">
        <f>BO36-BP36</f>
        <v>1.9345453047958472</v>
      </c>
      <c r="BR36" s="3397">
        <f>SUM(Аморт!AD24)</f>
        <v>3533.28</v>
      </c>
      <c r="BS36" s="3398">
        <f>BS52/BR52*BR36</f>
        <v>3530.6955290039978</v>
      </c>
      <c r="BT36" s="3399">
        <f>BR36-BS36</f>
        <v>2.5844709960024375</v>
      </c>
      <c r="BU36" s="3366">
        <f>SUM(Аморт!AE24)</f>
        <v>3059.78</v>
      </c>
      <c r="BV36" s="3379">
        <f t="shared" si="30"/>
        <v>1.0543887781075691</v>
      </c>
      <c r="BW36" s="2942">
        <f>BW52/BU52*BU36</f>
        <v>3045.2442280285036</v>
      </c>
      <c r="BX36" s="2784">
        <f>BU36-BW36</f>
        <v>14.535771971496615</v>
      </c>
      <c r="BY36" s="3366">
        <f>SUM(Аморт!AF24)</f>
        <v>3059.78</v>
      </c>
      <c r="BZ36" s="3379">
        <f t="shared" si="74"/>
        <v>1.0543887781075691</v>
      </c>
      <c r="CA36" s="2942">
        <f>SUM(BY36)</f>
        <v>3059.78</v>
      </c>
      <c r="CB36" s="2784">
        <f>BY36-CA36</f>
        <v>0</v>
      </c>
      <c r="CC36" s="1990"/>
    </row>
    <row r="37" spans="1:81" ht="21" customHeight="1">
      <c r="A37" s="1339" t="s">
        <v>219</v>
      </c>
      <c r="B37" s="1333">
        <v>6.1</v>
      </c>
      <c r="C37" s="17">
        <v>5.6</v>
      </c>
      <c r="D37" s="31">
        <f t="shared" si="10"/>
        <v>91.803278688524586</v>
      </c>
      <c r="E37" s="396">
        <v>33.5</v>
      </c>
      <c r="F37" s="31">
        <f t="shared" si="100"/>
        <v>598.21428571428578</v>
      </c>
      <c r="G37" s="31"/>
      <c r="H37" s="31">
        <f t="shared" si="12"/>
        <v>0</v>
      </c>
      <c r="I37" s="142"/>
      <c r="J37" s="142"/>
      <c r="K37" s="142"/>
      <c r="L37" s="142">
        <f>K37/9*12</f>
        <v>0</v>
      </c>
      <c r="M37" s="162"/>
      <c r="N37" s="162"/>
      <c r="O37" s="142"/>
      <c r="P37" s="162"/>
      <c r="Q37" s="237"/>
      <c r="R37" s="162"/>
      <c r="S37" s="162"/>
      <c r="T37" s="142"/>
      <c r="U37" s="142">
        <f t="shared" si="121"/>
        <v>0</v>
      </c>
      <c r="V37" s="142">
        <v>0</v>
      </c>
      <c r="W37" s="142"/>
      <c r="X37" s="1348">
        <v>0</v>
      </c>
      <c r="Y37" s="1356">
        <v>0</v>
      </c>
      <c r="Z37" s="1360"/>
      <c r="AA37" s="1110">
        <v>0</v>
      </c>
      <c r="AB37" s="1362"/>
      <c r="AC37" s="1069">
        <f>$AC$52/$AA$52*AA37</f>
        <v>0</v>
      </c>
      <c r="AD37" s="1107">
        <f t="shared" si="27"/>
        <v>0</v>
      </c>
      <c r="AE37" s="1110">
        <v>0</v>
      </c>
      <c r="AF37" s="1069">
        <v>0</v>
      </c>
      <c r="AG37" s="1107">
        <v>0</v>
      </c>
      <c r="AH37" s="1327">
        <f t="shared" si="18"/>
        <v>0</v>
      </c>
      <c r="AI37" s="1324"/>
      <c r="AJ37" s="1069">
        <v>0</v>
      </c>
      <c r="AK37" s="1107">
        <v>0</v>
      </c>
      <c r="AL37" s="1327">
        <f t="shared" si="20"/>
        <v>0</v>
      </c>
      <c r="AM37" s="1324"/>
      <c r="AN37" s="1069">
        <v>0</v>
      </c>
      <c r="AO37" s="1107">
        <v>0</v>
      </c>
      <c r="AP37" s="1388">
        <f t="shared" si="22"/>
        <v>0</v>
      </c>
      <c r="AQ37" s="1389"/>
      <c r="AR37" s="1389"/>
      <c r="AS37" s="1390">
        <f t="shared" ref="AS37:AS59" si="122">AQ37+AR37</f>
        <v>0</v>
      </c>
      <c r="AT37" s="1110">
        <v>0</v>
      </c>
      <c r="AU37" s="1069">
        <v>0</v>
      </c>
      <c r="AV37" s="1107">
        <v>0</v>
      </c>
      <c r="AW37" s="1110">
        <v>0</v>
      </c>
      <c r="AX37" s="1069">
        <v>0</v>
      </c>
      <c r="AY37" s="2738">
        <v>0</v>
      </c>
      <c r="AZ37" s="1110">
        <v>0</v>
      </c>
      <c r="BA37" s="1069">
        <v>0</v>
      </c>
      <c r="BB37" s="2738">
        <v>0</v>
      </c>
      <c r="BC37" s="1327">
        <f t="shared" ref="BC37:BC38" si="123">SUM(BE37+BF37)</f>
        <v>0</v>
      </c>
      <c r="BD37" s="2223"/>
      <c r="BE37" s="1069">
        <v>0</v>
      </c>
      <c r="BF37" s="1107">
        <v>0</v>
      </c>
      <c r="BG37" s="1327">
        <f t="shared" ref="BG37" si="124">SUM(BI37+BJ37)</f>
        <v>0</v>
      </c>
      <c r="BH37" s="2223"/>
      <c r="BI37" s="1069">
        <v>0</v>
      </c>
      <c r="BJ37" s="1107">
        <v>0</v>
      </c>
      <c r="BK37" s="1990"/>
      <c r="BL37" s="3397">
        <v>0</v>
      </c>
      <c r="BM37" s="3398">
        <v>0</v>
      </c>
      <c r="BN37" s="3399">
        <v>0</v>
      </c>
      <c r="BO37" s="3397">
        <v>0</v>
      </c>
      <c r="BP37" s="3398">
        <v>0</v>
      </c>
      <c r="BQ37" s="3399">
        <v>0</v>
      </c>
      <c r="BR37" s="3397">
        <v>0</v>
      </c>
      <c r="BS37" s="3398">
        <v>0</v>
      </c>
      <c r="BT37" s="3399">
        <v>0</v>
      </c>
      <c r="BU37" s="3366">
        <f t="shared" ref="BU37" si="125">SUM(BW37+BX37)</f>
        <v>0</v>
      </c>
      <c r="BV37" s="3379"/>
      <c r="BW37" s="2942">
        <v>0</v>
      </c>
      <c r="BX37" s="2784">
        <v>0</v>
      </c>
      <c r="BY37" s="3366">
        <f t="shared" ref="BY37" si="126">SUM(CA37+CB37)</f>
        <v>0</v>
      </c>
      <c r="BZ37" s="3379"/>
      <c r="CA37" s="2942">
        <v>0</v>
      </c>
      <c r="CB37" s="2784">
        <v>0</v>
      </c>
      <c r="CC37" s="1990"/>
    </row>
    <row r="38" spans="1:81" ht="21" customHeight="1">
      <c r="A38" s="1339" t="s">
        <v>3</v>
      </c>
      <c r="B38" s="1333">
        <v>398.6</v>
      </c>
      <c r="C38" s="17">
        <v>1512.8</v>
      </c>
      <c r="D38" s="31">
        <f t="shared" si="10"/>
        <v>379.52834922227794</v>
      </c>
      <c r="E38" s="17">
        <v>1300.3</v>
      </c>
      <c r="F38" s="31">
        <f t="shared" si="100"/>
        <v>85.953199365415117</v>
      </c>
      <c r="G38" s="31">
        <f>G35-G36-G39-G40-G42</f>
        <v>3074.9069999999965</v>
      </c>
      <c r="H38" s="31">
        <f t="shared" si="12"/>
        <v>236.47673613781407</v>
      </c>
      <c r="I38" s="142">
        <v>1667.9</v>
      </c>
      <c r="J38" s="142">
        <v>1509.7</v>
      </c>
      <c r="K38" s="142">
        <v>1071.7</v>
      </c>
      <c r="L38" s="142">
        <v>2187.1</v>
      </c>
      <c r="M38" s="162">
        <f t="shared" si="13"/>
        <v>131.12896456622099</v>
      </c>
      <c r="N38" s="162"/>
      <c r="O38" s="142">
        <f>O35-O36-O39-O40-O42</f>
        <v>3385.7971999999991</v>
      </c>
      <c r="P38" s="162">
        <f t="shared" si="15"/>
        <v>202.99761376581324</v>
      </c>
      <c r="Q38" s="237">
        <v>300</v>
      </c>
      <c r="R38" s="162">
        <f t="shared" si="24"/>
        <v>17.986689849511361</v>
      </c>
      <c r="S38" s="162">
        <f t="shared" si="25"/>
        <v>13.716793928032555</v>
      </c>
      <c r="T38" s="142">
        <v>285.7</v>
      </c>
      <c r="U38" s="142">
        <v>14.3</v>
      </c>
      <c r="V38" s="142">
        <v>816.6</v>
      </c>
      <c r="W38" s="142">
        <f>3058.7-W12-W22-W28</f>
        <v>1238.6999999999998</v>
      </c>
      <c r="X38" s="1348">
        <v>0</v>
      </c>
      <c r="Y38" s="1356">
        <v>2406</v>
      </c>
      <c r="Z38" s="1360">
        <f t="shared" si="16"/>
        <v>8.02</v>
      </c>
      <c r="AA38" s="1110">
        <v>0</v>
      </c>
      <c r="AB38" s="1362">
        <f t="shared" si="1"/>
        <v>0</v>
      </c>
      <c r="AC38" s="1069">
        <f>$AC$52/$AA$52*AA38</f>
        <v>0</v>
      </c>
      <c r="AD38" s="1107">
        <f t="shared" si="27"/>
        <v>0</v>
      </c>
      <c r="AE38" s="1110">
        <v>921.9</v>
      </c>
      <c r="AF38" s="1069">
        <f>SUM(AE38)</f>
        <v>921.9</v>
      </c>
      <c r="AG38" s="1107">
        <v>0</v>
      </c>
      <c r="AH38" s="1327">
        <f t="shared" si="18"/>
        <v>1575</v>
      </c>
      <c r="AI38" s="1324"/>
      <c r="AJ38" s="1069">
        <v>1575</v>
      </c>
      <c r="AK38" s="1107">
        <v>0</v>
      </c>
      <c r="AL38" s="1327">
        <f t="shared" si="20"/>
        <v>0</v>
      </c>
      <c r="AM38" s="1324"/>
      <c r="AN38" s="1069">
        <v>0</v>
      </c>
      <c r="AO38" s="1107">
        <v>0</v>
      </c>
      <c r="AP38" s="1388">
        <f t="shared" si="22"/>
        <v>-2406</v>
      </c>
      <c r="AQ38" s="1389">
        <f>AP38</f>
        <v>-2406</v>
      </c>
      <c r="AR38" s="1389">
        <f t="shared" si="23"/>
        <v>0</v>
      </c>
      <c r="AS38" s="1390">
        <f t="shared" si="122"/>
        <v>-2406</v>
      </c>
      <c r="AT38" s="1110">
        <v>286.85000000000002</v>
      </c>
      <c r="AU38" s="1069">
        <v>286.85000000000002</v>
      </c>
      <c r="AV38" s="1107">
        <v>0</v>
      </c>
      <c r="AW38" s="1110">
        <v>748.83</v>
      </c>
      <c r="AX38" s="1069">
        <v>748.83</v>
      </c>
      <c r="AY38" s="2738">
        <v>0</v>
      </c>
      <c r="AZ38" s="1110">
        <v>1131.27</v>
      </c>
      <c r="BA38" s="1069">
        <f>SUM(AZ38)</f>
        <v>1131.27</v>
      </c>
      <c r="BB38" s="2738">
        <v>0</v>
      </c>
      <c r="BC38" s="1327">
        <f t="shared" si="123"/>
        <v>921.9</v>
      </c>
      <c r="BD38" s="2223"/>
      <c r="BE38" s="1069">
        <v>921.9</v>
      </c>
      <c r="BF38" s="1107">
        <v>0</v>
      </c>
      <c r="BG38" s="1327">
        <f>BI38+BJ38</f>
        <v>244.40677966101694</v>
      </c>
      <c r="BH38" s="2223"/>
      <c r="BI38" s="1069">
        <f>'Кап Рем'!G10</f>
        <v>244.40677966101694</v>
      </c>
      <c r="BJ38" s="1107">
        <v>0</v>
      </c>
      <c r="BK38" s="1990" t="s">
        <v>981</v>
      </c>
      <c r="BL38" s="3397">
        <f>SUM(BM38:BN38)</f>
        <v>329.31</v>
      </c>
      <c r="BM38" s="3398">
        <v>329.31</v>
      </c>
      <c r="BN38" s="3399">
        <v>0</v>
      </c>
      <c r="BO38" s="3397">
        <f>SUM(BP38:BQ38)</f>
        <v>738.97</v>
      </c>
      <c r="BP38" s="3398">
        <v>738.97</v>
      </c>
      <c r="BQ38" s="3399">
        <v>0</v>
      </c>
      <c r="BR38" s="3397">
        <f>SUM(BS38:BT38)</f>
        <v>985.29</v>
      </c>
      <c r="BS38" s="3398">
        <v>985.29</v>
      </c>
      <c r="BT38" s="3399">
        <v>0</v>
      </c>
      <c r="BU38" s="3366">
        <f>SUM(AZ38/2)</f>
        <v>565.63499999999999</v>
      </c>
      <c r="BV38" s="3379">
        <f t="shared" si="30"/>
        <v>2.3143179611650484</v>
      </c>
      <c r="BW38" s="2942">
        <f>BW52/BU52*BU38</f>
        <v>562.94789786223271</v>
      </c>
      <c r="BX38" s="2784">
        <f>BU38-BW38</f>
        <v>2.6871021377672832</v>
      </c>
      <c r="BY38" s="3366">
        <f>BG38*(1-0.01)*(1+0.071)*(1+0)</f>
        <v>259.14206440677964</v>
      </c>
      <c r="BZ38" s="3379">
        <f t="shared" si="74"/>
        <v>1.06029</v>
      </c>
      <c r="CA38" s="2942">
        <f>SUM(BY38)</f>
        <v>259.14206440677964</v>
      </c>
      <c r="CB38" s="2784">
        <v>0</v>
      </c>
      <c r="CC38" s="1990"/>
    </row>
    <row r="39" spans="1:81" ht="21" customHeight="1">
      <c r="A39" s="1339" t="s">
        <v>4</v>
      </c>
      <c r="B39" s="1333">
        <v>3889.5</v>
      </c>
      <c r="C39" s="17">
        <v>4434.3</v>
      </c>
      <c r="D39" s="31">
        <f t="shared" si="10"/>
        <v>114.00694176629386</v>
      </c>
      <c r="E39" s="17">
        <v>5312</v>
      </c>
      <c r="F39" s="31">
        <f t="shared" si="100"/>
        <v>119.79342850055249</v>
      </c>
      <c r="G39" s="17">
        <v>6821.5</v>
      </c>
      <c r="H39" s="31">
        <f t="shared" si="12"/>
        <v>128.4167921686747</v>
      </c>
      <c r="I39" s="142">
        <v>6174.2</v>
      </c>
      <c r="J39" s="142">
        <v>3312</v>
      </c>
      <c r="K39" s="142">
        <v>4099.3</v>
      </c>
      <c r="L39" s="142">
        <v>5838.5</v>
      </c>
      <c r="M39" s="162">
        <f t="shared" si="13"/>
        <v>94.562858346020533</v>
      </c>
      <c r="N39" s="162">
        <f t="shared" si="14"/>
        <v>85.589679689217917</v>
      </c>
      <c r="O39" s="142">
        <f>ЗП!AF12</f>
        <v>7541.4</v>
      </c>
      <c r="P39" s="162">
        <f t="shared" si="15"/>
        <v>122.14375951540279</v>
      </c>
      <c r="Q39" s="237">
        <f>ЗП!AP12</f>
        <v>6612.6753000000008</v>
      </c>
      <c r="R39" s="162">
        <f t="shared" si="24"/>
        <v>107.10173463768587</v>
      </c>
      <c r="S39" s="162">
        <f t="shared" si="25"/>
        <v>113.25983214866832</v>
      </c>
      <c r="T39" s="142" t="e">
        <f>Q39/Q52*T52</f>
        <v>#REF!</v>
      </c>
      <c r="U39" s="142" t="e">
        <f t="shared" si="121"/>
        <v>#REF!</v>
      </c>
      <c r="V39" s="142">
        <v>5176.6000000000004</v>
      </c>
      <c r="W39" s="142">
        <f>6847.9*(объемы!$AB$9-объемы!$AB$18)/объемы!$AB$9</f>
        <v>6807.6989458504022</v>
      </c>
      <c r="X39" s="1348">
        <f>6847.9-W39</f>
        <v>40.201054149597439</v>
      </c>
      <c r="Y39" s="1356">
        <v>7766.2</v>
      </c>
      <c r="Z39" s="1360">
        <f t="shared" si="16"/>
        <v>1.174441454882867</v>
      </c>
      <c r="AA39" s="1110">
        <f>ЗП!U28</f>
        <v>6982.9851168000005</v>
      </c>
      <c r="AB39" s="1362">
        <f t="shared" si="1"/>
        <v>1.056</v>
      </c>
      <c r="AC39" s="1069">
        <f>$AC$52/$AA$52*AA39</f>
        <v>6903.7152595933467</v>
      </c>
      <c r="AD39" s="1107">
        <f t="shared" si="27"/>
        <v>79.269857206653796</v>
      </c>
      <c r="AE39" s="1110">
        <f>SUM(ЗП!AS28)</f>
        <v>6448.8</v>
      </c>
      <c r="AF39" s="1069">
        <f>AF52/AE52*AE39</f>
        <v>6369.2876850705625</v>
      </c>
      <c r="AG39" s="1107">
        <f>AE39-AF39</f>
        <v>79.512314929437707</v>
      </c>
      <c r="AH39" s="1327">
        <f t="shared" si="18"/>
        <v>7359.1</v>
      </c>
      <c r="AI39" s="1324">
        <f t="shared" si="19"/>
        <v>1.0538616189078114</v>
      </c>
      <c r="AJ39" s="1069">
        <v>7275.33</v>
      </c>
      <c r="AK39" s="1107">
        <v>83.77</v>
      </c>
      <c r="AL39" s="1327">
        <f t="shared" si="20"/>
        <v>7359.1</v>
      </c>
      <c r="AM39" s="1324">
        <f t="shared" si="21"/>
        <v>1.0538616189078114</v>
      </c>
      <c r="AN39" s="1069">
        <f>ЗП!BB28*AN52/(AN52+AO52)</f>
        <v>7275.3285847892603</v>
      </c>
      <c r="AO39" s="1107">
        <f>-AN39+ЗП!BB28</f>
        <v>83.771415210740088</v>
      </c>
      <c r="AP39" s="1388">
        <f t="shared" si="22"/>
        <v>-783.21488319999935</v>
      </c>
      <c r="AQ39" s="1389">
        <f t="shared" ref="AQ39:AQ45" si="127">AP39*AC39/AA39</f>
        <v>-774.32393886674822</v>
      </c>
      <c r="AR39" s="1389">
        <f t="shared" si="23"/>
        <v>-8.8909443332511273</v>
      </c>
      <c r="AS39" s="1390">
        <f t="shared" si="122"/>
        <v>-783.21488319999935</v>
      </c>
      <c r="AT39" s="1110">
        <f>SUM(ЗП!BG28)</f>
        <v>2995.9</v>
      </c>
      <c r="AU39" s="1069">
        <f>AU52/AT52*AT39</f>
        <v>2975.2799334833808</v>
      </c>
      <c r="AV39" s="1107">
        <f>AT39-AU39</f>
        <v>20.620066516619318</v>
      </c>
      <c r="AW39" s="1110">
        <v>4670.4799999999996</v>
      </c>
      <c r="AX39" s="1069">
        <f>AX52/AW52*AW39</f>
        <v>4641.7512701593123</v>
      </c>
      <c r="AY39" s="2738">
        <f>AW39-AX39</f>
        <v>28.728729840687265</v>
      </c>
      <c r="AZ39" s="1110">
        <v>6134.37</v>
      </c>
      <c r="BA39" s="1069">
        <f>BA52/AZ52*AZ39</f>
        <v>6104.8049724633775</v>
      </c>
      <c r="BB39" s="2738">
        <f>AZ39-BA39</f>
        <v>29.565027536622438</v>
      </c>
      <c r="BC39" s="1327">
        <f>SUM(ЗП!BS28)</f>
        <v>8095.010000000002</v>
      </c>
      <c r="BD39" s="2223">
        <f t="shared" si="28"/>
        <v>1.1000000000000003</v>
      </c>
      <c r="BE39" s="1069">
        <f>BE52/BC52*BC39</f>
        <v>8051.7761909566998</v>
      </c>
      <c r="BF39" s="1107">
        <f>BC39-BE39</f>
        <v>43.233809043302244</v>
      </c>
      <c r="BG39" s="1327">
        <f>SUM(ЗП!BW28)</f>
        <v>7369.5470048780498</v>
      </c>
      <c r="BH39" s="2223">
        <f t="shared" si="29"/>
        <v>1.0014196036034364</v>
      </c>
      <c r="BI39" s="1069">
        <f>BI52/BG52*BG39</f>
        <v>7330.1877467740405</v>
      </c>
      <c r="BJ39" s="1107">
        <f>BG39-BI39</f>
        <v>39.359258104009314</v>
      </c>
      <c r="BK39" s="1990" t="str">
        <f>BK31</f>
        <v>Приложение</v>
      </c>
      <c r="BL39" s="3397">
        <f>SUM(ЗП!CB28)</f>
        <v>2581.4899999999998</v>
      </c>
      <c r="BM39" s="3398">
        <f>BM52/BL52*BL39</f>
        <v>2579.40787908217</v>
      </c>
      <c r="BN39" s="3399">
        <f>BL39-BM39</f>
        <v>2.0821209178297977</v>
      </c>
      <c r="BO39" s="3397">
        <f>SUM(ЗП!CF28)</f>
        <v>3954.86</v>
      </c>
      <c r="BP39" s="3398">
        <f>BP52/BO52*BO39</f>
        <v>3951.972841007364</v>
      </c>
      <c r="BQ39" s="3399">
        <f>BO39-BP39</f>
        <v>2.8871589926361594</v>
      </c>
      <c r="BR39" s="3397">
        <f>SUM(ЗП!CJ28)</f>
        <v>5328.2300000000005</v>
      </c>
      <c r="BS39" s="3398">
        <f>BS52/BR52*BR39</f>
        <v>5324.3325857291165</v>
      </c>
      <c r="BT39" s="3399">
        <f>BR39-BS39</f>
        <v>3.8974142708839281</v>
      </c>
      <c r="BU39" s="3366">
        <f>SUM(ЗП!CN28)</f>
        <v>8106.5017053658539</v>
      </c>
      <c r="BV39" s="3379">
        <f t="shared" si="30"/>
        <v>1.0999999999999999</v>
      </c>
      <c r="BW39" s="2942">
        <f>BW52/BU52*BU39</f>
        <v>8067.9910084282492</v>
      </c>
      <c r="BX39" s="2784">
        <f>BU39-BW39</f>
        <v>38.510696937604735</v>
      </c>
      <c r="BY39" s="3366">
        <f>SUM(ЗП!CR28)</f>
        <v>7813.8569938021474</v>
      </c>
      <c r="BZ39" s="3379">
        <f t="shared" si="74"/>
        <v>1.06029</v>
      </c>
      <c r="CA39" s="2942">
        <f>CA52/BY52*BY39</f>
        <v>7771.9183128822742</v>
      </c>
      <c r="CB39" s="2784">
        <f>BY39-CA39</f>
        <v>41.93868091987315</v>
      </c>
      <c r="CC39" s="1990"/>
    </row>
    <row r="40" spans="1:81" ht="21" customHeight="1">
      <c r="A40" s="1339" t="s">
        <v>5</v>
      </c>
      <c r="B40" s="1333">
        <v>991</v>
      </c>
      <c r="C40" s="17">
        <v>1109.0999999999999</v>
      </c>
      <c r="D40" s="31">
        <f t="shared" si="10"/>
        <v>111.91725529767911</v>
      </c>
      <c r="E40" s="17">
        <v>1349.6</v>
      </c>
      <c r="F40" s="31">
        <f t="shared" si="100"/>
        <v>121.68424848976649</v>
      </c>
      <c r="G40" s="17">
        <f>G39*0.302</f>
        <v>2060.0929999999998</v>
      </c>
      <c r="H40" s="31">
        <f t="shared" si="12"/>
        <v>152.64470954356847</v>
      </c>
      <c r="I40" s="142">
        <f>I39*30.2/100</f>
        <v>1864.6084000000001</v>
      </c>
      <c r="J40" s="142">
        <v>1103.4000000000001</v>
      </c>
      <c r="K40" s="142">
        <v>1205.7</v>
      </c>
      <c r="L40" s="142">
        <v>1728</v>
      </c>
      <c r="M40" s="162">
        <f t="shared" si="13"/>
        <v>92.673614470470042</v>
      </c>
      <c r="N40" s="162"/>
      <c r="O40" s="142">
        <f>O39*0.302</f>
        <v>2277.5027999999998</v>
      </c>
      <c r="P40" s="162">
        <f t="shared" si="15"/>
        <v>122.14375951540279</v>
      </c>
      <c r="Q40" s="237">
        <f>Q39*0.302</f>
        <v>1997.0279406000002</v>
      </c>
      <c r="R40" s="162">
        <f t="shared" si="24"/>
        <v>107.10173463768587</v>
      </c>
      <c r="S40" s="162">
        <f t="shared" si="25"/>
        <v>115.5687465625</v>
      </c>
      <c r="T40" s="142" t="e">
        <f>Q40/Q52*T52</f>
        <v>#REF!</v>
      </c>
      <c r="U40" s="142" t="e">
        <f t="shared" si="121"/>
        <v>#REF!</v>
      </c>
      <c r="V40" s="142">
        <v>1556.7</v>
      </c>
      <c r="W40" s="142"/>
      <c r="X40" s="1348">
        <v>0</v>
      </c>
      <c r="Y40" s="1356">
        <v>2345.4</v>
      </c>
      <c r="Z40" s="1360">
        <f t="shared" si="16"/>
        <v>1.1744452605381839</v>
      </c>
      <c r="AA40" s="1110">
        <f>AA39*V41</f>
        <v>2099.9136366191242</v>
      </c>
      <c r="AB40" s="1362">
        <f t="shared" si="1"/>
        <v>1.0515194073790537</v>
      </c>
      <c r="AC40" s="1069">
        <f>$AC$52/$AA$52*AA40</f>
        <v>2076.0757146793185</v>
      </c>
      <c r="AD40" s="1107">
        <f t="shared" si="27"/>
        <v>23.83792193980571</v>
      </c>
      <c r="AE40" s="1110">
        <v>1965.4</v>
      </c>
      <c r="AF40" s="1069">
        <f>AF52/AE52*AE40</f>
        <v>1941.167041346868</v>
      </c>
      <c r="AG40" s="1107">
        <f>AE40-AF40</f>
        <v>24.232958653132073</v>
      </c>
      <c r="AH40" s="1327">
        <f t="shared" si="18"/>
        <v>2215.0943299999999</v>
      </c>
      <c r="AI40" s="1324">
        <f t="shared" si="19"/>
        <v>1.0548502049666755</v>
      </c>
      <c r="AJ40" s="1069">
        <f>AJ39*AJ41</f>
        <v>2189.8743300000001</v>
      </c>
      <c r="AK40" s="1107">
        <v>25.22</v>
      </c>
      <c r="AL40" s="1327">
        <f t="shared" si="20"/>
        <v>2213.0183846540194</v>
      </c>
      <c r="AM40" s="1324">
        <f t="shared" si="21"/>
        <v>1.0538616189078112</v>
      </c>
      <c r="AN40" s="1069">
        <f>AN39*AA41</f>
        <v>2187.8267604105858</v>
      </c>
      <c r="AO40" s="1107">
        <f>AO39*AA41</f>
        <v>25.191624243433733</v>
      </c>
      <c r="AP40" s="1388">
        <f t="shared" si="22"/>
        <v>-245.4863633808759</v>
      </c>
      <c r="AQ40" s="1389">
        <f t="shared" si="127"/>
        <v>-242.69963698150755</v>
      </c>
      <c r="AR40" s="1389">
        <f t="shared" si="23"/>
        <v>-2.786726399368348</v>
      </c>
      <c r="AS40" s="1390">
        <f t="shared" si="122"/>
        <v>-245.4863633808759</v>
      </c>
      <c r="AT40" s="1110">
        <v>927.99</v>
      </c>
      <c r="AU40" s="1069">
        <f>AU52/AT52*AT40</f>
        <v>921.60286574092686</v>
      </c>
      <c r="AV40" s="1107">
        <f>AT40-AU40</f>
        <v>6.3871342590731501</v>
      </c>
      <c r="AW40" s="1110">
        <v>1450.94</v>
      </c>
      <c r="AX40" s="1069">
        <f>AX52/AW52*AW40</f>
        <v>1442.0150793761998</v>
      </c>
      <c r="AY40" s="2738">
        <f>AW40-AX40</f>
        <v>8.9249206238002898</v>
      </c>
      <c r="AZ40" s="1110">
        <v>1903.67</v>
      </c>
      <c r="BA40" s="1069">
        <f>BA52/AZ52*AZ40</f>
        <v>1894.4951285835966</v>
      </c>
      <c r="BB40" s="2738">
        <f>AZ40-BA40</f>
        <v>9.1748714164034482</v>
      </c>
      <c r="BC40" s="1327">
        <f t="shared" ref="BC40" si="128">SUM(BE40+BF40)</f>
        <v>2436.5980100000006</v>
      </c>
      <c r="BD40" s="2223">
        <f t="shared" si="28"/>
        <v>1.1010292670392503</v>
      </c>
      <c r="BE40" s="1069">
        <f>SUM(BE39*AH41)</f>
        <v>2423.5846334779667</v>
      </c>
      <c r="BF40" s="1107">
        <f>SUM(BF39*AH41)</f>
        <v>13.013376522033974</v>
      </c>
      <c r="BG40" s="1327">
        <f t="shared" ref="BG40" si="129">SUM(BI40+BJ40)</f>
        <v>2218.2336484682928</v>
      </c>
      <c r="BH40" s="2223">
        <f t="shared" si="29"/>
        <v>1.0023566292311163</v>
      </c>
      <c r="BI40" s="1069">
        <f>SUM(BI39*BC41)</f>
        <v>2206.386511778986</v>
      </c>
      <c r="BJ40" s="1107">
        <f>SUM(BJ39*BC41)</f>
        <v>11.847136689306803</v>
      </c>
      <c r="BK40" s="1990" t="s">
        <v>250</v>
      </c>
      <c r="BL40" s="3397">
        <v>802.19</v>
      </c>
      <c r="BM40" s="3398">
        <f>BM52/BL52*BL40</f>
        <v>801.54298739136163</v>
      </c>
      <c r="BN40" s="3399">
        <f>BL40-BM40</f>
        <v>0.64701260863841981</v>
      </c>
      <c r="BO40" s="3397">
        <v>1225.6600000000001</v>
      </c>
      <c r="BP40" s="3398">
        <f>BP52/BO52*BO40</f>
        <v>1224.7652337400277</v>
      </c>
      <c r="BQ40" s="3399">
        <f>BO40-BP40</f>
        <v>0.89476625997235715</v>
      </c>
      <c r="BR40" s="3397">
        <v>1651.22</v>
      </c>
      <c r="BS40" s="3398">
        <f>BS52/BR52*BR40</f>
        <v>1650.0121902034316</v>
      </c>
      <c r="BT40" s="3399">
        <f>BR40-BS40</f>
        <v>1.2078097965684265</v>
      </c>
      <c r="BU40" s="3366">
        <f t="shared" ref="BU40" si="130">SUM(BW40+BX40)</f>
        <v>2515.4474791750245</v>
      </c>
      <c r="BV40" s="3379">
        <f t="shared" si="30"/>
        <v>1.1339867109634552</v>
      </c>
      <c r="BW40" s="2942">
        <f>SUM(BW39*BW41)</f>
        <v>2503.4976099152859</v>
      </c>
      <c r="BX40" s="2784">
        <f>SUM(BX39*BX41)</f>
        <v>11.949869259738749</v>
      </c>
      <c r="BY40" s="3366">
        <f>BG40*(1-0.01)*(1+0.071)*(1+0)</f>
        <v>2351.9709551344463</v>
      </c>
      <c r="BZ40" s="3379">
        <f t="shared" si="74"/>
        <v>1.06029</v>
      </c>
      <c r="CA40" s="2942">
        <f>SUM(CA39*BY41)</f>
        <v>2339.3474121775644</v>
      </c>
      <c r="CB40" s="2784">
        <f>SUM(CB39*BY41)</f>
        <v>12.623542956881817</v>
      </c>
      <c r="CC40" s="1990"/>
    </row>
    <row r="41" spans="1:81" s="191" customFormat="1" ht="21" customHeight="1">
      <c r="A41" s="1340" t="str">
        <f>A25</f>
        <v>то же в %</v>
      </c>
      <c r="B41" s="1334"/>
      <c r="C41" s="31"/>
      <c r="D41" s="31"/>
      <c r="E41" s="391">
        <f>E40/E39</f>
        <v>0.25406626506024094</v>
      </c>
      <c r="F41" s="391">
        <f t="shared" ref="F41:AD41" si="131">F40/F39</f>
        <v>1.0157840042887267</v>
      </c>
      <c r="G41" s="391">
        <f t="shared" si="131"/>
        <v>0.30199999999999999</v>
      </c>
      <c r="H41" s="391">
        <f t="shared" si="131"/>
        <v>1.1886662714878482</v>
      </c>
      <c r="I41" s="391">
        <f t="shared" si="131"/>
        <v>0.30200000000000005</v>
      </c>
      <c r="J41" s="391">
        <f t="shared" si="131"/>
        <v>0.33315217391304353</v>
      </c>
      <c r="K41" s="391">
        <f t="shared" si="131"/>
        <v>0.29412338691971801</v>
      </c>
      <c r="L41" s="391">
        <f t="shared" si="131"/>
        <v>0.29596642973366449</v>
      </c>
      <c r="M41" s="391">
        <f t="shared" si="131"/>
        <v>0.9800212905088227</v>
      </c>
      <c r="N41" s="391">
        <f t="shared" si="131"/>
        <v>0</v>
      </c>
      <c r="O41" s="391">
        <f t="shared" si="131"/>
        <v>0.30199999999999999</v>
      </c>
      <c r="P41" s="391">
        <f t="shared" si="131"/>
        <v>1</v>
      </c>
      <c r="Q41" s="392">
        <f t="shared" si="131"/>
        <v>0.30199999999999999</v>
      </c>
      <c r="R41" s="391">
        <f t="shared" si="131"/>
        <v>1</v>
      </c>
      <c r="S41" s="391">
        <f t="shared" si="131"/>
        <v>1.0203859953703702</v>
      </c>
      <c r="T41" s="391" t="e">
        <f t="shared" si="131"/>
        <v>#REF!</v>
      </c>
      <c r="U41" s="391" t="e">
        <f t="shared" si="131"/>
        <v>#REF!</v>
      </c>
      <c r="V41" s="391">
        <f t="shared" si="131"/>
        <v>0.30071861839817637</v>
      </c>
      <c r="W41" s="391"/>
      <c r="X41" s="1352">
        <v>0</v>
      </c>
      <c r="Y41" s="1357">
        <f t="shared" si="131"/>
        <v>0.30200097859957253</v>
      </c>
      <c r="Z41" s="1360">
        <f t="shared" si="16"/>
        <v>1.0000032403959356</v>
      </c>
      <c r="AA41" s="1108">
        <f t="shared" si="131"/>
        <v>0.30071861839817632</v>
      </c>
      <c r="AB41" s="1070">
        <f t="shared" si="131"/>
        <v>0.99575701456349774</v>
      </c>
      <c r="AC41" s="1070">
        <f t="shared" si="131"/>
        <v>0.30071861839817632</v>
      </c>
      <c r="AD41" s="1109">
        <f t="shared" si="131"/>
        <v>0.3007186183981771</v>
      </c>
      <c r="AE41" s="1108">
        <f t="shared" ref="AE41" si="132">AE40/AE39</f>
        <v>0.30476987966753505</v>
      </c>
      <c r="AF41" s="1070">
        <f t="shared" ref="AF41:AG41" si="133">AF40/AF39</f>
        <v>0.30476987966753499</v>
      </c>
      <c r="AG41" s="1109">
        <f t="shared" si="133"/>
        <v>0.30476987966753749</v>
      </c>
      <c r="AH41" s="1108">
        <v>0.30099999999999999</v>
      </c>
      <c r="AI41" s="1324">
        <f t="shared" si="19"/>
        <v>1.0009356973084091</v>
      </c>
      <c r="AJ41" s="1070">
        <v>0.30099999999999999</v>
      </c>
      <c r="AK41" s="1109">
        <v>0.30099999999999999</v>
      </c>
      <c r="AL41" s="1108">
        <f>SUM(AL40/AL39)</f>
        <v>0.30071861839817632</v>
      </c>
      <c r="AM41" s="1324">
        <f t="shared" si="21"/>
        <v>1</v>
      </c>
      <c r="AN41" s="1070">
        <f>AN40/AN39</f>
        <v>0.30071861839817632</v>
      </c>
      <c r="AO41" s="1109">
        <f>AO40/AO39</f>
        <v>0.30071861839817632</v>
      </c>
      <c r="AP41" s="1388">
        <f t="shared" si="22"/>
        <v>-1.2823602013962154E-3</v>
      </c>
      <c r="AQ41" s="1389">
        <f t="shared" si="127"/>
        <v>-1.2823602013962154E-3</v>
      </c>
      <c r="AR41" s="1389">
        <f t="shared" si="23"/>
        <v>0</v>
      </c>
      <c r="AS41" s="1390">
        <f t="shared" si="122"/>
        <v>-1.2823602013962154E-3</v>
      </c>
      <c r="AT41" s="1108">
        <f t="shared" ref="AT41" si="134">AT40/AT39</f>
        <v>0.30975332955038554</v>
      </c>
      <c r="AU41" s="1070">
        <f t="shared" ref="AU41:AW41" si="135">AU40/AU39</f>
        <v>0.30975332955038554</v>
      </c>
      <c r="AV41" s="1109">
        <f t="shared" si="135"/>
        <v>0.30975332955038049</v>
      </c>
      <c r="AW41" s="1108">
        <f t="shared" si="135"/>
        <v>0.31066185916650968</v>
      </c>
      <c r="AX41" s="1070">
        <f t="shared" ref="AX41:AZ41" si="136">AX40/AX39</f>
        <v>0.31066185916650968</v>
      </c>
      <c r="AY41" s="2739">
        <f t="shared" si="136"/>
        <v>0.31066185916650962</v>
      </c>
      <c r="AZ41" s="1108">
        <f t="shared" si="136"/>
        <v>0.31032852599370436</v>
      </c>
      <c r="BA41" s="1070">
        <f t="shared" ref="BA41:BB41" si="137">BA40/BA39</f>
        <v>0.31032852599370431</v>
      </c>
      <c r="BB41" s="2739">
        <f t="shared" si="137"/>
        <v>0.31032852599370864</v>
      </c>
      <c r="BC41" s="1108">
        <f>SUM(BC40/BC39)</f>
        <v>0.30099999999999999</v>
      </c>
      <c r="BD41" s="2223">
        <f t="shared" si="28"/>
        <v>1.0009356973084091</v>
      </c>
      <c r="BE41" s="1070">
        <f>SUM(BE40/BE39)</f>
        <v>0.30099999999999999</v>
      </c>
      <c r="BF41" s="1109">
        <f>SUM(BF40/BF39)</f>
        <v>0.30099999999999999</v>
      </c>
      <c r="BG41" s="1108">
        <f>SUM(BG40/BG39)</f>
        <v>0.30099999999999999</v>
      </c>
      <c r="BH41" s="2223">
        <f t="shared" si="29"/>
        <v>1.0009356973084091</v>
      </c>
      <c r="BI41" s="1070">
        <f>SUM(BI40/BI39)</f>
        <v>0.30099999999999999</v>
      </c>
      <c r="BJ41" s="1109">
        <f>SUM(BJ40/BJ39)</f>
        <v>0.30099999999999999</v>
      </c>
      <c r="BK41" s="1992"/>
      <c r="BL41" s="3400">
        <f t="shared" ref="BL41:BN41" si="138">BL40/BL39</f>
        <v>0.31074689423549973</v>
      </c>
      <c r="BM41" s="3401">
        <f t="shared" si="138"/>
        <v>0.31074689423549967</v>
      </c>
      <c r="BN41" s="3402">
        <f t="shared" si="138"/>
        <v>0.31074689423551993</v>
      </c>
      <c r="BO41" s="3400">
        <f t="shared" ref="BO41:BQ41" si="139">BO40/BO39</f>
        <v>0.30991236099381519</v>
      </c>
      <c r="BP41" s="3401">
        <f t="shared" si="139"/>
        <v>0.30991236099381525</v>
      </c>
      <c r="BQ41" s="3402">
        <f t="shared" si="139"/>
        <v>0.30991236099380132</v>
      </c>
      <c r="BR41" s="3400">
        <f t="shared" ref="BR41:BT41" si="140">BR40/BR39</f>
        <v>0.30990028583600931</v>
      </c>
      <c r="BS41" s="3401">
        <f t="shared" si="140"/>
        <v>0.30990028583600926</v>
      </c>
      <c r="BT41" s="3402">
        <f t="shared" si="140"/>
        <v>0.30990028583604917</v>
      </c>
      <c r="BU41" s="2943">
        <v>0.31030000000000002</v>
      </c>
      <c r="BV41" s="3379">
        <f t="shared" si="30"/>
        <v>1.0308970099667776</v>
      </c>
      <c r="BW41" s="2944">
        <v>0.31030000000000002</v>
      </c>
      <c r="BX41" s="2785">
        <v>0.31030000000000002</v>
      </c>
      <c r="BY41" s="2943">
        <f>SUM(BY40/BY39)</f>
        <v>0.30099999999999999</v>
      </c>
      <c r="BZ41" s="3379">
        <f t="shared" si="74"/>
        <v>1</v>
      </c>
      <c r="CA41" s="2944">
        <f>SUM(CA40/CA39)</f>
        <v>0.30099999999999999</v>
      </c>
      <c r="CB41" s="2785">
        <f>SUM(CB40/CB39)</f>
        <v>0.30099999999999999</v>
      </c>
      <c r="CC41" s="1992"/>
    </row>
    <row r="42" spans="1:81" ht="21" customHeight="1">
      <c r="A42" s="1339" t="s">
        <v>6</v>
      </c>
      <c r="B42" s="1333">
        <v>1035.7</v>
      </c>
      <c r="C42" s="17">
        <v>1490.6</v>
      </c>
      <c r="D42" s="31">
        <f t="shared" si="10"/>
        <v>143.92198513082937</v>
      </c>
      <c r="E42" s="17">
        <v>1931.9</v>
      </c>
      <c r="F42" s="31">
        <f t="shared" si="100"/>
        <v>129.60552797531199</v>
      </c>
      <c r="G42" s="17">
        <f>'цех вода'!G45-вода!G16-вода!G26-вода!G34</f>
        <v>2268.3000000000029</v>
      </c>
      <c r="H42" s="31">
        <f t="shared" si="12"/>
        <v>117.4129095708889</v>
      </c>
      <c r="I42" s="142">
        <v>2107</v>
      </c>
      <c r="J42" s="142">
        <v>1329.9</v>
      </c>
      <c r="K42" s="142">
        <f>'цех вода'!K50</f>
        <v>1718.888220844955</v>
      </c>
      <c r="L42" s="142">
        <v>2190.8000000000002</v>
      </c>
      <c r="M42" s="162">
        <f t="shared" si="13"/>
        <v>103.97721879449455</v>
      </c>
      <c r="N42" s="162"/>
      <c r="O42" s="142">
        <f>'цех вода'!N50</f>
        <v>2644.3000000000011</v>
      </c>
      <c r="P42" s="162">
        <f t="shared" si="15"/>
        <v>125.50071191267209</v>
      </c>
      <c r="Q42" s="237">
        <f>'цех вода'!P50</f>
        <v>2113.8624728004652</v>
      </c>
      <c r="R42" s="162">
        <f t="shared" si="24"/>
        <v>100.32569875654795</v>
      </c>
      <c r="S42" s="162">
        <f t="shared" si="25"/>
        <v>96.48815377033344</v>
      </c>
      <c r="T42" s="142" t="e">
        <f>Q42/Q52*T52</f>
        <v>#REF!</v>
      </c>
      <c r="U42" s="142" t="e">
        <f t="shared" si="121"/>
        <v>#REF!</v>
      </c>
      <c r="V42" s="142">
        <v>2048.6</v>
      </c>
      <c r="W42" s="142"/>
      <c r="X42" s="1348"/>
      <c r="Y42" s="1356">
        <v>2817.5</v>
      </c>
      <c r="Z42" s="1360">
        <f t="shared" si="16"/>
        <v>1.3328681672783325</v>
      </c>
      <c r="AA42" s="1110">
        <f>'цех вода'!W50</f>
        <v>2244.4438912833493</v>
      </c>
      <c r="AB42" s="1362">
        <f t="shared" si="1"/>
        <v>1.0617738477138905</v>
      </c>
      <c r="AC42" s="1069">
        <f>$AC$52/$AA$52*AA42</f>
        <v>2218.9652823797824</v>
      </c>
      <c r="AD42" s="1107">
        <f t="shared" si="27"/>
        <v>25.478608903566965</v>
      </c>
      <c r="AE42" s="1110">
        <v>2289.6</v>
      </c>
      <c r="AF42" s="1069">
        <f>AE42*AF52/(AF52+AG52)</f>
        <v>2261.3697251794997</v>
      </c>
      <c r="AG42" s="1107">
        <f>SUM(AE42-AF42)</f>
        <v>28.230274820500199</v>
      </c>
      <c r="AH42" s="1327">
        <f t="shared" si="18"/>
        <v>2395.3000000000002</v>
      </c>
      <c r="AI42" s="1324">
        <f t="shared" si="19"/>
        <v>1.0672131343102513</v>
      </c>
      <c r="AJ42" s="1069">
        <v>2368.0300000000002</v>
      </c>
      <c r="AK42" s="1107">
        <v>27.27</v>
      </c>
      <c r="AL42" s="1327">
        <f t="shared" si="20"/>
        <v>2361.5208448128728</v>
      </c>
      <c r="AM42" s="1324">
        <f t="shared" si="21"/>
        <v>1.0521630119532996</v>
      </c>
      <c r="AN42" s="1069">
        <f>'цех вода'!AB50*AN52/(AN52+AO52)</f>
        <v>2334.6387609684302</v>
      </c>
      <c r="AO42" s="1107">
        <f>'цех вода'!AB50-AN42</f>
        <v>26.882083844442604</v>
      </c>
      <c r="AP42" s="1388">
        <f t="shared" si="22"/>
        <v>-573.05610871665067</v>
      </c>
      <c r="AQ42" s="1389">
        <f t="shared" si="127"/>
        <v>-566.55085700129462</v>
      </c>
      <c r="AR42" s="1389">
        <f t="shared" si="23"/>
        <v>-6.505251715356053</v>
      </c>
      <c r="AS42" s="1390">
        <f t="shared" si="122"/>
        <v>-573.05610871665067</v>
      </c>
      <c r="AT42" s="1110">
        <v>1149.72</v>
      </c>
      <c r="AU42" s="1069">
        <f>AT42*AU52/(AU52+AV52)</f>
        <v>1141.806750934448</v>
      </c>
      <c r="AV42" s="1107">
        <f>SUM(AT42-AU42)</f>
        <v>7.9132490655520087</v>
      </c>
      <c r="AW42" s="1110">
        <v>1754.48</v>
      </c>
      <c r="AX42" s="1069">
        <f>AW42*AX52/(AX52+AY52)</f>
        <v>1743.6879653631129</v>
      </c>
      <c r="AY42" s="2738">
        <f>SUM(AW42-AX42)</f>
        <v>10.792034636887138</v>
      </c>
      <c r="AZ42" s="1110">
        <v>2398.5700000000002</v>
      </c>
      <c r="BA42" s="1069">
        <f>AZ42*BA52/(BA52+BB52)</f>
        <v>2387.0099232360431</v>
      </c>
      <c r="BB42" s="2738">
        <f>SUM(AZ42-BA42)</f>
        <v>11.560076763957113</v>
      </c>
      <c r="BC42" s="1110">
        <v>2843.27</v>
      </c>
      <c r="BD42" s="2223">
        <f t="shared" si="28"/>
        <v>1.2039995354033393</v>
      </c>
      <c r="BE42" s="1069">
        <f>BC42*BE52/(BE52+BF52)</f>
        <v>2828.0846707368432</v>
      </c>
      <c r="BF42" s="1107">
        <f>SUM(BC42-BE42)</f>
        <v>15.185329263156746</v>
      </c>
      <c r="BG42" s="1110">
        <f>SUM('цех вода'!AG50)</f>
        <v>2475.1343982218523</v>
      </c>
      <c r="BH42" s="2223">
        <f t="shared" si="29"/>
        <v>1.0481103326521695</v>
      </c>
      <c r="BI42" s="1069">
        <f>BG42*BI52/(BI52+BJ52)</f>
        <v>2461.9152066545498</v>
      </c>
      <c r="BJ42" s="1107">
        <f>SUM(BG42-BI42)</f>
        <v>13.21919156730246</v>
      </c>
      <c r="BK42" s="1990" t="str">
        <f>BK34</f>
        <v>Приложение</v>
      </c>
      <c r="BL42" s="3397">
        <f>SUM('цех вода'!AM50)</f>
        <v>1174.5899999999999</v>
      </c>
      <c r="BM42" s="3398">
        <f>BL42*BM52/(BM52+BN52)</f>
        <v>1173.6426252633657</v>
      </c>
      <c r="BN42" s="3399">
        <f>SUM(BL42-BM42)</f>
        <v>0.94737473663417404</v>
      </c>
      <c r="BO42" s="3397">
        <f>SUM('цех вода'!AN50)</f>
        <v>1867.72</v>
      </c>
      <c r="BP42" s="3398">
        <f>BO42*BP52/(BP52+BQ52)</f>
        <v>1866.3565118882273</v>
      </c>
      <c r="BQ42" s="3399">
        <f>SUM(BO42-BP42)</f>
        <v>1.3634881117727673</v>
      </c>
      <c r="BR42" s="3397">
        <f>SUM('цех вода'!AO50)</f>
        <v>2753.3843280127712</v>
      </c>
      <c r="BS42" s="3398">
        <f>BR42*BS52/(BS52+BT52)</f>
        <v>2751.3703234797035</v>
      </c>
      <c r="BT42" s="3399">
        <f>SUM(BR42-BS42)</f>
        <v>2.0140045330676912</v>
      </c>
      <c r="BU42" s="2941">
        <f>SUM('цех вода'!AP50)</f>
        <v>2760.9910007951876</v>
      </c>
      <c r="BV42" s="3379">
        <f t="shared" si="30"/>
        <v>1.1154913457542734</v>
      </c>
      <c r="BW42" s="2942">
        <f>BU42*BW52/(BW52+BX52)</f>
        <v>2747.8746539980607</v>
      </c>
      <c r="BX42" s="2784">
        <f>SUM(BU42-BW42)</f>
        <v>13.11634679712688</v>
      </c>
      <c r="BY42" s="2941">
        <f>SUM('цех вода'!AQ50)</f>
        <v>2736.0248381525657</v>
      </c>
      <c r="BZ42" s="3379">
        <f t="shared" si="74"/>
        <v>1.1054045550488645</v>
      </c>
      <c r="CA42" s="2942">
        <f>BY42*CA52/(CA52+CB52)</f>
        <v>2721.339993937072</v>
      </c>
      <c r="CB42" s="2784">
        <f>SUM(BY42-CA42)</f>
        <v>14.68484421549374</v>
      </c>
      <c r="CC42" s="1990"/>
    </row>
    <row r="43" spans="1:81" ht="21" customHeight="1">
      <c r="A43" s="1341" t="s">
        <v>10</v>
      </c>
      <c r="B43" s="1335">
        <v>1494.1</v>
      </c>
      <c r="C43" s="18">
        <v>1404.8</v>
      </c>
      <c r="D43" s="31">
        <f>C43/B43*100</f>
        <v>94.02315775383174</v>
      </c>
      <c r="E43" s="18">
        <v>1410.5</v>
      </c>
      <c r="F43" s="134">
        <f>E43/C43*100</f>
        <v>100.40575170842826</v>
      </c>
      <c r="G43" s="18">
        <v>1428.5</v>
      </c>
      <c r="H43" s="31">
        <f t="shared" si="12"/>
        <v>101.27614321162707</v>
      </c>
      <c r="I43" s="135">
        <f>SUM(I44:I46)</f>
        <v>1137.367</v>
      </c>
      <c r="J43" s="135">
        <v>677.2</v>
      </c>
      <c r="K43" s="135">
        <v>1258.5</v>
      </c>
      <c r="L43" s="135">
        <v>1566.1</v>
      </c>
      <c r="M43" s="161">
        <f t="shared" si="13"/>
        <v>137.6952206279943</v>
      </c>
      <c r="N43" s="162">
        <f t="shared" si="14"/>
        <v>109.63248162408119</v>
      </c>
      <c r="O43" s="135">
        <v>1885.8</v>
      </c>
      <c r="P43" s="162">
        <f t="shared" si="15"/>
        <v>165.80400169866013</v>
      </c>
      <c r="Q43" s="245">
        <f>SUM(Q44:Q47)</f>
        <v>3665.1</v>
      </c>
      <c r="R43" s="135">
        <f t="shared" ref="R43:AO43" si="141">SUM(R44:R47)</f>
        <v>185.27161278777811</v>
      </c>
      <c r="S43" s="135">
        <f t="shared" si="141"/>
        <v>0</v>
      </c>
      <c r="T43" s="135" t="e">
        <f t="shared" si="141"/>
        <v>#REF!</v>
      </c>
      <c r="U43" s="135" t="e">
        <f t="shared" si="141"/>
        <v>#REF!</v>
      </c>
      <c r="V43" s="135" t="e">
        <f t="shared" si="141"/>
        <v>#REF!</v>
      </c>
      <c r="W43" s="135">
        <f t="shared" si="141"/>
        <v>0</v>
      </c>
      <c r="X43" s="1351">
        <f t="shared" si="141"/>
        <v>0</v>
      </c>
      <c r="Y43" s="1358">
        <f t="shared" si="141"/>
        <v>4337.3</v>
      </c>
      <c r="Z43" s="1360">
        <f t="shared" si="16"/>
        <v>1.1834056369539714</v>
      </c>
      <c r="AA43" s="1330" t="e">
        <f t="shared" si="141"/>
        <v>#REF!</v>
      </c>
      <c r="AB43" s="1362" t="e">
        <f t="shared" si="1"/>
        <v>#REF!</v>
      </c>
      <c r="AC43" s="1328" t="e">
        <f t="shared" si="141"/>
        <v>#REF!</v>
      </c>
      <c r="AD43" s="1329" t="e">
        <f t="shared" si="141"/>
        <v>#REF!</v>
      </c>
      <c r="AE43" s="1330">
        <f>SUM(AE44:AE47)</f>
        <v>4024.3500000000004</v>
      </c>
      <c r="AF43" s="1328">
        <f>SUM(AF44:AF47)</f>
        <v>3976.8345704382273</v>
      </c>
      <c r="AG43" s="1329">
        <f>SUM(AG44:AG47)</f>
        <v>47.515429561772656</v>
      </c>
      <c r="AH43" s="1323">
        <f t="shared" si="18"/>
        <v>3223.45</v>
      </c>
      <c r="AI43" s="1324" t="e">
        <f t="shared" si="19"/>
        <v>#REF!</v>
      </c>
      <c r="AJ43" s="1328">
        <f t="shared" si="141"/>
        <v>3186.56</v>
      </c>
      <c r="AK43" s="1329">
        <f t="shared" si="141"/>
        <v>36.89</v>
      </c>
      <c r="AL43" s="1323">
        <f t="shared" si="20"/>
        <v>3223.1722248582328</v>
      </c>
      <c r="AM43" s="1324" t="e">
        <f t="shared" si="21"/>
        <v>#REF!</v>
      </c>
      <c r="AN43" s="1328">
        <f t="shared" si="141"/>
        <v>3186.5738414565994</v>
      </c>
      <c r="AO43" s="1329">
        <f t="shared" si="141"/>
        <v>36.598383401633441</v>
      </c>
      <c r="AP43" s="1388" t="e">
        <f t="shared" si="22"/>
        <v>#REF!</v>
      </c>
      <c r="AQ43" s="1389" t="e">
        <f t="shared" si="127"/>
        <v>#REF!</v>
      </c>
      <c r="AR43" s="1389" t="e">
        <f t="shared" si="23"/>
        <v>#REF!</v>
      </c>
      <c r="AS43" s="1390" t="e">
        <f t="shared" si="122"/>
        <v>#REF!</v>
      </c>
      <c r="AT43" s="1330">
        <f t="shared" ref="AT43:BC43" si="142">SUM(AT44:AT47)</f>
        <v>917.55000000000007</v>
      </c>
      <c r="AU43" s="1328">
        <f t="shared" si="142"/>
        <v>911.23472177565213</v>
      </c>
      <c r="AV43" s="1329">
        <f t="shared" si="142"/>
        <v>6.3152782243478924</v>
      </c>
      <c r="AW43" s="1330">
        <f t="shared" si="142"/>
        <v>2879.55</v>
      </c>
      <c r="AX43" s="1328">
        <f t="shared" si="142"/>
        <v>2861.8375134862476</v>
      </c>
      <c r="AY43" s="2740">
        <f t="shared" si="142"/>
        <v>17.712486513752381</v>
      </c>
      <c r="AZ43" s="1330">
        <f t="shared" ref="AZ43:BB43" si="143">SUM(AZ44:AZ47)</f>
        <v>4009.7699999999995</v>
      </c>
      <c r="BA43" s="1328">
        <f t="shared" si="143"/>
        <v>3990.4446315488758</v>
      </c>
      <c r="BB43" s="2740">
        <f t="shared" si="143"/>
        <v>19.325368451124206</v>
      </c>
      <c r="BC43" s="1330">
        <f t="shared" si="142"/>
        <v>4420.8999999999996</v>
      </c>
      <c r="BD43" s="2223">
        <f t="shared" si="28"/>
        <v>1.3715990619131273</v>
      </c>
      <c r="BE43" s="1328">
        <f>SUM(BE44:BE47)</f>
        <v>4381.0563420773306</v>
      </c>
      <c r="BF43" s="1329">
        <f>SUM(BF44:BF47)</f>
        <v>39.843657922669166</v>
      </c>
      <c r="BG43" s="1330">
        <f>SUM(BG44:BG47)</f>
        <v>3125.4374758921222</v>
      </c>
      <c r="BH43" s="2223">
        <f t="shared" si="29"/>
        <v>0.96967746612720662</v>
      </c>
      <c r="BI43" s="1328">
        <f>SUM(BI44:BI47)</f>
        <v>3107.8150351902632</v>
      </c>
      <c r="BJ43" s="1329">
        <f>SUM(BJ44:BJ47)</f>
        <v>17.622440701858665</v>
      </c>
      <c r="BK43" s="1994" t="s">
        <v>250</v>
      </c>
      <c r="BL43" s="3403">
        <f t="shared" ref="BL43:BU43" si="144">SUM(BL44:BL47)</f>
        <v>1984.73</v>
      </c>
      <c r="BM43" s="3404">
        <f t="shared" si="144"/>
        <v>1983.1292005201474</v>
      </c>
      <c r="BN43" s="3405">
        <f t="shared" si="144"/>
        <v>1.60079947985259</v>
      </c>
      <c r="BO43" s="3403">
        <f t="shared" ref="BO43:BQ43" si="145">SUM(BO44:BO47)</f>
        <v>2969.96</v>
      </c>
      <c r="BP43" s="3404">
        <f t="shared" si="145"/>
        <v>2967.7918456982625</v>
      </c>
      <c r="BQ43" s="3405">
        <f t="shared" si="145"/>
        <v>2.1681543017374878</v>
      </c>
      <c r="BR43" s="3403">
        <f t="shared" ref="BR43:BT43" si="146">SUM(BR44:BR47)</f>
        <v>3959.95</v>
      </c>
      <c r="BS43" s="3404">
        <f t="shared" si="146"/>
        <v>3957.0534347912935</v>
      </c>
      <c r="BT43" s="3405">
        <f t="shared" si="146"/>
        <v>2.8965652087065763</v>
      </c>
      <c r="BU43" s="2945">
        <f t="shared" si="144"/>
        <v>3628.2425283182315</v>
      </c>
      <c r="BV43" s="3379">
        <f t="shared" si="30"/>
        <v>1.1608750955040588</v>
      </c>
      <c r="BW43" s="2946">
        <f>SUM(BW44:BW47)</f>
        <v>3611.0062217704012</v>
      </c>
      <c r="BX43" s="2947">
        <f>SUM(BX44:BX47)</f>
        <v>17.236306547830125</v>
      </c>
      <c r="BY43" s="2945">
        <f>SUM(BY44:BY47)</f>
        <v>3621.9039999999995</v>
      </c>
      <c r="BZ43" s="3379">
        <f t="shared" si="74"/>
        <v>1.1588470503529003</v>
      </c>
      <c r="CA43" s="2946">
        <f>SUM(CA44:CA47)</f>
        <v>3603.174</v>
      </c>
      <c r="CB43" s="2947">
        <f>SUM(CB44:CB47)</f>
        <v>18.73</v>
      </c>
      <c r="CC43" s="1994"/>
    </row>
    <row r="44" spans="1:81" ht="21" customHeight="1">
      <c r="A44" s="1340" t="s">
        <v>845</v>
      </c>
      <c r="B44" s="1334"/>
      <c r="C44" s="31"/>
      <c r="D44" s="31"/>
      <c r="E44" s="31"/>
      <c r="F44" s="134"/>
      <c r="G44" s="134"/>
      <c r="H44" s="31"/>
      <c r="I44" s="162">
        <v>995.76700000000005</v>
      </c>
      <c r="J44" s="162"/>
      <c r="K44" s="162">
        <v>1206</v>
      </c>
      <c r="L44" s="162">
        <v>1608</v>
      </c>
      <c r="M44" s="161">
        <f t="shared" si="13"/>
        <v>161.48355990909519</v>
      </c>
      <c r="N44" s="162"/>
      <c r="O44" s="162">
        <v>1768.8</v>
      </c>
      <c r="P44" s="162">
        <f t="shared" si="15"/>
        <v>177.63191590000471</v>
      </c>
      <c r="Q44" s="397">
        <v>1022.1</v>
      </c>
      <c r="R44" s="162">
        <f t="shared" si="24"/>
        <v>102.64449414371033</v>
      </c>
      <c r="S44" s="162"/>
      <c r="T44" s="142" t="e">
        <f>Q44/Q52*T52</f>
        <v>#REF!</v>
      </c>
      <c r="U44" s="142" t="e">
        <f>Q44-T44</f>
        <v>#REF!</v>
      </c>
      <c r="V44" s="142">
        <v>1206</v>
      </c>
      <c r="W44" s="142"/>
      <c r="X44" s="1348"/>
      <c r="Y44" s="1356">
        <v>1688.4</v>
      </c>
      <c r="Z44" s="1360">
        <f t="shared" si="16"/>
        <v>1.6518931611388319</v>
      </c>
      <c r="AA44" s="1110" t="e">
        <f>Q44*(объемы!F38/объемы!#REF!)</f>
        <v>#REF!</v>
      </c>
      <c r="AB44" s="1362" t="e">
        <f t="shared" si="1"/>
        <v>#REF!</v>
      </c>
      <c r="AC44" s="1069" t="e">
        <f>$AC$52/$AA$52*AA44</f>
        <v>#REF!</v>
      </c>
      <c r="AD44" s="1107" t="e">
        <f t="shared" si="27"/>
        <v>#REF!</v>
      </c>
      <c r="AE44" s="1110">
        <v>1608</v>
      </c>
      <c r="AF44" s="1069">
        <f>AF52/AE52*AE44</f>
        <v>1588.1737063629612</v>
      </c>
      <c r="AG44" s="1107">
        <f>AE44-AF44</f>
        <v>19.826293637038816</v>
      </c>
      <c r="AH44" s="1327">
        <f t="shared" si="18"/>
        <v>777.31000000000006</v>
      </c>
      <c r="AI44" s="1324" t="e">
        <f t="shared" si="19"/>
        <v>#REF!</v>
      </c>
      <c r="AJ44" s="1069">
        <v>768.46</v>
      </c>
      <c r="AK44" s="1107">
        <v>8.85</v>
      </c>
      <c r="AL44" s="1327">
        <f t="shared" si="20"/>
        <v>777.30736823713823</v>
      </c>
      <c r="AM44" s="1324" t="e">
        <f t="shared" si="21"/>
        <v>#REF!</v>
      </c>
      <c r="AN44" s="1069">
        <f>вод.налог!D26*AN52/(AN52+AO52)</f>
        <v>768.45898483550479</v>
      </c>
      <c r="AO44" s="1107">
        <f>вод.налог!D26-вода!AN44</f>
        <v>8.8483834016334413</v>
      </c>
      <c r="AP44" s="1388" t="e">
        <f t="shared" si="22"/>
        <v>#REF!</v>
      </c>
      <c r="AQ44" s="1389" t="e">
        <f t="shared" si="127"/>
        <v>#REF!</v>
      </c>
      <c r="AR44" s="1389" t="e">
        <f t="shared" si="23"/>
        <v>#REF!</v>
      </c>
      <c r="AS44" s="1390" t="e">
        <f t="shared" si="122"/>
        <v>#REF!</v>
      </c>
      <c r="AT44" s="1110">
        <v>872.97</v>
      </c>
      <c r="AU44" s="1069">
        <f>AT44*AU52/(AU52+AV52)</f>
        <v>866.96155530324347</v>
      </c>
      <c r="AV44" s="1107">
        <f>SUM(AT44-AU44)</f>
        <v>6.0084446967565555</v>
      </c>
      <c r="AW44" s="1110">
        <v>1309.47</v>
      </c>
      <c r="AX44" s="1069">
        <f>AW44*AX52/(AX52+AY52)</f>
        <v>1301.415279743306</v>
      </c>
      <c r="AY44" s="2738">
        <f>SUM(AW44-AX44)</f>
        <v>8.0547202566940541</v>
      </c>
      <c r="AZ44" s="1110">
        <v>1745.85</v>
      </c>
      <c r="BA44" s="1069">
        <f>AZ44*BA52/(BA52+BB52)</f>
        <v>1737.4357531702826</v>
      </c>
      <c r="BB44" s="2738">
        <f>SUM(AZ44-BA44)</f>
        <v>8.4142468297172854</v>
      </c>
      <c r="BC44" s="1110">
        <v>2004.55</v>
      </c>
      <c r="BD44" s="2223">
        <f t="shared" ref="BD44" si="147">SUM(BC44/AL44)</f>
        <v>2.5788382844564248</v>
      </c>
      <c r="BE44" s="1069">
        <f>BC44*BE52/(BE52+BF52)</f>
        <v>1993.8441044028666</v>
      </c>
      <c r="BF44" s="1107">
        <f>SUM(BC44-BE44)</f>
        <v>10.705895597133349</v>
      </c>
      <c r="BG44" s="2259">
        <f>BI44+BJ44</f>
        <v>1193.4749305587886</v>
      </c>
      <c r="BH44" s="2260">
        <f t="shared" ref="BH44" si="148">SUM(BG44/AL44)</f>
        <v>1.5353963944346498</v>
      </c>
      <c r="BI44" s="2261">
        <f>вод.налог!D36</f>
        <v>1186.1707105587886</v>
      </c>
      <c r="BJ44" s="2262">
        <f>0.341*BJ52</f>
        <v>7.3042199999999999</v>
      </c>
      <c r="BK44" s="1994" t="s">
        <v>981</v>
      </c>
      <c r="BL44" s="3397">
        <v>1002.27</v>
      </c>
      <c r="BM44" s="3398">
        <f>BL44*BM52/(BM52+BN52)</f>
        <v>1001.4616113049775</v>
      </c>
      <c r="BN44" s="3399">
        <f>SUM(BL44-BM44)</f>
        <v>0.80838869502247235</v>
      </c>
      <c r="BO44" s="3397">
        <v>1503.41</v>
      </c>
      <c r="BP44" s="3398">
        <f>BO44*BP52/(BP52+BQ52)</f>
        <v>1502.3124684309637</v>
      </c>
      <c r="BQ44" s="3399">
        <f>SUM(BO44-BP44)</f>
        <v>1.0975315690363914</v>
      </c>
      <c r="BR44" s="3397">
        <v>2004.55</v>
      </c>
      <c r="BS44" s="3398">
        <f>BR44*BS52/(BS52+BT52)</f>
        <v>2003.0837416409013</v>
      </c>
      <c r="BT44" s="3399">
        <f>SUM(BR44-BS44)</f>
        <v>1.4662583590986742</v>
      </c>
      <c r="BU44" s="2941">
        <f>SUM(вод.налог!G36)</f>
        <v>1363.8491949848983</v>
      </c>
      <c r="BV44" s="3379">
        <f t="shared" si="30"/>
        <v>1.1427547911260607</v>
      </c>
      <c r="BW44" s="2942">
        <f>BU44*BW52/(BW52+BX52)</f>
        <v>1357.3701014220248</v>
      </c>
      <c r="BX44" s="2784">
        <f>SUM(BU44-BW44)</f>
        <v>6.4790935628734587</v>
      </c>
      <c r="BY44" s="2941">
        <f>SUM(CA44:CB44)</f>
        <v>1357.51</v>
      </c>
      <c r="BZ44" s="3379">
        <f t="shared" si="74"/>
        <v>1.137443246809055</v>
      </c>
      <c r="CA44" s="2942">
        <v>1349.53</v>
      </c>
      <c r="CB44" s="2784">
        <v>7.98</v>
      </c>
      <c r="CC44" s="1994"/>
    </row>
    <row r="45" spans="1:81" ht="21" customHeight="1">
      <c r="A45" s="1340" t="s">
        <v>543</v>
      </c>
      <c r="B45" s="1334"/>
      <c r="C45" s="31"/>
      <c r="D45" s="31"/>
      <c r="E45" s="31"/>
      <c r="F45" s="134"/>
      <c r="G45" s="134"/>
      <c r="H45" s="31"/>
      <c r="I45" s="162">
        <v>141.6</v>
      </c>
      <c r="J45" s="162"/>
      <c r="K45" s="162">
        <v>52.5</v>
      </c>
      <c r="L45" s="162">
        <v>86.5</v>
      </c>
      <c r="M45" s="161">
        <f t="shared" si="13"/>
        <v>61.087570621468934</v>
      </c>
      <c r="N45" s="162"/>
      <c r="O45" s="162">
        <v>117</v>
      </c>
      <c r="P45" s="162">
        <f t="shared" si="15"/>
        <v>82.627118644067792</v>
      </c>
      <c r="Q45" s="397">
        <v>117</v>
      </c>
      <c r="R45" s="162">
        <f t="shared" si="24"/>
        <v>82.627118644067792</v>
      </c>
      <c r="S45" s="162"/>
      <c r="T45" s="142" t="e">
        <f>Q45/Q52*T52</f>
        <v>#REF!</v>
      </c>
      <c r="U45" s="142" t="e">
        <f>Q45-T45</f>
        <v>#REF!</v>
      </c>
      <c r="V45" s="142">
        <v>92.8</v>
      </c>
      <c r="W45" s="142"/>
      <c r="X45" s="1348"/>
      <c r="Y45" s="1356">
        <v>122.9</v>
      </c>
      <c r="Z45" s="1360">
        <f t="shared" si="16"/>
        <v>1.0504273504273505</v>
      </c>
      <c r="AA45" s="1110">
        <f>Y45</f>
        <v>122.9</v>
      </c>
      <c r="AB45" s="1362">
        <f t="shared" si="1"/>
        <v>1.0504273504273505</v>
      </c>
      <c r="AC45" s="1069">
        <f>$AC$52/$AA$52*AA45</f>
        <v>121.50485662109472</v>
      </c>
      <c r="AD45" s="1107">
        <v>1.21</v>
      </c>
      <c r="AE45" s="1110">
        <v>93.2</v>
      </c>
      <c r="AF45" s="1069">
        <f>AF52/AE52*AE45</f>
        <v>92.050864075266162</v>
      </c>
      <c r="AG45" s="1107">
        <f>AE45-AF45</f>
        <v>1.1491359247338409</v>
      </c>
      <c r="AH45" s="1327">
        <f t="shared" si="18"/>
        <v>123</v>
      </c>
      <c r="AI45" s="1324">
        <f t="shared" si="19"/>
        <v>1.000813669650122</v>
      </c>
      <c r="AJ45" s="1069">
        <v>121.5</v>
      </c>
      <c r="AK45" s="1107">
        <v>1.5</v>
      </c>
      <c r="AL45" s="1327">
        <f t="shared" si="20"/>
        <v>122.71485662109471</v>
      </c>
      <c r="AM45" s="1324">
        <f t="shared" si="21"/>
        <v>0.99849354451663719</v>
      </c>
      <c r="AN45" s="1069">
        <f>AC45</f>
        <v>121.50485662109472</v>
      </c>
      <c r="AO45" s="1107">
        <f>AD45</f>
        <v>1.21</v>
      </c>
      <c r="AP45" s="1388">
        <f t="shared" si="22"/>
        <v>0</v>
      </c>
      <c r="AQ45" s="1389">
        <f t="shared" si="127"/>
        <v>0</v>
      </c>
      <c r="AR45" s="1389">
        <f t="shared" si="23"/>
        <v>0</v>
      </c>
      <c r="AS45" s="1390">
        <f t="shared" si="122"/>
        <v>0</v>
      </c>
      <c r="AT45" s="1110">
        <v>44.58</v>
      </c>
      <c r="AU45" s="1069">
        <f>AT45*AU52/(AU52+AV52)</f>
        <v>44.273166472408661</v>
      </c>
      <c r="AV45" s="1107">
        <f>SUM(AT45-AU45)</f>
        <v>0.30683352759133697</v>
      </c>
      <c r="AW45" s="1110">
        <v>66.88</v>
      </c>
      <c r="AX45" s="1069">
        <f>AW45*AX52/(AX52+AY52)</f>
        <v>66.468612422760586</v>
      </c>
      <c r="AY45" s="2738">
        <f>SUM(AW45-AX45)</f>
        <v>0.41138757723940955</v>
      </c>
      <c r="AZ45" s="1110">
        <v>88.7</v>
      </c>
      <c r="BA45" s="1069">
        <f>AZ45*BA52/(BA52+BB52)</f>
        <v>88.272504113299576</v>
      </c>
      <c r="BB45" s="2738">
        <f>SUM(AZ45-BA45)</f>
        <v>0.42749588670042726</v>
      </c>
      <c r="BC45" s="1110">
        <f>SUM(AE45)</f>
        <v>93.2</v>
      </c>
      <c r="BD45" s="2223">
        <f t="shared" ref="BD45" si="149">SUM(BC45/AL45)</f>
        <v>0.75948424311632123</v>
      </c>
      <c r="BE45" s="1069">
        <f>BC45*BE52/(BE52+BF52)</f>
        <v>92.702237674464186</v>
      </c>
      <c r="BF45" s="1107">
        <f>SUM(BC45-BE45)</f>
        <v>0.49776232553581679</v>
      </c>
      <c r="BG45" s="1110">
        <f>AW45/3*4</f>
        <v>89.173333333333332</v>
      </c>
      <c r="BH45" s="2223">
        <f t="shared" ref="BH45" si="150">SUM(BG45/AL45)</f>
        <v>0.72667104691873485</v>
      </c>
      <c r="BI45" s="1069">
        <f>BG45*BI52/(BI52+BJ52)</f>
        <v>88.69707661900091</v>
      </c>
      <c r="BJ45" s="1107">
        <f>SUM(BG45-BI45)</f>
        <v>0.47625671433242189</v>
      </c>
      <c r="BK45" s="1994" t="s">
        <v>1014</v>
      </c>
      <c r="BL45" s="3397">
        <v>43.95</v>
      </c>
      <c r="BM45" s="3398">
        <f>BL45*BM52/(BM52+BN52)</f>
        <v>43.914551784303406</v>
      </c>
      <c r="BN45" s="3399">
        <f>SUM(BL45-BM45)</f>
        <v>3.5448215696597174E-2</v>
      </c>
      <c r="BO45" s="3397">
        <v>66.38</v>
      </c>
      <c r="BP45" s="3398">
        <f>BO45*BP52/(BP52+BQ52)</f>
        <v>66.331540733696968</v>
      </c>
      <c r="BQ45" s="3399">
        <f>SUM(BO45-BP45)</f>
        <v>4.8459266303026993E-2</v>
      </c>
      <c r="BR45" s="3397">
        <v>88.51</v>
      </c>
      <c r="BS45" s="3398">
        <f>BR45*BS52/(BS52+BT52)</f>
        <v>88.445258024312778</v>
      </c>
      <c r="BT45" s="3399">
        <f>SUM(BR45-BS45)</f>
        <v>6.4741975687226727E-2</v>
      </c>
      <c r="BU45" s="2941">
        <f>SUM(BG45)</f>
        <v>89.173333333333332</v>
      </c>
      <c r="BV45" s="3379">
        <f t="shared" si="30"/>
        <v>1</v>
      </c>
      <c r="BW45" s="2942">
        <f>BU45*BW52/(BW52+BX52)</f>
        <v>88.749707046714178</v>
      </c>
      <c r="BX45" s="2784">
        <f>SUM(BU45-BW45)</f>
        <v>0.4236262866191538</v>
      </c>
      <c r="BY45" s="2941">
        <f>SUM(CA45:CB45)</f>
        <v>89.17</v>
      </c>
      <c r="BZ45" s="3379">
        <f t="shared" si="74"/>
        <v>0.99996261961722488</v>
      </c>
      <c r="CA45" s="2942">
        <v>88.75</v>
      </c>
      <c r="CB45" s="2784">
        <v>0.42</v>
      </c>
      <c r="CC45" s="1994"/>
    </row>
    <row r="46" spans="1:81" ht="21" customHeight="1">
      <c r="A46" s="1340" t="s">
        <v>544</v>
      </c>
      <c r="B46" s="1334"/>
      <c r="C46" s="31"/>
      <c r="D46" s="31"/>
      <c r="E46" s="31"/>
      <c r="F46" s="134"/>
      <c r="G46" s="134"/>
      <c r="H46" s="31"/>
      <c r="I46" s="162">
        <v>0</v>
      </c>
      <c r="J46" s="162"/>
      <c r="K46" s="162">
        <v>0</v>
      </c>
      <c r="L46" s="162">
        <v>0</v>
      </c>
      <c r="M46" s="161" t="e">
        <f t="shared" si="13"/>
        <v>#DIV/0!</v>
      </c>
      <c r="N46" s="162"/>
      <c r="O46" s="162"/>
      <c r="P46" s="162"/>
      <c r="Q46" s="397"/>
      <c r="R46" s="162"/>
      <c r="S46" s="162"/>
      <c r="T46" s="142"/>
      <c r="U46" s="142">
        <f>Q46-T46</f>
        <v>0</v>
      </c>
      <c r="V46" s="142"/>
      <c r="W46" s="142"/>
      <c r="X46" s="1348"/>
      <c r="Y46" s="1356">
        <v>0</v>
      </c>
      <c r="Z46" s="1360"/>
      <c r="AA46" s="1110">
        <v>0</v>
      </c>
      <c r="AB46" s="1362"/>
      <c r="AC46" s="1069">
        <f>$AC$52/$AA$52*AA46</f>
        <v>0</v>
      </c>
      <c r="AD46" s="1107">
        <f t="shared" si="27"/>
        <v>0</v>
      </c>
      <c r="AE46" s="1110">
        <v>0</v>
      </c>
      <c r="AF46" s="1069">
        <f>AE46*AF52/(AF52+AG52)</f>
        <v>0</v>
      </c>
      <c r="AG46" s="1107">
        <f>SUM(AE46-AF46)</f>
        <v>0</v>
      </c>
      <c r="AH46" s="1327">
        <f t="shared" si="18"/>
        <v>0</v>
      </c>
      <c r="AI46" s="1324"/>
      <c r="AJ46" s="1069">
        <v>0</v>
      </c>
      <c r="AK46" s="1107">
        <v>0</v>
      </c>
      <c r="AL46" s="1327">
        <f t="shared" si="20"/>
        <v>0</v>
      </c>
      <c r="AM46" s="1324"/>
      <c r="AN46" s="1069"/>
      <c r="AO46" s="1107"/>
      <c r="AP46" s="1388">
        <f t="shared" si="22"/>
        <v>0</v>
      </c>
      <c r="AQ46" s="1389"/>
      <c r="AR46" s="1389"/>
      <c r="AS46" s="1390">
        <f t="shared" si="122"/>
        <v>0</v>
      </c>
      <c r="AT46" s="1110">
        <v>0</v>
      </c>
      <c r="AU46" s="1069">
        <f>AT46*AU52/(AU52+AV52)</f>
        <v>0</v>
      </c>
      <c r="AV46" s="1107">
        <f>SUM(AT46-AU46)</f>
        <v>0</v>
      </c>
      <c r="AW46" s="1110">
        <v>0</v>
      </c>
      <c r="AX46" s="1069">
        <f>AW46*AX52/(AX52+AY52)</f>
        <v>0</v>
      </c>
      <c r="AY46" s="2738">
        <f>SUM(AW46-AX46)</f>
        <v>0</v>
      </c>
      <c r="AZ46" s="1110">
        <v>0</v>
      </c>
      <c r="BA46" s="1069">
        <f>AZ46*BA52/(BA52+BB52)</f>
        <v>0</v>
      </c>
      <c r="BB46" s="2738">
        <f>SUM(AZ46-BA46)</f>
        <v>0</v>
      </c>
      <c r="BC46" s="1110">
        <v>0</v>
      </c>
      <c r="BD46" s="2223"/>
      <c r="BE46" s="1069">
        <f>BC46*BE52/(BE52+BF52)</f>
        <v>0</v>
      </c>
      <c r="BF46" s="1107">
        <f>SUM(BC46-BE46)</f>
        <v>0</v>
      </c>
      <c r="BG46" s="1110">
        <v>0</v>
      </c>
      <c r="BH46" s="2223"/>
      <c r="BI46" s="1069">
        <f>BG46*BI52/(BI52+BJ52)</f>
        <v>0</v>
      </c>
      <c r="BJ46" s="1107">
        <f>SUM(BG46-BI46)</f>
        <v>0</v>
      </c>
      <c r="BK46" s="1994"/>
      <c r="BL46" s="3397">
        <v>0</v>
      </c>
      <c r="BM46" s="3398">
        <f>BL46*BM52/(BM52+BN52)</f>
        <v>0</v>
      </c>
      <c r="BN46" s="3399">
        <f>SUM(BL46-BM46)</f>
        <v>0</v>
      </c>
      <c r="BO46" s="3397">
        <v>0</v>
      </c>
      <c r="BP46" s="3398">
        <f>BO46*BP52/(BP52+BQ52)</f>
        <v>0</v>
      </c>
      <c r="BQ46" s="3399">
        <f>SUM(BO46-BP46)</f>
        <v>0</v>
      </c>
      <c r="BR46" s="3397">
        <v>0</v>
      </c>
      <c r="BS46" s="3398">
        <f>BR46*BS52/(BS52+BT52)</f>
        <v>0</v>
      </c>
      <c r="BT46" s="3399">
        <f>SUM(BR46-BS46)</f>
        <v>0</v>
      </c>
      <c r="BU46" s="2941">
        <v>0</v>
      </c>
      <c r="BV46" s="3379"/>
      <c r="BW46" s="2942">
        <f>BU46*BW52/(BW52+BX52)</f>
        <v>0</v>
      </c>
      <c r="BX46" s="2784">
        <f>SUM(BU46-BW46)</f>
        <v>0</v>
      </c>
      <c r="BY46" s="2941">
        <v>0</v>
      </c>
      <c r="BZ46" s="3379"/>
      <c r="CA46" s="2942">
        <f>BY46*CA52/(CA52+CB52)</f>
        <v>0</v>
      </c>
      <c r="CB46" s="2784">
        <f>SUM(BY46-CA46)</f>
        <v>0</v>
      </c>
      <c r="CC46" s="1994"/>
    </row>
    <row r="47" spans="1:81" ht="21" customHeight="1">
      <c r="A47" s="1340" t="s">
        <v>545</v>
      </c>
      <c r="B47" s="1334"/>
      <c r="C47" s="31"/>
      <c r="D47" s="31"/>
      <c r="E47" s="31"/>
      <c r="F47" s="134"/>
      <c r="G47" s="134"/>
      <c r="H47" s="31"/>
      <c r="I47" s="162"/>
      <c r="J47" s="162"/>
      <c r="K47" s="162"/>
      <c r="L47" s="162">
        <v>0</v>
      </c>
      <c r="M47" s="161"/>
      <c r="N47" s="162"/>
      <c r="O47" s="162"/>
      <c r="P47" s="162"/>
      <c r="Q47" s="397">
        <v>2526</v>
      </c>
      <c r="R47" s="162"/>
      <c r="S47" s="162"/>
      <c r="T47" s="142" t="e">
        <f>Q47/Q52*T52</f>
        <v>#REF!</v>
      </c>
      <c r="U47" s="142" t="e">
        <f>Q47-T47</f>
        <v>#REF!</v>
      </c>
      <c r="V47" s="142" t="e">
        <f>3064*#REF!</f>
        <v>#REF!</v>
      </c>
      <c r="W47" s="142"/>
      <c r="X47" s="1348">
        <v>0</v>
      </c>
      <c r="Y47" s="1356">
        <v>2526</v>
      </c>
      <c r="Z47" s="1360">
        <f t="shared" si="16"/>
        <v>1</v>
      </c>
      <c r="AA47" s="1110">
        <f>AC47+AD47</f>
        <v>2323.15</v>
      </c>
      <c r="AB47" s="1362">
        <f t="shared" si="1"/>
        <v>0.91969517022961211</v>
      </c>
      <c r="AC47" s="1069">
        <v>2296.61</v>
      </c>
      <c r="AD47" s="1107">
        <v>26.54</v>
      </c>
      <c r="AE47" s="1110">
        <v>2323.15</v>
      </c>
      <c r="AF47" s="1069">
        <v>2296.61</v>
      </c>
      <c r="AG47" s="1107">
        <v>26.54</v>
      </c>
      <c r="AH47" s="1327">
        <f t="shared" si="18"/>
        <v>2323.14</v>
      </c>
      <c r="AI47" s="1324">
        <f t="shared" si="19"/>
        <v>0.99999569549964473</v>
      </c>
      <c r="AJ47" s="1069">
        <v>2296.6</v>
      </c>
      <c r="AK47" s="1107">
        <v>26.54</v>
      </c>
      <c r="AL47" s="1327">
        <f t="shared" si="20"/>
        <v>2323.15</v>
      </c>
      <c r="AM47" s="1324">
        <f t="shared" si="21"/>
        <v>1</v>
      </c>
      <c r="AN47" s="1069">
        <f>AC47</f>
        <v>2296.61</v>
      </c>
      <c r="AO47" s="1107">
        <f>AD47</f>
        <v>26.54</v>
      </c>
      <c r="AP47" s="1388">
        <f t="shared" si="22"/>
        <v>-202.84999999999991</v>
      </c>
      <c r="AQ47" s="1389">
        <f>AP47*AC47/AA47</f>
        <v>-200.53261240126545</v>
      </c>
      <c r="AR47" s="1389">
        <f t="shared" si="23"/>
        <v>-2.3173875987344559</v>
      </c>
      <c r="AS47" s="1390">
        <f t="shared" si="122"/>
        <v>-202.84999999999991</v>
      </c>
      <c r="AT47" s="1110">
        <v>0</v>
      </c>
      <c r="AU47" s="1069">
        <f>AT47*AU52/(AU52+AV52)</f>
        <v>0</v>
      </c>
      <c r="AV47" s="1107">
        <f>SUM(AT47-AU47)</f>
        <v>0</v>
      </c>
      <c r="AW47" s="1110">
        <v>1503.2</v>
      </c>
      <c r="AX47" s="1069">
        <f>AW47*AX52/(AX52+AY52)</f>
        <v>1493.9536213201811</v>
      </c>
      <c r="AY47" s="2738">
        <f>SUM(AW47-AX47)</f>
        <v>9.2463786798189176</v>
      </c>
      <c r="AZ47" s="2765">
        <v>2175.2199999999998</v>
      </c>
      <c r="BA47" s="2766">
        <f>AZ47*BA52/(BA52+BB52)</f>
        <v>2164.7363742652933</v>
      </c>
      <c r="BB47" s="2767">
        <f>SUM(AZ47-BA47)</f>
        <v>10.483625734706493</v>
      </c>
      <c r="BC47" s="1110">
        <f>SUM(BE47:BF47)</f>
        <v>2323.15</v>
      </c>
      <c r="BD47" s="2223">
        <f t="shared" ref="BD47" si="151">SUM(BC47/AL47)</f>
        <v>1</v>
      </c>
      <c r="BE47" s="1069">
        <v>2294.5100000000002</v>
      </c>
      <c r="BF47" s="1107">
        <v>28.64</v>
      </c>
      <c r="BG47" s="1110">
        <f>'налог на имущ'!C15</f>
        <v>1842.7892119999999</v>
      </c>
      <c r="BH47" s="2223">
        <f t="shared" ref="BH47" si="152">SUM(BG47/AL47)</f>
        <v>0.7932286817467662</v>
      </c>
      <c r="BI47" s="1069">
        <f>BG47*BI52/BG52</f>
        <v>1832.9472480124737</v>
      </c>
      <c r="BJ47" s="1107">
        <f>BG47-BI47</f>
        <v>9.8419639875262419</v>
      </c>
      <c r="BK47" s="1994" t="s">
        <v>981</v>
      </c>
      <c r="BL47" s="3499">
        <v>938.51</v>
      </c>
      <c r="BM47" s="3398">
        <f>BL47*BM52/(BM52+BN52)</f>
        <v>937.75303743086647</v>
      </c>
      <c r="BN47" s="3399">
        <f>SUM(BL47-BM47)</f>
        <v>0.75696256913352045</v>
      </c>
      <c r="BO47" s="3499">
        <v>1400.17</v>
      </c>
      <c r="BP47" s="3398">
        <f>BO47*BP52/(BP52+BQ52)</f>
        <v>1399.147836533602</v>
      </c>
      <c r="BQ47" s="3399">
        <f>SUM(BO47-BP47)</f>
        <v>1.0221634663980694</v>
      </c>
      <c r="BR47" s="3397">
        <v>1866.89</v>
      </c>
      <c r="BS47" s="3398">
        <f>BR47*BS52/(BS52+BT52)</f>
        <v>1865.5244351260794</v>
      </c>
      <c r="BT47" s="3399">
        <f>SUM(BR47-BS47)</f>
        <v>1.3655648739206754</v>
      </c>
      <c r="BU47" s="2941">
        <f>SUM(AZ47)</f>
        <v>2175.2199999999998</v>
      </c>
      <c r="BV47" s="3379">
        <f t="shared" si="30"/>
        <v>1.1803954493738376</v>
      </c>
      <c r="BW47" s="2942">
        <f>BW52/BU52*BU47</f>
        <v>2164.8864133016623</v>
      </c>
      <c r="BX47" s="2784">
        <f>BU47-BW47</f>
        <v>10.333586698337513</v>
      </c>
      <c r="BY47" s="2941">
        <f>SUM(CA47:CB47)</f>
        <v>2175.2239999999997</v>
      </c>
      <c r="BZ47" s="3379">
        <f t="shared" si="74"/>
        <v>1.1803976199964861</v>
      </c>
      <c r="CA47" s="2942">
        <v>2164.8939999999998</v>
      </c>
      <c r="CB47" s="2784">
        <v>10.33</v>
      </c>
      <c r="CC47" s="1994"/>
    </row>
    <row r="48" spans="1:81" ht="21" customHeight="1">
      <c r="A48" s="1341" t="s">
        <v>11</v>
      </c>
      <c r="B48" s="1335">
        <v>8687.7999999999993</v>
      </c>
      <c r="C48" s="18">
        <v>9434.2999999999993</v>
      </c>
      <c r="D48" s="134">
        <f>C48/B48*100</f>
        <v>108.59250903565921</v>
      </c>
      <c r="E48" s="18">
        <v>9717.6</v>
      </c>
      <c r="F48" s="134">
        <f>E48/C48*100</f>
        <v>103.00287249716462</v>
      </c>
      <c r="G48" s="18">
        <v>10985.6</v>
      </c>
      <c r="H48" s="134">
        <f t="shared" si="12"/>
        <v>113.04848933893142</v>
      </c>
      <c r="I48" s="135">
        <v>9819.5</v>
      </c>
      <c r="J48" s="135">
        <v>5737.6</v>
      </c>
      <c r="K48" s="135">
        <v>8579.1</v>
      </c>
      <c r="L48" s="135">
        <v>12008</v>
      </c>
      <c r="M48" s="161">
        <f t="shared" si="13"/>
        <v>122.28728550333521</v>
      </c>
      <c r="N48" s="161">
        <f t="shared" si="14"/>
        <v>109.3067288086222</v>
      </c>
      <c r="O48" s="135">
        <v>14719.1</v>
      </c>
      <c r="P48" s="161">
        <f t="shared" si="15"/>
        <v>149.89663424817965</v>
      </c>
      <c r="Q48" s="245" t="e">
        <f>#REF!-800</f>
        <v>#REF!</v>
      </c>
      <c r="R48" s="161" t="e">
        <f t="shared" si="24"/>
        <v>#REF!</v>
      </c>
      <c r="S48" s="161" t="e">
        <f t="shared" si="25"/>
        <v>#REF!</v>
      </c>
      <c r="T48" s="135" t="e">
        <f>Q48/Q52*T52</f>
        <v>#REF!</v>
      </c>
      <c r="U48" s="135" t="e">
        <f>Q48-T48</f>
        <v>#REF!</v>
      </c>
      <c r="V48" s="135">
        <v>10509.8</v>
      </c>
      <c r="W48" s="135">
        <f>'ОХР '!X56*(объемы!$AB$9-объемы!$AB$18)/объемы!$AB$9</f>
        <v>13772.470342151944</v>
      </c>
      <c r="X48" s="1351">
        <f>'ОХР '!X56-W48</f>
        <v>81.329657848054921</v>
      </c>
      <c r="Y48" s="1358">
        <v>15517.1</v>
      </c>
      <c r="Z48" s="1366" t="e">
        <f t="shared" si="16"/>
        <v>#REF!</v>
      </c>
      <c r="AA48" s="1330">
        <v>9765</v>
      </c>
      <c r="AB48" s="1367" t="e">
        <f>AA48/Q48</f>
        <v>#REF!</v>
      </c>
      <c r="AC48" s="1328">
        <f>AA48-AD48</f>
        <v>9598.7999999999993</v>
      </c>
      <c r="AD48" s="1329">
        <v>166.2</v>
      </c>
      <c r="AE48" s="1330">
        <f>SUM('ОХР '!AD56)</f>
        <v>14207.04</v>
      </c>
      <c r="AF48" s="1328">
        <f>AF52/AE52*AE48</f>
        <v>14031.870256994307</v>
      </c>
      <c r="AG48" s="1329">
        <f>AE48-AF48</f>
        <v>175.16974300569382</v>
      </c>
      <c r="AH48" s="1323">
        <f t="shared" si="18"/>
        <v>13395.76</v>
      </c>
      <c r="AI48" s="1312">
        <f t="shared" si="19"/>
        <v>1.3718136200716846</v>
      </c>
      <c r="AJ48" s="1328">
        <v>13243.27</v>
      </c>
      <c r="AK48" s="1329">
        <v>152.49</v>
      </c>
      <c r="AL48" s="1323">
        <f t="shared" si="20"/>
        <v>13073.01213648671</v>
      </c>
      <c r="AM48" s="1312">
        <f t="shared" si="21"/>
        <v>1.3387621235521465</v>
      </c>
      <c r="AN48" s="1328">
        <f>'ОХР '!AH56*AN52/(AN52+AO52)</f>
        <v>12924.197100987714</v>
      </c>
      <c r="AO48" s="1329">
        <f>'ОХР '!AD49-вода!AN48</f>
        <v>148.81503549899571</v>
      </c>
      <c r="AP48" s="1388">
        <f t="shared" si="22"/>
        <v>-5752.1</v>
      </c>
      <c r="AQ48" s="1389">
        <f>AP48*AC48/AA48</f>
        <v>-5654.1994347158216</v>
      </c>
      <c r="AR48" s="1389">
        <f t="shared" si="23"/>
        <v>-97.900565284178811</v>
      </c>
      <c r="AS48" s="1390">
        <f t="shared" si="122"/>
        <v>-5752.1</v>
      </c>
      <c r="AT48" s="1330">
        <v>6505.01</v>
      </c>
      <c r="AU48" s="1328">
        <f>AU52/AT52*AT48</f>
        <v>6460.2375647080098</v>
      </c>
      <c r="AV48" s="1329">
        <f>AT48-AU48</f>
        <v>44.772435291990405</v>
      </c>
      <c r="AW48" s="1330">
        <v>9743.8700000000008</v>
      </c>
      <c r="AX48" s="1328">
        <f>AX52/AW52*AW48</f>
        <v>9683.9341885132217</v>
      </c>
      <c r="AY48" s="2740">
        <f>AW48-AX48</f>
        <v>59.93581148677913</v>
      </c>
      <c r="AZ48" s="1330">
        <v>12858.36</v>
      </c>
      <c r="BA48" s="1328">
        <f>BA52/AZ52*AZ48</f>
        <v>12796.388229879221</v>
      </c>
      <c r="BB48" s="2740">
        <f>AZ48-BA48</f>
        <v>61.971770120779183</v>
      </c>
      <c r="BC48" s="1323">
        <v>14993.56</v>
      </c>
      <c r="BD48" s="2224">
        <f t="shared" ref="BD48:BD50" si="153">SUM(BC48/AL48)</f>
        <v>1.1469093613210264</v>
      </c>
      <c r="BE48" s="1328">
        <f>BE52/BC52*BC48</f>
        <v>14913.482432471448</v>
      </c>
      <c r="BF48" s="1329">
        <f>BC48-BE48</f>
        <v>80.077567528551299</v>
      </c>
      <c r="BG48" s="2598">
        <f>SUM('ОХР '!AP56)-3000</f>
        <v>9920.4365701392053</v>
      </c>
      <c r="BH48" s="2224">
        <f t="shared" ref="BH48:BH50" si="154">SUM(BG48/AL48)</f>
        <v>0.75884857036515074</v>
      </c>
      <c r="BI48" s="1328">
        <f>BI52/BG52*BG48</f>
        <v>9867.4535274623486</v>
      </c>
      <c r="BJ48" s="1329">
        <f>BG48-BI48</f>
        <v>52.983042676856712</v>
      </c>
      <c r="BK48" s="1990" t="s">
        <v>1666</v>
      </c>
      <c r="BL48" s="3403">
        <f>SUM('ОХР '!AY49)</f>
        <v>6282.929999999993</v>
      </c>
      <c r="BM48" s="3404">
        <f>BM52/BL52*BL48</f>
        <v>6277.8624537463711</v>
      </c>
      <c r="BN48" s="3405">
        <f>BL48-BM48</f>
        <v>5.0675462536219129</v>
      </c>
      <c r="BO48" s="3403">
        <f>SUM('ОХР '!BB49)</f>
        <v>9402.3000000000102</v>
      </c>
      <c r="BP48" s="3404">
        <f>BP52/BO52*BO48</f>
        <v>9395.4360566501928</v>
      </c>
      <c r="BQ48" s="3405">
        <f>BO48-BP48</f>
        <v>6.8639433498174185</v>
      </c>
      <c r="BR48" s="3403">
        <f>SUM('ОХР '!BE49)</f>
        <v>12460.093333333323</v>
      </c>
      <c r="BS48" s="3404">
        <f>BS52/BR52*BR48</f>
        <v>12450.979209961419</v>
      </c>
      <c r="BT48" s="3405">
        <f>BR48-BS48</f>
        <v>9.1141233719044976</v>
      </c>
      <c r="BU48" s="3368">
        <f>SUM('ОХР '!BH49)</f>
        <v>16008.32334611606</v>
      </c>
      <c r="BV48" s="3379">
        <f t="shared" si="30"/>
        <v>1.6136712565958604</v>
      </c>
      <c r="BW48" s="2946">
        <f>BW52/BU52*BU48</f>
        <v>15932.274304091756</v>
      </c>
      <c r="BX48" s="2947">
        <f>BU48-BW48</f>
        <v>76.049042024304072</v>
      </c>
      <c r="BY48" s="3368">
        <f>SUM('ОХР '!BM49)-4496.16</f>
        <v>10405.569747911368</v>
      </c>
      <c r="BZ48" s="3379">
        <f t="shared" si="74"/>
        <v>1.0489024020608555</v>
      </c>
      <c r="CA48" s="2946">
        <v>10353.7749</v>
      </c>
      <c r="CB48" s="2947">
        <v>51.8</v>
      </c>
      <c r="CC48" s="1990"/>
    </row>
    <row r="49" spans="1:81" ht="21" customHeight="1">
      <c r="A49" s="1917" t="s">
        <v>908</v>
      </c>
      <c r="B49" s="1918"/>
      <c r="C49" s="1919"/>
      <c r="D49" s="1920"/>
      <c r="E49" s="1919"/>
      <c r="F49" s="1920"/>
      <c r="G49" s="1919"/>
      <c r="H49" s="1920"/>
      <c r="I49" s="1921"/>
      <c r="J49" s="1921"/>
      <c r="K49" s="1921"/>
      <c r="L49" s="1921"/>
      <c r="M49" s="1922"/>
      <c r="N49" s="1922"/>
      <c r="O49" s="1921"/>
      <c r="P49" s="1922"/>
      <c r="Q49" s="1923"/>
      <c r="R49" s="1922"/>
      <c r="S49" s="1922"/>
      <c r="T49" s="1921"/>
      <c r="U49" s="1921"/>
      <c r="V49" s="1921"/>
      <c r="W49" s="1921"/>
      <c r="X49" s="1924"/>
      <c r="Y49" s="1925"/>
      <c r="Z49" s="1926"/>
      <c r="AA49" s="1927"/>
      <c r="AB49" s="1928"/>
      <c r="AC49" s="1929"/>
      <c r="AD49" s="1930"/>
      <c r="AE49" s="1927"/>
      <c r="AF49" s="1929"/>
      <c r="AG49" s="1930"/>
      <c r="AH49" s="1931"/>
      <c r="AI49" s="1932"/>
      <c r="AJ49" s="1929"/>
      <c r="AK49" s="1930"/>
      <c r="AL49" s="1931"/>
      <c r="AM49" s="1932"/>
      <c r="AN49" s="1929"/>
      <c r="AO49" s="1930"/>
      <c r="AP49" s="1388"/>
      <c r="AQ49" s="1389"/>
      <c r="AR49" s="1389"/>
      <c r="AS49" s="1390"/>
      <c r="AT49" s="1927"/>
      <c r="AU49" s="1929"/>
      <c r="AV49" s="1930"/>
      <c r="AW49" s="1927"/>
      <c r="AX49" s="1929"/>
      <c r="AY49" s="2740"/>
      <c r="AZ49" s="1927"/>
      <c r="BA49" s="1929"/>
      <c r="BB49" s="2740"/>
      <c r="BC49" s="1931">
        <v>1162.33</v>
      </c>
      <c r="BD49" s="2225"/>
      <c r="BE49" s="1929">
        <v>1162.33</v>
      </c>
      <c r="BF49" s="1930"/>
      <c r="BG49" s="1931">
        <f>BI49+BJ49</f>
        <v>395.92538655008684</v>
      </c>
      <c r="BH49" s="2225"/>
      <c r="BI49" s="1929">
        <f>'Резерв ДЗ'!F7</f>
        <v>395.92538655008684</v>
      </c>
      <c r="BJ49" s="1930"/>
      <c r="BK49" s="1538" t="s">
        <v>981</v>
      </c>
      <c r="BL49" s="3403"/>
      <c r="BM49" s="3404"/>
      <c r="BN49" s="3405"/>
      <c r="BO49" s="3403"/>
      <c r="BP49" s="3404"/>
      <c r="BQ49" s="3405"/>
      <c r="BR49" s="3403"/>
      <c r="BS49" s="3404"/>
      <c r="BT49" s="3405"/>
      <c r="BU49" s="3369">
        <f>SUM(BW49:BX49)</f>
        <v>404.91360275906646</v>
      </c>
      <c r="BV49" s="3379">
        <f t="shared" si="30"/>
        <v>1.0227017931012174</v>
      </c>
      <c r="BW49" s="2953">
        <f>SUM('Резерв ДЗ'!F17:F20)</f>
        <v>404.91360275906646</v>
      </c>
      <c r="BX49" s="2954"/>
      <c r="BY49" s="3369">
        <f>CA49+CB49</f>
        <v>397.28</v>
      </c>
      <c r="BZ49" s="3379">
        <f t="shared" si="74"/>
        <v>1.0034213856851075</v>
      </c>
      <c r="CA49" s="2953">
        <v>397.28</v>
      </c>
      <c r="CB49" s="2954">
        <v>0</v>
      </c>
      <c r="CC49" s="1538"/>
    </row>
    <row r="50" spans="1:81" ht="42" customHeight="1">
      <c r="A50" s="1343" t="s">
        <v>525</v>
      </c>
      <c r="B50" s="1335"/>
      <c r="C50" s="18"/>
      <c r="D50" s="134"/>
      <c r="E50" s="18"/>
      <c r="F50" s="134"/>
      <c r="G50" s="18"/>
      <c r="H50" s="134"/>
      <c r="I50" s="135"/>
      <c r="J50" s="135"/>
      <c r="K50" s="135"/>
      <c r="L50" s="135"/>
      <c r="M50" s="161"/>
      <c r="N50" s="161"/>
      <c r="O50" s="135"/>
      <c r="P50" s="161"/>
      <c r="Q50" s="245"/>
      <c r="R50" s="161"/>
      <c r="S50" s="161"/>
      <c r="T50" s="135"/>
      <c r="U50" s="135"/>
      <c r="V50" s="135"/>
      <c r="W50" s="135"/>
      <c r="X50" s="1351"/>
      <c r="Y50" s="1358"/>
      <c r="Z50" s="1366"/>
      <c r="AA50" s="1330"/>
      <c r="AB50" s="1367"/>
      <c r="AC50" s="1328"/>
      <c r="AD50" s="1329"/>
      <c r="AE50" s="1330"/>
      <c r="AF50" s="1328"/>
      <c r="AG50" s="1329"/>
      <c r="AH50" s="1323">
        <f t="shared" si="18"/>
        <v>1147.31</v>
      </c>
      <c r="AI50" s="1312"/>
      <c r="AJ50" s="1328">
        <v>1147.31</v>
      </c>
      <c r="AK50" s="1329">
        <v>0</v>
      </c>
      <c r="AL50" s="1323">
        <f t="shared" si="20"/>
        <v>1287.3</v>
      </c>
      <c r="AM50" s="1312"/>
      <c r="AN50" s="1328">
        <v>1269.8</v>
      </c>
      <c r="AO50" s="1329">
        <v>17.5</v>
      </c>
      <c r="AP50" s="1388"/>
      <c r="AQ50" s="1389"/>
      <c r="AR50" s="1389"/>
      <c r="AS50" s="1390"/>
      <c r="AT50" s="1330"/>
      <c r="AU50" s="1328"/>
      <c r="AV50" s="1329"/>
      <c r="AW50" s="1330"/>
      <c r="AX50" s="1328"/>
      <c r="AY50" s="2740"/>
      <c r="AZ50" s="1330"/>
      <c r="BA50" s="1328"/>
      <c r="BB50" s="2740"/>
      <c r="BC50" s="1330">
        <v>1785.8</v>
      </c>
      <c r="BD50" s="2224">
        <f t="shared" si="153"/>
        <v>1.3872446205235764</v>
      </c>
      <c r="BE50" s="1328">
        <f>SUM(BC50)</f>
        <v>1785.8</v>
      </c>
      <c r="BF50" s="1329">
        <v>0</v>
      </c>
      <c r="BG50" s="1323">
        <f>BI50+BJ50</f>
        <v>1785.8</v>
      </c>
      <c r="BH50" s="2224">
        <f t="shared" si="154"/>
        <v>1.3872446205235764</v>
      </c>
      <c r="BI50" s="1328">
        <f>'Выпадающ15-16'!G14</f>
        <v>1785.8</v>
      </c>
      <c r="BJ50" s="1329">
        <v>0</v>
      </c>
      <c r="BK50" s="1990" t="s">
        <v>981</v>
      </c>
      <c r="BL50" s="3403"/>
      <c r="BM50" s="3404"/>
      <c r="BN50" s="3405"/>
      <c r="BO50" s="3403"/>
      <c r="BP50" s="3404"/>
      <c r="BQ50" s="3405"/>
      <c r="BR50" s="3403"/>
      <c r="BS50" s="3404"/>
      <c r="BT50" s="3405"/>
      <c r="BU50" s="2945">
        <f>SUM('Выпадающ15-16'!J14)</f>
        <v>3771.829999999999</v>
      </c>
      <c r="BV50" s="3379">
        <f t="shared" si="30"/>
        <v>2.1121234180759321</v>
      </c>
      <c r="BW50" s="2946">
        <f>SUM(BU50)</f>
        <v>3771.829999999999</v>
      </c>
      <c r="BX50" s="2947">
        <v>0</v>
      </c>
      <c r="BY50" s="3368">
        <f>SUM('Выпадающ15-16'!K14)</f>
        <v>2254.38</v>
      </c>
      <c r="BZ50" s="3379">
        <f t="shared" si="74"/>
        <v>1.2623922051741516</v>
      </c>
      <c r="CA50" s="2946">
        <f>SUM(BY50)</f>
        <v>2254.38</v>
      </c>
      <c r="CB50" s="2947">
        <v>0</v>
      </c>
      <c r="CC50" s="1990"/>
    </row>
    <row r="51" spans="1:81" ht="21" customHeight="1">
      <c r="A51" s="1341" t="s">
        <v>12</v>
      </c>
      <c r="B51" s="1335" t="e">
        <f>#REF!+B17+B27+B35+B43+B48</f>
        <v>#REF!</v>
      </c>
      <c r="C51" s="18" t="e">
        <f>#REF!+C17+C27+C35+C43+C48</f>
        <v>#REF!</v>
      </c>
      <c r="D51" s="134" t="e">
        <f>C51/B51*100</f>
        <v>#REF!</v>
      </c>
      <c r="E51" s="18">
        <f>E8+E17+E27+E35+E43+E48</f>
        <v>91860.9</v>
      </c>
      <c r="F51" s="18" t="e">
        <f>#REF!+F17+F27+F35+F43+F48</f>
        <v>#REF!</v>
      </c>
      <c r="G51" s="18">
        <f>G8+G17+G27+G35+G43+G48</f>
        <v>106293.40000000001</v>
      </c>
      <c r="H51" s="134">
        <f t="shared" si="12"/>
        <v>115.71125473405988</v>
      </c>
      <c r="I51" s="135">
        <f>I8+I17+I27+I35+I43+I48</f>
        <v>99255.762351999991</v>
      </c>
      <c r="J51" s="135" t="e">
        <f>#REF!+J17+J27+J35+J43+J48</f>
        <v>#REF!</v>
      </c>
      <c r="K51" s="135">
        <f>K8+K17+K27+K35+K43+K48</f>
        <v>78008.310588443768</v>
      </c>
      <c r="L51" s="135">
        <f>L8+L17+L27+L35+L43+L48</f>
        <v>112599.10000000002</v>
      </c>
      <c r="M51" s="135" t="e">
        <f>#REF!+M17+M27+M35+M43+M48</f>
        <v>#REF!</v>
      </c>
      <c r="N51" s="161">
        <f t="shared" si="14"/>
        <v>105.93235327875486</v>
      </c>
      <c r="O51" s="135">
        <f>O8+O17+O27+O35+O43+O48</f>
        <v>131545.64200056618</v>
      </c>
      <c r="P51" s="161">
        <f t="shared" si="15"/>
        <v>132.53199500302418</v>
      </c>
      <c r="Q51" s="245" t="e">
        <f t="shared" ref="Q51:Y51" si="155">Q8+Q17+Q27+Q35+Q43+Q48</f>
        <v>#REF!</v>
      </c>
      <c r="R51" s="135" t="e">
        <f t="shared" si="155"/>
        <v>#REF!</v>
      </c>
      <c r="S51" s="135" t="e">
        <f t="shared" si="155"/>
        <v>#REF!</v>
      </c>
      <c r="T51" s="135" t="e">
        <f t="shared" si="155"/>
        <v>#REF!</v>
      </c>
      <c r="U51" s="135" t="e">
        <f t="shared" si="155"/>
        <v>#REF!</v>
      </c>
      <c r="V51" s="135" t="e">
        <f t="shared" si="155"/>
        <v>#REF!</v>
      </c>
      <c r="W51" s="135">
        <f t="shared" si="155"/>
        <v>72136.82706190896</v>
      </c>
      <c r="X51" s="1351">
        <f t="shared" si="155"/>
        <v>257.54293809104547</v>
      </c>
      <c r="Y51" s="1358">
        <f t="shared" si="155"/>
        <v>138793.20000000001</v>
      </c>
      <c r="Z51" s="1366" t="e">
        <f t="shared" si="16"/>
        <v>#REF!</v>
      </c>
      <c r="AA51" s="1330" t="e">
        <f>AA8+AA17+AA27+AA35+AA43+AA48</f>
        <v>#REF!</v>
      </c>
      <c r="AB51" s="1367" t="e">
        <f t="shared" ref="AB51:AB56" si="156">AA51/Q51</f>
        <v>#REF!</v>
      </c>
      <c r="AC51" s="1328" t="e">
        <f>AC8+AC17+AC27+AC35+AC43+AC48+0.02</f>
        <v>#REF!</v>
      </c>
      <c r="AD51" s="1329" t="e">
        <f>AD8+AD17+AD27+AD35+AD43+AD48</f>
        <v>#REF!</v>
      </c>
      <c r="AE51" s="1330">
        <f>AE8+AE17+AE27+AE35+AE43+AE48</f>
        <v>113320.02939110002</v>
      </c>
      <c r="AF51" s="1328">
        <f>AF8+AF17+AF27+AF35+AF43+AF48</f>
        <v>112515.45483007004</v>
      </c>
      <c r="AG51" s="1329">
        <f t="shared" ref="AG51" si="157">AG8+AG17+AG27+AG35+AG43+AG48</f>
        <v>804.57456102995798</v>
      </c>
      <c r="AH51" s="1323">
        <f t="shared" si="18"/>
        <v>121571.42432999999</v>
      </c>
      <c r="AI51" s="1312" t="e">
        <f t="shared" si="19"/>
        <v>#REF!</v>
      </c>
      <c r="AJ51" s="1328">
        <f>AJ8+AJ17+AJ27+AJ35+AJ43+AJ48+AJ50</f>
        <v>120777.48432999999</v>
      </c>
      <c r="AK51" s="1329">
        <f>AK8+AK17+AK27+AK35+AK43+AK48</f>
        <v>793.93999999999994</v>
      </c>
      <c r="AL51" s="1323">
        <f t="shared" si="20"/>
        <v>113871.15082286556</v>
      </c>
      <c r="AM51" s="1312" t="e">
        <f t="shared" si="21"/>
        <v>#REF!</v>
      </c>
      <c r="AN51" s="1328">
        <f>AN8+AN17+AN27+AN35+AN43+AN48+AN50</f>
        <v>113100.92994092536</v>
      </c>
      <c r="AO51" s="1329">
        <f>AO8+AO17+AO27+AO35+AO43+AO48+AO50</f>
        <v>770.22088194020273</v>
      </c>
      <c r="AP51" s="1388" t="e">
        <f t="shared" si="22"/>
        <v>#REF!</v>
      </c>
      <c r="AQ51" s="1389" t="e">
        <f>AP51*AC51/AA51</f>
        <v>#REF!</v>
      </c>
      <c r="AR51" s="1389" t="e">
        <f t="shared" si="23"/>
        <v>#REF!</v>
      </c>
      <c r="AS51" s="1390" t="e">
        <f t="shared" si="122"/>
        <v>#REF!</v>
      </c>
      <c r="AT51" s="1330">
        <f>AT8+AT17+AT27+AT35+AT43+AT48</f>
        <v>56673.297081399993</v>
      </c>
      <c r="AU51" s="1330">
        <f t="shared" ref="AU51:AV51" si="158">AU8+AU17+AU27+AU35+AU43+AU48</f>
        <v>56463.165167590261</v>
      </c>
      <c r="AV51" s="1330">
        <f t="shared" si="158"/>
        <v>210.13191380973541</v>
      </c>
      <c r="AW51" s="1330">
        <f>AW8+AW17+AW27+AW35+AW43+AW48</f>
        <v>86434.29</v>
      </c>
      <c r="AX51" s="1328">
        <f>AX8+AX17+AX27+AX35+AX43+AX48</f>
        <v>86140.291554596537</v>
      </c>
      <c r="AY51" s="2740">
        <f t="shared" ref="AY51" si="159">AY8+AY17+AY27+AY35+AY43+AY48</f>
        <v>293.99844540346618</v>
      </c>
      <c r="AZ51" s="1330">
        <f>AZ8+AZ17+AZ27+AZ35+AZ43+AZ48</f>
        <v>116214.42000000001</v>
      </c>
      <c r="BA51" s="1328">
        <f>BA8+BA17+BA27+BA35+BA43+BA48</f>
        <v>115906.66084339835</v>
      </c>
      <c r="BB51" s="2740">
        <f t="shared" ref="BB51" si="160">BB8+BB17+BB27+BB35+BB43+BB48</f>
        <v>307.75915660164389</v>
      </c>
      <c r="BC51" s="1323">
        <f t="shared" ref="BC51" si="161">SUM(BE51+BF51)</f>
        <v>135173.02728099888</v>
      </c>
      <c r="BD51" s="2224">
        <f t="shared" si="28"/>
        <v>1.1870700024035927</v>
      </c>
      <c r="BE51" s="1328">
        <f>BE8+BE17+BE27+BE35+BE43+BE48+BE50+BE49</f>
        <v>134749.65181062307</v>
      </c>
      <c r="BF51" s="1329">
        <f>BF8+BF17+BF27+BF35+BF43+BF48</f>
        <v>423.37547037580555</v>
      </c>
      <c r="BG51" s="1328">
        <f>BG8+BG17+BG27+BG35+BG43+BG48+BG50+BG49</f>
        <v>120491.19481209799</v>
      </c>
      <c r="BH51" s="2224">
        <f t="shared" si="29"/>
        <v>1.0581362701737367</v>
      </c>
      <c r="BI51" s="1328">
        <f>BI8+BI17+BI27+BI35+BI43+BI48+BI50+BI49</f>
        <v>120147.21128591217</v>
      </c>
      <c r="BJ51" s="1328">
        <f>BJ8+BJ17+BJ27+BJ35+BJ43+BJ48+BJ50+BJ49</f>
        <v>343.9835261858193</v>
      </c>
      <c r="BK51" s="1990"/>
      <c r="BL51" s="3406">
        <f>BL8+BL17+BL27+BL35+BL43+BL48</f>
        <v>58948.359424089991</v>
      </c>
      <c r="BM51" s="2980">
        <f t="shared" ref="BM51:BN51" si="162">BM8+BM17+BM27+BM35+BM43+BM48</f>
        <v>58923.740327763939</v>
      </c>
      <c r="BN51" s="3407">
        <f t="shared" si="162"/>
        <v>24.619096326047917</v>
      </c>
      <c r="BO51" s="3406">
        <f>BO8+BO17+BO27+BO35+BO43+BO48</f>
        <v>89325.18489619001</v>
      </c>
      <c r="BP51" s="2980">
        <f t="shared" ref="BP51:BQ51" si="163">BP8+BP17+BP27+BP35+BP43+BP48</f>
        <v>89291.215527233813</v>
      </c>
      <c r="BQ51" s="3407">
        <f t="shared" si="163"/>
        <v>33.969368956207575</v>
      </c>
      <c r="BR51" s="3406">
        <f>BR8+BR17+BR27+BR35+BR43+BR48</f>
        <v>121974.02193216182</v>
      </c>
      <c r="BS51" s="2980">
        <f t="shared" ref="BS51:BT51" si="164">BS8+BS17+BS27+BS35+BS43+BS48</f>
        <v>121927.69330994833</v>
      </c>
      <c r="BT51" s="3407">
        <f t="shared" si="164"/>
        <v>46.328622213487293</v>
      </c>
      <c r="BU51" s="3368">
        <f t="shared" ref="BU51" si="165">SUM(BW51+BX51)</f>
        <v>139982.63437959022</v>
      </c>
      <c r="BV51" s="3379">
        <f t="shared" si="30"/>
        <v>1.161766505825496</v>
      </c>
      <c r="BW51" s="2946">
        <f>BW8+BW17+BW27+BW35+BW43+BW48+BW50+BW49</f>
        <v>139617.67429327508</v>
      </c>
      <c r="BX51" s="2947">
        <f>BX8+BX17+BX27+BX35+BX43+BX48</f>
        <v>364.96008631513166</v>
      </c>
      <c r="BY51" s="2946">
        <f>BY8+BY17+BY27+BY35+BY43+BY48+BY50+BY49</f>
        <v>126864.26461703914</v>
      </c>
      <c r="BZ51" s="3379">
        <f t="shared" si="74"/>
        <v>1.0528924110585818</v>
      </c>
      <c r="CA51" s="2946">
        <f>CA8+CA17+CA27+CA35+CA43+CA48+CA50+CA49</f>
        <v>126518.39756640363</v>
      </c>
      <c r="CB51" s="2946">
        <f>CB8+CB17+CB27+CB35+CB43+CB48+CB50+CB49</f>
        <v>345.87220272417039</v>
      </c>
      <c r="CC51" s="1990"/>
    </row>
    <row r="52" spans="1:81" ht="21" customHeight="1">
      <c r="A52" s="1341" t="s">
        <v>13</v>
      </c>
      <c r="B52" s="1335">
        <f>объемы!B15</f>
        <v>5323.9</v>
      </c>
      <c r="C52" s="18">
        <f>объемы!C15</f>
        <v>5023.2000000000007</v>
      </c>
      <c r="D52" s="134">
        <f>C52/B52*100</f>
        <v>94.351884896410539</v>
      </c>
      <c r="E52" s="18">
        <f>объемы!E15</f>
        <v>4902.7999999999993</v>
      </c>
      <c r="F52" s="134">
        <f>E52/C52*100</f>
        <v>97.603121516164975</v>
      </c>
      <c r="G52" s="18">
        <f>объемы!F15</f>
        <v>4524.3</v>
      </c>
      <c r="H52" s="134">
        <f t="shared" si="12"/>
        <v>92.279921677408851</v>
      </c>
      <c r="I52" s="135">
        <f>объемы!H15</f>
        <v>4645</v>
      </c>
      <c r="J52" s="135" t="e">
        <f>объемы!#REF!</f>
        <v>#REF!</v>
      </c>
      <c r="K52" s="135">
        <f>объемы!J15</f>
        <v>3263.8</v>
      </c>
      <c r="L52" s="135">
        <v>4431.5</v>
      </c>
      <c r="M52" s="161">
        <f t="shared" si="13"/>
        <v>95.403659849300325</v>
      </c>
      <c r="N52" s="161">
        <f t="shared" si="14"/>
        <v>97.948853966359422</v>
      </c>
      <c r="O52" s="135">
        <f>объемы!K15</f>
        <v>4100</v>
      </c>
      <c r="P52" s="161">
        <f t="shared" si="15"/>
        <v>88.266953713670617</v>
      </c>
      <c r="Q52" s="245" t="e">
        <f>объемы!#REF!</f>
        <v>#REF!</v>
      </c>
      <c r="R52" s="161" t="e">
        <f t="shared" si="24"/>
        <v>#REF!</v>
      </c>
      <c r="S52" s="161" t="e">
        <f t="shared" si="25"/>
        <v>#REF!</v>
      </c>
      <c r="T52" s="135" t="e">
        <f>объемы!#REF!+объемы!#REF!</f>
        <v>#REF!</v>
      </c>
      <c r="U52" s="135" t="e">
        <f>объемы!#REF!</f>
        <v>#REF!</v>
      </c>
      <c r="V52" s="135" t="e">
        <f>объемы!#REF!</f>
        <v>#REF!</v>
      </c>
      <c r="W52" s="135">
        <f>объемы!AB15-X52</f>
        <v>4181.7</v>
      </c>
      <c r="X52" s="1351">
        <f>объемы!AB18</f>
        <v>46</v>
      </c>
      <c r="Y52" s="1358">
        <f>объемы!E48</f>
        <v>4000</v>
      </c>
      <c r="Z52" s="1366" t="e">
        <f t="shared" si="16"/>
        <v>#REF!</v>
      </c>
      <c r="AA52" s="1330">
        <f>объемы!F48</f>
        <v>4052.2</v>
      </c>
      <c r="AB52" s="1367" t="e">
        <f t="shared" si="156"/>
        <v>#REF!</v>
      </c>
      <c r="AC52" s="1328">
        <f>объемы!F49+объемы!F51</f>
        <v>4006.2</v>
      </c>
      <c r="AD52" s="1329">
        <f>объемы!F50</f>
        <v>46</v>
      </c>
      <c r="AE52" s="1323">
        <f>SUM(AF52+AG52)</f>
        <v>4039</v>
      </c>
      <c r="AF52" s="1328">
        <f>SUM(объемы!I48-объемы!I50)</f>
        <v>3989.2</v>
      </c>
      <c r="AG52" s="1329">
        <f>SUM(объемы!I50)</f>
        <v>49.8</v>
      </c>
      <c r="AH52" s="1323">
        <f t="shared" si="18"/>
        <v>4052.4</v>
      </c>
      <c r="AI52" s="1312">
        <f t="shared" si="19"/>
        <v>1.0000493559054342</v>
      </c>
      <c r="AJ52" s="1328">
        <v>4006.27</v>
      </c>
      <c r="AK52" s="1329">
        <v>46.13</v>
      </c>
      <c r="AL52" s="1323">
        <f t="shared" si="20"/>
        <v>4052.4000000000005</v>
      </c>
      <c r="AM52" s="1312">
        <f t="shared" si="21"/>
        <v>1.0000493559054342</v>
      </c>
      <c r="AN52" s="1328">
        <f>SUM(объемы!K48-объемы!K50)</f>
        <v>4006.2700000000004</v>
      </c>
      <c r="AO52" s="1329">
        <f>SUM(объемы!K45)</f>
        <v>46.13</v>
      </c>
      <c r="AP52" s="1388">
        <f>объемы!F48-объемы!E48</f>
        <v>52.199999999999818</v>
      </c>
      <c r="AQ52" s="1389">
        <f>AP52-AR52</f>
        <v>31.199999999999818</v>
      </c>
      <c r="AR52" s="1389">
        <f>объемы!F50-объемы!E50</f>
        <v>21</v>
      </c>
      <c r="AS52" s="1390">
        <f t="shared" si="122"/>
        <v>52.199999999999818</v>
      </c>
      <c r="AT52" s="1330">
        <f>SUM(AU52:AV52)</f>
        <v>1990.48</v>
      </c>
      <c r="AU52" s="1328">
        <f>SUM(объемы!N48-объемы!N50)</f>
        <v>1976.78</v>
      </c>
      <c r="AV52" s="1329">
        <f>объемы!O48</f>
        <v>13.7</v>
      </c>
      <c r="AW52" s="1330">
        <f>SUM(AX52:AY52)</f>
        <v>2854.7599999999998</v>
      </c>
      <c r="AX52" s="1328">
        <f>объемы!P48</f>
        <v>2837.2</v>
      </c>
      <c r="AY52" s="2740">
        <f>объемы!Q48</f>
        <v>17.559999999999999</v>
      </c>
      <c r="AZ52" s="1330">
        <f>SUM(BA52:BB52)</f>
        <v>3780.42</v>
      </c>
      <c r="BA52" s="1328">
        <f>SUM(объемы!R48)</f>
        <v>3762.2000000000003</v>
      </c>
      <c r="BB52" s="2740">
        <f>SUM(объемы!S48)</f>
        <v>18.22</v>
      </c>
      <c r="BC52" s="1323">
        <f>SUM(BE52+BF52)</f>
        <v>4010.6369999999997</v>
      </c>
      <c r="BD52" s="2224">
        <f t="shared" si="28"/>
        <v>0.9896942552561443</v>
      </c>
      <c r="BE52" s="1328">
        <f>SUM(объемы!T48-объемы!T50)</f>
        <v>3989.2169999999996</v>
      </c>
      <c r="BF52" s="1329">
        <f>SUM(объемы!T50)</f>
        <v>21.42</v>
      </c>
      <c r="BG52" s="1323">
        <f>SUM(BI52+BJ52)</f>
        <v>4010.6370000000002</v>
      </c>
      <c r="BH52" s="2224">
        <f t="shared" si="29"/>
        <v>0.98969425525614441</v>
      </c>
      <c r="BI52" s="1328">
        <f>SUM(объемы!U48-объемы!U50)</f>
        <v>3989.2170000000001</v>
      </c>
      <c r="BJ52" s="1329">
        <f>объемы!V48</f>
        <v>21.419999999999998</v>
      </c>
      <c r="BK52" s="1990"/>
      <c r="BL52" s="3403">
        <f>SUM(BM52:BN52)</f>
        <v>1822.56</v>
      </c>
      <c r="BM52" s="3404">
        <f>SUM(объемы!AB48-объемы!AB50)</f>
        <v>1821.09</v>
      </c>
      <c r="BN52" s="3405">
        <f>SUM(объемы!AB50)</f>
        <v>1.47</v>
      </c>
      <c r="BO52" s="3403">
        <f>SUM(BP52:BQ52)</f>
        <v>2671.13</v>
      </c>
      <c r="BP52" s="3404">
        <f>SUM(объемы!AC48-объемы!AC50)</f>
        <v>2669.1800000000003</v>
      </c>
      <c r="BQ52" s="3405">
        <f>SUM(объемы!AC50)</f>
        <v>1.95</v>
      </c>
      <c r="BR52" s="3403">
        <f>SUM(BS52:BT52)</f>
        <v>3554.5100000000007</v>
      </c>
      <c r="BS52" s="3404">
        <f>SUM(объемы!AD48-объемы!AD50)</f>
        <v>3551.9100000000008</v>
      </c>
      <c r="BT52" s="3405">
        <f>SUM(объемы!AD50)</f>
        <v>2.6</v>
      </c>
      <c r="BU52" s="3368">
        <f>SUM(объемы!AE48)</f>
        <v>3789</v>
      </c>
      <c r="BV52" s="3379">
        <f t="shared" si="30"/>
        <v>0.94473770625464226</v>
      </c>
      <c r="BW52" s="2946">
        <f>SUM(объемы!AE48-объемы!AE50)</f>
        <v>3771</v>
      </c>
      <c r="BX52" s="2947">
        <f>SUM(объемы!AE50)</f>
        <v>18</v>
      </c>
      <c r="BY52" s="3368">
        <f>SUM(CA52+CB52)</f>
        <v>3791.3490000000002</v>
      </c>
      <c r="BZ52" s="3681">
        <f>SUM(BY52/BG52)</f>
        <v>0.9453233987518691</v>
      </c>
      <c r="CA52" s="2946">
        <f>SUM(объемы!AF48-объемы!AF50)</f>
        <v>3771</v>
      </c>
      <c r="CB52" s="2947">
        <f>SUM(объемы!AF50)</f>
        <v>20.349</v>
      </c>
      <c r="CC52" s="1990"/>
    </row>
    <row r="53" spans="1:81" ht="21" customHeight="1">
      <c r="A53" s="1341" t="s">
        <v>14</v>
      </c>
      <c r="B53" s="1337" t="e">
        <f>B51/B52</f>
        <v>#REF!</v>
      </c>
      <c r="C53" s="58" t="e">
        <f>C51/C52</f>
        <v>#REF!</v>
      </c>
      <c r="D53" s="134" t="e">
        <f>C53/B53*100</f>
        <v>#REF!</v>
      </c>
      <c r="E53" s="58">
        <f>E51/E52</f>
        <v>18.736415925593541</v>
      </c>
      <c r="F53" s="58" t="e">
        <f>F51/F52</f>
        <v>#REF!</v>
      </c>
      <c r="G53" s="58">
        <f>G51/G52</f>
        <v>23.49388855734589</v>
      </c>
      <c r="H53" s="134">
        <f t="shared" si="12"/>
        <v>125.39158316427927</v>
      </c>
      <c r="I53" s="135" t="e">
        <f>#REF!/#REF!</f>
        <v>#REF!</v>
      </c>
      <c r="J53" s="135" t="e">
        <f>J51/J52</f>
        <v>#REF!</v>
      </c>
      <c r="K53" s="135">
        <f>K51/K52</f>
        <v>23.901069486011327</v>
      </c>
      <c r="L53" s="135">
        <f>L51/L52</f>
        <v>25.40880063184024</v>
      </c>
      <c r="M53" s="161" t="e">
        <f t="shared" si="13"/>
        <v>#REF!</v>
      </c>
      <c r="N53" s="161">
        <f t="shared" si="14"/>
        <v>108.1506816967326</v>
      </c>
      <c r="O53" s="135">
        <f>O51/O52</f>
        <v>32.084302926967361</v>
      </c>
      <c r="P53" s="161" t="e">
        <f t="shared" si="15"/>
        <v>#REF!</v>
      </c>
      <c r="Q53" s="245" t="e">
        <f>Q51/Q52</f>
        <v>#REF!</v>
      </c>
      <c r="R53" s="161" t="e">
        <f t="shared" si="24"/>
        <v>#REF!</v>
      </c>
      <c r="S53" s="161" t="e">
        <f t="shared" si="25"/>
        <v>#REF!</v>
      </c>
      <c r="T53" s="135" t="e">
        <f t="shared" ref="T53:Y53" si="166">T51/T52</f>
        <v>#REF!</v>
      </c>
      <c r="U53" s="135" t="e">
        <f t="shared" si="166"/>
        <v>#REF!</v>
      </c>
      <c r="V53" s="135" t="e">
        <f t="shared" si="166"/>
        <v>#REF!</v>
      </c>
      <c r="W53" s="135">
        <f t="shared" si="166"/>
        <v>17.250598336061639</v>
      </c>
      <c r="X53" s="1351">
        <f t="shared" si="166"/>
        <v>5.59875952371838</v>
      </c>
      <c r="Y53" s="1358">
        <f t="shared" si="166"/>
        <v>34.698300000000003</v>
      </c>
      <c r="Z53" s="1366" t="e">
        <f t="shared" si="16"/>
        <v>#REF!</v>
      </c>
      <c r="AA53" s="1330" t="e">
        <f>AA51/AA52</f>
        <v>#REF!</v>
      </c>
      <c r="AB53" s="1367" t="e">
        <f t="shared" si="156"/>
        <v>#REF!</v>
      </c>
      <c r="AC53" s="1328" t="e">
        <f t="shared" ref="AC53:AH53" si="167">AC51/AC52</f>
        <v>#REF!</v>
      </c>
      <c r="AD53" s="1329" t="e">
        <f t="shared" si="167"/>
        <v>#REF!</v>
      </c>
      <c r="AE53" s="1330">
        <f t="shared" si="167"/>
        <v>28.056456893067594</v>
      </c>
      <c r="AF53" s="1328">
        <f t="shared" si="167"/>
        <v>28.205017254103591</v>
      </c>
      <c r="AG53" s="1329">
        <f t="shared" si="167"/>
        <v>16.156115683332491</v>
      </c>
      <c r="AH53" s="1330">
        <f t="shared" si="167"/>
        <v>29.999857943440922</v>
      </c>
      <c r="AI53" s="1312" t="e">
        <f t="shared" si="19"/>
        <v>#REF!</v>
      </c>
      <c r="AJ53" s="1328">
        <f>AJ51/AJ52</f>
        <v>30.147115478986688</v>
      </c>
      <c r="AK53" s="1329">
        <f>AK51/AK52</f>
        <v>17.210925644916539</v>
      </c>
      <c r="AL53" s="1330">
        <f>AL51/AL52</f>
        <v>28.099681873177758</v>
      </c>
      <c r="AM53" s="1312" t="e">
        <f t="shared" si="21"/>
        <v>#REF!</v>
      </c>
      <c r="AN53" s="1328">
        <f>AN51/AN52</f>
        <v>28.23098042341763</v>
      </c>
      <c r="AO53" s="1329">
        <f>AO51/AO52</f>
        <v>16.696745760680745</v>
      </c>
      <c r="AP53" s="1388" t="e">
        <f t="shared" si="22"/>
        <v>#REF!</v>
      </c>
      <c r="AQ53" s="1389" t="e">
        <f t="shared" ref="AQ53" si="168">AP53*AC53/AA53</f>
        <v>#REF!</v>
      </c>
      <c r="AR53" s="1389" t="e">
        <f t="shared" si="23"/>
        <v>#REF!</v>
      </c>
      <c r="AS53" s="1390" t="e">
        <f t="shared" si="122"/>
        <v>#REF!</v>
      </c>
      <c r="AT53" s="1330">
        <f t="shared" ref="AT53:BC53" si="169">AT51/AT52</f>
        <v>28.472176098930909</v>
      </c>
      <c r="AU53" s="1328">
        <f t="shared" si="169"/>
        <v>28.563201351485883</v>
      </c>
      <c r="AV53" s="1329">
        <f t="shared" si="169"/>
        <v>15.338095898520834</v>
      </c>
      <c r="AW53" s="1330">
        <f t="shared" si="169"/>
        <v>30.2772527287758</v>
      </c>
      <c r="AX53" s="1328">
        <f t="shared" si="169"/>
        <v>30.361021977511822</v>
      </c>
      <c r="AY53" s="2740">
        <f t="shared" si="169"/>
        <v>16.742508280379624</v>
      </c>
      <c r="AZ53" s="1330">
        <f t="shared" ref="AZ53:BB53" si="170">AZ51/AZ52</f>
        <v>30.741139873347407</v>
      </c>
      <c r="BA53" s="1328">
        <f t="shared" si="170"/>
        <v>30.808213503641046</v>
      </c>
      <c r="BB53" s="2740">
        <f t="shared" si="170"/>
        <v>16.891281921056198</v>
      </c>
      <c r="BC53" s="1330">
        <f t="shared" si="169"/>
        <v>33.703630440999497</v>
      </c>
      <c r="BD53" s="2224">
        <f t="shared" si="28"/>
        <v>1.1994310324620054</v>
      </c>
      <c r="BE53" s="1328">
        <f>BE51/BE52</f>
        <v>33.77847126657263</v>
      </c>
      <c r="BF53" s="1329">
        <f>BF51/BF52</f>
        <v>19.765428122119772</v>
      </c>
      <c r="BG53" s="1330">
        <f>BG51/BG52</f>
        <v>30.042907102312672</v>
      </c>
      <c r="BH53" s="2224">
        <f t="shared" si="29"/>
        <v>1.069154705661981</v>
      </c>
      <c r="BI53" s="1328">
        <f>BI51/BI52</f>
        <v>30.117993402191999</v>
      </c>
      <c r="BJ53" s="1329">
        <f>BJ51/BJ52</f>
        <v>16.058988150598474</v>
      </c>
      <c r="BK53" s="1995"/>
      <c r="BL53" s="3403">
        <f t="shared" ref="BL53:BU53" si="171">BL51/BL52</f>
        <v>32.343714019889603</v>
      </c>
      <c r="BM53" s="3404">
        <f t="shared" si="171"/>
        <v>32.356303273184707</v>
      </c>
      <c r="BN53" s="3405">
        <f t="shared" si="171"/>
        <v>16.747684575542802</v>
      </c>
      <c r="BO53" s="3403">
        <f t="shared" ref="BO53:BQ53" si="172">BO51/BO52</f>
        <v>33.440972508335427</v>
      </c>
      <c r="BP53" s="3404">
        <f t="shared" si="172"/>
        <v>33.452676674946538</v>
      </c>
      <c r="BQ53" s="3405">
        <f t="shared" si="172"/>
        <v>17.420189208311577</v>
      </c>
      <c r="BR53" s="3403">
        <f t="shared" ref="BR53:BT53" si="173">BR51/BR52</f>
        <v>34.31528450677078</v>
      </c>
      <c r="BS53" s="3404">
        <f t="shared" si="173"/>
        <v>34.327360014738069</v>
      </c>
      <c r="BT53" s="3405">
        <f t="shared" si="173"/>
        <v>17.818700851341266</v>
      </c>
      <c r="BU53" s="2945">
        <f t="shared" si="171"/>
        <v>36.944479910158414</v>
      </c>
      <c r="BV53" s="3379">
        <f t="shared" si="30"/>
        <v>1.2297238674121009</v>
      </c>
      <c r="BW53" s="2946">
        <f>BW51/BW52</f>
        <v>37.024045158651575</v>
      </c>
      <c r="BX53" s="2947">
        <f>BX51/BX52</f>
        <v>20.275560350840649</v>
      </c>
      <c r="BY53" s="2945">
        <f>BY51/BY52</f>
        <v>33.46151056445585</v>
      </c>
      <c r="BZ53" s="3379">
        <f t="shared" si="74"/>
        <v>1.1137907010963002</v>
      </c>
      <c r="CA53" s="2946">
        <f>CA51/CA52</f>
        <v>33.550357349881629</v>
      </c>
      <c r="CB53" s="2947">
        <f>CB51/CB52</f>
        <v>16.997012272061053</v>
      </c>
      <c r="CC53" s="1995"/>
    </row>
    <row r="54" spans="1:81" ht="21" customHeight="1">
      <c r="A54" s="1345" t="s">
        <v>437</v>
      </c>
      <c r="B54" s="1401"/>
      <c r="C54" s="60"/>
      <c r="D54" s="60"/>
      <c r="E54" s="60"/>
      <c r="F54" s="134"/>
      <c r="G54" s="134"/>
      <c r="H54" s="134"/>
      <c r="I54" s="135">
        <v>0</v>
      </c>
      <c r="J54" s="1402"/>
      <c r="K54" s="1402"/>
      <c r="L54" s="1402"/>
      <c r="M54" s="161" t="e">
        <f t="shared" si="13"/>
        <v>#DIV/0!</v>
      </c>
      <c r="N54" s="161"/>
      <c r="O54" s="135"/>
      <c r="P54" s="161"/>
      <c r="Q54" s="245">
        <f>T54+U54</f>
        <v>129.11000000000001</v>
      </c>
      <c r="R54" s="161"/>
      <c r="S54" s="161"/>
      <c r="T54" s="135">
        <v>4.16</v>
      </c>
      <c r="U54" s="135">
        <v>124.95</v>
      </c>
      <c r="V54" s="135">
        <v>0</v>
      </c>
      <c r="W54" s="135"/>
      <c r="X54" s="1351"/>
      <c r="Y54" s="1358">
        <f>E92</f>
        <v>0</v>
      </c>
      <c r="Z54" s="1366">
        <f t="shared" si="16"/>
        <v>0</v>
      </c>
      <c r="AA54" s="1330">
        <f>AC54+AD54</f>
        <v>0</v>
      </c>
      <c r="AB54" s="1367">
        <f t="shared" si="156"/>
        <v>0</v>
      </c>
      <c r="AC54" s="1328">
        <f>G85</f>
        <v>0</v>
      </c>
      <c r="AD54" s="1329">
        <v>0</v>
      </c>
      <c r="AE54" s="1330">
        <v>0</v>
      </c>
      <c r="AF54" s="1328">
        <v>0</v>
      </c>
      <c r="AG54" s="1329">
        <v>0</v>
      </c>
      <c r="AH54" s="1323">
        <f t="shared" si="18"/>
        <v>6078.58</v>
      </c>
      <c r="AI54" s="1312"/>
      <c r="AJ54" s="1328">
        <v>6038.88</v>
      </c>
      <c r="AK54" s="1329">
        <v>39.700000000000003</v>
      </c>
      <c r="AL54" s="1323">
        <f t="shared" si="20"/>
        <v>5753.5575411432783</v>
      </c>
      <c r="AM54" s="1312"/>
      <c r="AN54" s="1328">
        <f>AN51*0.05</f>
        <v>5655.0464970462681</v>
      </c>
      <c r="AO54" s="1329">
        <f>AO51*0.05+60</f>
        <v>98.511044097010142</v>
      </c>
      <c r="AP54" s="1388">
        <f t="shared" si="22"/>
        <v>0</v>
      </c>
      <c r="AQ54" s="1389">
        <f>AP54</f>
        <v>0</v>
      </c>
      <c r="AR54" s="1389">
        <f t="shared" si="23"/>
        <v>0</v>
      </c>
      <c r="AS54" s="1390">
        <f t="shared" si="122"/>
        <v>0</v>
      </c>
      <c r="AT54" s="1330">
        <v>0</v>
      </c>
      <c r="AU54" s="1328">
        <f>Y85</f>
        <v>0</v>
      </c>
      <c r="AV54" s="1329">
        <v>0</v>
      </c>
      <c r="AW54" s="1330">
        <f>AY54+BN54</f>
        <v>0</v>
      </c>
      <c r="AX54" s="1328">
        <f>AB85</f>
        <v>0</v>
      </c>
      <c r="AY54" s="2740">
        <v>0</v>
      </c>
      <c r="AZ54" s="1330">
        <f>BB54+BQ54</f>
        <v>0</v>
      </c>
      <c r="BA54" s="1328">
        <f>AE85</f>
        <v>0</v>
      </c>
      <c r="BB54" s="2740">
        <v>0</v>
      </c>
      <c r="BC54" s="1323">
        <f t="shared" ref="BC54" si="174">SUM(BE54+BF54)</f>
        <v>6800.9889110875247</v>
      </c>
      <c r="BD54" s="2224">
        <f t="shared" si="28"/>
        <v>1.1820493429420214</v>
      </c>
      <c r="BE54" s="1328">
        <f>SUM(BE51*0.05)</f>
        <v>6737.4825905311536</v>
      </c>
      <c r="BF54" s="1329">
        <f>SUM(BF51*0.15)</f>
        <v>63.506320556370831</v>
      </c>
      <c r="BG54" s="1323">
        <f t="shared" ref="BG54" si="175">SUM(BI54+BJ54)</f>
        <v>6007.360564295609</v>
      </c>
      <c r="BH54" s="2224">
        <f t="shared" si="29"/>
        <v>1.0441123637571021</v>
      </c>
      <c r="BI54" s="1328">
        <f>SUM(BI51*0.05)</f>
        <v>6007.360564295609</v>
      </c>
      <c r="BJ54" s="1329">
        <v>0</v>
      </c>
      <c r="BK54" s="1997">
        <v>0.05</v>
      </c>
      <c r="BL54" s="3403">
        <v>0</v>
      </c>
      <c r="BM54" s="3404">
        <f>AQ85</f>
        <v>0</v>
      </c>
      <c r="BN54" s="3405">
        <v>0</v>
      </c>
      <c r="BO54" s="3403">
        <v>0</v>
      </c>
      <c r="BP54" s="3404">
        <f>AT85</f>
        <v>0</v>
      </c>
      <c r="BQ54" s="3405">
        <v>0</v>
      </c>
      <c r="BR54" s="3403">
        <v>0</v>
      </c>
      <c r="BS54" s="3404">
        <f>AW85</f>
        <v>0</v>
      </c>
      <c r="BT54" s="3405">
        <v>0</v>
      </c>
      <c r="BU54" s="3368">
        <f t="shared" ref="BU54" si="176">SUM(BW54+BX54)</f>
        <v>6999.1317189795109</v>
      </c>
      <c r="BV54" s="3379">
        <f t="shared" si="30"/>
        <v>1.1650926632535485</v>
      </c>
      <c r="BW54" s="2946">
        <f>SUM(BW51*0.05)</f>
        <v>6980.8837146637543</v>
      </c>
      <c r="BX54" s="2947">
        <f>SUM(BX51*0.05)</f>
        <v>18.248004315756585</v>
      </c>
      <c r="BY54" s="3368">
        <f t="shared" ref="BY54" si="177">SUM(CA54+CB54)</f>
        <v>6213.1949999999997</v>
      </c>
      <c r="BZ54" s="3379">
        <f t="shared" si="74"/>
        <v>1.0342637059156654</v>
      </c>
      <c r="CA54" s="2946">
        <v>6213.1949999999997</v>
      </c>
      <c r="CB54" s="2947">
        <v>0</v>
      </c>
      <c r="CC54" s="1997"/>
    </row>
    <row r="55" spans="1:81" ht="21" customHeight="1">
      <c r="A55" s="1345" t="s">
        <v>548</v>
      </c>
      <c r="B55" s="1401"/>
      <c r="C55" s="60"/>
      <c r="D55" s="60"/>
      <c r="E55" s="60"/>
      <c r="F55" s="134"/>
      <c r="G55" s="134"/>
      <c r="H55" s="134"/>
      <c r="I55" s="135"/>
      <c r="J55" s="1402"/>
      <c r="K55" s="1402"/>
      <c r="L55" s="1402"/>
      <c r="M55" s="161"/>
      <c r="N55" s="161"/>
      <c r="O55" s="135"/>
      <c r="P55" s="161"/>
      <c r="Q55" s="245"/>
      <c r="R55" s="161"/>
      <c r="S55" s="161"/>
      <c r="T55" s="135"/>
      <c r="U55" s="135"/>
      <c r="V55" s="135"/>
      <c r="W55" s="135"/>
      <c r="X55" s="1351"/>
      <c r="Y55" s="1355">
        <f>SUM(Y51+Y54)</f>
        <v>138793.20000000001</v>
      </c>
      <c r="Z55" s="1366"/>
      <c r="AA55" s="1323" t="e">
        <f>SUM(AA51+AA54)</f>
        <v>#REF!</v>
      </c>
      <c r="AB55" s="1367"/>
      <c r="AC55" s="1325" t="e">
        <f t="shared" ref="AC55:AH55" si="178">SUM(AC51+AC54)</f>
        <v>#REF!</v>
      </c>
      <c r="AD55" s="1326" t="e">
        <f t="shared" si="178"/>
        <v>#REF!</v>
      </c>
      <c r="AE55" s="1323">
        <f t="shared" si="178"/>
        <v>113320.02939110002</v>
      </c>
      <c r="AF55" s="1325">
        <f t="shared" si="178"/>
        <v>112515.45483007004</v>
      </c>
      <c r="AG55" s="1326">
        <f t="shared" si="178"/>
        <v>804.57456102995798</v>
      </c>
      <c r="AH55" s="1323">
        <f t="shared" si="178"/>
        <v>127650.00433</v>
      </c>
      <c r="AI55" s="1312" t="e">
        <f t="shared" si="19"/>
        <v>#REF!</v>
      </c>
      <c r="AJ55" s="1325">
        <f>SUM(AJ51+AJ54)</f>
        <v>126816.36433</v>
      </c>
      <c r="AK55" s="1326">
        <f>SUM(AK51+AK54)</f>
        <v>833.64</v>
      </c>
      <c r="AL55" s="1323">
        <f>SUM(AL51+AL54)</f>
        <v>119624.70836400884</v>
      </c>
      <c r="AM55" s="1312" t="e">
        <f t="shared" si="21"/>
        <v>#REF!</v>
      </c>
      <c r="AN55" s="1325">
        <f>SUM(AN51+AN54)</f>
        <v>118755.97643797162</v>
      </c>
      <c r="AO55" s="1326">
        <f>SUM(AO51+AO54)</f>
        <v>868.73192603721282</v>
      </c>
      <c r="AP55" s="1388"/>
      <c r="AQ55" s="1389"/>
      <c r="AR55" s="1389"/>
      <c r="AS55" s="1390"/>
      <c r="AT55" s="1323">
        <f t="shared" ref="AT55:BC55" si="179">SUM(AT51+AT54)</f>
        <v>56673.297081399993</v>
      </c>
      <c r="AU55" s="1325">
        <f t="shared" si="179"/>
        <v>56463.165167590261</v>
      </c>
      <c r="AV55" s="1326">
        <f t="shared" si="179"/>
        <v>210.13191380973541</v>
      </c>
      <c r="AW55" s="1323">
        <f t="shared" si="179"/>
        <v>86434.29</v>
      </c>
      <c r="AX55" s="1325">
        <f t="shared" si="179"/>
        <v>86140.291554596537</v>
      </c>
      <c r="AY55" s="2741">
        <f t="shared" si="179"/>
        <v>293.99844540346618</v>
      </c>
      <c r="AZ55" s="1323">
        <f t="shared" ref="AZ55:BB55" si="180">SUM(AZ51+AZ54)</f>
        <v>116214.42000000001</v>
      </c>
      <c r="BA55" s="1325">
        <f t="shared" si="180"/>
        <v>115906.66084339835</v>
      </c>
      <c r="BB55" s="2741">
        <f t="shared" si="180"/>
        <v>307.75915660164389</v>
      </c>
      <c r="BC55" s="1323">
        <f t="shared" si="179"/>
        <v>141974.01619208642</v>
      </c>
      <c r="BD55" s="2224">
        <f t="shared" si="28"/>
        <v>1.1868285250909063</v>
      </c>
      <c r="BE55" s="1325">
        <f>SUM(BE51+BE54)</f>
        <v>141487.13440115421</v>
      </c>
      <c r="BF55" s="1326">
        <f>SUM(BF51+BF54)</f>
        <v>486.88179093217639</v>
      </c>
      <c r="BG55" s="1323">
        <f>SUM(BG51+BG54)</f>
        <v>126498.5553763936</v>
      </c>
      <c r="BH55" s="2224">
        <f t="shared" si="29"/>
        <v>1.0574617661049437</v>
      </c>
      <c r="BI55" s="1325">
        <f>SUM(BI51+BI54)</f>
        <v>126154.57185020778</v>
      </c>
      <c r="BJ55" s="1326">
        <f>SUM(BJ51+BJ54)</f>
        <v>343.9835261858193</v>
      </c>
      <c r="BK55" s="1990"/>
      <c r="BL55" s="3408">
        <f t="shared" ref="BL55:BU55" si="181">SUM(BL51+BL54)</f>
        <v>58948.359424089991</v>
      </c>
      <c r="BM55" s="3409">
        <f t="shared" si="181"/>
        <v>58923.740327763939</v>
      </c>
      <c r="BN55" s="3410">
        <f t="shared" si="181"/>
        <v>24.619096326047917</v>
      </c>
      <c r="BO55" s="3408">
        <f t="shared" ref="BO55:BQ55" si="182">SUM(BO51+BO54)</f>
        <v>89325.18489619001</v>
      </c>
      <c r="BP55" s="3409">
        <f t="shared" si="182"/>
        <v>89291.215527233813</v>
      </c>
      <c r="BQ55" s="3410">
        <f t="shared" si="182"/>
        <v>33.969368956207575</v>
      </c>
      <c r="BR55" s="3408">
        <f t="shared" ref="BR55:BT55" si="183">SUM(BR51+BR54)</f>
        <v>121974.02193216182</v>
      </c>
      <c r="BS55" s="3409">
        <f t="shared" si="183"/>
        <v>121927.69330994833</v>
      </c>
      <c r="BT55" s="3410">
        <f t="shared" si="183"/>
        <v>46.328622213487293</v>
      </c>
      <c r="BU55" s="3368">
        <f t="shared" si="181"/>
        <v>146981.76609856973</v>
      </c>
      <c r="BV55" s="3379">
        <f t="shared" si="30"/>
        <v>1.1619244635737442</v>
      </c>
      <c r="BW55" s="3380">
        <f>SUM(BW51+BW54)</f>
        <v>146598.55800793885</v>
      </c>
      <c r="BX55" s="3381">
        <f>SUM(BX51+BX54)</f>
        <v>383.20809063088825</v>
      </c>
      <c r="BY55" s="3368">
        <f>SUM(BY51+BY54)</f>
        <v>133077.45961703913</v>
      </c>
      <c r="BZ55" s="3379">
        <f t="shared" si="74"/>
        <v>1.0520077420731813</v>
      </c>
      <c r="CA55" s="3380">
        <f>SUM(CA51+CA54)</f>
        <v>132731.59256640362</v>
      </c>
      <c r="CB55" s="3381">
        <f>SUM(CB51+CB54)</f>
        <v>345.87220272417039</v>
      </c>
      <c r="CC55" s="1990"/>
    </row>
    <row r="56" spans="1:81" ht="21" customHeight="1">
      <c r="A56" s="1346" t="s">
        <v>70</v>
      </c>
      <c r="B56" s="1401"/>
      <c r="C56" s="60"/>
      <c r="D56" s="60"/>
      <c r="E56" s="60"/>
      <c r="F56" s="134"/>
      <c r="G56" s="134"/>
      <c r="H56" s="134"/>
      <c r="I56" s="135" t="e">
        <f>(#REF!+I54)/#REF!</f>
        <v>#REF!</v>
      </c>
      <c r="J56" s="1402"/>
      <c r="K56" s="1402"/>
      <c r="L56" s="1402"/>
      <c r="M56" s="161" t="e">
        <f>L56/I56*100</f>
        <v>#REF!</v>
      </c>
      <c r="N56" s="161"/>
      <c r="O56" s="135">
        <f>(O51+O54)/O52</f>
        <v>32.084302926967361</v>
      </c>
      <c r="P56" s="161" t="e">
        <f t="shared" si="15"/>
        <v>#REF!</v>
      </c>
      <c r="Q56" s="245" t="e">
        <f>(Q51+Q54)/Q52</f>
        <v>#REF!</v>
      </c>
      <c r="R56" s="161" t="e">
        <f t="shared" si="24"/>
        <v>#REF!</v>
      </c>
      <c r="S56" s="161"/>
      <c r="T56" s="135" t="e">
        <f>T53</f>
        <v>#REF!</v>
      </c>
      <c r="U56" s="135" t="e">
        <f>(U51+U54)/U52</f>
        <v>#REF!</v>
      </c>
      <c r="V56" s="135" t="e">
        <f>(V51+V54)/V52</f>
        <v>#REF!</v>
      </c>
      <c r="W56" s="135">
        <f>(W51+W54)/W52</f>
        <v>17.250598336061639</v>
      </c>
      <c r="X56" s="1351">
        <f>(X51+X54)/X52</f>
        <v>5.59875952371838</v>
      </c>
      <c r="Y56" s="1358">
        <f>(Y51+Y54)/Y52</f>
        <v>34.698300000000003</v>
      </c>
      <c r="Z56" s="1366" t="e">
        <f t="shared" si="16"/>
        <v>#REF!</v>
      </c>
      <c r="AA56" s="1330" t="e">
        <f>(AA51+AA54)/AA52</f>
        <v>#REF!</v>
      </c>
      <c r="AB56" s="1367" t="e">
        <f t="shared" si="156"/>
        <v>#REF!</v>
      </c>
      <c r="AC56" s="1328" t="e">
        <f>AC53</f>
        <v>#REF!</v>
      </c>
      <c r="AD56" s="1329" t="e">
        <f>(AD51+AD54)/AD52</f>
        <v>#REF!</v>
      </c>
      <c r="AE56" s="1330">
        <f>(AE51+AE54)/AE52</f>
        <v>28.056456893067594</v>
      </c>
      <c r="AF56" s="1328">
        <f>AF53</f>
        <v>28.205017254103591</v>
      </c>
      <c r="AG56" s="1329">
        <f>(AG51+AG54)/AG52</f>
        <v>16.156115683332491</v>
      </c>
      <c r="AH56" s="1330">
        <f>(AH51+AH54)/AH52</f>
        <v>31.499853008093968</v>
      </c>
      <c r="AI56" s="1312" t="e">
        <f t="shared" si="19"/>
        <v>#REF!</v>
      </c>
      <c r="AJ56" s="1328">
        <f>(AJ51+AJ54)/AJ52</f>
        <v>31.654472696548162</v>
      </c>
      <c r="AK56" s="1329">
        <f>(AK51+AK54)/AK52</f>
        <v>18.071536960763058</v>
      </c>
      <c r="AL56" s="1330">
        <f>(AL51+AL54)/AL52</f>
        <v>29.519472007701317</v>
      </c>
      <c r="AM56" s="1312" t="e">
        <f t="shared" si="21"/>
        <v>#REF!</v>
      </c>
      <c r="AN56" s="1328">
        <f>(AN51+AN54)/AN52</f>
        <v>29.642529444588508</v>
      </c>
      <c r="AO56" s="1329">
        <f>(AO51+AO54)/AO52</f>
        <v>18.832255062588615</v>
      </c>
      <c r="AP56" s="1388" t="e">
        <f t="shared" si="22"/>
        <v>#REF!</v>
      </c>
      <c r="AQ56" s="1389" t="e">
        <f>AP56</f>
        <v>#REF!</v>
      </c>
      <c r="AR56" s="1389" t="e">
        <f t="shared" si="23"/>
        <v>#REF!</v>
      </c>
      <c r="AS56" s="1390" t="e">
        <f t="shared" si="122"/>
        <v>#REF!</v>
      </c>
      <c r="AT56" s="1330">
        <f>(AT51+AT54)/AT52</f>
        <v>28.472176098930909</v>
      </c>
      <c r="AU56" s="1328">
        <f>AU53</f>
        <v>28.563201351485883</v>
      </c>
      <c r="AV56" s="1329">
        <f>(AV51+AV54)/AV52</f>
        <v>15.338095898520834</v>
      </c>
      <c r="AW56" s="1330">
        <f>(AW51+AW54)/AW52</f>
        <v>30.2772527287758</v>
      </c>
      <c r="AX56" s="1328">
        <f>AX53</f>
        <v>30.361021977511822</v>
      </c>
      <c r="AY56" s="2740">
        <f>(AY51+AY54)/AY52</f>
        <v>16.742508280379624</v>
      </c>
      <c r="AZ56" s="1330">
        <f>(AZ51+AZ54)/AZ52</f>
        <v>30.741139873347407</v>
      </c>
      <c r="BA56" s="1328">
        <f>BA53</f>
        <v>30.808213503641046</v>
      </c>
      <c r="BB56" s="2740">
        <f>(BB51+BB54)/BB52</f>
        <v>16.891281921056198</v>
      </c>
      <c r="BC56" s="1330">
        <f>(BC51+BC54)/BC52</f>
        <v>35.399368277928524</v>
      </c>
      <c r="BD56" s="2224">
        <f t="shared" si="28"/>
        <v>1.1991870406317973</v>
      </c>
      <c r="BE56" s="1328">
        <f>(BE51+BE54)/BE52</f>
        <v>35.467394829901259</v>
      </c>
      <c r="BF56" s="1329">
        <f>(BF51+BF54)/BF52</f>
        <v>22.730242340437737</v>
      </c>
      <c r="BG56" s="1330">
        <f>(BG51+BG54)/BG52</f>
        <v>31.540764067252557</v>
      </c>
      <c r="BH56" s="2224">
        <f t="shared" si="29"/>
        <v>1.068473177942475</v>
      </c>
      <c r="BI56" s="1328">
        <f>(BI51+BI54)/BI52</f>
        <v>31.623893072301602</v>
      </c>
      <c r="BJ56" s="1329">
        <f>(BJ51+BJ54)/BJ52</f>
        <v>16.058988150598474</v>
      </c>
      <c r="BK56" s="1990"/>
      <c r="BL56" s="3403">
        <f>(BL51+BL54)/BL52</f>
        <v>32.343714019889603</v>
      </c>
      <c r="BM56" s="3404">
        <f>BM53</f>
        <v>32.356303273184707</v>
      </c>
      <c r="BN56" s="3405">
        <f>(BN51+BN54)/BN52</f>
        <v>16.747684575542802</v>
      </c>
      <c r="BO56" s="3403">
        <f>(BO51+BO54)/BO52</f>
        <v>33.440972508335427</v>
      </c>
      <c r="BP56" s="3404">
        <f>BP53</f>
        <v>33.452676674946538</v>
      </c>
      <c r="BQ56" s="3405">
        <f>(BQ51+BQ54)/BQ52</f>
        <v>17.420189208311577</v>
      </c>
      <c r="BR56" s="3403">
        <f>(BR51+BR54)/BR52</f>
        <v>34.31528450677078</v>
      </c>
      <c r="BS56" s="3404">
        <f>BS53</f>
        <v>34.327360014738069</v>
      </c>
      <c r="BT56" s="3405">
        <f>(BT51+BT54)/BT52</f>
        <v>17.818700851341266</v>
      </c>
      <c r="BU56" s="2945">
        <f>(BU51+BU54)/BU52</f>
        <v>38.791703905666331</v>
      </c>
      <c r="BV56" s="3379">
        <f t="shared" si="30"/>
        <v>1.2298910648756958</v>
      </c>
      <c r="BW56" s="2946">
        <f>(BW51+BW54)/BW52</f>
        <v>38.875247416584152</v>
      </c>
      <c r="BX56" s="2947">
        <f>(BX51+BX54)/BX52</f>
        <v>21.28933836838268</v>
      </c>
      <c r="BY56" s="2945">
        <f>(BY51+BY54)/BY52</f>
        <v>35.100292697147935</v>
      </c>
      <c r="BZ56" s="3379">
        <f t="shared" si="74"/>
        <v>1.1128548637029083</v>
      </c>
      <c r="CA56" s="2946">
        <f>(CA51+CA54)/CA52</f>
        <v>35.197982648210981</v>
      </c>
      <c r="CB56" s="2947">
        <f>(CB51+CB54)/CB52</f>
        <v>16.997012272061053</v>
      </c>
      <c r="CC56" s="1990"/>
    </row>
    <row r="57" spans="1:81" ht="21" customHeight="1">
      <c r="A57" s="1346" t="s">
        <v>327</v>
      </c>
      <c r="B57" s="1401"/>
      <c r="C57" s="60"/>
      <c r="D57" s="60"/>
      <c r="E57" s="60"/>
      <c r="F57" s="134"/>
      <c r="G57" s="134"/>
      <c r="H57" s="134"/>
      <c r="I57" s="135"/>
      <c r="J57" s="1402"/>
      <c r="K57" s="1402"/>
      <c r="L57" s="1402"/>
      <c r="M57" s="161"/>
      <c r="N57" s="161"/>
      <c r="O57" s="135"/>
      <c r="P57" s="161"/>
      <c r="Q57" s="245"/>
      <c r="R57" s="161"/>
      <c r="S57" s="161"/>
      <c r="T57" s="135"/>
      <c r="U57" s="135"/>
      <c r="V57" s="135"/>
      <c r="W57" s="135"/>
      <c r="X57" s="1351"/>
      <c r="Y57" s="1358">
        <v>4665</v>
      </c>
      <c r="Z57" s="1366"/>
      <c r="AA57" s="1330">
        <f>AC57+AD57</f>
        <v>4665</v>
      </c>
      <c r="AB57" s="1367"/>
      <c r="AC57" s="1328">
        <f>4665</f>
        <v>4665</v>
      </c>
      <c r="AD57" s="1329">
        <v>0</v>
      </c>
      <c r="AE57" s="1330">
        <f>AF57</f>
        <v>824.7</v>
      </c>
      <c r="AF57" s="1328">
        <f>'кап влож'!N16</f>
        <v>824.7</v>
      </c>
      <c r="AG57" s="1329">
        <v>0</v>
      </c>
      <c r="AH57" s="1323">
        <f t="shared" si="18"/>
        <v>4274</v>
      </c>
      <c r="AI57" s="1312">
        <f t="shared" si="19"/>
        <v>0.91618435155412647</v>
      </c>
      <c r="AJ57" s="1328">
        <v>4274</v>
      </c>
      <c r="AK57" s="1329">
        <v>0</v>
      </c>
      <c r="AL57" s="1323">
        <f t="shared" si="20"/>
        <v>4444</v>
      </c>
      <c r="AM57" s="1312">
        <f t="shared" si="21"/>
        <v>0.95262593783494109</v>
      </c>
      <c r="AN57" s="1328">
        <v>4444</v>
      </c>
      <c r="AO57" s="1329">
        <v>0</v>
      </c>
      <c r="AP57" s="1388">
        <f t="shared" si="22"/>
        <v>0</v>
      </c>
      <c r="AQ57" s="1389">
        <f>AP57*AC57/AA57</f>
        <v>0</v>
      </c>
      <c r="AR57" s="1389">
        <f t="shared" si="23"/>
        <v>0</v>
      </c>
      <c r="AS57" s="1390">
        <f t="shared" si="122"/>
        <v>0</v>
      </c>
      <c r="AT57" s="1330">
        <v>0</v>
      </c>
      <c r="AU57" s="1328">
        <v>0</v>
      </c>
      <c r="AV57" s="1329">
        <v>0</v>
      </c>
      <c r="AW57" s="1330">
        <f>AY57+BN57</f>
        <v>0</v>
      </c>
      <c r="AX57" s="1328">
        <v>0</v>
      </c>
      <c r="AY57" s="2740">
        <v>0</v>
      </c>
      <c r="AZ57" s="1330">
        <f>BB57+BQ57</f>
        <v>0</v>
      </c>
      <c r="BA57" s="1328">
        <v>0</v>
      </c>
      <c r="BB57" s="2740">
        <v>0</v>
      </c>
      <c r="BC57" s="1323">
        <f t="shared" ref="BC57" si="184">SUM(BE57+BF57)</f>
        <v>3976</v>
      </c>
      <c r="BD57" s="2224">
        <f t="shared" si="28"/>
        <v>0.89468946894689472</v>
      </c>
      <c r="BE57" s="1328">
        <v>3976</v>
      </c>
      <c r="BF57" s="1329">
        <v>0</v>
      </c>
      <c r="BG57" s="1323">
        <f t="shared" ref="BG57" si="185">SUM(BI57+BJ57)</f>
        <v>3976</v>
      </c>
      <c r="BH57" s="2224">
        <f t="shared" si="29"/>
        <v>0.89468946894689472</v>
      </c>
      <c r="BI57" s="1328">
        <f>BE57</f>
        <v>3976</v>
      </c>
      <c r="BJ57" s="1329">
        <v>0</v>
      </c>
      <c r="BK57" s="1996" t="s">
        <v>982</v>
      </c>
      <c r="BL57" s="3403">
        <v>0</v>
      </c>
      <c r="BM57" s="3404">
        <v>0</v>
      </c>
      <c r="BN57" s="3405">
        <v>0</v>
      </c>
      <c r="BO57" s="3403">
        <v>0</v>
      </c>
      <c r="BP57" s="3404">
        <v>0</v>
      </c>
      <c r="BQ57" s="3405">
        <v>0</v>
      </c>
      <c r="BR57" s="3403">
        <v>0</v>
      </c>
      <c r="BS57" s="3404">
        <v>0</v>
      </c>
      <c r="BT57" s="3405">
        <v>0</v>
      </c>
      <c r="BU57" s="3368">
        <f t="shared" ref="BU57" si="186">SUM(BW57+BX57)</f>
        <v>0</v>
      </c>
      <c r="BV57" s="3379">
        <f t="shared" si="30"/>
        <v>0</v>
      </c>
      <c r="BW57" s="2946">
        <v>0</v>
      </c>
      <c r="BX57" s="2947">
        <v>0</v>
      </c>
      <c r="BY57" s="3368">
        <f t="shared" ref="BY57" si="187">SUM(CA57+CB57)</f>
        <v>-1205.4349999999999</v>
      </c>
      <c r="BZ57" s="3379">
        <f t="shared" si="74"/>
        <v>-0.30317781690140844</v>
      </c>
      <c r="CA57" s="2946">
        <v>-1205.4349999999999</v>
      </c>
      <c r="CB57" s="2947">
        <v>0</v>
      </c>
      <c r="CC57" s="1996"/>
    </row>
    <row r="58" spans="1:81" ht="21" customHeight="1">
      <c r="A58" s="1345" t="s">
        <v>549</v>
      </c>
      <c r="B58" s="1401"/>
      <c r="C58" s="60"/>
      <c r="D58" s="60"/>
      <c r="E58" s="60"/>
      <c r="F58" s="134"/>
      <c r="G58" s="134"/>
      <c r="H58" s="134"/>
      <c r="I58" s="135"/>
      <c r="J58" s="1402"/>
      <c r="K58" s="1402"/>
      <c r="L58" s="1402"/>
      <c r="M58" s="161"/>
      <c r="N58" s="161"/>
      <c r="O58" s="135"/>
      <c r="P58" s="161"/>
      <c r="Q58" s="245"/>
      <c r="R58" s="161"/>
      <c r="S58" s="161"/>
      <c r="T58" s="135"/>
      <c r="U58" s="135"/>
      <c r="V58" s="135"/>
      <c r="W58" s="135"/>
      <c r="X58" s="1351"/>
      <c r="Y58" s="1358">
        <f>Y51+Y54+Y57</f>
        <v>143458.20000000001</v>
      </c>
      <c r="Z58" s="1366"/>
      <c r="AA58" s="1330" t="e">
        <f>AC58+AD58</f>
        <v>#REF!</v>
      </c>
      <c r="AB58" s="1367"/>
      <c r="AC58" s="1328" t="e">
        <f>AC51+AC54+AC57+0.02</f>
        <v>#REF!</v>
      </c>
      <c r="AD58" s="1329" t="e">
        <f>AD51+AD54+AD57</f>
        <v>#REF!</v>
      </c>
      <c r="AE58" s="1330">
        <f>SUM(AF58:AG58)</f>
        <v>114144.7293911</v>
      </c>
      <c r="AF58" s="1328">
        <f>AF51+AF54+AF57</f>
        <v>113340.15483007004</v>
      </c>
      <c r="AG58" s="1329">
        <f>AG51+AG54+AG57</f>
        <v>804.57456102995798</v>
      </c>
      <c r="AH58" s="1330">
        <f>AH51+AH54+AH57</f>
        <v>131924.00433</v>
      </c>
      <c r="AI58" s="1312" t="e">
        <f t="shared" si="19"/>
        <v>#REF!</v>
      </c>
      <c r="AJ58" s="1328">
        <f>AJ51+AJ54+AJ57</f>
        <v>131090.36433000001</v>
      </c>
      <c r="AK58" s="1329">
        <f>AK51+AK54+AK57</f>
        <v>833.64</v>
      </c>
      <c r="AL58" s="1330">
        <f>AL51+AL54+AL57</f>
        <v>124068.70836400884</v>
      </c>
      <c r="AM58" s="1312" t="e">
        <f t="shared" si="21"/>
        <v>#REF!</v>
      </c>
      <c r="AN58" s="1328">
        <f>AN51+AN54+AN57</f>
        <v>123199.97643797162</v>
      </c>
      <c r="AO58" s="1329">
        <f>AO51+AO54+AO57</f>
        <v>868.73192603721282</v>
      </c>
      <c r="AP58" s="1388" t="e">
        <f t="shared" si="22"/>
        <v>#REF!</v>
      </c>
      <c r="AQ58" s="1389" t="e">
        <f>AP58-AR58</f>
        <v>#REF!</v>
      </c>
      <c r="AR58" s="1389" t="e">
        <f>AR51</f>
        <v>#REF!</v>
      </c>
      <c r="AS58" s="1390" t="e">
        <f t="shared" si="122"/>
        <v>#REF!</v>
      </c>
      <c r="AT58" s="1330">
        <f>AU58+AV58</f>
        <v>56673.2970814</v>
      </c>
      <c r="AU58" s="1328">
        <f>AU51+AU54+AU57</f>
        <v>56463.165167590261</v>
      </c>
      <c r="AV58" s="1329">
        <f>AV51+AV54+AV57</f>
        <v>210.13191380973541</v>
      </c>
      <c r="AW58" s="1330">
        <f>AX58+AY58</f>
        <v>86434.310000000012</v>
      </c>
      <c r="AX58" s="1328">
        <f>AX51+AX54+AX57+0.02</f>
        <v>86140.311554596541</v>
      </c>
      <c r="AY58" s="2740">
        <f>AY51+AY54+AY57</f>
        <v>293.99844540346618</v>
      </c>
      <c r="AZ58" s="1330">
        <f>BA58+BB58</f>
        <v>116214.42</v>
      </c>
      <c r="BA58" s="1328">
        <f>BA51+BA54+BA57</f>
        <v>115906.66084339835</v>
      </c>
      <c r="BB58" s="2740">
        <f>BB51+BB54+BB57</f>
        <v>307.75915660164389</v>
      </c>
      <c r="BC58" s="1330">
        <f>BC51+BC54+BC57</f>
        <v>145950.01619208642</v>
      </c>
      <c r="BD58" s="2224">
        <f t="shared" si="28"/>
        <v>1.1763644364208208</v>
      </c>
      <c r="BE58" s="1328">
        <f>BE51+BE54+BE57</f>
        <v>145463.13440115421</v>
      </c>
      <c r="BF58" s="1329">
        <f>BF51+BF54+BF57</f>
        <v>486.88179093217639</v>
      </c>
      <c r="BG58" s="1330">
        <f>BG51+BG54+BG57</f>
        <v>130474.5553763936</v>
      </c>
      <c r="BH58" s="2224">
        <f t="shared" si="29"/>
        <v>1.0516314475813713</v>
      </c>
      <c r="BI58" s="1328">
        <f>BI51+BI54+BI57</f>
        <v>130130.57185020778</v>
      </c>
      <c r="BJ58" s="1329">
        <f>BJ51+BJ54+BJ57</f>
        <v>343.9835261858193</v>
      </c>
      <c r="BK58" s="1990"/>
      <c r="BL58" s="3403">
        <f>BM58+BN58</f>
        <v>58948.359424089984</v>
      </c>
      <c r="BM58" s="3404">
        <f>BM51+BM54+BM57</f>
        <v>58923.740327763939</v>
      </c>
      <c r="BN58" s="3405">
        <f>BN51+BN54+BN57</f>
        <v>24.619096326047917</v>
      </c>
      <c r="BO58" s="3403">
        <f>BP58+BQ58</f>
        <v>89325.184896190025</v>
      </c>
      <c r="BP58" s="3404">
        <f>BP51+BP54+BP57</f>
        <v>89291.215527233813</v>
      </c>
      <c r="BQ58" s="3405">
        <f>BQ51+BQ54+BQ57</f>
        <v>33.969368956207575</v>
      </c>
      <c r="BR58" s="3403">
        <f>BS58+BT58</f>
        <v>121974.02193216182</v>
      </c>
      <c r="BS58" s="3404">
        <f>BS51+BS54+BS57</f>
        <v>121927.69330994833</v>
      </c>
      <c r="BT58" s="3405">
        <f>BT51+BT54+BT57</f>
        <v>46.328622213487293</v>
      </c>
      <c r="BU58" s="2945">
        <f>BU51+BU54+BU57</f>
        <v>146981.76609856973</v>
      </c>
      <c r="BV58" s="3379">
        <f t="shared" si="30"/>
        <v>1.1265167041539712</v>
      </c>
      <c r="BW58" s="2946">
        <f>BW51+BW54+BW57</f>
        <v>146598.55800793885</v>
      </c>
      <c r="BX58" s="2947">
        <f>BX51+BX54+BX57</f>
        <v>383.20809063088825</v>
      </c>
      <c r="BY58" s="2945">
        <f>BY51+BY54+BY57</f>
        <v>131872.02461703913</v>
      </c>
      <c r="BZ58" s="3379">
        <f t="shared" si="74"/>
        <v>1.0107106649002489</v>
      </c>
      <c r="CA58" s="2946">
        <f>CA51+CA54+CA57</f>
        <v>131526.15756640362</v>
      </c>
      <c r="CB58" s="2947">
        <f>CB51+CB54+CB57</f>
        <v>345.87220272417039</v>
      </c>
      <c r="CC58" s="1990"/>
    </row>
    <row r="59" spans="1:81" ht="21" customHeight="1" thickBot="1">
      <c r="A59" s="1347" t="s">
        <v>328</v>
      </c>
      <c r="B59" s="1403"/>
      <c r="C59" s="1404"/>
      <c r="D59" s="1404"/>
      <c r="E59" s="1404"/>
      <c r="F59" s="401"/>
      <c r="G59" s="401"/>
      <c r="H59" s="401"/>
      <c r="I59" s="269"/>
      <c r="J59" s="1405"/>
      <c r="K59" s="1405"/>
      <c r="L59" s="1405"/>
      <c r="M59" s="402"/>
      <c r="N59" s="402"/>
      <c r="O59" s="269"/>
      <c r="P59" s="402"/>
      <c r="Q59" s="403"/>
      <c r="R59" s="402"/>
      <c r="S59" s="402"/>
      <c r="T59" s="269"/>
      <c r="U59" s="269"/>
      <c r="V59" s="269"/>
      <c r="W59" s="269"/>
      <c r="X59" s="1354"/>
      <c r="Y59" s="1359">
        <f>Y58/Y52</f>
        <v>35.864550000000001</v>
      </c>
      <c r="Z59" s="1383"/>
      <c r="AA59" s="404" t="e">
        <f>AA58/AA52</f>
        <v>#REF!</v>
      </c>
      <c r="AB59" s="1384"/>
      <c r="AC59" s="1331" t="e">
        <f>AC58/AC52+0.02</f>
        <v>#REF!</v>
      </c>
      <c r="AD59" s="1332" t="e">
        <f>AD58/AD52</f>
        <v>#REF!</v>
      </c>
      <c r="AE59" s="404">
        <f>AE58/AE52</f>
        <v>28.260641097078484</v>
      </c>
      <c r="AF59" s="1331">
        <f>AF58/AF52+0.02</f>
        <v>28.431750433688467</v>
      </c>
      <c r="AG59" s="1332">
        <f>AG58/AG52</f>
        <v>16.156115683332491</v>
      </c>
      <c r="AH59" s="404">
        <f>AH58/AH52</f>
        <v>32.554536652354159</v>
      </c>
      <c r="AI59" s="1385" t="e">
        <f t="shared" si="19"/>
        <v>#REF!</v>
      </c>
      <c r="AJ59" s="1331">
        <f>AJ58/AJ52</f>
        <v>32.721300444053945</v>
      </c>
      <c r="AK59" s="1332">
        <f>AK58/AK52</f>
        <v>18.071536960763058</v>
      </c>
      <c r="AL59" s="404">
        <f>AL58/AL52</f>
        <v>30.616106101078081</v>
      </c>
      <c r="AM59" s="1385" t="e">
        <f t="shared" si="21"/>
        <v>#REF!</v>
      </c>
      <c r="AN59" s="1331">
        <f>AN58/AN52</f>
        <v>30.751790677605754</v>
      </c>
      <c r="AO59" s="1332">
        <f>AO58/AO52</f>
        <v>18.832255062588615</v>
      </c>
      <c r="AP59" s="1397" t="e">
        <f t="shared" si="22"/>
        <v>#REF!</v>
      </c>
      <c r="AQ59" s="1398" t="e">
        <f>AP59</f>
        <v>#REF!</v>
      </c>
      <c r="AR59" s="1398" t="e">
        <f t="shared" si="23"/>
        <v>#REF!</v>
      </c>
      <c r="AS59" s="1399" t="e">
        <f t="shared" si="122"/>
        <v>#REF!</v>
      </c>
      <c r="AT59" s="404">
        <f>AT58/AT52</f>
        <v>28.472176098930913</v>
      </c>
      <c r="AU59" s="1331">
        <f>AU58/AU52+0.02</f>
        <v>28.583201351485883</v>
      </c>
      <c r="AV59" s="1332">
        <f>AV58/AV52</f>
        <v>15.338095898520834</v>
      </c>
      <c r="AW59" s="404">
        <f>AW58/AW52</f>
        <v>30.277259734618678</v>
      </c>
      <c r="AX59" s="1331">
        <f>AX58/AX52+0.02</f>
        <v>30.381029026715265</v>
      </c>
      <c r="AY59" s="2742">
        <f>AY58/AY52</f>
        <v>16.742508280379624</v>
      </c>
      <c r="AZ59" s="404">
        <f>AZ58/AZ52</f>
        <v>30.741139873347404</v>
      </c>
      <c r="BA59" s="1331">
        <f>BA58/BA52+0.02</f>
        <v>30.828213503641045</v>
      </c>
      <c r="BB59" s="2742">
        <f>BB58/BB52</f>
        <v>16.891281921056198</v>
      </c>
      <c r="BC59" s="404">
        <f>BC58/BC52</f>
        <v>36.390731993966654</v>
      </c>
      <c r="BD59" s="2226">
        <f t="shared" si="28"/>
        <v>1.1886139887882488</v>
      </c>
      <c r="BE59" s="1331">
        <f>BE58/BE52</f>
        <v>36.464081648392209</v>
      </c>
      <c r="BF59" s="1332">
        <f>BF58/BF52</f>
        <v>22.730242340437737</v>
      </c>
      <c r="BG59" s="404">
        <f>BG58/BG52</f>
        <v>32.532127783290683</v>
      </c>
      <c r="BH59" s="2226">
        <f t="shared" si="29"/>
        <v>1.0625821479677042</v>
      </c>
      <c r="BI59" s="1331">
        <f>BI58/BI52</f>
        <v>32.620579890792548</v>
      </c>
      <c r="BJ59" s="1332">
        <f>BJ58/BJ52</f>
        <v>16.058988150598474</v>
      </c>
      <c r="BK59" s="1539"/>
      <c r="BL59" s="404">
        <f>BL58/BL52</f>
        <v>32.343714019889596</v>
      </c>
      <c r="BM59" s="3411">
        <f>BM58/BM52+0.02</f>
        <v>32.37630327318471</v>
      </c>
      <c r="BN59" s="3412">
        <f>BN58/BN52</f>
        <v>16.747684575542802</v>
      </c>
      <c r="BO59" s="404">
        <f>BO58/BO52</f>
        <v>33.440972508335435</v>
      </c>
      <c r="BP59" s="3411">
        <f>BP58/BP52+0.02</f>
        <v>33.472676674946541</v>
      </c>
      <c r="BQ59" s="3412">
        <f>BQ58/BQ52</f>
        <v>17.420189208311577</v>
      </c>
      <c r="BR59" s="404">
        <f>BR58/BR52</f>
        <v>34.31528450677078</v>
      </c>
      <c r="BS59" s="3411">
        <f>BS58/BS52+0.02</f>
        <v>34.347360014738072</v>
      </c>
      <c r="BT59" s="3412">
        <f>BT58/BT52</f>
        <v>17.818700851341266</v>
      </c>
      <c r="BU59" s="2797">
        <f>BU58/BU52</f>
        <v>38.791703905666331</v>
      </c>
      <c r="BV59" s="3382">
        <f t="shared" si="30"/>
        <v>1.1924121337550728</v>
      </c>
      <c r="BW59" s="2955">
        <f>BW58/BW52</f>
        <v>38.875247416584152</v>
      </c>
      <c r="BX59" s="2956">
        <f>BX58/BX52</f>
        <v>21.28933836838268</v>
      </c>
      <c r="BY59" s="2797">
        <f>BY58/BY52</f>
        <v>34.782349136689639</v>
      </c>
      <c r="BZ59" s="3683">
        <f t="shared" si="74"/>
        <v>1.0691692030840578</v>
      </c>
      <c r="CA59" s="2955">
        <f>CA58/CA52</f>
        <v>34.8783234066305</v>
      </c>
      <c r="CB59" s="2956">
        <f>CB58/CB52</f>
        <v>16.997012272061053</v>
      </c>
      <c r="CC59" s="1539"/>
    </row>
    <row r="60" spans="1:81">
      <c r="A60" s="27"/>
      <c r="Q60" s="26"/>
      <c r="R60" s="26"/>
      <c r="S60" s="26"/>
      <c r="T60" s="26"/>
      <c r="Y60" s="384"/>
      <c r="Z60" s="386"/>
      <c r="AA60" s="384"/>
      <c r="AB60" s="386"/>
      <c r="AC60" s="385"/>
      <c r="AD60" s="386"/>
      <c r="AE60" s="386"/>
      <c r="AF60" s="386"/>
      <c r="AG60" s="386"/>
      <c r="AH60" s="386"/>
      <c r="AI60" s="386"/>
      <c r="AJ60" s="386"/>
      <c r="AK60" s="386"/>
      <c r="AL60" s="157">
        <f>AN52</f>
        <v>4006.2700000000004</v>
      </c>
      <c r="AM60" s="191"/>
      <c r="AN60">
        <f>AL60/2</f>
        <v>2003.1350000000002</v>
      </c>
      <c r="AO60">
        <f>AN60</f>
        <v>2003.1350000000002</v>
      </c>
      <c r="BG60" s="157">
        <f>BI52</f>
        <v>3989.2170000000001</v>
      </c>
      <c r="BI60">
        <f>BG60/2</f>
        <v>1994.6085</v>
      </c>
      <c r="BJ60">
        <f>BI60</f>
        <v>1994.6085</v>
      </c>
      <c r="BK60" s="165"/>
    </row>
    <row r="61" spans="1:81" hidden="1">
      <c r="A61" s="4638" t="s">
        <v>439</v>
      </c>
      <c r="B61" s="4639"/>
      <c r="C61" s="4639"/>
      <c r="D61" s="4639"/>
      <c r="E61" s="4639"/>
      <c r="F61" s="4639"/>
      <c r="G61" s="4639"/>
      <c r="H61" s="4639"/>
      <c r="K61" s="4639" t="s">
        <v>440</v>
      </c>
      <c r="L61" s="4639"/>
      <c r="M61" s="4639"/>
      <c r="N61" s="4639"/>
      <c r="O61" s="4639"/>
      <c r="P61" s="4639"/>
      <c r="Q61" s="4639"/>
      <c r="R61" s="4639"/>
      <c r="S61" s="4639"/>
      <c r="T61" s="4639"/>
      <c r="Y61" s="384"/>
      <c r="Z61" s="386"/>
      <c r="AA61" s="384"/>
      <c r="AB61" s="386"/>
      <c r="AC61" s="385"/>
      <c r="AD61" s="386"/>
      <c r="AE61" s="386"/>
      <c r="AF61" s="386"/>
      <c r="AG61" s="386"/>
      <c r="AH61" s="386"/>
      <c r="AI61" s="386"/>
      <c r="AJ61" s="386"/>
      <c r="AK61" s="386"/>
      <c r="AM61" s="191"/>
      <c r="BK61" s="165"/>
    </row>
    <row r="62" spans="1:81" ht="25.5" hidden="1">
      <c r="A62" s="387" t="s">
        <v>259</v>
      </c>
      <c r="B62" s="25"/>
      <c r="C62" s="25"/>
      <c r="D62" s="25"/>
      <c r="E62" s="156">
        <f>H62/2</f>
        <v>2003.1350000000002</v>
      </c>
      <c r="F62" s="156"/>
      <c r="G62" s="156">
        <f>H62-E62</f>
        <v>2003.1350000000002</v>
      </c>
      <c r="H62" s="156">
        <f>AN52</f>
        <v>4006.2700000000004</v>
      </c>
      <c r="K62" s="192" t="s">
        <v>259</v>
      </c>
      <c r="L62" s="170">
        <f>E62</f>
        <v>2003.1350000000002</v>
      </c>
      <c r="M62" s="25"/>
      <c r="N62" s="25"/>
      <c r="O62" s="156">
        <f>BN51/2</f>
        <v>12.309548163023958</v>
      </c>
      <c r="P62" s="156">
        <f>S62/2</f>
        <v>2026.1</v>
      </c>
      <c r="Q62" s="156">
        <f>G62</f>
        <v>2003.1350000000002</v>
      </c>
      <c r="R62" s="156">
        <f>BN51</f>
        <v>24.619096326047917</v>
      </c>
      <c r="S62" s="156">
        <f>AA52</f>
        <v>4052.2</v>
      </c>
      <c r="T62" s="156">
        <f>AN52</f>
        <v>4006.2700000000004</v>
      </c>
      <c r="X62" s="234" t="s">
        <v>329</v>
      </c>
      <c r="Y62" s="25" t="s">
        <v>261</v>
      </c>
      <c r="Z62" s="25" t="s">
        <v>262</v>
      </c>
      <c r="AA62" s="25">
        <v>2014</v>
      </c>
      <c r="AM62" s="191"/>
      <c r="BK62" s="165"/>
    </row>
    <row r="63" spans="1:81" ht="38.25" hidden="1">
      <c r="A63" s="14" t="s">
        <v>294</v>
      </c>
      <c r="B63" s="25"/>
      <c r="C63" s="25"/>
      <c r="D63" s="25"/>
      <c r="E63" s="238" t="e">
        <f>#REF!</f>
        <v>#REF!</v>
      </c>
      <c r="F63" s="238"/>
      <c r="G63" s="238" t="e">
        <f>G64/G62</f>
        <v>#REF!</v>
      </c>
      <c r="H63" s="238">
        <f>AN56</f>
        <v>29.642529444588508</v>
      </c>
      <c r="K63" s="192" t="s">
        <v>294</v>
      </c>
      <c r="L63" s="238">
        <v>30</v>
      </c>
      <c r="M63" s="239"/>
      <c r="N63" s="239"/>
      <c r="O63" s="238">
        <v>26.38</v>
      </c>
      <c r="P63" s="238" t="e">
        <f>P64/P62</f>
        <v>#REF!</v>
      </c>
      <c r="Q63" s="238">
        <f>Q64/Q62</f>
        <v>31.503581355211512</v>
      </c>
      <c r="R63" s="238">
        <f>BN56</f>
        <v>16.747684575542802</v>
      </c>
      <c r="S63" s="238" t="e">
        <f>AA59</f>
        <v>#REF!</v>
      </c>
      <c r="T63" s="238">
        <f>AN59</f>
        <v>30.751790677605754</v>
      </c>
      <c r="X63" s="235" t="s">
        <v>259</v>
      </c>
      <c r="Y63" s="156">
        <f>AA63/2</f>
        <v>1400</v>
      </c>
      <c r="Z63" s="156">
        <f>AA63/2</f>
        <v>1400</v>
      </c>
      <c r="AA63" s="156">
        <f>объемы!F49</f>
        <v>2800</v>
      </c>
      <c r="AD63" s="157"/>
      <c r="AE63" s="157"/>
      <c r="AF63" s="157"/>
      <c r="AG63" s="157"/>
      <c r="AH63" s="157"/>
      <c r="AI63" s="157"/>
      <c r="AJ63" s="341"/>
      <c r="AK63" s="341"/>
      <c r="AL63" s="157"/>
      <c r="AM63" s="222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2227"/>
      <c r="BE63" s="157"/>
      <c r="BF63" s="157"/>
      <c r="BG63" s="157"/>
      <c r="BH63" s="2227"/>
      <c r="BI63" s="157"/>
      <c r="BJ63" s="157"/>
      <c r="BK63" s="240"/>
    </row>
    <row r="64" spans="1:81" hidden="1">
      <c r="A64" s="14" t="s">
        <v>260</v>
      </c>
      <c r="B64" s="25"/>
      <c r="C64" s="25"/>
      <c r="D64" s="25"/>
      <c r="E64" s="156" t="e">
        <f>E62*E63</f>
        <v>#REF!</v>
      </c>
      <c r="F64" s="156"/>
      <c r="G64" s="156" t="e">
        <f>H64-E64</f>
        <v>#REF!</v>
      </c>
      <c r="H64" s="156">
        <f>AN51+AN54</f>
        <v>118755.97643797162</v>
      </c>
      <c r="K64" s="192" t="s">
        <v>260</v>
      </c>
      <c r="L64" s="156">
        <f>L62*L63</f>
        <v>60094.05</v>
      </c>
      <c r="M64" s="25"/>
      <c r="N64" s="25"/>
      <c r="O64" s="156">
        <f>O62*O63</f>
        <v>324.72588054057201</v>
      </c>
      <c r="P64" s="156" t="e">
        <f>S64-L64</f>
        <v>#REF!</v>
      </c>
      <c r="Q64" s="156">
        <f>T64-L64</f>
        <v>63105.926437971619</v>
      </c>
      <c r="R64" s="156">
        <f>BN48+BN53</f>
        <v>21.815230829164715</v>
      </c>
      <c r="S64" s="156" t="e">
        <f>S62*S63</f>
        <v>#REF!</v>
      </c>
      <c r="T64" s="156">
        <f>AN58</f>
        <v>123199.97643797162</v>
      </c>
      <c r="V64" s="157"/>
      <c r="X64" s="235" t="s">
        <v>118</v>
      </c>
      <c r="Y64" s="156">
        <v>19.14</v>
      </c>
      <c r="Z64" s="156">
        <f>Y64*1.184</f>
        <v>22.661760000000001</v>
      </c>
      <c r="AA64" s="236">
        <f>AA65/AA63</f>
        <v>20.900880000000001</v>
      </c>
      <c r="AD64" s="157"/>
      <c r="AE64" s="157"/>
      <c r="AF64" s="157"/>
      <c r="AG64" s="157"/>
      <c r="AH64" s="157"/>
      <c r="AI64" s="157"/>
      <c r="AJ64" s="341"/>
      <c r="AK64" s="341"/>
      <c r="AL64" s="157"/>
      <c r="AM64" s="222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2227"/>
      <c r="BE64" s="157"/>
      <c r="BF64" s="157"/>
      <c r="BG64" s="157"/>
      <c r="BH64" s="2227"/>
      <c r="BI64" s="157"/>
      <c r="BJ64" s="157"/>
      <c r="BK64" s="240"/>
    </row>
    <row r="65" spans="1:63" ht="26.25" hidden="1" customHeight="1">
      <c r="A65" s="25"/>
      <c r="B65" s="25"/>
      <c r="C65" s="25"/>
      <c r="D65" s="25"/>
      <c r="E65" s="25"/>
      <c r="F65" s="25"/>
      <c r="G65" s="351" t="e">
        <f>G63/E63</f>
        <v>#REF!</v>
      </c>
      <c r="H65" s="25"/>
      <c r="K65" s="25"/>
      <c r="L65" s="25"/>
      <c r="M65" s="25"/>
      <c r="N65" s="25"/>
      <c r="O65" s="25"/>
      <c r="P65" s="193" t="e">
        <f>P63/L63</f>
        <v>#REF!</v>
      </c>
      <c r="Q65" s="346">
        <f>Q63/L63</f>
        <v>1.0501193785070504</v>
      </c>
      <c r="R65" s="25"/>
      <c r="S65" s="25"/>
      <c r="T65" s="347" t="e">
        <f>G63/L63</f>
        <v>#REF!</v>
      </c>
      <c r="X65" s="235" t="s">
        <v>323</v>
      </c>
      <c r="Y65" s="156">
        <f>Y63*Y64</f>
        <v>26796</v>
      </c>
      <c r="Z65" s="156">
        <f>Z63*Z64</f>
        <v>31726.464</v>
      </c>
      <c r="AA65" s="156">
        <f>Y65+Z65</f>
        <v>58522.464</v>
      </c>
      <c r="AD65" s="157"/>
      <c r="AE65" s="157"/>
      <c r="AF65" s="157"/>
      <c r="AG65" s="157"/>
      <c r="AH65" s="157"/>
      <c r="AI65" s="157"/>
      <c r="AJ65" s="341"/>
      <c r="AK65" s="341"/>
      <c r="AL65" s="157"/>
      <c r="AM65" s="222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2227"/>
      <c r="BE65" s="157"/>
      <c r="BF65" s="157"/>
      <c r="BG65" s="157"/>
      <c r="BH65" s="2227"/>
      <c r="BI65" s="157"/>
      <c r="BJ65" s="157"/>
      <c r="BK65" s="240"/>
    </row>
    <row r="66" spans="1:63" ht="18" hidden="1" customHeight="1">
      <c r="A66" s="4630" t="s">
        <v>441</v>
      </c>
      <c r="B66" s="4631"/>
      <c r="C66" s="4631"/>
      <c r="D66" s="4631"/>
      <c r="E66" s="4631"/>
      <c r="F66" s="4631"/>
      <c r="G66" s="4631"/>
      <c r="H66" s="4632"/>
      <c r="K66" s="4631" t="s">
        <v>442</v>
      </c>
      <c r="L66" s="4631"/>
      <c r="M66" s="4631"/>
      <c r="N66" s="4631"/>
      <c r="O66" s="4631"/>
      <c r="P66" s="4631"/>
      <c r="Q66" s="4631"/>
      <c r="R66" s="4631"/>
      <c r="S66" s="4631"/>
      <c r="T66" s="4631"/>
      <c r="X66" s="235" t="s">
        <v>364</v>
      </c>
      <c r="Y66" s="25"/>
      <c r="Z66" s="164">
        <f>Z64/Y64</f>
        <v>1.1839999999999999</v>
      </c>
      <c r="AA66" s="25"/>
      <c r="AM66" s="191"/>
      <c r="BK66" s="241"/>
    </row>
    <row r="67" spans="1:63" hidden="1">
      <c r="A67" s="25"/>
      <c r="B67" s="25"/>
      <c r="C67" s="25"/>
      <c r="D67" s="25"/>
      <c r="E67" s="25" t="s">
        <v>261</v>
      </c>
      <c r="F67" s="25"/>
      <c r="G67" s="25" t="s">
        <v>262</v>
      </c>
      <c r="H67" s="25" t="s">
        <v>238</v>
      </c>
      <c r="K67" s="25" t="s">
        <v>332</v>
      </c>
      <c r="L67" s="171" t="s">
        <v>261</v>
      </c>
      <c r="M67" s="171"/>
      <c r="N67" s="171"/>
      <c r="O67" s="171" t="s">
        <v>261</v>
      </c>
      <c r="P67" s="171" t="s">
        <v>262</v>
      </c>
      <c r="Q67" s="171" t="s">
        <v>262</v>
      </c>
      <c r="R67" s="171" t="s">
        <v>238</v>
      </c>
      <c r="S67" s="171" t="s">
        <v>238</v>
      </c>
      <c r="T67" s="25">
        <v>2014</v>
      </c>
      <c r="X67" s="235"/>
      <c r="Y67" s="25"/>
      <c r="Z67" s="156">
        <f>Z65-Y65</f>
        <v>4930.4639999999999</v>
      </c>
      <c r="AA67" s="25"/>
      <c r="AM67" s="191"/>
      <c r="BK67" s="240"/>
    </row>
    <row r="68" spans="1:63" hidden="1">
      <c r="A68" s="14" t="s">
        <v>259</v>
      </c>
      <c r="B68" s="25"/>
      <c r="C68" s="25"/>
      <c r="D68" s="25"/>
      <c r="E68" s="156">
        <f>H68/2</f>
        <v>23.065000000000001</v>
      </c>
      <c r="F68" s="156"/>
      <c r="G68" s="156">
        <f>H68-E68</f>
        <v>23.065000000000001</v>
      </c>
      <c r="H68" s="156">
        <f>AO52</f>
        <v>46.13</v>
      </c>
      <c r="K68" s="192" t="s">
        <v>259</v>
      </c>
      <c r="L68" s="170">
        <f>T68/2</f>
        <v>1822.35</v>
      </c>
      <c r="M68" s="25"/>
      <c r="N68" s="25"/>
      <c r="O68" s="156" t="e">
        <f>#REF!/2</f>
        <v>#REF!</v>
      </c>
      <c r="P68" s="156" t="e">
        <f>S68/2</f>
        <v>#REF!</v>
      </c>
      <c r="Q68" s="156">
        <f>T68/2</f>
        <v>1822.35</v>
      </c>
      <c r="R68" s="156" t="e">
        <f>#REF!</f>
        <v>#REF!</v>
      </c>
      <c r="S68" s="156" t="e">
        <f>AA53</f>
        <v>#REF!</v>
      </c>
      <c r="T68" s="156">
        <f>стоки!Z51</f>
        <v>3644.7</v>
      </c>
      <c r="X68" s="235"/>
      <c r="Y68" s="25"/>
      <c r="Z68" s="25"/>
      <c r="AA68" s="25"/>
      <c r="AM68" s="191"/>
      <c r="BK68" s="165"/>
    </row>
    <row r="69" spans="1:63" ht="27.75" hidden="1" customHeight="1">
      <c r="A69" s="14" t="s">
        <v>295</v>
      </c>
      <c r="B69" s="25"/>
      <c r="C69" s="25"/>
      <c r="D69" s="25"/>
      <c r="E69" s="238">
        <v>17.57</v>
      </c>
      <c r="F69" s="238"/>
      <c r="G69" s="238">
        <f>G70/G68</f>
        <v>20.094510125177226</v>
      </c>
      <c r="H69" s="238">
        <f>AO59</f>
        <v>18.832255062588615</v>
      </c>
      <c r="K69" s="192" t="s">
        <v>334</v>
      </c>
      <c r="L69" s="238">
        <f>стоки!L103</f>
        <v>24.29</v>
      </c>
      <c r="M69" s="238"/>
      <c r="N69" s="238"/>
      <c r="O69" s="238">
        <v>26.38</v>
      </c>
      <c r="P69" s="238" t="e">
        <f>P70/P68</f>
        <v>#REF!</v>
      </c>
      <c r="Q69" s="238">
        <f>Q70/Q68</f>
        <v>24.290849083410784</v>
      </c>
      <c r="R69" s="238">
        <f>BN62</f>
        <v>0</v>
      </c>
      <c r="S69" s="238">
        <f>AA65</f>
        <v>58522.464</v>
      </c>
      <c r="T69" s="238">
        <f>стоки!AK63</f>
        <v>24.290424541705391</v>
      </c>
      <c r="X69" s="234" t="s">
        <v>330</v>
      </c>
      <c r="Y69" s="25" t="s">
        <v>261</v>
      </c>
      <c r="Z69" s="25" t="s">
        <v>262</v>
      </c>
      <c r="AA69" s="25">
        <v>2014</v>
      </c>
      <c r="AM69" s="191"/>
      <c r="BK69" s="165"/>
    </row>
    <row r="70" spans="1:63" hidden="1">
      <c r="A70" s="14" t="s">
        <v>260</v>
      </c>
      <c r="B70" s="25"/>
      <c r="C70" s="25"/>
      <c r="D70" s="25"/>
      <c r="E70" s="156">
        <f>E68*E69</f>
        <v>405.25205000000005</v>
      </c>
      <c r="F70" s="156"/>
      <c r="G70" s="156">
        <f>H70-E70</f>
        <v>463.47987603721276</v>
      </c>
      <c r="H70" s="156">
        <f>AO58</f>
        <v>868.73192603721282</v>
      </c>
      <c r="K70" s="192" t="s">
        <v>260</v>
      </c>
      <c r="L70" s="156">
        <f>L68*L69</f>
        <v>44264.881499999996</v>
      </c>
      <c r="M70" s="25"/>
      <c r="N70" s="25"/>
      <c r="O70" s="156" t="e">
        <f>O68*O69</f>
        <v>#REF!</v>
      </c>
      <c r="P70" s="156" t="e">
        <f>S70-L70</f>
        <v>#REF!</v>
      </c>
      <c r="Q70" s="156">
        <f>T70-L70</f>
        <v>44266.428827153642</v>
      </c>
      <c r="R70" s="156" t="e">
        <f>#REF!+BN60</f>
        <v>#REF!</v>
      </c>
      <c r="S70" s="156" t="e">
        <f>S68*S69</f>
        <v>#REF!</v>
      </c>
      <c r="T70" s="156">
        <f>стоки!AK62</f>
        <v>88531.310327153638</v>
      </c>
      <c r="X70" s="235" t="s">
        <v>259</v>
      </c>
      <c r="Y70" s="156">
        <f>AA70/2</f>
        <v>1300</v>
      </c>
      <c r="Z70" s="156">
        <f>AA70/2</f>
        <v>1300</v>
      </c>
      <c r="AA70" s="156">
        <f>объемы!F58</f>
        <v>2600</v>
      </c>
      <c r="AM70" s="191"/>
      <c r="BK70" s="165"/>
    </row>
    <row r="71" spans="1:63" ht="26.25" hidden="1" customHeight="1">
      <c r="A71" s="25"/>
      <c r="B71" s="25"/>
      <c r="C71" s="25"/>
      <c r="D71" s="25"/>
      <c r="E71" s="25"/>
      <c r="F71" s="25"/>
      <c r="G71" s="345">
        <f>G69/E69</f>
        <v>1.1436829894807756</v>
      </c>
      <c r="H71" s="25"/>
      <c r="K71" s="25"/>
      <c r="L71" s="25"/>
      <c r="M71" s="25"/>
      <c r="N71" s="25"/>
      <c r="O71" s="25"/>
      <c r="P71" s="193" t="e">
        <f>P69/L69</f>
        <v>#REF!</v>
      </c>
      <c r="Q71" s="346">
        <f>Q69/L69</f>
        <v>1.0000349560893695</v>
      </c>
      <c r="R71" s="25"/>
      <c r="S71" s="25"/>
      <c r="T71" s="25"/>
      <c r="X71" s="235" t="s">
        <v>118</v>
      </c>
      <c r="Y71" s="156">
        <v>15.5</v>
      </c>
      <c r="Z71" s="156">
        <f>Y71*1.184</f>
        <v>18.352</v>
      </c>
      <c r="AA71" s="236">
        <f>AA72/AA70</f>
        <v>16.926000000000002</v>
      </c>
      <c r="AM71" s="191"/>
    </row>
    <row r="72" spans="1:63" hidden="1">
      <c r="A72" s="166"/>
      <c r="B72" s="166"/>
      <c r="C72" s="166"/>
      <c r="D72" s="166"/>
      <c r="E72" s="166"/>
      <c r="F72" s="166"/>
      <c r="G72" s="167"/>
      <c r="H72" s="166"/>
      <c r="X72" s="235" t="s">
        <v>323</v>
      </c>
      <c r="Y72" s="156">
        <f>Y70*Y71</f>
        <v>20150</v>
      </c>
      <c r="Z72" s="156">
        <f>Z70*Z71</f>
        <v>23857.600000000002</v>
      </c>
      <c r="AA72" s="156">
        <f>Y72+Z72</f>
        <v>44007.600000000006</v>
      </c>
      <c r="AM72" s="191"/>
    </row>
    <row r="73" spans="1:63" hidden="1">
      <c r="X73" s="25" t="s">
        <v>363</v>
      </c>
      <c r="Y73" s="25"/>
      <c r="Z73" s="164">
        <f>Z71/Y71</f>
        <v>1.1839999999999999</v>
      </c>
      <c r="AA73" s="25"/>
      <c r="AM73" s="191"/>
    </row>
    <row r="74" spans="1:63" hidden="1">
      <c r="A74" t="s">
        <v>335</v>
      </c>
      <c r="E74" s="157" t="e">
        <f>E64+стоки!E104</f>
        <v>#REF!</v>
      </c>
      <c r="G74" s="157" t="e">
        <f>G64+стоки!G104</f>
        <v>#REF!</v>
      </c>
      <c r="H74" s="157" t="e">
        <f>E74+G74</f>
        <v>#REF!</v>
      </c>
      <c r="X74" s="25"/>
      <c r="Y74" s="25"/>
      <c r="Z74" s="156">
        <f>Z72-Y72</f>
        <v>3707.6000000000022</v>
      </c>
      <c r="AA74" s="25"/>
      <c r="AM74" s="191"/>
    </row>
    <row r="75" spans="1:63" ht="28.5" hidden="1" customHeight="1">
      <c r="G75" s="163" t="e">
        <f>G74/E74</f>
        <v>#REF!</v>
      </c>
      <c r="AM75" s="191"/>
    </row>
    <row r="76" spans="1:63" hidden="1">
      <c r="AM76" s="191"/>
    </row>
    <row r="77" spans="1:63" hidden="1">
      <c r="A77" t="s">
        <v>336</v>
      </c>
      <c r="E77" s="157">
        <f>L64+L70</f>
        <v>104358.93150000001</v>
      </c>
      <c r="G77" s="157">
        <f>Q64+Q70</f>
        <v>107372.35526512525</v>
      </c>
      <c r="H77" s="157">
        <f>E77+G77</f>
        <v>211731.28676512526</v>
      </c>
      <c r="L77" s="234" t="s">
        <v>333</v>
      </c>
      <c r="M77" s="25"/>
      <c r="N77" s="25"/>
      <c r="O77" s="25"/>
      <c r="P77" s="25"/>
      <c r="Q77" s="25" t="s">
        <v>261</v>
      </c>
      <c r="R77" s="25"/>
      <c r="S77" s="25"/>
      <c r="T77" s="25" t="s">
        <v>262</v>
      </c>
      <c r="U77" s="25" t="s">
        <v>163</v>
      </c>
      <c r="AB77">
        <f>E69*1.048</f>
        <v>18.413360000000001</v>
      </c>
      <c r="AD77">
        <f>(E69+AB77)/2</f>
        <v>17.991680000000002</v>
      </c>
      <c r="AM77" s="191"/>
    </row>
    <row r="78" spans="1:63" hidden="1">
      <c r="G78" s="163">
        <f>G77/E77</f>
        <v>1.0288755712789686</v>
      </c>
      <c r="L78" s="25" t="s">
        <v>299</v>
      </c>
      <c r="M78" s="25"/>
      <c r="N78" s="25"/>
      <c r="O78" s="25"/>
      <c r="P78" s="25"/>
      <c r="Q78" s="156">
        <v>8509.5</v>
      </c>
      <c r="R78" s="156"/>
      <c r="S78" s="156"/>
      <c r="T78" s="156">
        <v>11223.9</v>
      </c>
      <c r="U78" s="156">
        <f>T78+Q78</f>
        <v>19733.400000000001</v>
      </c>
      <c r="AM78" s="191"/>
    </row>
    <row r="79" spans="1:63" hidden="1">
      <c r="L79" s="25" t="s">
        <v>331</v>
      </c>
      <c r="M79" s="25"/>
      <c r="N79" s="25"/>
      <c r="O79" s="25"/>
      <c r="P79" s="25"/>
      <c r="Q79" s="156">
        <v>6353.75</v>
      </c>
      <c r="R79" s="156"/>
      <c r="S79" s="156"/>
      <c r="T79" s="156">
        <v>7524.4</v>
      </c>
      <c r="U79" s="156">
        <f>T79+Q79</f>
        <v>13878.15</v>
      </c>
      <c r="AM79" s="191"/>
    </row>
    <row r="80" spans="1:63" hidden="1">
      <c r="L80" s="25" t="s">
        <v>293</v>
      </c>
      <c r="M80" s="25"/>
      <c r="N80" s="25"/>
      <c r="O80" s="25"/>
      <c r="P80" s="25"/>
      <c r="Q80" s="156">
        <f>Q79+Q78</f>
        <v>14863.25</v>
      </c>
      <c r="R80" s="156">
        <f>R79+R78</f>
        <v>0</v>
      </c>
      <c r="S80" s="156">
        <f>S79+S78</f>
        <v>0</v>
      </c>
      <c r="T80" s="156">
        <f>T79+T78</f>
        <v>18748.3</v>
      </c>
      <c r="U80" s="156">
        <f>U79+U78</f>
        <v>33611.550000000003</v>
      </c>
      <c r="AM80" s="191"/>
    </row>
    <row r="81" spans="1:39" hidden="1">
      <c r="L81" s="25"/>
      <c r="M81" s="25"/>
      <c r="N81" s="25"/>
      <c r="O81" s="25"/>
      <c r="P81" s="25"/>
      <c r="Q81" s="25"/>
      <c r="R81" s="25"/>
      <c r="S81" s="25"/>
      <c r="T81" s="25"/>
      <c r="U81" s="25"/>
      <c r="AM81" s="191"/>
    </row>
    <row r="82" spans="1:39" hidden="1">
      <c r="L82" s="234" t="s">
        <v>367</v>
      </c>
      <c r="M82" s="25"/>
      <c r="N82" s="25"/>
      <c r="O82" s="25"/>
      <c r="P82" s="25"/>
      <c r="Q82" s="25" t="s">
        <v>261</v>
      </c>
      <c r="R82" s="25"/>
      <c r="S82" s="25"/>
      <c r="T82" s="25" t="s">
        <v>262</v>
      </c>
      <c r="U82" s="25" t="s">
        <v>238</v>
      </c>
      <c r="AM82" s="191"/>
    </row>
    <row r="83" spans="1:39" ht="25.5" hidden="1">
      <c r="A83" s="25" t="s">
        <v>282</v>
      </c>
      <c r="B83" s="25"/>
      <c r="C83" s="25"/>
      <c r="D83" s="25"/>
      <c r="E83" s="146" t="s">
        <v>283</v>
      </c>
      <c r="F83" s="146"/>
      <c r="G83" s="146" t="s">
        <v>284</v>
      </c>
      <c r="H83" s="4530" t="s">
        <v>246</v>
      </c>
      <c r="I83" s="4633"/>
      <c r="L83" s="25" t="s">
        <v>299</v>
      </c>
      <c r="M83" s="25"/>
      <c r="N83" s="25"/>
      <c r="O83" s="25"/>
      <c r="P83" s="25"/>
      <c r="Q83" s="156">
        <f>(L63-Y64)*Y63</f>
        <v>15204</v>
      </c>
      <c r="R83" s="156"/>
      <c r="S83" s="156"/>
      <c r="T83" s="156">
        <f>(Q63-Z64)*Z63</f>
        <v>12378.549897296116</v>
      </c>
      <c r="U83" s="156">
        <f>T83+Q83</f>
        <v>27582.549897296114</v>
      </c>
      <c r="AM83" s="191"/>
    </row>
    <row r="84" spans="1:39" hidden="1">
      <c r="A84" s="25" t="s">
        <v>285</v>
      </c>
      <c r="B84" s="25"/>
      <c r="C84" s="25"/>
      <c r="D84" s="25"/>
      <c r="E84" s="156">
        <v>0</v>
      </c>
      <c r="F84" s="25"/>
      <c r="G84" s="25"/>
      <c r="H84" s="4530"/>
      <c r="I84" s="4633"/>
      <c r="L84" s="25" t="s">
        <v>331</v>
      </c>
      <c r="M84" s="25"/>
      <c r="N84" s="25"/>
      <c r="O84" s="25"/>
      <c r="P84" s="25"/>
      <c r="Q84" s="156">
        <f>(L69-Y71)*Y70</f>
        <v>11426.999999999998</v>
      </c>
      <c r="R84" s="156"/>
      <c r="S84" s="156"/>
      <c r="T84" s="156">
        <f>(Q69-Z71)*Z70</f>
        <v>7720.5038084340185</v>
      </c>
      <c r="U84" s="156">
        <f>T84+Q84</f>
        <v>19147.503808434016</v>
      </c>
      <c r="AM84" s="191"/>
    </row>
    <row r="85" spans="1:39" ht="31.5" hidden="1" customHeight="1">
      <c r="A85" s="25" t="s">
        <v>286</v>
      </c>
      <c r="B85" s="25"/>
      <c r="C85" s="25"/>
      <c r="D85" s="25"/>
      <c r="E85" s="156">
        <v>0</v>
      </c>
      <c r="F85" s="25"/>
      <c r="G85" s="25">
        <v>0</v>
      </c>
      <c r="H85" s="4634" t="s">
        <v>250</v>
      </c>
      <c r="I85" s="4635"/>
      <c r="L85" s="25" t="s">
        <v>293</v>
      </c>
      <c r="M85" s="25"/>
      <c r="N85" s="25"/>
      <c r="O85" s="25"/>
      <c r="P85" s="25"/>
      <c r="Q85" s="156">
        <f>Q84+Q83</f>
        <v>26631</v>
      </c>
      <c r="R85" s="156">
        <f>R84+R83</f>
        <v>0</v>
      </c>
      <c r="S85" s="156">
        <f>S84+S83</f>
        <v>0</v>
      </c>
      <c r="T85" s="156">
        <f>T84+T83</f>
        <v>20099.053705730134</v>
      </c>
      <c r="U85" s="156">
        <f>U84+U83</f>
        <v>46730.053705730126</v>
      </c>
      <c r="AM85" s="191"/>
    </row>
    <row r="86" spans="1:39" hidden="1">
      <c r="A86" s="25" t="s">
        <v>287</v>
      </c>
      <c r="B86" s="25"/>
      <c r="C86" s="25"/>
      <c r="D86" s="25"/>
      <c r="E86" s="156">
        <v>0</v>
      </c>
      <c r="F86" s="25"/>
      <c r="G86" s="25"/>
      <c r="H86" s="4530"/>
      <c r="I86" s="4633"/>
      <c r="L86" s="234" t="s">
        <v>438</v>
      </c>
      <c r="M86" s="25"/>
      <c r="N86" s="25"/>
      <c r="O86" s="25"/>
      <c r="P86" s="25"/>
      <c r="Q86" s="25" t="s">
        <v>261</v>
      </c>
      <c r="R86" s="25"/>
      <c r="S86" s="25"/>
      <c r="T86" s="25" t="s">
        <v>262</v>
      </c>
      <c r="U86" s="25" t="s">
        <v>380</v>
      </c>
      <c r="AM86" s="191"/>
    </row>
    <row r="87" spans="1:39" hidden="1">
      <c r="A87" s="25" t="s">
        <v>288</v>
      </c>
      <c r="B87" s="25"/>
      <c r="C87" s="25"/>
      <c r="D87" s="25"/>
      <c r="E87" s="156">
        <v>0</v>
      </c>
      <c r="F87" s="25"/>
      <c r="G87" s="25"/>
      <c r="H87" s="4530"/>
      <c r="I87" s="4633"/>
      <c r="L87" s="25" t="s">
        <v>299</v>
      </c>
      <c r="M87" s="25"/>
      <c r="N87" s="25"/>
      <c r="O87" s="25"/>
      <c r="P87" s="25"/>
      <c r="Q87" s="156" t="e">
        <f>(L67-Y68)*Y67</f>
        <v>#VALUE!</v>
      </c>
      <c r="R87" s="156"/>
      <c r="S87" s="156"/>
      <c r="T87" s="156" t="e">
        <f>(Q67-Z68)*Z67</f>
        <v>#VALUE!</v>
      </c>
      <c r="U87" s="156" t="e">
        <f>T87+Q87</f>
        <v>#VALUE!</v>
      </c>
      <c r="AM87" s="191"/>
    </row>
    <row r="88" spans="1:39" hidden="1">
      <c r="A88" s="25" t="s">
        <v>289</v>
      </c>
      <c r="B88" s="25"/>
      <c r="C88" s="25"/>
      <c r="D88" s="25"/>
      <c r="E88" s="156">
        <v>0</v>
      </c>
      <c r="F88" s="25"/>
      <c r="G88" s="25"/>
      <c r="H88" s="4530"/>
      <c r="I88" s="4633"/>
      <c r="L88" s="25" t="s">
        <v>331</v>
      </c>
      <c r="M88" s="25"/>
      <c r="N88" s="25"/>
      <c r="O88" s="25"/>
      <c r="P88" s="25"/>
      <c r="Q88" s="156">
        <f>(L73-Y75)*Y74</f>
        <v>0</v>
      </c>
      <c r="R88" s="156"/>
      <c r="S88" s="156"/>
      <c r="T88" s="156">
        <f>(Q73-Z75)*Z74</f>
        <v>0</v>
      </c>
      <c r="U88" s="156">
        <f>T88+Q88</f>
        <v>0</v>
      </c>
      <c r="AM88" s="191"/>
    </row>
    <row r="89" spans="1:39" hidden="1">
      <c r="A89" s="25" t="s">
        <v>290</v>
      </c>
      <c r="B89" s="25"/>
      <c r="C89" s="25"/>
      <c r="D89" s="25"/>
      <c r="E89" s="156">
        <v>0</v>
      </c>
      <c r="F89" s="25"/>
      <c r="G89" s="25"/>
      <c r="H89" s="4530"/>
      <c r="I89" s="4633"/>
      <c r="L89" s="25" t="s">
        <v>293</v>
      </c>
      <c r="M89" s="25"/>
      <c r="N89" s="25"/>
      <c r="O89" s="25"/>
      <c r="P89" s="25"/>
      <c r="Q89" s="156" t="e">
        <f>Q88+Q87</f>
        <v>#VALUE!</v>
      </c>
      <c r="R89" s="156">
        <f>R88+R87</f>
        <v>0</v>
      </c>
      <c r="S89" s="156">
        <f>S88+S87</f>
        <v>0</v>
      </c>
      <c r="T89" s="156" t="e">
        <f>T88+T87</f>
        <v>#VALUE!</v>
      </c>
      <c r="U89" s="156" t="e">
        <f>U88+U87</f>
        <v>#VALUE!</v>
      </c>
      <c r="AM89" s="191"/>
    </row>
    <row r="90" spans="1:39" hidden="1">
      <c r="A90" s="25" t="s">
        <v>291</v>
      </c>
      <c r="B90" s="25"/>
      <c r="C90" s="25"/>
      <c r="D90" s="25"/>
      <c r="E90" s="156">
        <v>0</v>
      </c>
      <c r="F90" s="25"/>
      <c r="G90" s="25"/>
      <c r="H90" s="4530"/>
      <c r="I90" s="4633"/>
      <c r="L90" s="234"/>
      <c r="M90" s="25"/>
      <c r="N90" s="25"/>
      <c r="O90" s="25"/>
      <c r="P90" s="25"/>
      <c r="Q90" s="25"/>
      <c r="R90" s="25"/>
      <c r="S90" s="25"/>
      <c r="T90" s="25"/>
      <c r="U90" s="25"/>
      <c r="AM90" s="191"/>
    </row>
    <row r="91" spans="1:39" hidden="1">
      <c r="A91" s="25" t="s">
        <v>292</v>
      </c>
      <c r="B91" s="25"/>
      <c r="C91" s="25"/>
      <c r="D91" s="25"/>
      <c r="E91" s="156">
        <v>0</v>
      </c>
      <c r="F91" s="25"/>
      <c r="G91" s="25"/>
      <c r="H91" s="4530"/>
      <c r="I91" s="4633"/>
      <c r="AM91" s="191"/>
    </row>
    <row r="92" spans="1:39" hidden="1">
      <c r="A92" s="25" t="s">
        <v>293</v>
      </c>
      <c r="B92" s="25"/>
      <c r="C92" s="25"/>
      <c r="D92" s="25"/>
      <c r="E92" s="156">
        <f>SUM(E84:E91)</f>
        <v>0</v>
      </c>
      <c r="F92" s="25"/>
      <c r="G92" s="25"/>
      <c r="H92" s="4530"/>
      <c r="I92" s="4633"/>
      <c r="AM92" s="191"/>
    </row>
    <row r="93" spans="1:39" hidden="1">
      <c r="AM93" s="191"/>
    </row>
    <row r="94" spans="1:39" hidden="1">
      <c r="AM94" s="191"/>
    </row>
    <row r="95" spans="1:39" hidden="1">
      <c r="AM95" s="191"/>
    </row>
    <row r="96" spans="1:39" hidden="1">
      <c r="AM96" s="191"/>
    </row>
    <row r="97" spans="1:81" hidden="1">
      <c r="AM97" s="191"/>
    </row>
    <row r="98" spans="1:81" hidden="1">
      <c r="AM98" s="191"/>
    </row>
    <row r="99" spans="1:81" hidden="1">
      <c r="AM99" s="191"/>
    </row>
    <row r="100" spans="1:81" hidden="1">
      <c r="AM100" s="191"/>
    </row>
    <row r="101" spans="1:81">
      <c r="AL101" s="157">
        <f>SUM(AN59)</f>
        <v>30.751790677605754</v>
      </c>
      <c r="AM101" s="191"/>
      <c r="AN101" s="1865">
        <f>SUM('расчет тарифов '!E9)</f>
        <v>30</v>
      </c>
      <c r="AO101" s="1865">
        <f>AO102/AO60</f>
        <v>31.503581355211512</v>
      </c>
      <c r="BG101" s="157">
        <f>BI59</f>
        <v>32.620579890792548</v>
      </c>
      <c r="BI101" s="1865">
        <v>31.52</v>
      </c>
      <c r="BJ101" s="1865">
        <f>BJ102/BJ60</f>
        <v>33.721159781585101</v>
      </c>
      <c r="BK101" s="2474">
        <f>BJ101/BI101</f>
        <v>1.069833749415771</v>
      </c>
    </row>
    <row r="102" spans="1:81">
      <c r="AL102" s="157">
        <f>AN58</f>
        <v>123199.97643797162</v>
      </c>
      <c r="AM102" s="191"/>
      <c r="AN102">
        <f>AN101*AN60</f>
        <v>60094.05</v>
      </c>
      <c r="AO102" s="157">
        <f>AL102-AN102</f>
        <v>63105.926437971619</v>
      </c>
      <c r="BG102" s="157">
        <f>BI58</f>
        <v>130130.57185020778</v>
      </c>
      <c r="BI102">
        <f>BI101*BI60</f>
        <v>62870.05992</v>
      </c>
      <c r="BJ102" s="157">
        <f>BG102-BI102</f>
        <v>67260.51193020778</v>
      </c>
    </row>
    <row r="103" spans="1:81" ht="25.5">
      <c r="A103" s="4485" t="s">
        <v>1717</v>
      </c>
      <c r="B103" s="4485"/>
      <c r="C103" s="4485"/>
      <c r="D103" s="4485"/>
      <c r="E103" s="4485"/>
      <c r="F103" s="4485"/>
      <c r="G103" s="4485"/>
      <c r="H103" s="4485"/>
      <c r="I103" s="4485"/>
      <c r="J103" s="4485"/>
      <c r="K103" s="4485"/>
      <c r="L103" s="4485"/>
      <c r="M103" s="4485"/>
      <c r="N103" s="4485"/>
      <c r="O103" s="4485"/>
      <c r="P103" s="4485"/>
      <c r="Q103" s="4485"/>
      <c r="R103" s="4485"/>
      <c r="S103" s="4485"/>
      <c r="T103" s="4485"/>
      <c r="U103" s="4485"/>
      <c r="V103" s="4485"/>
      <c r="W103" s="4485"/>
      <c r="X103" s="4485"/>
      <c r="Y103" s="4485"/>
      <c r="Z103" s="4485"/>
      <c r="AA103" s="4485"/>
      <c r="AB103" s="4485"/>
      <c r="AC103" s="4485"/>
      <c r="AD103" s="4485"/>
      <c r="AE103" s="4485"/>
      <c r="AF103" s="4485"/>
      <c r="AG103" s="4485"/>
      <c r="AH103" s="4485"/>
      <c r="AI103" s="4485"/>
      <c r="AJ103" s="4485"/>
      <c r="AK103" s="4485"/>
      <c r="AL103" s="4485"/>
      <c r="AM103" s="4485"/>
      <c r="AN103" s="4485"/>
      <c r="AO103" s="4485"/>
      <c r="AP103" s="4485"/>
      <c r="AQ103" s="4485"/>
      <c r="AR103" s="4485"/>
      <c r="AS103" s="4485"/>
      <c r="AT103" s="4485"/>
      <c r="AU103" s="4485"/>
      <c r="AV103" s="4485"/>
      <c r="AW103" s="4485"/>
      <c r="AX103" s="4485"/>
      <c r="AY103" s="4485"/>
      <c r="AZ103" s="4485"/>
      <c r="BA103" s="4485"/>
      <c r="BB103" s="4485"/>
      <c r="BC103" s="4485"/>
      <c r="BD103" s="4485"/>
      <c r="BE103" s="4485"/>
      <c r="BF103" s="4485"/>
      <c r="BG103" s="4485"/>
      <c r="BH103" s="4485"/>
      <c r="BI103" s="4485"/>
      <c r="BJ103" s="4485"/>
      <c r="BK103" s="4485"/>
      <c r="BL103" s="4356"/>
      <c r="BM103" s="4356"/>
      <c r="BN103" s="4356"/>
      <c r="BO103" s="4356"/>
      <c r="BP103" s="4356"/>
      <c r="BQ103" s="4356"/>
      <c r="BR103" s="4356"/>
      <c r="BS103" s="4356"/>
      <c r="BT103" s="4356"/>
      <c r="BU103" s="4356"/>
      <c r="BV103" s="4356"/>
      <c r="BW103" s="4356"/>
      <c r="BX103" s="4356"/>
      <c r="BY103" s="4356"/>
      <c r="BZ103" s="4356"/>
      <c r="CA103" s="4356"/>
      <c r="CB103" s="4356"/>
      <c r="CC103" s="4356"/>
    </row>
    <row r="104" spans="1:81" ht="13.5" thickBot="1">
      <c r="A104" s="1382"/>
      <c r="B104" s="1382"/>
      <c r="C104" s="1382"/>
      <c r="D104" s="1382"/>
      <c r="E104" s="1382"/>
      <c r="F104" s="1382"/>
      <c r="G104" s="1382"/>
      <c r="H104" s="1382"/>
      <c r="I104" s="1382"/>
      <c r="J104" s="1382"/>
      <c r="K104" s="1382"/>
      <c r="L104" s="1382"/>
      <c r="M104" s="1382"/>
      <c r="N104" s="1382"/>
      <c r="O104" s="1382"/>
      <c r="P104" s="1382"/>
      <c r="Q104" s="1382"/>
      <c r="R104" s="1382"/>
      <c r="S104" s="1382"/>
      <c r="T104" s="1382"/>
      <c r="U104" s="1382"/>
      <c r="V104" s="1382"/>
      <c r="W104" s="1382"/>
      <c r="X104" s="1382"/>
      <c r="Y104" s="1382"/>
      <c r="Z104" s="1382"/>
      <c r="AA104" s="1382"/>
      <c r="AB104" s="1382"/>
      <c r="AC104" s="1382"/>
      <c r="AD104" s="1382"/>
      <c r="AE104" s="1382"/>
      <c r="AF104" s="1382"/>
      <c r="AG104" s="1382"/>
      <c r="AH104" s="1382"/>
      <c r="AI104" s="1382"/>
      <c r="AJ104" s="389"/>
      <c r="AK104" s="389"/>
      <c r="AL104" s="1382"/>
      <c r="AM104" s="1382"/>
      <c r="AN104" s="1382"/>
      <c r="AO104" s="1382"/>
      <c r="AP104" s="1382"/>
      <c r="AQ104" s="1382"/>
      <c r="AR104" s="1382"/>
      <c r="AS104" s="1382"/>
      <c r="AT104" s="1382"/>
      <c r="AU104" s="1382"/>
      <c r="AV104" s="1382"/>
      <c r="AW104" s="1382"/>
      <c r="AX104" s="1382"/>
      <c r="AY104" s="1382"/>
      <c r="AZ104" s="2716"/>
      <c r="BA104" s="2716"/>
      <c r="BB104" s="2716"/>
      <c r="BC104" s="1382"/>
      <c r="BD104" s="2221"/>
      <c r="BE104" s="1382"/>
      <c r="BF104" s="1382"/>
      <c r="BG104" s="1382"/>
      <c r="BH104" s="2221"/>
      <c r="BI104" s="1382"/>
      <c r="BJ104" s="1382"/>
      <c r="BK104" s="1382"/>
    </row>
    <row r="105" spans="1:81" ht="21" thickBot="1">
      <c r="A105" s="4600" t="s">
        <v>546</v>
      </c>
      <c r="B105" s="4603" t="s">
        <v>58</v>
      </c>
      <c r="C105" s="4605" t="s">
        <v>59</v>
      </c>
      <c r="D105" s="4605"/>
      <c r="E105" s="4606" t="s">
        <v>67</v>
      </c>
      <c r="F105" s="4606"/>
      <c r="G105" s="4607" t="s">
        <v>95</v>
      </c>
      <c r="H105" s="4608"/>
      <c r="I105" s="4607" t="s">
        <v>124</v>
      </c>
      <c r="J105" s="4609"/>
      <c r="K105" s="4609"/>
      <c r="L105" s="4609"/>
      <c r="M105" s="4609"/>
      <c r="N105" s="4608"/>
      <c r="O105" s="4610" t="s">
        <v>163</v>
      </c>
      <c r="P105" s="4455"/>
      <c r="Q105" s="4455"/>
      <c r="R105" s="4455"/>
      <c r="S105" s="4455"/>
      <c r="T105" s="4455"/>
      <c r="U105" s="4455"/>
      <c r="V105" s="4455"/>
      <c r="W105" s="4455"/>
      <c r="X105" s="4455"/>
      <c r="Y105" s="4611" t="s">
        <v>238</v>
      </c>
      <c r="Z105" s="4612"/>
      <c r="AA105" s="4612"/>
      <c r="AB105" s="4612"/>
      <c r="AC105" s="4612"/>
      <c r="AD105" s="4612"/>
      <c r="AE105" s="4613"/>
      <c r="AF105" s="4613"/>
      <c r="AG105" s="4614"/>
      <c r="AH105" s="4611" t="s">
        <v>380</v>
      </c>
      <c r="AI105" s="4636"/>
      <c r="AJ105" s="4636"/>
      <c r="AK105" s="4636"/>
      <c r="AL105" s="4636"/>
      <c r="AM105" s="4636"/>
      <c r="AN105" s="4636"/>
      <c r="AO105" s="4636"/>
      <c r="AP105" s="4636"/>
      <c r="AQ105" s="4636"/>
      <c r="AR105" s="4636"/>
      <c r="AS105" s="4636"/>
      <c r="AT105" s="4636"/>
      <c r="AU105" s="4636"/>
      <c r="AV105" s="4636"/>
      <c r="AW105" s="4636"/>
      <c r="AX105" s="4636"/>
      <c r="AY105" s="4636"/>
      <c r="AZ105" s="4636"/>
      <c r="BA105" s="4636"/>
      <c r="BB105" s="4637"/>
      <c r="BC105" s="4615" t="s">
        <v>833</v>
      </c>
      <c r="BD105" s="4616"/>
      <c r="BE105" s="4616"/>
      <c r="BF105" s="4616"/>
      <c r="BG105" s="4616"/>
      <c r="BH105" s="4616"/>
      <c r="BI105" s="4616"/>
      <c r="BJ105" s="4617"/>
      <c r="BK105" s="4554" t="s">
        <v>160</v>
      </c>
      <c r="BL105" s="4640" t="s">
        <v>1659</v>
      </c>
      <c r="BM105" s="4641"/>
      <c r="BN105" s="4641"/>
      <c r="BO105" s="4641"/>
      <c r="BP105" s="4641"/>
      <c r="BQ105" s="4641"/>
      <c r="BR105" s="4641"/>
      <c r="BS105" s="4641"/>
      <c r="BT105" s="4642"/>
      <c r="BU105" s="4643" t="s">
        <v>912</v>
      </c>
      <c r="BV105" s="4644"/>
      <c r="BW105" s="4644"/>
      <c r="BX105" s="4644"/>
      <c r="BY105" s="4644"/>
      <c r="BZ105" s="4644"/>
      <c r="CA105" s="4644"/>
      <c r="CB105" s="4645"/>
      <c r="CC105" s="4554" t="s">
        <v>160</v>
      </c>
    </row>
    <row r="106" spans="1:81" ht="19.5" thickBot="1">
      <c r="A106" s="4601"/>
      <c r="B106" s="4599"/>
      <c r="C106" s="4593" t="s">
        <v>61</v>
      </c>
      <c r="D106" s="4593" t="s">
        <v>62</v>
      </c>
      <c r="E106" s="4593" t="s">
        <v>61</v>
      </c>
      <c r="F106" s="4595" t="s">
        <v>66</v>
      </c>
      <c r="G106" s="4593" t="s">
        <v>61</v>
      </c>
      <c r="H106" s="4595" t="s">
        <v>112</v>
      </c>
      <c r="I106" s="4593" t="s">
        <v>60</v>
      </c>
      <c r="J106" s="4595" t="s">
        <v>120</v>
      </c>
      <c r="K106" s="4595" t="s">
        <v>110</v>
      </c>
      <c r="L106" s="4595" t="s">
        <v>61</v>
      </c>
      <c r="M106" s="4593" t="s">
        <v>65</v>
      </c>
      <c r="N106" s="4593" t="s">
        <v>223</v>
      </c>
      <c r="O106" s="4596" t="s">
        <v>126</v>
      </c>
      <c r="P106" s="4596" t="s">
        <v>97</v>
      </c>
      <c r="Q106" s="4596" t="s">
        <v>127</v>
      </c>
      <c r="R106" s="4596" t="s">
        <v>97</v>
      </c>
      <c r="S106" s="4595" t="s">
        <v>161</v>
      </c>
      <c r="T106" s="4598" t="s">
        <v>23</v>
      </c>
      <c r="U106" s="4599"/>
      <c r="V106" s="4595" t="s">
        <v>110</v>
      </c>
      <c r="W106" s="4618" t="s">
        <v>386</v>
      </c>
      <c r="X106" s="4619"/>
      <c r="Y106" s="4620" t="s">
        <v>126</v>
      </c>
      <c r="Z106" s="4627" t="s">
        <v>97</v>
      </c>
      <c r="AA106" s="4583" t="s">
        <v>127</v>
      </c>
      <c r="AB106" s="4584"/>
      <c r="AC106" s="4584"/>
      <c r="AD106" s="4584"/>
      <c r="AE106" s="4583" t="s">
        <v>832</v>
      </c>
      <c r="AF106" s="4584"/>
      <c r="AG106" s="4584"/>
      <c r="AH106" s="4583" t="str">
        <f>Y106</f>
        <v>предложение предприятия</v>
      </c>
      <c r="AI106" s="4584"/>
      <c r="AJ106" s="4584"/>
      <c r="AK106" s="4584"/>
      <c r="AL106" s="4583" t="str">
        <f>AA106</f>
        <v>предложение агентства</v>
      </c>
      <c r="AM106" s="4584"/>
      <c r="AN106" s="4584"/>
      <c r="AO106" s="4584"/>
      <c r="AP106" s="1472"/>
      <c r="AQ106" s="1472"/>
      <c r="AR106" s="1472"/>
      <c r="AS106" s="1472"/>
      <c r="AT106" s="4583" t="s">
        <v>863</v>
      </c>
      <c r="AU106" s="4584"/>
      <c r="AV106" s="4584"/>
      <c r="AW106" s="4583" t="s">
        <v>864</v>
      </c>
      <c r="AX106" s="4584"/>
      <c r="AY106" s="4584"/>
      <c r="AZ106" s="4583" t="s">
        <v>1640</v>
      </c>
      <c r="BA106" s="4584"/>
      <c r="BB106" s="4584"/>
      <c r="BC106" s="4583" t="s">
        <v>865</v>
      </c>
      <c r="BD106" s="4583"/>
      <c r="BE106" s="4584"/>
      <c r="BF106" s="4584"/>
      <c r="BG106" s="4583" t="s">
        <v>866</v>
      </c>
      <c r="BH106" s="4583"/>
      <c r="BI106" s="4584"/>
      <c r="BJ106" s="4584"/>
      <c r="BK106" s="4591"/>
      <c r="BL106" s="4583" t="s">
        <v>1662</v>
      </c>
      <c r="BM106" s="4584"/>
      <c r="BN106" s="4584"/>
      <c r="BO106" s="4583" t="s">
        <v>1663</v>
      </c>
      <c r="BP106" s="4584"/>
      <c r="BQ106" s="4584"/>
      <c r="BR106" s="4583" t="s">
        <v>1671</v>
      </c>
      <c r="BS106" s="4584"/>
      <c r="BT106" s="4584"/>
      <c r="BU106" s="4646" t="s">
        <v>1660</v>
      </c>
      <c r="BV106" s="4646"/>
      <c r="BW106" s="4647"/>
      <c r="BX106" s="4647"/>
      <c r="BY106" s="4646" t="s">
        <v>1661</v>
      </c>
      <c r="BZ106" s="4646"/>
      <c r="CA106" s="4647"/>
      <c r="CB106" s="4647"/>
      <c r="CC106" s="4591"/>
    </row>
    <row r="107" spans="1:81" ht="18.75">
      <c r="A107" s="4601"/>
      <c r="B107" s="4599"/>
      <c r="C107" s="4593"/>
      <c r="D107" s="4593"/>
      <c r="E107" s="4593"/>
      <c r="F107" s="4596"/>
      <c r="G107" s="4593"/>
      <c r="H107" s="4596"/>
      <c r="I107" s="4593"/>
      <c r="J107" s="4596"/>
      <c r="K107" s="4596"/>
      <c r="L107" s="4596"/>
      <c r="M107" s="4593"/>
      <c r="N107" s="4593"/>
      <c r="O107" s="4596"/>
      <c r="P107" s="4596"/>
      <c r="Q107" s="4596"/>
      <c r="R107" s="4596"/>
      <c r="S107" s="4596"/>
      <c r="T107" s="4596" t="s">
        <v>164</v>
      </c>
      <c r="U107" s="4596" t="s">
        <v>165</v>
      </c>
      <c r="V107" s="4596"/>
      <c r="W107" s="4618"/>
      <c r="X107" s="4619"/>
      <c r="Y107" s="4621"/>
      <c r="Z107" s="4628"/>
      <c r="AA107" s="4585" t="s">
        <v>301</v>
      </c>
      <c r="AB107" s="1379"/>
      <c r="AC107" s="4587" t="s">
        <v>50</v>
      </c>
      <c r="AD107" s="4588"/>
      <c r="AE107" s="4585" t="s">
        <v>301</v>
      </c>
      <c r="AF107" s="4587" t="s">
        <v>50</v>
      </c>
      <c r="AG107" s="4588"/>
      <c r="AH107" s="4585" t="s">
        <v>301</v>
      </c>
      <c r="AI107" s="4587" t="s">
        <v>97</v>
      </c>
      <c r="AJ107" s="4587" t="s">
        <v>50</v>
      </c>
      <c r="AK107" s="4588"/>
      <c r="AL107" s="4585" t="s">
        <v>301</v>
      </c>
      <c r="AM107" s="4587" t="s">
        <v>97</v>
      </c>
      <c r="AN107" s="4587" t="s">
        <v>50</v>
      </c>
      <c r="AO107" s="4588"/>
      <c r="AP107" s="1386"/>
      <c r="AQ107" s="1380"/>
      <c r="AR107" s="1380"/>
      <c r="AS107" s="1387"/>
      <c r="AT107" s="4585" t="s">
        <v>301</v>
      </c>
      <c r="AU107" s="4587" t="s">
        <v>50</v>
      </c>
      <c r="AV107" s="4588"/>
      <c r="AW107" s="4585" t="s">
        <v>301</v>
      </c>
      <c r="AX107" s="4587" t="s">
        <v>50</v>
      </c>
      <c r="AY107" s="4588"/>
      <c r="AZ107" s="4585" t="s">
        <v>301</v>
      </c>
      <c r="BA107" s="4587" t="s">
        <v>50</v>
      </c>
      <c r="BB107" s="4588"/>
      <c r="BC107" s="4585" t="s">
        <v>301</v>
      </c>
      <c r="BD107" s="4623" t="s">
        <v>97</v>
      </c>
      <c r="BE107" s="4587" t="s">
        <v>50</v>
      </c>
      <c r="BF107" s="4588"/>
      <c r="BG107" s="4585" t="s">
        <v>301</v>
      </c>
      <c r="BH107" s="4623" t="s">
        <v>97</v>
      </c>
      <c r="BI107" s="4587" t="s">
        <v>50</v>
      </c>
      <c r="BJ107" s="4588"/>
      <c r="BK107" s="4591"/>
      <c r="BL107" s="4585" t="s">
        <v>301</v>
      </c>
      <c r="BM107" s="4587" t="s">
        <v>50</v>
      </c>
      <c r="BN107" s="4588"/>
      <c r="BO107" s="4585" t="s">
        <v>301</v>
      </c>
      <c r="BP107" s="4587" t="s">
        <v>50</v>
      </c>
      <c r="BQ107" s="4588"/>
      <c r="BR107" s="4585" t="s">
        <v>301</v>
      </c>
      <c r="BS107" s="4587" t="s">
        <v>50</v>
      </c>
      <c r="BT107" s="4588"/>
      <c r="BU107" s="4648" t="s">
        <v>301</v>
      </c>
      <c r="BV107" s="4650" t="s">
        <v>97</v>
      </c>
      <c r="BW107" s="4652" t="s">
        <v>50</v>
      </c>
      <c r="BX107" s="4653"/>
      <c r="BY107" s="4648" t="s">
        <v>301</v>
      </c>
      <c r="BZ107" s="4655" t="s">
        <v>97</v>
      </c>
      <c r="CA107" s="4652" t="s">
        <v>50</v>
      </c>
      <c r="CB107" s="4653"/>
      <c r="CC107" s="4591"/>
    </row>
    <row r="108" spans="1:81" ht="57" thickBot="1">
      <c r="A108" s="4602"/>
      <c r="B108" s="4604"/>
      <c r="C108" s="4594"/>
      <c r="D108" s="4594"/>
      <c r="E108" s="4594"/>
      <c r="F108" s="4597"/>
      <c r="G108" s="4594"/>
      <c r="H108" s="4597"/>
      <c r="I108" s="4594"/>
      <c r="J108" s="4597"/>
      <c r="K108" s="4597"/>
      <c r="L108" s="4597"/>
      <c r="M108" s="4594"/>
      <c r="N108" s="4594"/>
      <c r="O108" s="4597"/>
      <c r="P108" s="4597"/>
      <c r="Q108" s="4597"/>
      <c r="R108" s="4597"/>
      <c r="S108" s="4597"/>
      <c r="T108" s="4597"/>
      <c r="U108" s="4597"/>
      <c r="V108" s="4597"/>
      <c r="W108" s="1490" t="str">
        <f>T107</f>
        <v>питьевая</v>
      </c>
      <c r="X108" s="1491" t="str">
        <f>U107</f>
        <v>техническая</v>
      </c>
      <c r="Y108" s="4622"/>
      <c r="Z108" s="4629"/>
      <c r="AA108" s="4586"/>
      <c r="AB108" s="1310"/>
      <c r="AC108" s="1310" t="s">
        <v>384</v>
      </c>
      <c r="AD108" s="620" t="s">
        <v>385</v>
      </c>
      <c r="AE108" s="4589"/>
      <c r="AF108" s="1310" t="s">
        <v>384</v>
      </c>
      <c r="AG108" s="620" t="s">
        <v>385</v>
      </c>
      <c r="AH108" s="4586"/>
      <c r="AI108" s="4590"/>
      <c r="AJ108" s="1310" t="s">
        <v>384</v>
      </c>
      <c r="AK108" s="620" t="s">
        <v>385</v>
      </c>
      <c r="AL108" s="4589"/>
      <c r="AM108" s="4590"/>
      <c r="AN108" s="1310" t="s">
        <v>384</v>
      </c>
      <c r="AO108" s="620" t="s">
        <v>385</v>
      </c>
      <c r="AP108" s="1492"/>
      <c r="AQ108" s="1493" t="s">
        <v>371</v>
      </c>
      <c r="AR108" s="1493" t="s">
        <v>372</v>
      </c>
      <c r="AS108" s="1494"/>
      <c r="AT108" s="4589"/>
      <c r="AU108" s="1310" t="s">
        <v>384</v>
      </c>
      <c r="AV108" s="620" t="s">
        <v>385</v>
      </c>
      <c r="AW108" s="4589"/>
      <c r="AX108" s="1310" t="s">
        <v>384</v>
      </c>
      <c r="AY108" s="620" t="s">
        <v>385</v>
      </c>
      <c r="AZ108" s="4589"/>
      <c r="BA108" s="2715" t="s">
        <v>384</v>
      </c>
      <c r="BB108" s="620" t="s">
        <v>385</v>
      </c>
      <c r="BC108" s="4586"/>
      <c r="BD108" s="4624"/>
      <c r="BE108" s="1310" t="s">
        <v>384</v>
      </c>
      <c r="BF108" s="620" t="s">
        <v>385</v>
      </c>
      <c r="BG108" s="4625"/>
      <c r="BH108" s="4626"/>
      <c r="BI108" s="2234" t="s">
        <v>384</v>
      </c>
      <c r="BJ108" s="2235" t="s">
        <v>385</v>
      </c>
      <c r="BK108" s="4592"/>
      <c r="BL108" s="4589"/>
      <c r="BM108" s="3395" t="s">
        <v>384</v>
      </c>
      <c r="BN108" s="3396" t="s">
        <v>385</v>
      </c>
      <c r="BO108" s="4589"/>
      <c r="BP108" s="3395" t="s">
        <v>384</v>
      </c>
      <c r="BQ108" s="3396" t="s">
        <v>385</v>
      </c>
      <c r="BR108" s="4589"/>
      <c r="BS108" s="3395" t="s">
        <v>384</v>
      </c>
      <c r="BT108" s="3396" t="s">
        <v>385</v>
      </c>
      <c r="BU108" s="4649"/>
      <c r="BV108" s="4651"/>
      <c r="BW108" s="2937" t="s">
        <v>384</v>
      </c>
      <c r="BX108" s="3584" t="s">
        <v>385</v>
      </c>
      <c r="BY108" s="4654"/>
      <c r="BZ108" s="4656"/>
      <c r="CA108" s="3688" t="s">
        <v>384</v>
      </c>
      <c r="CB108" s="3689" t="s">
        <v>385</v>
      </c>
      <c r="CC108" s="4592"/>
    </row>
    <row r="109" spans="1:81" ht="21" customHeight="1">
      <c r="A109" s="1339" t="s">
        <v>1</v>
      </c>
      <c r="B109" s="435"/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5"/>
      <c r="Y109" s="1511">
        <f>SUM(Y9+Y18)</f>
        <v>14248.9</v>
      </c>
      <c r="Z109" s="1509"/>
      <c r="AA109" s="1501">
        <f t="shared" ref="AA109:AD109" si="188">SUM(AA9+AA18)</f>
        <v>10632.187629227585</v>
      </c>
      <c r="AB109" s="1501" t="e">
        <f t="shared" si="188"/>
        <v>#REF!</v>
      </c>
      <c r="AC109" s="1501">
        <f t="shared" si="188"/>
        <v>10580.935255861641</v>
      </c>
      <c r="AD109" s="1502">
        <f t="shared" si="188"/>
        <v>51.25237336594455</v>
      </c>
      <c r="AE109" s="1500">
        <f t="shared" ref="AE109:AH109" si="189">SUM(AE9+AE18)</f>
        <v>10706.2</v>
      </c>
      <c r="AF109" s="1501">
        <f t="shared" si="189"/>
        <v>10649.963852438723</v>
      </c>
      <c r="AG109" s="1502">
        <f t="shared" si="189"/>
        <v>56.236147561277903</v>
      </c>
      <c r="AH109" s="1500">
        <f t="shared" si="189"/>
        <v>11185.75</v>
      </c>
      <c r="AI109" s="1506">
        <f t="shared" ref="AI109:AI128" si="190">SUM(AH109/AA109)</f>
        <v>1.052064766920656</v>
      </c>
      <c r="AJ109" s="1501">
        <f t="shared" ref="AJ109:AK109" si="191">SUM(AJ9+AJ18)</f>
        <v>11125.779999999999</v>
      </c>
      <c r="AK109" s="1502">
        <f t="shared" si="191"/>
        <v>59.97</v>
      </c>
      <c r="AL109" s="1500">
        <f t="shared" ref="AL109:AO109" si="192">SUM(AL9+AL18)</f>
        <v>9764.1258207348183</v>
      </c>
      <c r="AM109" s="1506">
        <f t="shared" ref="AM109:AM128" si="193">SUM(AL109/AA109)</f>
        <v>0.91835529631677215</v>
      </c>
      <c r="AN109" s="1501">
        <f t="shared" si="192"/>
        <v>9711.8097209720399</v>
      </c>
      <c r="AO109" s="1502">
        <f t="shared" si="192"/>
        <v>52.316099762777412</v>
      </c>
      <c r="AP109" s="435"/>
      <c r="AQ109" s="435"/>
      <c r="AR109" s="435"/>
      <c r="AS109" s="435"/>
      <c r="AT109" s="1500">
        <f t="shared" ref="AT109:AV109" si="194">SUM(AT9+AT18)</f>
        <v>4771</v>
      </c>
      <c r="AU109" s="1501">
        <f t="shared" si="194"/>
        <v>4756.9013504280374</v>
      </c>
      <c r="AV109" s="1502">
        <f t="shared" si="194"/>
        <v>14.098649571962596</v>
      </c>
      <c r="AW109" s="1500">
        <f t="shared" ref="AW109:AY109" si="195">SUM(AW9+AW18)</f>
        <v>6969.9</v>
      </c>
      <c r="AX109" s="1501">
        <f t="shared" si="195"/>
        <v>6952.9966946433324</v>
      </c>
      <c r="AY109" s="2743">
        <f t="shared" si="195"/>
        <v>16.903305356667261</v>
      </c>
      <c r="AZ109" s="1500">
        <f t="shared" ref="AZ109:BB109" si="196">SUM(AZ9+AZ18)</f>
        <v>9901.2000000000007</v>
      </c>
      <c r="BA109" s="1501">
        <f t="shared" si="196"/>
        <v>9882.8210023753963</v>
      </c>
      <c r="BB109" s="2743">
        <f t="shared" si="196"/>
        <v>18.378997624602562</v>
      </c>
      <c r="BC109" s="1500">
        <f t="shared" ref="BC109:BF109" si="197">SUM(BC9+BC18)</f>
        <v>10789.21</v>
      </c>
      <c r="BD109" s="2228">
        <f t="shared" ref="BD109:BD128" si="198">SUM(BC109/AL109)</f>
        <v>1.1049847367890673</v>
      </c>
      <c r="BE109" s="1501">
        <f t="shared" si="197"/>
        <v>10761.038575061768</v>
      </c>
      <c r="BF109" s="1502">
        <f t="shared" si="197"/>
        <v>28.171424938233031</v>
      </c>
      <c r="BG109" s="1500">
        <f t="shared" ref="BG109:BJ109" si="199">SUM(BG9+BG18)</f>
        <v>9240.9366810833944</v>
      </c>
      <c r="BH109" s="2231">
        <f>BG109/AL109</f>
        <v>0.94641720628585158</v>
      </c>
      <c r="BI109" s="1501">
        <f t="shared" si="199"/>
        <v>9220.2964819146728</v>
      </c>
      <c r="BJ109" s="1502">
        <f t="shared" si="199"/>
        <v>20.640199168723029</v>
      </c>
      <c r="BK109" s="1507"/>
      <c r="BL109" s="3413">
        <f t="shared" ref="BL109:BU109" si="200">SUM(BL9+BL18)</f>
        <v>5524.85</v>
      </c>
      <c r="BM109" s="3414">
        <f t="shared" si="200"/>
        <v>5524.04628127469</v>
      </c>
      <c r="BN109" s="3415">
        <f t="shared" si="200"/>
        <v>0.8037187253095226</v>
      </c>
      <c r="BO109" s="3413">
        <f t="shared" si="200"/>
        <v>7617.33</v>
      </c>
      <c r="BP109" s="3414">
        <f t="shared" si="200"/>
        <v>7616.3432720983255</v>
      </c>
      <c r="BQ109" s="3416">
        <f t="shared" si="200"/>
        <v>0.98672790167461244</v>
      </c>
      <c r="BR109" s="3413">
        <f t="shared" si="200"/>
        <v>10194.461885214592</v>
      </c>
      <c r="BS109" s="3414">
        <f t="shared" si="200"/>
        <v>10193.160469303706</v>
      </c>
      <c r="BT109" s="3415">
        <f t="shared" si="200"/>
        <v>1.3014159108863623</v>
      </c>
      <c r="BU109" s="2798">
        <f t="shared" si="200"/>
        <v>9859.6723553297688</v>
      </c>
      <c r="BV109" s="3383">
        <f>SUM(BU109/BG109)</f>
        <v>1.066955947822146</v>
      </c>
      <c r="BW109" s="2799">
        <f t="shared" ref="BW109:BY109" si="201">SUM(BW9+BW18)</f>
        <v>9839.6176473047071</v>
      </c>
      <c r="BX109" s="2800">
        <f t="shared" si="201"/>
        <v>20.0547080250617</v>
      </c>
      <c r="BY109" s="2798">
        <f t="shared" si="201"/>
        <v>8799.36</v>
      </c>
      <c r="BZ109" s="3378">
        <f t="shared" ref="BZ109:BZ128" si="202">SUM(BY109/BG109)</f>
        <v>0.95221515996453898</v>
      </c>
      <c r="CA109" s="2799">
        <f t="shared" ref="CA109:CB109" si="203">SUM(CA9+CA18)</f>
        <v>8778.432462107814</v>
      </c>
      <c r="CB109" s="2800">
        <f t="shared" si="203"/>
        <v>20.927537892185683</v>
      </c>
      <c r="CC109" s="1507"/>
    </row>
    <row r="110" spans="1:81" ht="21" customHeight="1">
      <c r="A110" s="1339" t="s">
        <v>2</v>
      </c>
      <c r="B110" s="435"/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5"/>
      <c r="Y110" s="1512">
        <f>SUM(Y10+Y20+Y29+Y36)</f>
        <v>7436.7999999999993</v>
      </c>
      <c r="Z110" s="1510"/>
      <c r="AA110" s="1504">
        <f t="shared" ref="AA110:AD110" si="204">SUM(AA10+AA20+AA29+AA36)</f>
        <v>7295.0999999999995</v>
      </c>
      <c r="AB110" s="1504">
        <f t="shared" si="204"/>
        <v>4.1429188038024671</v>
      </c>
      <c r="AC110" s="1504">
        <f t="shared" si="204"/>
        <v>7218.8177829327269</v>
      </c>
      <c r="AD110" s="1505">
        <f t="shared" si="204"/>
        <v>76.2822170672722</v>
      </c>
      <c r="AE110" s="1503">
        <f t="shared" ref="AE110:AH110" si="205">SUM(AE10+AE20+AE29+AE36)</f>
        <v>7609.7999999999993</v>
      </c>
      <c r="AF110" s="1504">
        <f t="shared" si="205"/>
        <v>7528.8401683585043</v>
      </c>
      <c r="AG110" s="1505">
        <f t="shared" si="205"/>
        <v>80.959831641495228</v>
      </c>
      <c r="AH110" s="1503">
        <f t="shared" si="205"/>
        <v>7550.3</v>
      </c>
      <c r="AI110" s="1324">
        <f t="shared" si="190"/>
        <v>1.0349823854368001</v>
      </c>
      <c r="AJ110" s="1504">
        <f t="shared" ref="AJ110:AK110" si="206">SUM(AJ10+AJ20+AJ29+AJ36)</f>
        <v>7472.56</v>
      </c>
      <c r="AK110" s="1505">
        <f t="shared" si="206"/>
        <v>77.739999999999995</v>
      </c>
      <c r="AL110" s="1503">
        <f t="shared" ref="AL110:AO110" si="207">SUM(AL10+AL20+AL29+AL36)</f>
        <v>7550.3</v>
      </c>
      <c r="AM110" s="1324">
        <f t="shared" si="193"/>
        <v>1.0349823854368001</v>
      </c>
      <c r="AN110" s="1504">
        <f t="shared" si="207"/>
        <v>7472.5617749975318</v>
      </c>
      <c r="AO110" s="1505">
        <f t="shared" si="207"/>
        <v>77.738225002467686</v>
      </c>
      <c r="AP110" s="435"/>
      <c r="AQ110" s="435"/>
      <c r="AR110" s="435"/>
      <c r="AS110" s="435"/>
      <c r="AT110" s="1503">
        <f t="shared" ref="AT110:AV110" si="208">SUM(AT10+AT20+AT29+AT36)</f>
        <v>3993.2199999999993</v>
      </c>
      <c r="AU110" s="1504">
        <f t="shared" si="208"/>
        <v>3970.7304376833731</v>
      </c>
      <c r="AV110" s="1505">
        <f t="shared" si="208"/>
        <v>22.489562316627246</v>
      </c>
      <c r="AW110" s="1503">
        <f t="shared" ref="AW110:AY110" si="209">SUM(AW10+AW20+AW29+AW36)</f>
        <v>6102.07</v>
      </c>
      <c r="AX110" s="1504">
        <f t="shared" si="209"/>
        <v>6071.6187511384487</v>
      </c>
      <c r="AY110" s="2744">
        <f t="shared" si="209"/>
        <v>30.451248861550539</v>
      </c>
      <c r="AZ110" s="1503">
        <f t="shared" ref="AZ110:BB110" si="210">SUM(AZ10+AZ20+AZ29+AZ36)</f>
        <v>8296.6500000000015</v>
      </c>
      <c r="BA110" s="1504">
        <f t="shared" si="210"/>
        <v>8264.1877359658465</v>
      </c>
      <c r="BB110" s="2744">
        <f t="shared" si="210"/>
        <v>32.462264034154586</v>
      </c>
      <c r="BC110" s="1503">
        <f t="shared" ref="BC110:BF110" si="211">SUM(BC10+BC20+BC29+BC36)</f>
        <v>7550.3</v>
      </c>
      <c r="BD110" s="2223">
        <f t="shared" si="198"/>
        <v>1</v>
      </c>
      <c r="BE110" s="1504">
        <f t="shared" si="211"/>
        <v>7513.8271599000345</v>
      </c>
      <c r="BF110" s="1505">
        <f t="shared" si="211"/>
        <v>36.472840099964401</v>
      </c>
      <c r="BG110" s="2236">
        <f t="shared" ref="BG110:BJ110" si="212">SUM(BG10+BG20+BG29+BG36)</f>
        <v>8136.0933333333332</v>
      </c>
      <c r="BH110" s="2233">
        <f t="shared" ref="BH110:BH119" si="213">BG110/AL110</f>
        <v>1.077585438106212</v>
      </c>
      <c r="BI110" s="2237">
        <f t="shared" si="212"/>
        <v>8100.8420048286598</v>
      </c>
      <c r="BJ110" s="2238">
        <f t="shared" si="212"/>
        <v>35.251328504673751</v>
      </c>
      <c r="BK110" s="1508"/>
      <c r="BL110" s="3417">
        <f t="shared" ref="BL110:BU110" si="214">SUM(BL10+BL20+BL29+BL36)</f>
        <v>4386.96</v>
      </c>
      <c r="BM110" s="3418">
        <f t="shared" si="214"/>
        <v>4384.0740877666576</v>
      </c>
      <c r="BN110" s="3419">
        <f t="shared" si="214"/>
        <v>2.8859122333422107</v>
      </c>
      <c r="BO110" s="3417">
        <f t="shared" si="214"/>
        <v>6404.4</v>
      </c>
      <c r="BP110" s="3418">
        <f t="shared" si="214"/>
        <v>6400.4842678941131</v>
      </c>
      <c r="BQ110" s="3420">
        <f t="shared" si="214"/>
        <v>3.9157321058873009</v>
      </c>
      <c r="BR110" s="3417">
        <f t="shared" si="214"/>
        <v>8539.2000000000007</v>
      </c>
      <c r="BS110" s="3418">
        <f t="shared" si="214"/>
        <v>8533.9687469346463</v>
      </c>
      <c r="BT110" s="3419">
        <f t="shared" si="214"/>
        <v>5.2312530653545934</v>
      </c>
      <c r="BU110" s="3384">
        <f t="shared" si="214"/>
        <v>8296.6500000000015</v>
      </c>
      <c r="BV110" s="3379">
        <f>SUM(BU110/BG110)</f>
        <v>1.019733877192494</v>
      </c>
      <c r="BW110" s="3385">
        <f t="shared" ref="BW110:BY110" si="215">SUM(BW10+BW20+BW29+BW36)</f>
        <v>8264.6523277909746</v>
      </c>
      <c r="BX110" s="3386">
        <f t="shared" si="215"/>
        <v>31.997672209026362</v>
      </c>
      <c r="BY110" s="3690">
        <f t="shared" si="215"/>
        <v>8296.68</v>
      </c>
      <c r="BZ110" s="3379">
        <f t="shared" si="202"/>
        <v>1.0197375644658289</v>
      </c>
      <c r="CA110" s="3684">
        <f t="shared" ref="CA110:CB110" si="216">SUM(CA10+CA20+CA29+CA36)</f>
        <v>8277.2407919081052</v>
      </c>
      <c r="CB110" s="3686">
        <f t="shared" si="216"/>
        <v>19.43920809189558</v>
      </c>
      <c r="CC110" s="1508"/>
    </row>
    <row r="111" spans="1:81" ht="21" customHeight="1">
      <c r="A111" s="1339" t="s">
        <v>3</v>
      </c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1512">
        <f>SUM(Y12+Y22+Y28+Y38)</f>
        <v>4740</v>
      </c>
      <c r="Z111" s="1510"/>
      <c r="AA111" s="1504">
        <f t="shared" ref="AA111:AD111" si="217">SUM(AA12+AA22+AA28+AA38)</f>
        <v>780</v>
      </c>
      <c r="AB111" s="1504">
        <f t="shared" si="217"/>
        <v>0</v>
      </c>
      <c r="AC111" s="1504">
        <f t="shared" si="217"/>
        <v>771.14555056512506</v>
      </c>
      <c r="AD111" s="1505">
        <f t="shared" si="217"/>
        <v>8.8544494348749367</v>
      </c>
      <c r="AE111" s="1503">
        <f t="shared" ref="AE111:AH111" si="218">SUM(AE12+AE22+AE28+AE38)</f>
        <v>2799.1</v>
      </c>
      <c r="AF111" s="1504">
        <f t="shared" si="218"/>
        <v>2799.1</v>
      </c>
      <c r="AG111" s="1505">
        <f t="shared" si="218"/>
        <v>0</v>
      </c>
      <c r="AH111" s="1503">
        <f t="shared" si="218"/>
        <v>3679.26</v>
      </c>
      <c r="AI111" s="1324">
        <f t="shared" si="190"/>
        <v>4.7170000000000005</v>
      </c>
      <c r="AJ111" s="1504">
        <f t="shared" ref="AJ111:AK111" si="219">SUM(AJ12+AJ22+AJ28+AJ38)</f>
        <v>3670</v>
      </c>
      <c r="AK111" s="1505">
        <f t="shared" si="219"/>
        <v>9.26</v>
      </c>
      <c r="AL111" s="1503">
        <f t="shared" ref="AL111:AO111" si="220">SUM(AL12+AL22+AL28+AL38)</f>
        <v>215.84899999999999</v>
      </c>
      <c r="AM111" s="1324">
        <f t="shared" si="193"/>
        <v>0.27672948717948714</v>
      </c>
      <c r="AN111" s="1504">
        <f t="shared" si="220"/>
        <v>215.84899999999999</v>
      </c>
      <c r="AO111" s="1505">
        <f t="shared" si="220"/>
        <v>0</v>
      </c>
      <c r="AP111" s="435"/>
      <c r="AQ111" s="435"/>
      <c r="AR111" s="435"/>
      <c r="AS111" s="435"/>
      <c r="AT111" s="1503">
        <f t="shared" ref="AT111:AV111" si="221">SUM(AT12+AT22+AT28+AT38)</f>
        <v>2859.89</v>
      </c>
      <c r="AU111" s="1504">
        <f t="shared" si="221"/>
        <v>2859.89</v>
      </c>
      <c r="AV111" s="1505">
        <f t="shared" si="221"/>
        <v>0</v>
      </c>
      <c r="AW111" s="1503">
        <f t="shared" ref="AW111:AY111" si="222">SUM(AW12+AW22+AW28+AW38)</f>
        <v>3640.4300000000003</v>
      </c>
      <c r="AX111" s="1504">
        <f t="shared" si="222"/>
        <v>3640.4300000000003</v>
      </c>
      <c r="AY111" s="2744">
        <f t="shared" si="222"/>
        <v>0</v>
      </c>
      <c r="AZ111" s="1503">
        <f t="shared" ref="AZ111:BB111" si="223">SUM(AZ12+AZ22+AZ28+AZ38)</f>
        <v>4225</v>
      </c>
      <c r="BA111" s="1504">
        <f t="shared" si="223"/>
        <v>4225</v>
      </c>
      <c r="BB111" s="2744">
        <f t="shared" si="223"/>
        <v>0</v>
      </c>
      <c r="BC111" s="1503">
        <f t="shared" ref="BC111:BF111" si="224">SUM(BC12+BC22+BC28+BC38)</f>
        <v>2762.73</v>
      </c>
      <c r="BD111" s="2223">
        <f t="shared" si="198"/>
        <v>12.799364370462685</v>
      </c>
      <c r="BE111" s="1504">
        <f t="shared" si="224"/>
        <v>4100.2159999999994</v>
      </c>
      <c r="BF111" s="1505">
        <f t="shared" si="224"/>
        <v>0</v>
      </c>
      <c r="BG111" s="2236">
        <f t="shared" ref="BG111:BJ111" si="225">SUM(BG12+BG22+BG28+BG38)</f>
        <v>500.53977966101695</v>
      </c>
      <c r="BH111" s="2233">
        <f t="shared" si="213"/>
        <v>2.3189349019963816</v>
      </c>
      <c r="BI111" s="2237">
        <f t="shared" si="225"/>
        <v>500.53977966101695</v>
      </c>
      <c r="BJ111" s="2238">
        <f t="shared" si="225"/>
        <v>0</v>
      </c>
      <c r="BK111" s="1508"/>
      <c r="BL111" s="3417">
        <f t="shared" ref="BL111:BU111" si="226">SUM(BL12+BL22+BL28+BL38)</f>
        <v>1023.45</v>
      </c>
      <c r="BM111" s="3418">
        <f t="shared" si="226"/>
        <v>1023.45</v>
      </c>
      <c r="BN111" s="3419">
        <f t="shared" si="226"/>
        <v>0</v>
      </c>
      <c r="BO111" s="3417">
        <f t="shared" si="226"/>
        <v>1643.94</v>
      </c>
      <c r="BP111" s="3418">
        <f t="shared" si="226"/>
        <v>1643.94</v>
      </c>
      <c r="BQ111" s="3420">
        <f t="shared" si="226"/>
        <v>0</v>
      </c>
      <c r="BR111" s="3417">
        <f t="shared" si="226"/>
        <v>2191.91</v>
      </c>
      <c r="BS111" s="3418">
        <f t="shared" si="226"/>
        <v>2191.91</v>
      </c>
      <c r="BT111" s="3419">
        <f t="shared" si="226"/>
        <v>0</v>
      </c>
      <c r="BU111" s="3384">
        <f t="shared" si="226"/>
        <v>2089.0549999999998</v>
      </c>
      <c r="BV111" s="3379">
        <f t="shared" ref="BV111:BV128" si="227">SUM(BU111/BG111)</f>
        <v>4.1736043465212314</v>
      </c>
      <c r="BW111" s="3385">
        <f t="shared" ref="BW111:BY111" si="228">SUM(BW12+BW22+BW28+BW38)</f>
        <v>2085.6731235154393</v>
      </c>
      <c r="BX111" s="3386">
        <f t="shared" si="228"/>
        <v>3.3818764845606211</v>
      </c>
      <c r="BY111" s="3690">
        <f t="shared" si="228"/>
        <v>530.71732297677954</v>
      </c>
      <c r="BZ111" s="3379">
        <f t="shared" si="202"/>
        <v>1.0602899999999997</v>
      </c>
      <c r="CA111" s="3684">
        <f t="shared" ref="CA111:CB111" si="229">SUM(CA12+CA22+CA28+CA38)</f>
        <v>530.71732297677954</v>
      </c>
      <c r="CB111" s="3686">
        <f t="shared" si="229"/>
        <v>0</v>
      </c>
      <c r="CC111" s="1508"/>
    </row>
    <row r="112" spans="1:81" ht="21" customHeight="1">
      <c r="A112" s="1339" t="s">
        <v>4</v>
      </c>
      <c r="B112" s="435"/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1512">
        <f>SUM(Y13+Y23+Y31+Y39)</f>
        <v>47903.399999999994</v>
      </c>
      <c r="Z112" s="1510"/>
      <c r="AA112" s="1504">
        <f t="shared" ref="AA112:AD112" si="230">SUM(AA13+AA23+AA31+AA39)</f>
        <v>41422.018619520008</v>
      </c>
      <c r="AB112" s="1504">
        <f t="shared" si="230"/>
        <v>4.2240000000000002</v>
      </c>
      <c r="AC112" s="1504">
        <f t="shared" si="230"/>
        <v>41158.026872560535</v>
      </c>
      <c r="AD112" s="1505">
        <f t="shared" si="230"/>
        <v>263.99174695946112</v>
      </c>
      <c r="AE112" s="1503">
        <f t="shared" ref="AE112:AH112" si="231">SUM(AE13+AE23+AE31+AE39)</f>
        <v>40440.100000000006</v>
      </c>
      <c r="AF112" s="1504">
        <f t="shared" si="231"/>
        <v>40170.590636296118</v>
      </c>
      <c r="AG112" s="1505">
        <f t="shared" si="231"/>
        <v>269.50936370388717</v>
      </c>
      <c r="AH112" s="1503">
        <f t="shared" si="231"/>
        <v>43632.09</v>
      </c>
      <c r="AI112" s="1324">
        <f t="shared" si="190"/>
        <v>1.053354989788897</v>
      </c>
      <c r="AJ112" s="1504">
        <f t="shared" ref="AJ112:AK112" si="232">SUM(AJ13+AJ23+AJ31+AJ39)</f>
        <v>43351.78</v>
      </c>
      <c r="AK112" s="1505">
        <f t="shared" si="232"/>
        <v>280.31</v>
      </c>
      <c r="AL112" s="1503">
        <f t="shared" ref="AL112:AO112" si="233">SUM(AL13+AL23+AL31+AL39)</f>
        <v>42354.204645413141</v>
      </c>
      <c r="AM112" s="1324">
        <f t="shared" si="193"/>
        <v>1.0225046015853472</v>
      </c>
      <c r="AN112" s="1504">
        <f t="shared" si="233"/>
        <v>42088.441456922927</v>
      </c>
      <c r="AO112" s="1505">
        <f t="shared" si="233"/>
        <v>265.763188490213</v>
      </c>
      <c r="AP112" s="435"/>
      <c r="AQ112" s="435"/>
      <c r="AR112" s="435"/>
      <c r="AS112" s="435"/>
      <c r="AT112" s="1503">
        <f t="shared" ref="AT112:AV112" si="234">SUM(AT13+AT23+AT31+AT39)</f>
        <v>19727</v>
      </c>
      <c r="AU112" s="1504">
        <f t="shared" si="234"/>
        <v>19654.408198022586</v>
      </c>
      <c r="AV112" s="1505">
        <f t="shared" si="234"/>
        <v>72.59180197741307</v>
      </c>
      <c r="AW112" s="1503">
        <f t="shared" ref="AW112:AY112" si="235">SUM(AW13+AW23+AW31+AW39)</f>
        <v>30621.16</v>
      </c>
      <c r="AX112" s="1504">
        <f t="shared" si="235"/>
        <v>30521.039348036262</v>
      </c>
      <c r="AY112" s="2744">
        <f t="shared" si="235"/>
        <v>100.12065196373806</v>
      </c>
      <c r="AZ112" s="1503">
        <f t="shared" ref="AZ112:BB112" si="236">SUM(AZ13+AZ23+AZ31+AZ39)</f>
        <v>40773.21</v>
      </c>
      <c r="BA112" s="1504">
        <f t="shared" si="236"/>
        <v>40669.573912052096</v>
      </c>
      <c r="BB112" s="2744">
        <f t="shared" si="236"/>
        <v>103.63608794789889</v>
      </c>
      <c r="BC112" s="1503">
        <f t="shared" ref="BC112:BF112" si="237">SUM(BC13+BC23+BC31+BC39)</f>
        <v>47704.91</v>
      </c>
      <c r="BD112" s="2223">
        <f t="shared" si="198"/>
        <v>1.1263323299158288</v>
      </c>
      <c r="BE112" s="1504">
        <f t="shared" si="237"/>
        <v>47560.244138990885</v>
      </c>
      <c r="BF112" s="1505">
        <f t="shared" si="237"/>
        <v>144.66586100911263</v>
      </c>
      <c r="BG112" s="2236">
        <f t="shared" ref="BG112:BJ112" si="238">SUM(BG13+BG23+BG31+BG39)</f>
        <v>47464.129975317854</v>
      </c>
      <c r="BH112" s="2233">
        <f t="shared" si="213"/>
        <v>1.1206474155915498</v>
      </c>
      <c r="BI112" s="2237">
        <f t="shared" si="238"/>
        <v>47330.74686058973</v>
      </c>
      <c r="BJ112" s="2238">
        <f t="shared" si="238"/>
        <v>133.38311472812438</v>
      </c>
      <c r="BK112" s="1508"/>
      <c r="BL112" s="3417">
        <f t="shared" ref="BL112:BU112" si="239">SUM(BL13+BL23+BL31+BL39)</f>
        <v>20226.46</v>
      </c>
      <c r="BM112" s="3418">
        <f t="shared" si="239"/>
        <v>20218.034140604424</v>
      </c>
      <c r="BN112" s="3419">
        <f t="shared" si="239"/>
        <v>8.4258593955755714</v>
      </c>
      <c r="BO112" s="3417">
        <f t="shared" si="239"/>
        <v>31364.93</v>
      </c>
      <c r="BP112" s="3418">
        <f t="shared" si="239"/>
        <v>31353.070744366618</v>
      </c>
      <c r="BQ112" s="3420">
        <f t="shared" si="239"/>
        <v>11.859255633383782</v>
      </c>
      <c r="BR112" s="3417">
        <f t="shared" si="239"/>
        <v>42503.4</v>
      </c>
      <c r="BS112" s="3418">
        <f t="shared" si="239"/>
        <v>42487.276190529781</v>
      </c>
      <c r="BT112" s="3419">
        <f t="shared" si="239"/>
        <v>16.123809470221204</v>
      </c>
      <c r="BU112" s="3384">
        <f t="shared" si="239"/>
        <v>52210.542972849631</v>
      </c>
      <c r="BV112" s="3379">
        <f t="shared" si="227"/>
        <v>1.0999999999999999</v>
      </c>
      <c r="BW112" s="3385">
        <f t="shared" ref="BW112:BY112" si="240">SUM(BW13+BW23+BW31+BW39)</f>
        <v>52080.035515256954</v>
      </c>
      <c r="BX112" s="3386">
        <f t="shared" si="240"/>
        <v>130.50745759268739</v>
      </c>
      <c r="BY112" s="3690">
        <f t="shared" si="240"/>
        <v>50325.742371529755</v>
      </c>
      <c r="BZ112" s="3379">
        <f t="shared" si="202"/>
        <v>1.0602899999999997</v>
      </c>
      <c r="CA112" s="3684">
        <f t="shared" ref="CA112:CB112" si="241">SUM(CA13+CA23+CA31+CA39)</f>
        <v>50183.617947489562</v>
      </c>
      <c r="CB112" s="3686">
        <f t="shared" si="241"/>
        <v>142.12442404019475</v>
      </c>
      <c r="CC112" s="1508"/>
    </row>
    <row r="113" spans="1:81" ht="21" customHeight="1">
      <c r="A113" s="1339" t="s">
        <v>5</v>
      </c>
      <c r="B113" s="435"/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1512">
        <f>SUM(Y14+Y24+Y32+Y40)</f>
        <v>14466.800000000001</v>
      </c>
      <c r="Z113" s="1510"/>
      <c r="AA113" s="1504">
        <f t="shared" ref="AA113:AD113" si="242">SUM(AA14+AA24+AA32+AA40)</f>
        <v>12453.395960809921</v>
      </c>
      <c r="AB113" s="1504">
        <f t="shared" si="242"/>
        <v>4.2055363909018268</v>
      </c>
      <c r="AC113" s="1504">
        <f t="shared" si="242"/>
        <v>12373.931019474236</v>
      </c>
      <c r="AD113" s="1505">
        <f t="shared" si="242"/>
        <v>79.464941335686717</v>
      </c>
      <c r="AE113" s="1503">
        <f t="shared" ref="AE113:AH113" si="243">SUM(AE14+AE24+AE32+AE40)</f>
        <v>12129.699999999999</v>
      </c>
      <c r="AF113" s="1504">
        <f t="shared" si="243"/>
        <v>12048.470146075761</v>
      </c>
      <c r="AG113" s="1505">
        <f t="shared" si="243"/>
        <v>81.229853924238569</v>
      </c>
      <c r="AH113" s="1503">
        <f t="shared" si="243"/>
        <v>13143.624329999999</v>
      </c>
      <c r="AI113" s="1324">
        <f t="shared" si="190"/>
        <v>1.0554249115150747</v>
      </c>
      <c r="AJ113" s="1504">
        <f t="shared" ref="AJ113:AK113" si="244">SUM(AJ14+AJ24+AJ32+AJ40)</f>
        <v>13059.134329999999</v>
      </c>
      <c r="AK113" s="1505">
        <f t="shared" si="244"/>
        <v>84.490000000000009</v>
      </c>
      <c r="AL113" s="1503">
        <f t="shared" ref="AL113:AO113" si="245">SUM(AL14+AL24+AL32+AL40)</f>
        <v>12734.667591698035</v>
      </c>
      <c r="AM113" s="1324">
        <f t="shared" si="193"/>
        <v>1.0225859381467721</v>
      </c>
      <c r="AN113" s="1504">
        <f t="shared" si="245"/>
        <v>12654.653785637802</v>
      </c>
      <c r="AO113" s="1505">
        <f t="shared" si="245"/>
        <v>80.013806060233861</v>
      </c>
      <c r="AP113" s="435"/>
      <c r="AQ113" s="435"/>
      <c r="AR113" s="435"/>
      <c r="AS113" s="435"/>
      <c r="AT113" s="1503">
        <f t="shared" ref="AT113:AV113" si="246">SUM(AT14+AT24+AT32+AT40)</f>
        <v>5887.33</v>
      </c>
      <c r="AU113" s="1504">
        <f t="shared" si="246"/>
        <v>5865.3422383545676</v>
      </c>
      <c r="AV113" s="1505">
        <f t="shared" si="246"/>
        <v>21.987761645432215</v>
      </c>
      <c r="AW113" s="1503">
        <f t="shared" ref="AW113:AY113" si="247">SUM(AW14+AW24+AW32+AW40)</f>
        <v>9177.8300000000017</v>
      </c>
      <c r="AX113" s="1504">
        <f t="shared" si="247"/>
        <v>9147.4473543134973</v>
      </c>
      <c r="AY113" s="2744">
        <f t="shared" si="247"/>
        <v>30.382645686502656</v>
      </c>
      <c r="AZ113" s="1503">
        <f t="shared" ref="AZ113:BB113" si="248">SUM(AZ14+AZ24+AZ32+AZ40)</f>
        <v>12222.1</v>
      </c>
      <c r="BA113" s="1504">
        <f t="shared" si="248"/>
        <v>12190.657894413847</v>
      </c>
      <c r="BB113" s="2744">
        <f t="shared" si="248"/>
        <v>31.442105586151683</v>
      </c>
      <c r="BC113" s="1503">
        <f t="shared" ref="BC113:BF113" si="249">SUM(BC14+BC24+BC32+BC40)</f>
        <v>14370.571280998902</v>
      </c>
      <c r="BD113" s="2223">
        <f t="shared" si="198"/>
        <v>1.1284606510159199</v>
      </c>
      <c r="BE113" s="1504">
        <f t="shared" si="249"/>
        <v>14326.96600714799</v>
      </c>
      <c r="BF113" s="1505">
        <f t="shared" si="249"/>
        <v>43.605273850911409</v>
      </c>
      <c r="BG113" s="2236">
        <f t="shared" ref="BG113:BJ113" si="250">SUM(BG14+BG24+BG32+BG40)</f>
        <v>14216.857982124668</v>
      </c>
      <c r="BH113" s="2233">
        <f t="shared" si="213"/>
        <v>1.1163901907728553</v>
      </c>
      <c r="BI113" s="2237">
        <f t="shared" si="250"/>
        <v>14176.749847993546</v>
      </c>
      <c r="BJ113" s="2238">
        <f t="shared" si="250"/>
        <v>40.108134131122803</v>
      </c>
      <c r="BK113" s="1508"/>
      <c r="BL113" s="3417">
        <f t="shared" ref="BL113:BU113" si="251">SUM(BL14+BL24+BL32+BL40)</f>
        <v>6064.8799999999992</v>
      </c>
      <c r="BM113" s="3418">
        <f t="shared" si="251"/>
        <v>6062.3565467803528</v>
      </c>
      <c r="BN113" s="3419">
        <f t="shared" si="251"/>
        <v>2.5234532196470809</v>
      </c>
      <c r="BO113" s="3417">
        <f t="shared" si="251"/>
        <v>9376.9299999999985</v>
      </c>
      <c r="BP113" s="3418">
        <f t="shared" si="251"/>
        <v>9373.407563241024</v>
      </c>
      <c r="BQ113" s="3420">
        <f t="shared" si="251"/>
        <v>3.5224367589746635</v>
      </c>
      <c r="BR113" s="3417">
        <f t="shared" si="251"/>
        <v>12704.77</v>
      </c>
      <c r="BS113" s="3418">
        <f t="shared" si="251"/>
        <v>12699.981653926983</v>
      </c>
      <c r="BT113" s="3419">
        <f t="shared" si="251"/>
        <v>4.78834607301701</v>
      </c>
      <c r="BU113" s="3384">
        <f t="shared" si="251"/>
        <v>15716.818531309636</v>
      </c>
      <c r="BV113" s="3379">
        <f t="shared" si="227"/>
        <v>1.1055057700562896</v>
      </c>
      <c r="BW113" s="3385">
        <f t="shared" ref="BW113:BY113" si="252">SUM(BW14+BW24+BW32+BW40)</f>
        <v>15677.199855356657</v>
      </c>
      <c r="BX113" s="3386">
        <f t="shared" si="252"/>
        <v>39.618675952979629</v>
      </c>
      <c r="BY113" s="3690">
        <f t="shared" si="252"/>
        <v>15074.000484730654</v>
      </c>
      <c r="BZ113" s="3379">
        <f t="shared" si="202"/>
        <v>1.060290572198421</v>
      </c>
      <c r="CA113" s="3684">
        <f t="shared" ref="CA113:CB113" si="253">SUM(CA14+CA24+CA32+CA40)</f>
        <v>15031.263806268384</v>
      </c>
      <c r="CB113" s="3686">
        <f t="shared" si="253"/>
        <v>42.736678462271527</v>
      </c>
      <c r="CC113" s="1508"/>
    </row>
    <row r="114" spans="1:81" ht="21" customHeight="1">
      <c r="A114" s="1339" t="s">
        <v>8</v>
      </c>
      <c r="B114" s="435"/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5"/>
      <c r="Y114" s="1512">
        <f>SUM(Y19)</f>
        <v>6984.1</v>
      </c>
      <c r="Z114" s="1510"/>
      <c r="AA114" s="1504">
        <f t="shared" ref="AA114:AD114" si="254">SUM(AA19)</f>
        <v>4253.0293007044547</v>
      </c>
      <c r="AB114" s="1504" t="e">
        <f t="shared" si="254"/>
        <v>#REF!</v>
      </c>
      <c r="AC114" s="1504">
        <f t="shared" si="254"/>
        <v>4253.0293007044547</v>
      </c>
      <c r="AD114" s="1505">
        <f t="shared" si="254"/>
        <v>0</v>
      </c>
      <c r="AE114" s="1503">
        <f t="shared" ref="AE114:AH114" si="255">SUM(AE19)</f>
        <v>4087.3393910999998</v>
      </c>
      <c r="AF114" s="1504">
        <f t="shared" si="255"/>
        <v>4087.3393910999998</v>
      </c>
      <c r="AG114" s="1505">
        <f t="shared" si="255"/>
        <v>0</v>
      </c>
      <c r="AH114" s="1503">
        <f t="shared" si="255"/>
        <v>4631.88</v>
      </c>
      <c r="AI114" s="1324">
        <f t="shared" si="190"/>
        <v>1.0890778484015602</v>
      </c>
      <c r="AJ114" s="1504">
        <f t="shared" ref="AJ114:AK114" si="256">SUM(AJ19)</f>
        <v>4631.88</v>
      </c>
      <c r="AK114" s="1505">
        <f t="shared" si="256"/>
        <v>0</v>
      </c>
      <c r="AL114" s="1503">
        <f t="shared" ref="AL114:AO114" si="257">SUM(AL19)</f>
        <v>3968.311174693004</v>
      </c>
      <c r="AM114" s="1324">
        <f t="shared" si="193"/>
        <v>0.93305521643965839</v>
      </c>
      <c r="AN114" s="1504">
        <f t="shared" si="257"/>
        <v>3968.311174693004</v>
      </c>
      <c r="AO114" s="1505">
        <f t="shared" si="257"/>
        <v>0</v>
      </c>
      <c r="AP114" s="435"/>
      <c r="AQ114" s="435"/>
      <c r="AR114" s="435"/>
      <c r="AS114" s="435"/>
      <c r="AT114" s="1503">
        <f t="shared" ref="AT114:AV114" si="258">SUM(AT19)</f>
        <v>2640.0770813999998</v>
      </c>
      <c r="AU114" s="1504">
        <f t="shared" si="258"/>
        <v>2640.0770813999998</v>
      </c>
      <c r="AV114" s="1505">
        <f t="shared" si="258"/>
        <v>0</v>
      </c>
      <c r="AW114" s="1503">
        <f t="shared" ref="AW114:AY114" si="259">SUM(AW19)</f>
        <v>3975.16</v>
      </c>
      <c r="AX114" s="1504">
        <f t="shared" si="259"/>
        <v>3975.16</v>
      </c>
      <c r="AY114" s="2744">
        <f t="shared" si="259"/>
        <v>0</v>
      </c>
      <c r="AZ114" s="1503">
        <f t="shared" ref="AZ114:BB114" si="260">SUM(AZ19)</f>
        <v>5707.19</v>
      </c>
      <c r="BA114" s="1504">
        <f t="shared" si="260"/>
        <v>5707.19</v>
      </c>
      <c r="BB114" s="2744">
        <f t="shared" si="260"/>
        <v>0</v>
      </c>
      <c r="BC114" s="1503">
        <f t="shared" ref="BC114:BF114" si="261">SUM(BC19)</f>
        <v>6791.38</v>
      </c>
      <c r="BD114" s="2223">
        <f t="shared" si="198"/>
        <v>1.711403088374337</v>
      </c>
      <c r="BE114" s="1504">
        <f t="shared" si="261"/>
        <v>6791.38</v>
      </c>
      <c r="BF114" s="1505">
        <f t="shared" si="261"/>
        <v>0</v>
      </c>
      <c r="BG114" s="2236">
        <f t="shared" ref="BG114:BJ114" si="262">SUM(BG19)</f>
        <v>6985.4283978386675</v>
      </c>
      <c r="BH114" s="2233">
        <f t="shared" si="213"/>
        <v>1.7603025796935075</v>
      </c>
      <c r="BI114" s="2237">
        <f t="shared" si="262"/>
        <v>6985.4283978386675</v>
      </c>
      <c r="BJ114" s="2238">
        <f t="shared" si="262"/>
        <v>0</v>
      </c>
      <c r="BK114" s="1508"/>
      <c r="BL114" s="3417">
        <f t="shared" ref="BL114:BU114" si="263">SUM(BL19)</f>
        <v>4515.2094240899987</v>
      </c>
      <c r="BM114" s="3418">
        <f t="shared" si="263"/>
        <v>4515.2094240899987</v>
      </c>
      <c r="BN114" s="3419">
        <f t="shared" si="263"/>
        <v>0</v>
      </c>
      <c r="BO114" s="3417">
        <f t="shared" si="263"/>
        <v>7061.8548961899996</v>
      </c>
      <c r="BP114" s="3418">
        <f t="shared" si="263"/>
        <v>7061.8548961899996</v>
      </c>
      <c r="BQ114" s="3420">
        <f t="shared" si="263"/>
        <v>0</v>
      </c>
      <c r="BR114" s="3417">
        <f t="shared" si="263"/>
        <v>9542.8633802805743</v>
      </c>
      <c r="BS114" s="3418">
        <f t="shared" si="263"/>
        <v>9542.8633802805743</v>
      </c>
      <c r="BT114" s="3419">
        <f t="shared" si="263"/>
        <v>0</v>
      </c>
      <c r="BU114" s="3384">
        <f t="shared" si="263"/>
        <v>7687.4405852046175</v>
      </c>
      <c r="BV114" s="3379">
        <f t="shared" si="227"/>
        <v>1.1004966549486295</v>
      </c>
      <c r="BW114" s="3385">
        <f t="shared" ref="BW114:BY114" si="264">SUM(BW19)</f>
        <v>7687.4405852046175</v>
      </c>
      <c r="BX114" s="3386">
        <f t="shared" si="264"/>
        <v>0</v>
      </c>
      <c r="BY114" s="3690">
        <f t="shared" si="264"/>
        <v>7406.5798759443596</v>
      </c>
      <c r="BZ114" s="3379">
        <f t="shared" si="202"/>
        <v>1.0602899999999997</v>
      </c>
      <c r="CA114" s="3684">
        <f t="shared" ref="CA114:CB114" si="265">SUM(CA19)</f>
        <v>7406.5798759443596</v>
      </c>
      <c r="CB114" s="3686">
        <f t="shared" si="265"/>
        <v>0</v>
      </c>
      <c r="CC114" s="1508"/>
    </row>
    <row r="115" spans="1:81" ht="21" customHeight="1">
      <c r="A115" s="1339" t="s">
        <v>6</v>
      </c>
      <c r="B115" s="435"/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5"/>
      <c r="Y115" s="1512">
        <f>SUM(Y16+Y26+Y34+Y42)</f>
        <v>23158.799999999999</v>
      </c>
      <c r="Z115" s="1510"/>
      <c r="AA115" s="1504">
        <f t="shared" ref="AA115:AD115" si="266">SUM(AA16+AA26+AA34+AA42)</f>
        <v>18723.532385356291</v>
      </c>
      <c r="AB115" s="1504">
        <f t="shared" si="266"/>
        <v>4.2470953908555629</v>
      </c>
      <c r="AC115" s="1504">
        <f t="shared" si="266"/>
        <v>18580.748829384705</v>
      </c>
      <c r="AD115" s="1505">
        <f t="shared" si="266"/>
        <v>142.78355597159052</v>
      </c>
      <c r="AE115" s="1503">
        <f t="shared" ref="AE115:AH115" si="267">SUM(AE16+AE26+AE34+AE42)</f>
        <v>17316.399999999998</v>
      </c>
      <c r="AF115" s="1504">
        <f t="shared" si="267"/>
        <v>17222.445808368408</v>
      </c>
      <c r="AG115" s="1505">
        <f t="shared" si="267"/>
        <v>93.954191631592721</v>
      </c>
      <c r="AH115" s="1503">
        <f t="shared" si="267"/>
        <v>19982</v>
      </c>
      <c r="AI115" s="1324">
        <f t="shared" si="190"/>
        <v>1.0672131512763028</v>
      </c>
      <c r="AJ115" s="1504">
        <f t="shared" ref="AJ115:AK115" si="268">SUM(AJ16+AJ26+AJ34+AJ42)</f>
        <v>19889.21</v>
      </c>
      <c r="AK115" s="1505">
        <f t="shared" si="268"/>
        <v>92.79</v>
      </c>
      <c r="AL115" s="1503">
        <f t="shared" ref="AL115:AO115" si="269">SUM(AL16+AL26+AL34+AL42)</f>
        <v>19700.208228981621</v>
      </c>
      <c r="AM115" s="1324">
        <f t="shared" si="193"/>
        <v>1.0521630119532994</v>
      </c>
      <c r="AN115" s="1504">
        <f t="shared" si="269"/>
        <v>19608.73208525774</v>
      </c>
      <c r="AO115" s="1505">
        <f t="shared" si="269"/>
        <v>91.476143723881705</v>
      </c>
      <c r="AP115" s="435"/>
      <c r="AQ115" s="435"/>
      <c r="AR115" s="435"/>
      <c r="AS115" s="435"/>
      <c r="AT115" s="1503">
        <f t="shared" ref="AT115:AV115" si="270">SUM(AT16+AT26+AT34+AT42)</f>
        <v>9372.2199999999993</v>
      </c>
      <c r="AU115" s="1504">
        <f t="shared" si="270"/>
        <v>9344.3435752180376</v>
      </c>
      <c r="AV115" s="1505">
        <f t="shared" si="270"/>
        <v>27.876424781961987</v>
      </c>
      <c r="AW115" s="1503">
        <f t="shared" ref="AW115:AY115" si="271">SUM(AW16+AW26+AW34+AW42)</f>
        <v>13324.32</v>
      </c>
      <c r="AX115" s="1504">
        <f t="shared" si="271"/>
        <v>13285.827704465524</v>
      </c>
      <c r="AY115" s="2744">
        <f t="shared" si="271"/>
        <v>38.49229553447617</v>
      </c>
      <c r="AZ115" s="1503">
        <f t="shared" ref="AZ115:BB115" si="272">SUM(AZ16+AZ26+AZ34+AZ42)</f>
        <v>18220.940000000002</v>
      </c>
      <c r="BA115" s="1504">
        <f t="shared" si="272"/>
        <v>18180.397437163068</v>
      </c>
      <c r="BB115" s="2744">
        <f t="shared" si="272"/>
        <v>40.542562836932802</v>
      </c>
      <c r="BC115" s="1503">
        <f t="shared" ref="BC115:BF115" si="273">SUM(BC16+BC26+BC34+BC42)</f>
        <v>21503.85</v>
      </c>
      <c r="BD115" s="2223">
        <f t="shared" si="198"/>
        <v>1.0915544521181753</v>
      </c>
      <c r="BE115" s="1504">
        <f t="shared" si="273"/>
        <v>21453.311154973639</v>
      </c>
      <c r="BF115" s="1505">
        <f t="shared" si="273"/>
        <v>50.53884502636356</v>
      </c>
      <c r="BG115" s="2236">
        <f t="shared" ref="BG115:BJ115" si="274">SUM(BG16+BG26+BG34+BG42)</f>
        <v>18719.609230157621</v>
      </c>
      <c r="BH115" s="2233">
        <f t="shared" si="213"/>
        <v>0.95022392720796689</v>
      </c>
      <c r="BI115" s="2237">
        <f t="shared" si="274"/>
        <v>18675.613963883159</v>
      </c>
      <c r="BJ115" s="2238">
        <f t="shared" si="274"/>
        <v>43.995266274459937</v>
      </c>
      <c r="BK115" s="1508"/>
      <c r="BL115" s="3417">
        <f t="shared" ref="BL115:BU115" si="275">SUM(BL16+BL26+BL34+BL42)</f>
        <v>8938.89</v>
      </c>
      <c r="BM115" s="3418">
        <f t="shared" si="275"/>
        <v>8935.578192981302</v>
      </c>
      <c r="BN115" s="3419">
        <f t="shared" si="275"/>
        <v>3.311807018699028</v>
      </c>
      <c r="BO115" s="3417">
        <f t="shared" si="275"/>
        <v>13483.539999999999</v>
      </c>
      <c r="BP115" s="3418">
        <f t="shared" si="275"/>
        <v>13478.886881095266</v>
      </c>
      <c r="BQ115" s="3420">
        <f t="shared" si="275"/>
        <v>4.6531189047323096</v>
      </c>
      <c r="BR115" s="3417">
        <f t="shared" si="275"/>
        <v>19877.373333333329</v>
      </c>
      <c r="BS115" s="3418">
        <f t="shared" si="275"/>
        <v>19870.50022421993</v>
      </c>
      <c r="BT115" s="3419">
        <f t="shared" si="275"/>
        <v>6.8731091133970494</v>
      </c>
      <c r="BU115" s="3384">
        <f t="shared" si="275"/>
        <v>20309.145457703187</v>
      </c>
      <c r="BV115" s="3379">
        <f t="shared" si="227"/>
        <v>1.0849128957769478</v>
      </c>
      <c r="BW115" s="3385">
        <f t="shared" ref="BW115:BY115" si="276">SUM(BW16+BW26+BW34+BW42)</f>
        <v>20263.031110224507</v>
      </c>
      <c r="BX115" s="3386">
        <f t="shared" si="276"/>
        <v>46.114347478681793</v>
      </c>
      <c r="BY115" s="3690">
        <f t="shared" si="276"/>
        <v>19752.050813946229</v>
      </c>
      <c r="BZ115" s="3379">
        <f t="shared" si="202"/>
        <v>1.0551529452936084</v>
      </c>
      <c r="CA115" s="3684">
        <f t="shared" ref="CA115:CB115" si="277">SUM(CA16+CA26+CA34+CA42)</f>
        <v>19701.936459708602</v>
      </c>
      <c r="CB115" s="3686">
        <f t="shared" si="277"/>
        <v>50.11435423762282</v>
      </c>
      <c r="CC115" s="1508"/>
    </row>
    <row r="116" spans="1:81" ht="21" customHeight="1">
      <c r="A116" s="1339" t="s">
        <v>10</v>
      </c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5"/>
      <c r="Y116" s="1512">
        <f>SUM(Y43)</f>
        <v>4337.3</v>
      </c>
      <c r="Z116" s="1510"/>
      <c r="AA116" s="1504" t="e">
        <f t="shared" ref="AA116:AD116" si="278">SUM(AA43)</f>
        <v>#REF!</v>
      </c>
      <c r="AB116" s="1504" t="e">
        <f t="shared" si="278"/>
        <v>#REF!</v>
      </c>
      <c r="AC116" s="1504" t="e">
        <f t="shared" si="278"/>
        <v>#REF!</v>
      </c>
      <c r="AD116" s="1505" t="e">
        <f t="shared" si="278"/>
        <v>#REF!</v>
      </c>
      <c r="AE116" s="1503">
        <f t="shared" ref="AE116:AH116" si="279">SUM(AE43)</f>
        <v>4024.3500000000004</v>
      </c>
      <c r="AF116" s="1504">
        <f t="shared" si="279"/>
        <v>3976.8345704382273</v>
      </c>
      <c r="AG116" s="1505">
        <f t="shared" si="279"/>
        <v>47.515429561772656</v>
      </c>
      <c r="AH116" s="1503">
        <f t="shared" si="279"/>
        <v>3223.45</v>
      </c>
      <c r="AI116" s="1324" t="e">
        <f t="shared" si="190"/>
        <v>#REF!</v>
      </c>
      <c r="AJ116" s="1504">
        <f t="shared" ref="AJ116:AK116" si="280">SUM(AJ43)</f>
        <v>3186.56</v>
      </c>
      <c r="AK116" s="1505">
        <f t="shared" si="280"/>
        <v>36.89</v>
      </c>
      <c r="AL116" s="1503">
        <f t="shared" ref="AL116:AO116" si="281">SUM(AL43)</f>
        <v>3223.1722248582328</v>
      </c>
      <c r="AM116" s="1324" t="e">
        <f t="shared" si="193"/>
        <v>#REF!</v>
      </c>
      <c r="AN116" s="1504">
        <f t="shared" si="281"/>
        <v>3186.5738414565994</v>
      </c>
      <c r="AO116" s="1505">
        <f t="shared" si="281"/>
        <v>36.598383401633441</v>
      </c>
      <c r="AP116" s="435"/>
      <c r="AQ116" s="435"/>
      <c r="AR116" s="435"/>
      <c r="AS116" s="435"/>
      <c r="AT116" s="1503">
        <f t="shared" ref="AT116:AV116" si="282">SUM(AT43)</f>
        <v>917.55000000000007</v>
      </c>
      <c r="AU116" s="1504">
        <f t="shared" si="282"/>
        <v>911.23472177565213</v>
      </c>
      <c r="AV116" s="1505">
        <f t="shared" si="282"/>
        <v>6.3152782243478924</v>
      </c>
      <c r="AW116" s="1503">
        <f t="shared" ref="AW116:AY116" si="283">SUM(AW43)</f>
        <v>2879.55</v>
      </c>
      <c r="AX116" s="1504">
        <f t="shared" si="283"/>
        <v>2861.8375134862476</v>
      </c>
      <c r="AY116" s="2744">
        <f t="shared" si="283"/>
        <v>17.712486513752381</v>
      </c>
      <c r="AZ116" s="1503">
        <f t="shared" ref="AZ116:BB116" si="284">SUM(AZ43)</f>
        <v>4009.7699999999995</v>
      </c>
      <c r="BA116" s="1504">
        <f t="shared" si="284"/>
        <v>3990.4446315488758</v>
      </c>
      <c r="BB116" s="2744">
        <f t="shared" si="284"/>
        <v>19.325368451124206</v>
      </c>
      <c r="BC116" s="1503">
        <f t="shared" ref="BC116:BF116" si="285">SUM(BC43)</f>
        <v>4420.8999999999996</v>
      </c>
      <c r="BD116" s="2223">
        <f t="shared" si="198"/>
        <v>1.3715990619131273</v>
      </c>
      <c r="BE116" s="1504">
        <f t="shared" si="285"/>
        <v>4381.0563420773306</v>
      </c>
      <c r="BF116" s="1505">
        <f t="shared" si="285"/>
        <v>39.843657922669166</v>
      </c>
      <c r="BG116" s="2236">
        <f t="shared" ref="BG116:BJ116" si="286">SUM(BG43)</f>
        <v>3125.4374758921222</v>
      </c>
      <c r="BH116" s="2233">
        <f t="shared" si="213"/>
        <v>0.96967746612720662</v>
      </c>
      <c r="BI116" s="2237">
        <f t="shared" si="286"/>
        <v>3107.8150351902632</v>
      </c>
      <c r="BJ116" s="2238">
        <f t="shared" si="286"/>
        <v>17.622440701858665</v>
      </c>
      <c r="BK116" s="1508"/>
      <c r="BL116" s="3417">
        <f t="shared" ref="BL116:BU116" si="287">SUM(BL43)</f>
        <v>1984.73</v>
      </c>
      <c r="BM116" s="3418">
        <f t="shared" si="287"/>
        <v>1983.1292005201474</v>
      </c>
      <c r="BN116" s="3419">
        <f t="shared" si="287"/>
        <v>1.60079947985259</v>
      </c>
      <c r="BO116" s="3417">
        <f t="shared" si="287"/>
        <v>2969.96</v>
      </c>
      <c r="BP116" s="3418">
        <f t="shared" si="287"/>
        <v>2967.7918456982625</v>
      </c>
      <c r="BQ116" s="3420">
        <f t="shared" si="287"/>
        <v>2.1681543017374878</v>
      </c>
      <c r="BR116" s="3417">
        <f t="shared" si="287"/>
        <v>3959.95</v>
      </c>
      <c r="BS116" s="3418">
        <f t="shared" si="287"/>
        <v>3957.0534347912935</v>
      </c>
      <c r="BT116" s="3419">
        <f t="shared" si="287"/>
        <v>2.8965652087065763</v>
      </c>
      <c r="BU116" s="3384">
        <f t="shared" si="287"/>
        <v>3628.2425283182315</v>
      </c>
      <c r="BV116" s="3379">
        <f t="shared" si="227"/>
        <v>1.1608750955040588</v>
      </c>
      <c r="BW116" s="3385">
        <f t="shared" ref="BW116:BY116" si="288">SUM(BW43)</f>
        <v>3611.0062217704012</v>
      </c>
      <c r="BX116" s="3386">
        <f t="shared" si="288"/>
        <v>17.236306547830125</v>
      </c>
      <c r="BY116" s="3690">
        <f t="shared" si="288"/>
        <v>3621.9039999999995</v>
      </c>
      <c r="BZ116" s="3379">
        <f t="shared" si="202"/>
        <v>1.1588470503529003</v>
      </c>
      <c r="CA116" s="3684">
        <f t="shared" ref="CA116:CB116" si="289">SUM(CA43)</f>
        <v>3603.174</v>
      </c>
      <c r="CB116" s="3686">
        <f t="shared" si="289"/>
        <v>18.73</v>
      </c>
      <c r="CC116" s="1508"/>
    </row>
    <row r="117" spans="1:81" ht="21" customHeight="1">
      <c r="A117" s="1339" t="s">
        <v>11</v>
      </c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1512">
        <f>SUM(Y48)</f>
        <v>15517.1</v>
      </c>
      <c r="Z117" s="1510"/>
      <c r="AA117" s="1504">
        <f t="shared" ref="AA117:AD117" si="290">SUM(AA48)</f>
        <v>9765</v>
      </c>
      <c r="AB117" s="1504" t="e">
        <f t="shared" si="290"/>
        <v>#REF!</v>
      </c>
      <c r="AC117" s="1504">
        <f t="shared" si="290"/>
        <v>9598.7999999999993</v>
      </c>
      <c r="AD117" s="1505">
        <f t="shared" si="290"/>
        <v>166.2</v>
      </c>
      <c r="AE117" s="1503">
        <f t="shared" ref="AE117:AH117" si="291">SUM(AE48)</f>
        <v>14207.04</v>
      </c>
      <c r="AF117" s="1504">
        <f t="shared" si="291"/>
        <v>14031.870256994307</v>
      </c>
      <c r="AG117" s="1505">
        <f t="shared" si="291"/>
        <v>175.16974300569382</v>
      </c>
      <c r="AH117" s="1503">
        <f t="shared" si="291"/>
        <v>13395.76</v>
      </c>
      <c r="AI117" s="1324">
        <f t="shared" si="190"/>
        <v>1.3718136200716846</v>
      </c>
      <c r="AJ117" s="1504">
        <f t="shared" ref="AJ117:AK117" si="292">SUM(AJ48)</f>
        <v>13243.27</v>
      </c>
      <c r="AK117" s="1505">
        <f t="shared" si="292"/>
        <v>152.49</v>
      </c>
      <c r="AL117" s="1503">
        <f t="shared" ref="AL117:AO117" si="293">SUM(AL48)</f>
        <v>13073.01213648671</v>
      </c>
      <c r="AM117" s="1324">
        <f t="shared" si="193"/>
        <v>1.3387621235521465</v>
      </c>
      <c r="AN117" s="1504">
        <f t="shared" si="293"/>
        <v>12924.197100987714</v>
      </c>
      <c r="AO117" s="1505">
        <f t="shared" si="293"/>
        <v>148.81503549899571</v>
      </c>
      <c r="AP117" s="435"/>
      <c r="AQ117" s="435"/>
      <c r="AR117" s="435"/>
      <c r="AS117" s="435"/>
      <c r="AT117" s="1503">
        <f t="shared" ref="AT117:AV117" si="294">SUM(AT48)</f>
        <v>6505.01</v>
      </c>
      <c r="AU117" s="1504">
        <f t="shared" si="294"/>
        <v>6460.2375647080098</v>
      </c>
      <c r="AV117" s="1505">
        <f t="shared" si="294"/>
        <v>44.772435291990405</v>
      </c>
      <c r="AW117" s="1503">
        <f t="shared" ref="AW117:AY117" si="295">SUM(AW48)</f>
        <v>9743.8700000000008</v>
      </c>
      <c r="AX117" s="1504">
        <f t="shared" si="295"/>
        <v>9683.9341885132217</v>
      </c>
      <c r="AY117" s="2744">
        <f t="shared" si="295"/>
        <v>59.93581148677913</v>
      </c>
      <c r="AZ117" s="1503">
        <f t="shared" ref="AZ117:BB117" si="296">SUM(AZ48)</f>
        <v>12858.36</v>
      </c>
      <c r="BA117" s="1504">
        <f t="shared" si="296"/>
        <v>12796.388229879221</v>
      </c>
      <c r="BB117" s="2744">
        <f t="shared" si="296"/>
        <v>61.971770120779183</v>
      </c>
      <c r="BC117" s="1503">
        <f t="shared" ref="BC117:BF117" si="297">SUM(BC48)</f>
        <v>14993.56</v>
      </c>
      <c r="BD117" s="2223">
        <f t="shared" si="198"/>
        <v>1.1469093613210264</v>
      </c>
      <c r="BE117" s="1504">
        <f t="shared" si="297"/>
        <v>14913.482432471448</v>
      </c>
      <c r="BF117" s="1505">
        <f t="shared" si="297"/>
        <v>80.077567528551299</v>
      </c>
      <c r="BG117" s="2236">
        <f t="shared" ref="BG117:BJ117" si="298">SUM(BG48)</f>
        <v>9920.4365701392053</v>
      </c>
      <c r="BH117" s="2233">
        <f t="shared" si="213"/>
        <v>0.75884857036515074</v>
      </c>
      <c r="BI117" s="2237">
        <f t="shared" si="298"/>
        <v>9867.4535274623486</v>
      </c>
      <c r="BJ117" s="2238">
        <f t="shared" si="298"/>
        <v>52.983042676856712</v>
      </c>
      <c r="BK117" s="1508"/>
      <c r="BL117" s="3417">
        <f t="shared" ref="BL117:BU118" si="299">SUM(BL48)</f>
        <v>6282.929999999993</v>
      </c>
      <c r="BM117" s="3418">
        <f t="shared" si="299"/>
        <v>6277.8624537463711</v>
      </c>
      <c r="BN117" s="3419">
        <f t="shared" si="299"/>
        <v>5.0675462536219129</v>
      </c>
      <c r="BO117" s="3417">
        <f t="shared" si="299"/>
        <v>9402.3000000000102</v>
      </c>
      <c r="BP117" s="3418">
        <f t="shared" si="299"/>
        <v>9395.4360566501928</v>
      </c>
      <c r="BQ117" s="3420">
        <f t="shared" si="299"/>
        <v>6.8639433498174185</v>
      </c>
      <c r="BR117" s="3417">
        <f t="shared" si="299"/>
        <v>12460.093333333323</v>
      </c>
      <c r="BS117" s="3418">
        <f t="shared" si="299"/>
        <v>12450.979209961419</v>
      </c>
      <c r="BT117" s="3419">
        <f t="shared" si="299"/>
        <v>9.1141233719044976</v>
      </c>
      <c r="BU117" s="3384">
        <f t="shared" si="299"/>
        <v>16008.32334611606</v>
      </c>
      <c r="BV117" s="3379">
        <f t="shared" si="227"/>
        <v>1.6136712565958604</v>
      </c>
      <c r="BW117" s="3385">
        <f t="shared" ref="BW117:BY118" si="300">SUM(BW48)</f>
        <v>15932.274304091756</v>
      </c>
      <c r="BX117" s="3386">
        <f t="shared" si="300"/>
        <v>76.049042024304072</v>
      </c>
      <c r="BY117" s="3690">
        <f t="shared" si="300"/>
        <v>10405.569747911368</v>
      </c>
      <c r="BZ117" s="3379">
        <f t="shared" si="202"/>
        <v>1.0489024020608555</v>
      </c>
      <c r="CA117" s="3684">
        <f t="shared" ref="CA117:CB117" si="301">SUM(CA48)</f>
        <v>10353.7749</v>
      </c>
      <c r="CB117" s="3686">
        <f t="shared" si="301"/>
        <v>51.8</v>
      </c>
      <c r="CC117" s="1508"/>
    </row>
    <row r="118" spans="1:81" ht="21" customHeight="1">
      <c r="A118" s="1999" t="s">
        <v>908</v>
      </c>
      <c r="B118" s="435"/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5"/>
      <c r="Y118" s="2000"/>
      <c r="Z118" s="2001"/>
      <c r="AA118" s="2002"/>
      <c r="AB118" s="2002"/>
      <c r="AC118" s="2002"/>
      <c r="AD118" s="2003"/>
      <c r="AE118" s="2004"/>
      <c r="AF118" s="2002"/>
      <c r="AG118" s="2003"/>
      <c r="AH118" s="2004"/>
      <c r="AI118" s="2005"/>
      <c r="AJ118" s="2002"/>
      <c r="AK118" s="2003"/>
      <c r="AL118" s="2004"/>
      <c r="AM118" s="2005"/>
      <c r="AN118" s="2002"/>
      <c r="AO118" s="2003"/>
      <c r="AP118" s="435"/>
      <c r="AQ118" s="435"/>
      <c r="AR118" s="435"/>
      <c r="AS118" s="435"/>
      <c r="AT118" s="2004"/>
      <c r="AU118" s="2002"/>
      <c r="AV118" s="2003"/>
      <c r="AW118" s="2004"/>
      <c r="AX118" s="2002"/>
      <c r="AY118" s="2744"/>
      <c r="AZ118" s="2004"/>
      <c r="BA118" s="2002"/>
      <c r="BB118" s="2744"/>
      <c r="BC118" s="2004"/>
      <c r="BD118" s="2229"/>
      <c r="BE118" s="2002"/>
      <c r="BF118" s="2003"/>
      <c r="BG118" s="2236">
        <f>BG49</f>
        <v>395.92538655008684</v>
      </c>
      <c r="BH118" s="2233"/>
      <c r="BI118" s="2237">
        <f>BI49</f>
        <v>395.92538655008684</v>
      </c>
      <c r="BJ118" s="2238">
        <f>BJ49</f>
        <v>0</v>
      </c>
      <c r="BK118" s="2006"/>
      <c r="BL118" s="3417"/>
      <c r="BM118" s="3418"/>
      <c r="BN118" s="3419"/>
      <c r="BO118" s="3417"/>
      <c r="BP118" s="3418"/>
      <c r="BQ118" s="3420"/>
      <c r="BR118" s="3417"/>
      <c r="BS118" s="3418"/>
      <c r="BT118" s="3419"/>
      <c r="BU118" s="3384">
        <f t="shared" si="299"/>
        <v>404.91360275906646</v>
      </c>
      <c r="BV118" s="3379">
        <f t="shared" si="227"/>
        <v>1.0227017931012174</v>
      </c>
      <c r="BW118" s="3385">
        <f t="shared" si="300"/>
        <v>404.91360275906646</v>
      </c>
      <c r="BX118" s="3386">
        <f t="shared" si="300"/>
        <v>0</v>
      </c>
      <c r="BY118" s="3690">
        <f>BY49</f>
        <v>397.28</v>
      </c>
      <c r="BZ118" s="3379">
        <f t="shared" si="202"/>
        <v>1.0034213856851075</v>
      </c>
      <c r="CA118" s="3684">
        <f>CA49</f>
        <v>397.28</v>
      </c>
      <c r="CB118" s="3686">
        <f>CB49</f>
        <v>0</v>
      </c>
      <c r="CC118" s="2006"/>
    </row>
    <row r="119" spans="1:81" ht="21" customHeight="1">
      <c r="A119" s="1344" t="s">
        <v>525</v>
      </c>
      <c r="B119" s="435"/>
      <c r="C119" s="435"/>
      <c r="D119" s="435"/>
      <c r="E119" s="435"/>
      <c r="F119" s="435"/>
      <c r="G119" s="435"/>
      <c r="H119" s="435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5"/>
      <c r="Y119" s="1512">
        <f>SUM(Y50)</f>
        <v>0</v>
      </c>
      <c r="Z119" s="1510"/>
      <c r="AA119" s="1504">
        <f t="shared" ref="AA119:AD119" si="302">SUM(AA50)</f>
        <v>0</v>
      </c>
      <c r="AB119" s="1504">
        <f t="shared" si="302"/>
        <v>0</v>
      </c>
      <c r="AC119" s="1504">
        <f t="shared" si="302"/>
        <v>0</v>
      </c>
      <c r="AD119" s="1505">
        <f t="shared" si="302"/>
        <v>0</v>
      </c>
      <c r="AE119" s="1503">
        <f t="shared" ref="AE119:AH119" si="303">SUM(AE50)</f>
        <v>0</v>
      </c>
      <c r="AF119" s="1504">
        <f t="shared" si="303"/>
        <v>0</v>
      </c>
      <c r="AG119" s="1505">
        <f t="shared" si="303"/>
        <v>0</v>
      </c>
      <c r="AH119" s="1503">
        <f t="shared" si="303"/>
        <v>1147.31</v>
      </c>
      <c r="AI119" s="1324" t="e">
        <f t="shared" si="190"/>
        <v>#DIV/0!</v>
      </c>
      <c r="AJ119" s="1504">
        <f t="shared" ref="AJ119:AK119" si="304">SUM(AJ50)</f>
        <v>1147.31</v>
      </c>
      <c r="AK119" s="1505">
        <f t="shared" si="304"/>
        <v>0</v>
      </c>
      <c r="AL119" s="1503">
        <f t="shared" ref="AL119:AO119" si="305">SUM(AL50)</f>
        <v>1287.3</v>
      </c>
      <c r="AM119" s="1324" t="e">
        <f t="shared" si="193"/>
        <v>#DIV/0!</v>
      </c>
      <c r="AN119" s="1504">
        <f t="shared" si="305"/>
        <v>1269.8</v>
      </c>
      <c r="AO119" s="1505">
        <f t="shared" si="305"/>
        <v>17.5</v>
      </c>
      <c r="AP119" s="435"/>
      <c r="AQ119" s="435"/>
      <c r="AR119" s="435"/>
      <c r="AS119" s="435"/>
      <c r="AT119" s="1503">
        <f t="shared" ref="AT119:AV119" si="306">SUM(AT50)</f>
        <v>0</v>
      </c>
      <c r="AU119" s="1504">
        <f t="shared" si="306"/>
        <v>0</v>
      </c>
      <c r="AV119" s="1505">
        <f t="shared" si="306"/>
        <v>0</v>
      </c>
      <c r="AW119" s="1503">
        <f t="shared" ref="AW119:AY119" si="307">SUM(AW50)</f>
        <v>0</v>
      </c>
      <c r="AX119" s="1504">
        <f t="shared" si="307"/>
        <v>0</v>
      </c>
      <c r="AY119" s="2744">
        <f t="shared" si="307"/>
        <v>0</v>
      </c>
      <c r="AZ119" s="1503">
        <f t="shared" ref="AZ119:BB119" si="308">SUM(AZ50)</f>
        <v>0</v>
      </c>
      <c r="BA119" s="1504">
        <f t="shared" si="308"/>
        <v>0</v>
      </c>
      <c r="BB119" s="2744">
        <f t="shared" si="308"/>
        <v>0</v>
      </c>
      <c r="BC119" s="1503">
        <f t="shared" ref="BC119:BF119" si="309">SUM(BC50)</f>
        <v>1785.8</v>
      </c>
      <c r="BD119" s="2223">
        <f t="shared" si="198"/>
        <v>1.3872446205235764</v>
      </c>
      <c r="BE119" s="1504">
        <f t="shared" si="309"/>
        <v>1785.8</v>
      </c>
      <c r="BF119" s="1505">
        <f t="shared" si="309"/>
        <v>0</v>
      </c>
      <c r="BG119" s="2236">
        <f t="shared" ref="BG119:BJ119" si="310">SUM(BG50)</f>
        <v>1785.8</v>
      </c>
      <c r="BH119" s="2232">
        <f t="shared" si="213"/>
        <v>1.3872446205235764</v>
      </c>
      <c r="BI119" s="2237">
        <f t="shared" si="310"/>
        <v>1785.8</v>
      </c>
      <c r="BJ119" s="2238">
        <f t="shared" si="310"/>
        <v>0</v>
      </c>
      <c r="BK119" s="1508"/>
      <c r="BL119" s="3417">
        <f t="shared" ref="BL119:BU119" si="311">SUM(BL50)</f>
        <v>0</v>
      </c>
      <c r="BM119" s="3418">
        <f t="shared" si="311"/>
        <v>0</v>
      </c>
      <c r="BN119" s="3419">
        <f t="shared" si="311"/>
        <v>0</v>
      </c>
      <c r="BO119" s="3417">
        <f t="shared" si="311"/>
        <v>0</v>
      </c>
      <c r="BP119" s="3418">
        <f t="shared" si="311"/>
        <v>0</v>
      </c>
      <c r="BQ119" s="3420">
        <f t="shared" si="311"/>
        <v>0</v>
      </c>
      <c r="BR119" s="3417">
        <f t="shared" si="311"/>
        <v>0</v>
      </c>
      <c r="BS119" s="3418">
        <f t="shared" si="311"/>
        <v>0</v>
      </c>
      <c r="BT119" s="3419">
        <f t="shared" si="311"/>
        <v>0</v>
      </c>
      <c r="BU119" s="3384">
        <f t="shared" si="311"/>
        <v>3771.829999999999</v>
      </c>
      <c r="BV119" s="3379">
        <f t="shared" si="227"/>
        <v>2.1121234180759321</v>
      </c>
      <c r="BW119" s="3385">
        <f t="shared" ref="BW119:BY119" si="312">SUM(BW50)</f>
        <v>3771.829999999999</v>
      </c>
      <c r="BX119" s="3386">
        <f t="shared" si="312"/>
        <v>0</v>
      </c>
      <c r="BY119" s="3690">
        <f t="shared" si="312"/>
        <v>2254.38</v>
      </c>
      <c r="BZ119" s="3379">
        <f t="shared" si="202"/>
        <v>1.2623922051741516</v>
      </c>
      <c r="CA119" s="3684">
        <f t="shared" ref="CA119:CB119" si="313">SUM(CA50)</f>
        <v>2254.38</v>
      </c>
      <c r="CB119" s="3686">
        <f t="shared" si="313"/>
        <v>0</v>
      </c>
      <c r="CC119" s="1508"/>
    </row>
    <row r="120" spans="1:81" ht="21" customHeight="1">
      <c r="A120" s="1341" t="s">
        <v>12</v>
      </c>
      <c r="B120" s="1516"/>
      <c r="C120" s="1516"/>
      <c r="D120" s="1516"/>
      <c r="E120" s="1516"/>
      <c r="F120" s="1516"/>
      <c r="G120" s="1516"/>
      <c r="H120" s="1516"/>
      <c r="I120" s="1516"/>
      <c r="J120" s="1516"/>
      <c r="K120" s="1516"/>
      <c r="L120" s="1516"/>
      <c r="M120" s="1516"/>
      <c r="N120" s="1516"/>
      <c r="O120" s="1516"/>
      <c r="P120" s="1516"/>
      <c r="Q120" s="1516"/>
      <c r="R120" s="1516"/>
      <c r="S120" s="1516"/>
      <c r="T120" s="1516"/>
      <c r="U120" s="1516"/>
      <c r="V120" s="1516"/>
      <c r="W120" s="1516"/>
      <c r="X120" s="1516"/>
      <c r="Y120" s="1517">
        <f>SUM(Y109:Y119)</f>
        <v>138793.20000000001</v>
      </c>
      <c r="Z120" s="1518"/>
      <c r="AA120" s="1519" t="e">
        <f t="shared" ref="AA120:AE120" si="314">SUM(AA109:AA119)</f>
        <v>#REF!</v>
      </c>
      <c r="AB120" s="1519" t="e">
        <f t="shared" si="314"/>
        <v>#REF!</v>
      </c>
      <c r="AC120" s="1519" t="e">
        <f t="shared" si="314"/>
        <v>#REF!</v>
      </c>
      <c r="AD120" s="1520" t="e">
        <f t="shared" si="314"/>
        <v>#REF!</v>
      </c>
      <c r="AE120" s="1521">
        <f t="shared" si="314"/>
        <v>113320.02939110002</v>
      </c>
      <c r="AF120" s="1519">
        <f t="shared" ref="AF120" si="315">SUM(AF109:AF119)</f>
        <v>112515.45483007004</v>
      </c>
      <c r="AG120" s="1520">
        <f t="shared" ref="AG120" si="316">SUM(AG109:AG119)</f>
        <v>804.57456102995798</v>
      </c>
      <c r="AH120" s="1521">
        <f t="shared" ref="AH120:AJ120" si="317">SUM(AH109:AH119)</f>
        <v>121571.42432999998</v>
      </c>
      <c r="AI120" s="1312" t="e">
        <f t="shared" si="190"/>
        <v>#REF!</v>
      </c>
      <c r="AJ120" s="1519">
        <f t="shared" si="317"/>
        <v>120777.48432999999</v>
      </c>
      <c r="AK120" s="1520">
        <f t="shared" ref="AK120:AL120" si="318">SUM(AK109:AK119)</f>
        <v>793.93999999999994</v>
      </c>
      <c r="AL120" s="1521">
        <f t="shared" si="318"/>
        <v>113871.15082286556</v>
      </c>
      <c r="AM120" s="1312" t="e">
        <f t="shared" si="193"/>
        <v>#REF!</v>
      </c>
      <c r="AN120" s="1519">
        <f t="shared" ref="AN120" si="319">SUM(AN109:AN119)</f>
        <v>113100.92994092536</v>
      </c>
      <c r="AO120" s="1520">
        <f t="shared" ref="AO120" si="320">SUM(AO109:AO119)</f>
        <v>770.22088194020284</v>
      </c>
      <c r="AP120" s="1516"/>
      <c r="AQ120" s="1516"/>
      <c r="AR120" s="1516"/>
      <c r="AS120" s="1516"/>
      <c r="AT120" s="1521">
        <f t="shared" ref="AT120" si="321">SUM(AT109:AT119)</f>
        <v>56673.297081400007</v>
      </c>
      <c r="AU120" s="1519">
        <f t="shared" ref="AU120" si="322">SUM(AU109:AU119)</f>
        <v>56463.165167590269</v>
      </c>
      <c r="AV120" s="1520">
        <f t="shared" ref="AV120" si="323">SUM(AV109:AV119)</f>
        <v>210.13191380973541</v>
      </c>
      <c r="AW120" s="1521">
        <f t="shared" ref="AW120" si="324">SUM(AW109:AW119)</f>
        <v>86434.29</v>
      </c>
      <c r="AX120" s="1519">
        <f t="shared" ref="AX120" si="325">SUM(AX109:AX119)</f>
        <v>86140.291554596522</v>
      </c>
      <c r="AY120" s="2745">
        <f t="shared" ref="AY120:BC120" si="326">SUM(AY109:AY119)</f>
        <v>293.99844540346618</v>
      </c>
      <c r="AZ120" s="1521">
        <f t="shared" si="326"/>
        <v>116214.42000000001</v>
      </c>
      <c r="BA120" s="1519">
        <f t="shared" si="326"/>
        <v>115906.66084339833</v>
      </c>
      <c r="BB120" s="2745">
        <f t="shared" ref="BB120" si="327">SUM(BB109:BB119)</f>
        <v>307.75915660164389</v>
      </c>
      <c r="BC120" s="1521">
        <f t="shared" si="326"/>
        <v>132673.21128099889</v>
      </c>
      <c r="BD120" s="2224">
        <f t="shared" si="198"/>
        <v>1.1651169793425662</v>
      </c>
      <c r="BE120" s="1519">
        <f t="shared" ref="BE120" si="328">SUM(BE109:BE119)</f>
        <v>133587.32181062308</v>
      </c>
      <c r="BF120" s="1520">
        <f t="shared" ref="BF120" si="329">SUM(BF109:BF119)</f>
        <v>423.37547037580555</v>
      </c>
      <c r="BG120" s="2239">
        <f t="shared" ref="BG120" si="330">SUM(BG109:BG119)</f>
        <v>120491.19481209795</v>
      </c>
      <c r="BH120" s="2233">
        <f>BG120/AL120</f>
        <v>1.0581362701737362</v>
      </c>
      <c r="BI120" s="2240">
        <f t="shared" ref="BI120" si="331">SUM(BI109:BI119)</f>
        <v>120147.21128591216</v>
      </c>
      <c r="BJ120" s="2241">
        <f t="shared" ref="BJ120" si="332">SUM(BJ109:BJ119)</f>
        <v>343.9835261858193</v>
      </c>
      <c r="BK120" s="1508"/>
      <c r="BL120" s="3421">
        <f t="shared" ref="BL120:BU120" si="333">SUM(BL109:BL119)</f>
        <v>58948.359424089991</v>
      </c>
      <c r="BM120" s="3422">
        <f t="shared" si="333"/>
        <v>58923.740327763939</v>
      </c>
      <c r="BN120" s="3423">
        <f t="shared" si="333"/>
        <v>24.619096326047917</v>
      </c>
      <c r="BO120" s="3421">
        <f t="shared" si="333"/>
        <v>89325.18489619001</v>
      </c>
      <c r="BP120" s="3422">
        <f t="shared" si="333"/>
        <v>89291.215527233813</v>
      </c>
      <c r="BQ120" s="3424">
        <f t="shared" si="333"/>
        <v>33.969368956207575</v>
      </c>
      <c r="BR120" s="3421">
        <f t="shared" si="333"/>
        <v>121974.02193216181</v>
      </c>
      <c r="BS120" s="3422">
        <f t="shared" si="333"/>
        <v>121927.69330994831</v>
      </c>
      <c r="BT120" s="3423">
        <f t="shared" si="333"/>
        <v>46.328622213487293</v>
      </c>
      <c r="BU120" s="3387">
        <f t="shared" si="333"/>
        <v>139982.63437959019</v>
      </c>
      <c r="BV120" s="3379">
        <f t="shared" si="227"/>
        <v>1.1617665058254962</v>
      </c>
      <c r="BW120" s="3388">
        <f t="shared" ref="BW120:BY120" si="334">SUM(BW109:BW119)</f>
        <v>139617.67429327508</v>
      </c>
      <c r="BX120" s="3389">
        <f t="shared" si="334"/>
        <v>364.96008631513166</v>
      </c>
      <c r="BY120" s="3691">
        <f t="shared" si="334"/>
        <v>126864.26461703915</v>
      </c>
      <c r="BZ120" s="3379">
        <f t="shared" si="202"/>
        <v>1.0528924110585822</v>
      </c>
      <c r="CA120" s="3685">
        <f t="shared" ref="CA120:CB120" si="335">SUM(CA109:CA119)</f>
        <v>126518.3975664036</v>
      </c>
      <c r="CB120" s="3687">
        <f t="shared" si="335"/>
        <v>345.87220272417039</v>
      </c>
      <c r="CC120" s="1508"/>
    </row>
    <row r="121" spans="1:81" ht="21" customHeight="1">
      <c r="A121" s="1341" t="s">
        <v>13</v>
      </c>
      <c r="B121" s="1516"/>
      <c r="C121" s="1516"/>
      <c r="D121" s="1516"/>
      <c r="E121" s="1516"/>
      <c r="F121" s="1516"/>
      <c r="G121" s="1516"/>
      <c r="H121" s="1516"/>
      <c r="I121" s="1516"/>
      <c r="J121" s="1516"/>
      <c r="K121" s="1516"/>
      <c r="L121" s="1516"/>
      <c r="M121" s="1516"/>
      <c r="N121" s="1516"/>
      <c r="O121" s="1516"/>
      <c r="P121" s="1516"/>
      <c r="Q121" s="1516"/>
      <c r="R121" s="1516"/>
      <c r="S121" s="1516"/>
      <c r="T121" s="1516"/>
      <c r="U121" s="1516"/>
      <c r="V121" s="1516"/>
      <c r="W121" s="1516"/>
      <c r="X121" s="1516"/>
      <c r="Y121" s="1517">
        <f>SUM(Y52)</f>
        <v>4000</v>
      </c>
      <c r="Z121" s="1518"/>
      <c r="AA121" s="1519">
        <f t="shared" ref="AA121:AD121" si="336">SUM(AA52)</f>
        <v>4052.2</v>
      </c>
      <c r="AB121" s="1519" t="e">
        <f t="shared" si="336"/>
        <v>#REF!</v>
      </c>
      <c r="AC121" s="1519">
        <f t="shared" si="336"/>
        <v>4006.2</v>
      </c>
      <c r="AD121" s="1520">
        <f t="shared" si="336"/>
        <v>46</v>
      </c>
      <c r="AE121" s="1521">
        <f t="shared" ref="AE121:AH121" si="337">SUM(AE52)</f>
        <v>4039</v>
      </c>
      <c r="AF121" s="1519">
        <f t="shared" si="337"/>
        <v>3989.2</v>
      </c>
      <c r="AG121" s="1520">
        <f t="shared" si="337"/>
        <v>49.8</v>
      </c>
      <c r="AH121" s="1521">
        <f t="shared" si="337"/>
        <v>4052.4</v>
      </c>
      <c r="AI121" s="1312">
        <f t="shared" si="190"/>
        <v>1.0000493559054342</v>
      </c>
      <c r="AJ121" s="1519">
        <f t="shared" ref="AJ121:AK121" si="338">SUM(AJ52)</f>
        <v>4006.27</v>
      </c>
      <c r="AK121" s="1520">
        <f t="shared" si="338"/>
        <v>46.13</v>
      </c>
      <c r="AL121" s="1521">
        <f t="shared" ref="AL121:AO121" si="339">SUM(AL52)</f>
        <v>4052.4000000000005</v>
      </c>
      <c r="AM121" s="1312">
        <f t="shared" si="193"/>
        <v>1.0000493559054342</v>
      </c>
      <c r="AN121" s="1519">
        <f t="shared" si="339"/>
        <v>4006.2700000000004</v>
      </c>
      <c r="AO121" s="1520">
        <f t="shared" si="339"/>
        <v>46.13</v>
      </c>
      <c r="AP121" s="1516"/>
      <c r="AQ121" s="1516"/>
      <c r="AR121" s="1516"/>
      <c r="AS121" s="1516"/>
      <c r="AT121" s="1521">
        <f t="shared" ref="AT121:AV121" si="340">SUM(AT52)</f>
        <v>1990.48</v>
      </c>
      <c r="AU121" s="1519">
        <f t="shared" si="340"/>
        <v>1976.78</v>
      </c>
      <c r="AV121" s="1520">
        <f t="shared" si="340"/>
        <v>13.7</v>
      </c>
      <c r="AW121" s="1521">
        <f t="shared" ref="AW121:AY121" si="341">SUM(AW52)</f>
        <v>2854.7599999999998</v>
      </c>
      <c r="AX121" s="1519">
        <f t="shared" si="341"/>
        <v>2837.2</v>
      </c>
      <c r="AY121" s="2745">
        <f t="shared" si="341"/>
        <v>17.559999999999999</v>
      </c>
      <c r="AZ121" s="1521">
        <f t="shared" ref="AZ121:BB121" si="342">SUM(AZ52)</f>
        <v>3780.42</v>
      </c>
      <c r="BA121" s="1519">
        <f t="shared" si="342"/>
        <v>3762.2000000000003</v>
      </c>
      <c r="BB121" s="2745">
        <f t="shared" si="342"/>
        <v>18.22</v>
      </c>
      <c r="BC121" s="1521">
        <f t="shared" ref="BC121:BF121" si="343">SUM(BC52)</f>
        <v>4010.6369999999997</v>
      </c>
      <c r="BD121" s="2224">
        <f t="shared" si="198"/>
        <v>0.9896942552561443</v>
      </c>
      <c r="BE121" s="1519">
        <f t="shared" si="343"/>
        <v>3989.2169999999996</v>
      </c>
      <c r="BF121" s="1520">
        <f t="shared" si="343"/>
        <v>21.42</v>
      </c>
      <c r="BG121" s="2239">
        <f t="shared" ref="BG121:BJ121" si="344">SUM(BG52)</f>
        <v>4010.6370000000002</v>
      </c>
      <c r="BH121" s="2233">
        <f t="shared" ref="BH121:BH128" si="345">BG121/AL121</f>
        <v>0.98969425525614441</v>
      </c>
      <c r="BI121" s="2240">
        <f t="shared" si="344"/>
        <v>3989.2170000000001</v>
      </c>
      <c r="BJ121" s="2241">
        <f t="shared" si="344"/>
        <v>21.419999999999998</v>
      </c>
      <c r="BK121" s="1508"/>
      <c r="BL121" s="3421">
        <f t="shared" ref="BL121:BU121" si="346">SUM(BL52)</f>
        <v>1822.56</v>
      </c>
      <c r="BM121" s="3422">
        <f t="shared" si="346"/>
        <v>1821.09</v>
      </c>
      <c r="BN121" s="3423">
        <f t="shared" si="346"/>
        <v>1.47</v>
      </c>
      <c r="BO121" s="3421">
        <f t="shared" si="346"/>
        <v>2671.13</v>
      </c>
      <c r="BP121" s="3422">
        <f t="shared" si="346"/>
        <v>2669.1800000000003</v>
      </c>
      <c r="BQ121" s="3424">
        <f t="shared" si="346"/>
        <v>1.95</v>
      </c>
      <c r="BR121" s="3421">
        <f t="shared" si="346"/>
        <v>3554.5100000000007</v>
      </c>
      <c r="BS121" s="3422">
        <f t="shared" si="346"/>
        <v>3551.9100000000008</v>
      </c>
      <c r="BT121" s="3423">
        <f t="shared" si="346"/>
        <v>2.6</v>
      </c>
      <c r="BU121" s="3387">
        <f t="shared" si="346"/>
        <v>3789</v>
      </c>
      <c r="BV121" s="3379">
        <f t="shared" si="227"/>
        <v>0.94473770625464226</v>
      </c>
      <c r="BW121" s="3388">
        <f t="shared" ref="BW121:BY121" si="347">SUM(BW52)</f>
        <v>3771</v>
      </c>
      <c r="BX121" s="3389">
        <f t="shared" si="347"/>
        <v>18</v>
      </c>
      <c r="BY121" s="3691">
        <f t="shared" si="347"/>
        <v>3791.3490000000002</v>
      </c>
      <c r="BZ121" s="3379">
        <f t="shared" si="202"/>
        <v>0.9453233987518691</v>
      </c>
      <c r="CA121" s="3685">
        <f t="shared" ref="CA121:CB121" si="348">SUM(CA52)</f>
        <v>3771</v>
      </c>
      <c r="CB121" s="3687">
        <f t="shared" si="348"/>
        <v>20.349</v>
      </c>
      <c r="CC121" s="1508"/>
    </row>
    <row r="122" spans="1:81" ht="21" customHeight="1">
      <c r="A122" s="1341" t="s">
        <v>14</v>
      </c>
      <c r="B122" s="1516"/>
      <c r="C122" s="1516"/>
      <c r="D122" s="1516"/>
      <c r="E122" s="1516"/>
      <c r="F122" s="1516"/>
      <c r="G122" s="1516"/>
      <c r="H122" s="1516"/>
      <c r="I122" s="1516"/>
      <c r="J122" s="1516"/>
      <c r="K122" s="1516"/>
      <c r="L122" s="1516"/>
      <c r="M122" s="1516"/>
      <c r="N122" s="1516"/>
      <c r="O122" s="1516"/>
      <c r="P122" s="1516"/>
      <c r="Q122" s="1516"/>
      <c r="R122" s="1516"/>
      <c r="S122" s="1516"/>
      <c r="T122" s="1516"/>
      <c r="U122" s="1516"/>
      <c r="V122" s="1516"/>
      <c r="W122" s="1516"/>
      <c r="X122" s="1516"/>
      <c r="Y122" s="1522">
        <f>SUM(Y120/Y121)</f>
        <v>34.698300000000003</v>
      </c>
      <c r="Z122" s="1518"/>
      <c r="AA122" s="1523" t="e">
        <f t="shared" ref="AA122:AE122" si="349">SUM(AA120/AA121)</f>
        <v>#REF!</v>
      </c>
      <c r="AB122" s="1523" t="e">
        <f t="shared" si="349"/>
        <v>#REF!</v>
      </c>
      <c r="AC122" s="1523" t="e">
        <f t="shared" si="349"/>
        <v>#REF!</v>
      </c>
      <c r="AD122" s="1524" t="e">
        <f t="shared" si="349"/>
        <v>#REF!</v>
      </c>
      <c r="AE122" s="1525">
        <f t="shared" si="349"/>
        <v>28.056456893067594</v>
      </c>
      <c r="AF122" s="1523">
        <f t="shared" ref="AF122" si="350">SUM(AF120/AF121)</f>
        <v>28.205017254103591</v>
      </c>
      <c r="AG122" s="1524">
        <f t="shared" ref="AG122" si="351">SUM(AG120/AG121)</f>
        <v>16.156115683332491</v>
      </c>
      <c r="AH122" s="1525">
        <f t="shared" ref="AH122:AJ122" si="352">SUM(AH120/AH121)</f>
        <v>29.999857943440919</v>
      </c>
      <c r="AI122" s="1312" t="e">
        <f t="shared" si="190"/>
        <v>#REF!</v>
      </c>
      <c r="AJ122" s="1523">
        <f t="shared" si="352"/>
        <v>30.147115478986688</v>
      </c>
      <c r="AK122" s="1524">
        <f t="shared" ref="AK122:AL122" si="353">SUM(AK120/AK121)</f>
        <v>17.210925644916539</v>
      </c>
      <c r="AL122" s="1525">
        <f t="shared" si="353"/>
        <v>28.099681873177758</v>
      </c>
      <c r="AM122" s="1312" t="e">
        <f t="shared" si="193"/>
        <v>#REF!</v>
      </c>
      <c r="AN122" s="1523">
        <f t="shared" ref="AN122" si="354">SUM(AN120/AN121)</f>
        <v>28.23098042341763</v>
      </c>
      <c r="AO122" s="1524">
        <f t="shared" ref="AO122" si="355">SUM(AO120/AO121)</f>
        <v>16.696745760680745</v>
      </c>
      <c r="AP122" s="1516"/>
      <c r="AQ122" s="1516"/>
      <c r="AR122" s="1516"/>
      <c r="AS122" s="1516"/>
      <c r="AT122" s="1525">
        <f t="shared" ref="AT122" si="356">SUM(AT120/AT121)</f>
        <v>28.472176098930916</v>
      </c>
      <c r="AU122" s="1523">
        <f t="shared" ref="AU122" si="357">SUM(AU120/AU121)</f>
        <v>28.563201351485887</v>
      </c>
      <c r="AV122" s="1524">
        <f t="shared" ref="AV122" si="358">SUM(AV120/AV121)</f>
        <v>15.338095898520834</v>
      </c>
      <c r="AW122" s="1525">
        <f t="shared" ref="AW122" si="359">SUM(AW120/AW121)</f>
        <v>30.2772527287758</v>
      </c>
      <c r="AX122" s="1523">
        <f t="shared" ref="AX122" si="360">SUM(AX120/AX121)</f>
        <v>30.361021977511818</v>
      </c>
      <c r="AY122" s="2746">
        <f t="shared" ref="AY122:BC122" si="361">SUM(AY120/AY121)</f>
        <v>16.742508280379624</v>
      </c>
      <c r="AZ122" s="1525">
        <f t="shared" si="361"/>
        <v>30.741139873347407</v>
      </c>
      <c r="BA122" s="1523">
        <f t="shared" si="361"/>
        <v>30.808213503641042</v>
      </c>
      <c r="BB122" s="2746">
        <f t="shared" ref="BB122" si="362">SUM(BB120/BB121)</f>
        <v>16.891281921056198</v>
      </c>
      <c r="BC122" s="1525">
        <f t="shared" si="361"/>
        <v>33.08033394221389</v>
      </c>
      <c r="BD122" s="2224">
        <f t="shared" si="198"/>
        <v>1.1772494112750209</v>
      </c>
      <c r="BE122" s="1523">
        <f t="shared" ref="BE122" si="363">SUM(BE120/BE121)</f>
        <v>33.487103311407502</v>
      </c>
      <c r="BF122" s="1524">
        <f t="shared" ref="BF122" si="364">SUM(BF120/BF121)</f>
        <v>19.765428122119772</v>
      </c>
      <c r="BG122" s="2242">
        <f t="shared" ref="BG122" si="365">SUM(BG120/BG121)</f>
        <v>30.042907102312661</v>
      </c>
      <c r="BH122" s="2233">
        <f t="shared" si="345"/>
        <v>1.0691547056619808</v>
      </c>
      <c r="BI122" s="2243">
        <f t="shared" ref="BI122" si="366">SUM(BI120/BI121)</f>
        <v>30.117993402191996</v>
      </c>
      <c r="BJ122" s="2244">
        <f t="shared" ref="BJ122" si="367">SUM(BJ120/BJ121)</f>
        <v>16.058988150598474</v>
      </c>
      <c r="BK122" s="1299"/>
      <c r="BL122" s="3425">
        <f t="shared" ref="BL122:BU122" si="368">SUM(BL120/BL121)</f>
        <v>32.343714019889603</v>
      </c>
      <c r="BM122" s="3426">
        <f t="shared" si="368"/>
        <v>32.356303273184707</v>
      </c>
      <c r="BN122" s="3427">
        <f t="shared" si="368"/>
        <v>16.747684575542802</v>
      </c>
      <c r="BO122" s="3425">
        <f t="shared" si="368"/>
        <v>33.440972508335427</v>
      </c>
      <c r="BP122" s="3426">
        <f t="shared" si="368"/>
        <v>33.452676674946538</v>
      </c>
      <c r="BQ122" s="3428">
        <f t="shared" si="368"/>
        <v>17.420189208311577</v>
      </c>
      <c r="BR122" s="3425">
        <f t="shared" si="368"/>
        <v>34.315284506770773</v>
      </c>
      <c r="BS122" s="3426">
        <f t="shared" si="368"/>
        <v>34.327360014738069</v>
      </c>
      <c r="BT122" s="3427">
        <f t="shared" si="368"/>
        <v>17.818700851341266</v>
      </c>
      <c r="BU122" s="3390">
        <f t="shared" si="368"/>
        <v>36.944479910158407</v>
      </c>
      <c r="BV122" s="3379">
        <f t="shared" si="227"/>
        <v>1.2297238674121012</v>
      </c>
      <c r="BW122" s="3391">
        <f t="shared" ref="BW122:BY122" si="369">SUM(BW120/BW121)</f>
        <v>37.024045158651575</v>
      </c>
      <c r="BX122" s="3392">
        <f t="shared" si="369"/>
        <v>20.275560350840649</v>
      </c>
      <c r="BY122" s="3692">
        <f t="shared" si="369"/>
        <v>33.461510564455857</v>
      </c>
      <c r="BZ122" s="3379">
        <f t="shared" si="202"/>
        <v>1.1137907010963009</v>
      </c>
      <c r="CA122" s="3693">
        <f t="shared" ref="CA122:CB122" si="370">SUM(CA120/CA121)</f>
        <v>33.550357349881622</v>
      </c>
      <c r="CB122" s="3694">
        <f t="shared" si="370"/>
        <v>16.997012272061053</v>
      </c>
      <c r="CC122" s="1299"/>
    </row>
    <row r="123" spans="1:81" ht="21" customHeight="1">
      <c r="A123" s="1345" t="s">
        <v>437</v>
      </c>
      <c r="B123" s="1516"/>
      <c r="C123" s="1516"/>
      <c r="D123" s="1516"/>
      <c r="E123" s="1516"/>
      <c r="F123" s="1516"/>
      <c r="G123" s="1516"/>
      <c r="H123" s="1516"/>
      <c r="I123" s="1516"/>
      <c r="J123" s="1516"/>
      <c r="K123" s="1516"/>
      <c r="L123" s="1516"/>
      <c r="M123" s="1516"/>
      <c r="N123" s="1516"/>
      <c r="O123" s="1516"/>
      <c r="P123" s="1516"/>
      <c r="Q123" s="1516"/>
      <c r="R123" s="1516"/>
      <c r="S123" s="1516"/>
      <c r="T123" s="1516"/>
      <c r="U123" s="1516"/>
      <c r="V123" s="1516"/>
      <c r="W123" s="1516"/>
      <c r="X123" s="1516"/>
      <c r="Y123" s="1517">
        <f>SUM(Y54)</f>
        <v>0</v>
      </c>
      <c r="Z123" s="1518"/>
      <c r="AA123" s="1519">
        <f t="shared" ref="AA123:AD123" si="371">SUM(AA54)</f>
        <v>0</v>
      </c>
      <c r="AB123" s="1519">
        <f t="shared" si="371"/>
        <v>0</v>
      </c>
      <c r="AC123" s="1519">
        <f t="shared" si="371"/>
        <v>0</v>
      </c>
      <c r="AD123" s="1520">
        <f t="shared" si="371"/>
        <v>0</v>
      </c>
      <c r="AE123" s="1521">
        <f t="shared" ref="AE123:AH123" si="372">SUM(AE54)</f>
        <v>0</v>
      </c>
      <c r="AF123" s="1519">
        <f t="shared" si="372"/>
        <v>0</v>
      </c>
      <c r="AG123" s="1520">
        <f t="shared" si="372"/>
        <v>0</v>
      </c>
      <c r="AH123" s="1521">
        <f t="shared" si="372"/>
        <v>6078.58</v>
      </c>
      <c r="AI123" s="1312" t="e">
        <f t="shared" si="190"/>
        <v>#DIV/0!</v>
      </c>
      <c r="AJ123" s="1519">
        <f t="shared" ref="AJ123:AK123" si="373">SUM(AJ54)</f>
        <v>6038.88</v>
      </c>
      <c r="AK123" s="1520">
        <f t="shared" si="373"/>
        <v>39.700000000000003</v>
      </c>
      <c r="AL123" s="1521">
        <f t="shared" ref="AL123:AO123" si="374">SUM(AL54)</f>
        <v>5753.5575411432783</v>
      </c>
      <c r="AM123" s="1312" t="e">
        <f t="shared" si="193"/>
        <v>#DIV/0!</v>
      </c>
      <c r="AN123" s="1519">
        <f t="shared" si="374"/>
        <v>5655.0464970462681</v>
      </c>
      <c r="AO123" s="1520">
        <f t="shared" si="374"/>
        <v>98.511044097010142</v>
      </c>
      <c r="AP123" s="1516"/>
      <c r="AQ123" s="1516"/>
      <c r="AR123" s="1516"/>
      <c r="AS123" s="1516"/>
      <c r="AT123" s="1521">
        <f t="shared" ref="AT123:AV123" si="375">SUM(AT54)</f>
        <v>0</v>
      </c>
      <c r="AU123" s="1519">
        <f t="shared" si="375"/>
        <v>0</v>
      </c>
      <c r="AV123" s="1520">
        <f t="shared" si="375"/>
        <v>0</v>
      </c>
      <c r="AW123" s="1521">
        <f t="shared" ref="AW123:AY123" si="376">SUM(AW54)</f>
        <v>0</v>
      </c>
      <c r="AX123" s="1519">
        <f t="shared" si="376"/>
        <v>0</v>
      </c>
      <c r="AY123" s="2745">
        <f t="shared" si="376"/>
        <v>0</v>
      </c>
      <c r="AZ123" s="1521">
        <f t="shared" ref="AZ123:BB123" si="377">SUM(AZ54)</f>
        <v>0</v>
      </c>
      <c r="BA123" s="1519">
        <f t="shared" si="377"/>
        <v>0</v>
      </c>
      <c r="BB123" s="2745">
        <f t="shared" si="377"/>
        <v>0</v>
      </c>
      <c r="BC123" s="1521">
        <f t="shared" ref="BC123:BF123" si="378">SUM(BC54)</f>
        <v>6800.9889110875247</v>
      </c>
      <c r="BD123" s="2224">
        <f t="shared" si="198"/>
        <v>1.1820493429420214</v>
      </c>
      <c r="BE123" s="1519">
        <f t="shared" si="378"/>
        <v>6737.4825905311536</v>
      </c>
      <c r="BF123" s="1520">
        <f t="shared" si="378"/>
        <v>63.506320556370831</v>
      </c>
      <c r="BG123" s="2239">
        <f t="shared" ref="BG123:BJ123" si="379">SUM(BG54)</f>
        <v>6007.360564295609</v>
      </c>
      <c r="BH123" s="2233">
        <f t="shared" si="345"/>
        <v>1.0441123637571021</v>
      </c>
      <c r="BI123" s="2240">
        <f t="shared" si="379"/>
        <v>6007.360564295609</v>
      </c>
      <c r="BJ123" s="2241">
        <f t="shared" si="379"/>
        <v>0</v>
      </c>
      <c r="BK123" s="1299"/>
      <c r="BL123" s="3421">
        <f t="shared" ref="BL123:BU123" si="380">SUM(BL54)</f>
        <v>0</v>
      </c>
      <c r="BM123" s="3422">
        <f t="shared" si="380"/>
        <v>0</v>
      </c>
      <c r="BN123" s="3423">
        <f t="shared" si="380"/>
        <v>0</v>
      </c>
      <c r="BO123" s="3421">
        <f t="shared" si="380"/>
        <v>0</v>
      </c>
      <c r="BP123" s="3422">
        <f t="shared" si="380"/>
        <v>0</v>
      </c>
      <c r="BQ123" s="3424">
        <f t="shared" si="380"/>
        <v>0</v>
      </c>
      <c r="BR123" s="3421">
        <f t="shared" si="380"/>
        <v>0</v>
      </c>
      <c r="BS123" s="3422">
        <f t="shared" si="380"/>
        <v>0</v>
      </c>
      <c r="BT123" s="3423">
        <f t="shared" si="380"/>
        <v>0</v>
      </c>
      <c r="BU123" s="3387">
        <f t="shared" si="380"/>
        <v>6999.1317189795109</v>
      </c>
      <c r="BV123" s="3379">
        <f t="shared" si="227"/>
        <v>1.1650926632535485</v>
      </c>
      <c r="BW123" s="3388">
        <f t="shared" ref="BW123:BY123" si="381">SUM(BW54)</f>
        <v>6980.8837146637543</v>
      </c>
      <c r="BX123" s="3389">
        <f t="shared" si="381"/>
        <v>18.248004315756585</v>
      </c>
      <c r="BY123" s="3691">
        <f t="shared" si="381"/>
        <v>6213.1949999999997</v>
      </c>
      <c r="BZ123" s="3379">
        <f t="shared" si="202"/>
        <v>1.0342637059156654</v>
      </c>
      <c r="CA123" s="3685">
        <f t="shared" ref="CA123:CB123" si="382">SUM(CA54)</f>
        <v>6213.1949999999997</v>
      </c>
      <c r="CB123" s="3687">
        <f t="shared" si="382"/>
        <v>0</v>
      </c>
      <c r="CC123" s="1299"/>
    </row>
    <row r="124" spans="1:81" ht="21" customHeight="1">
      <c r="A124" s="1345" t="s">
        <v>548</v>
      </c>
      <c r="B124" s="1516"/>
      <c r="C124" s="1516"/>
      <c r="D124" s="1516"/>
      <c r="E124" s="1516"/>
      <c r="F124" s="1516"/>
      <c r="G124" s="1516"/>
      <c r="H124" s="1516"/>
      <c r="I124" s="1516"/>
      <c r="J124" s="1516"/>
      <c r="K124" s="1516"/>
      <c r="L124" s="1516"/>
      <c r="M124" s="1516"/>
      <c r="N124" s="1516"/>
      <c r="O124" s="1516"/>
      <c r="P124" s="1516"/>
      <c r="Q124" s="1516"/>
      <c r="R124" s="1516"/>
      <c r="S124" s="1516"/>
      <c r="T124" s="1516"/>
      <c r="U124" s="1516"/>
      <c r="V124" s="1516"/>
      <c r="W124" s="1516"/>
      <c r="X124" s="1516"/>
      <c r="Y124" s="1517">
        <f>SUM(Y120+Y123)</f>
        <v>138793.20000000001</v>
      </c>
      <c r="Z124" s="1518"/>
      <c r="AA124" s="1519" t="e">
        <f t="shared" ref="AA124:AE124" si="383">SUM(AA120+AA123)</f>
        <v>#REF!</v>
      </c>
      <c r="AB124" s="1519" t="e">
        <f t="shared" si="383"/>
        <v>#REF!</v>
      </c>
      <c r="AC124" s="1519" t="e">
        <f t="shared" si="383"/>
        <v>#REF!</v>
      </c>
      <c r="AD124" s="1520" t="e">
        <f t="shared" si="383"/>
        <v>#REF!</v>
      </c>
      <c r="AE124" s="1521">
        <f t="shared" si="383"/>
        <v>113320.02939110002</v>
      </c>
      <c r="AF124" s="1519">
        <f t="shared" ref="AF124" si="384">SUM(AF120+AF123)</f>
        <v>112515.45483007004</v>
      </c>
      <c r="AG124" s="1520">
        <f t="shared" ref="AG124" si="385">SUM(AG120+AG123)</f>
        <v>804.57456102995798</v>
      </c>
      <c r="AH124" s="1521">
        <f t="shared" ref="AH124:AJ124" si="386">SUM(AH120+AH123)</f>
        <v>127650.00432999998</v>
      </c>
      <c r="AI124" s="1312" t="e">
        <f t="shared" si="190"/>
        <v>#REF!</v>
      </c>
      <c r="AJ124" s="1519">
        <f t="shared" si="386"/>
        <v>126816.36433</v>
      </c>
      <c r="AK124" s="1520">
        <f t="shared" ref="AK124:AL124" si="387">SUM(AK120+AK123)</f>
        <v>833.64</v>
      </c>
      <c r="AL124" s="1521">
        <f t="shared" si="387"/>
        <v>119624.70836400884</v>
      </c>
      <c r="AM124" s="1312" t="e">
        <f t="shared" si="193"/>
        <v>#REF!</v>
      </c>
      <c r="AN124" s="1519">
        <f t="shared" ref="AN124" si="388">SUM(AN120+AN123)</f>
        <v>118755.97643797162</v>
      </c>
      <c r="AO124" s="1520">
        <f t="shared" ref="AO124" si="389">SUM(AO120+AO123)</f>
        <v>868.73192603721304</v>
      </c>
      <c r="AP124" s="1516"/>
      <c r="AQ124" s="1516"/>
      <c r="AR124" s="1516"/>
      <c r="AS124" s="1516"/>
      <c r="AT124" s="1521">
        <f t="shared" ref="AT124" si="390">SUM(AT120+AT123)</f>
        <v>56673.297081400007</v>
      </c>
      <c r="AU124" s="1519">
        <f t="shared" ref="AU124" si="391">SUM(AU120+AU123)</f>
        <v>56463.165167590269</v>
      </c>
      <c r="AV124" s="1520">
        <f t="shared" ref="AV124" si="392">SUM(AV120+AV123)</f>
        <v>210.13191380973541</v>
      </c>
      <c r="AW124" s="1521">
        <f t="shared" ref="AW124" si="393">SUM(AW120+AW123)</f>
        <v>86434.29</v>
      </c>
      <c r="AX124" s="1519">
        <f t="shared" ref="AX124" si="394">SUM(AX120+AX123)</f>
        <v>86140.291554596522</v>
      </c>
      <c r="AY124" s="2745">
        <f t="shared" ref="AY124:BC124" si="395">SUM(AY120+AY123)</f>
        <v>293.99844540346618</v>
      </c>
      <c r="AZ124" s="1521">
        <f t="shared" si="395"/>
        <v>116214.42000000001</v>
      </c>
      <c r="BA124" s="1519">
        <f t="shared" si="395"/>
        <v>115906.66084339833</v>
      </c>
      <c r="BB124" s="2745">
        <f t="shared" ref="BB124" si="396">SUM(BB120+BB123)</f>
        <v>307.75915660164389</v>
      </c>
      <c r="BC124" s="1521">
        <f t="shared" si="395"/>
        <v>139474.20019208643</v>
      </c>
      <c r="BD124" s="2224">
        <f t="shared" si="198"/>
        <v>1.1659313706970729</v>
      </c>
      <c r="BE124" s="1519">
        <f t="shared" ref="BE124" si="397">SUM(BE120+BE123)</f>
        <v>140324.80440115422</v>
      </c>
      <c r="BF124" s="1520">
        <f t="shared" ref="BF124" si="398">SUM(BF120+BF123)</f>
        <v>486.88179093217639</v>
      </c>
      <c r="BG124" s="2239">
        <f t="shared" ref="BG124" si="399">SUM(BG120+BG123)</f>
        <v>126498.55537639356</v>
      </c>
      <c r="BH124" s="2233">
        <f t="shared" si="345"/>
        <v>1.0574617661049432</v>
      </c>
      <c r="BI124" s="2240">
        <f t="shared" ref="BI124" si="400">SUM(BI120+BI123)</f>
        <v>126154.57185020777</v>
      </c>
      <c r="BJ124" s="2241">
        <f t="shared" ref="BJ124" si="401">SUM(BJ120+BJ123)</f>
        <v>343.9835261858193</v>
      </c>
      <c r="BK124" s="1299"/>
      <c r="BL124" s="3421">
        <f t="shared" ref="BL124:BU124" si="402">SUM(BL120+BL123)</f>
        <v>58948.359424089991</v>
      </c>
      <c r="BM124" s="3422">
        <f t="shared" si="402"/>
        <v>58923.740327763939</v>
      </c>
      <c r="BN124" s="3423">
        <f t="shared" si="402"/>
        <v>24.619096326047917</v>
      </c>
      <c r="BO124" s="3421">
        <f t="shared" si="402"/>
        <v>89325.18489619001</v>
      </c>
      <c r="BP124" s="3422">
        <f t="shared" si="402"/>
        <v>89291.215527233813</v>
      </c>
      <c r="BQ124" s="3424">
        <f t="shared" si="402"/>
        <v>33.969368956207575</v>
      </c>
      <c r="BR124" s="3421">
        <f t="shared" si="402"/>
        <v>121974.02193216181</v>
      </c>
      <c r="BS124" s="3422">
        <f t="shared" si="402"/>
        <v>121927.69330994831</v>
      </c>
      <c r="BT124" s="3423">
        <f t="shared" si="402"/>
        <v>46.328622213487293</v>
      </c>
      <c r="BU124" s="3387">
        <f t="shared" si="402"/>
        <v>146981.7660985697</v>
      </c>
      <c r="BV124" s="3379">
        <f t="shared" si="227"/>
        <v>1.1619244635737445</v>
      </c>
      <c r="BW124" s="3388">
        <f t="shared" ref="BW124:BY124" si="403">SUM(BW120+BW123)</f>
        <v>146598.55800793885</v>
      </c>
      <c r="BX124" s="3389">
        <f t="shared" si="403"/>
        <v>383.20809063088825</v>
      </c>
      <c r="BY124" s="3691">
        <f t="shared" si="403"/>
        <v>133077.45961703916</v>
      </c>
      <c r="BZ124" s="3379">
        <f t="shared" si="202"/>
        <v>1.0520077420731819</v>
      </c>
      <c r="CA124" s="3685">
        <f t="shared" ref="CA124:CB124" si="404">SUM(CA120+CA123)</f>
        <v>132731.59256640359</v>
      </c>
      <c r="CB124" s="3687">
        <f t="shared" si="404"/>
        <v>345.87220272417039</v>
      </c>
      <c r="CC124" s="1299"/>
    </row>
    <row r="125" spans="1:81" ht="21" customHeight="1">
      <c r="A125" s="1346" t="s">
        <v>70</v>
      </c>
      <c r="B125" s="1516"/>
      <c r="C125" s="1516"/>
      <c r="D125" s="1516"/>
      <c r="E125" s="1516"/>
      <c r="F125" s="1516"/>
      <c r="G125" s="1516"/>
      <c r="H125" s="1516"/>
      <c r="I125" s="1516"/>
      <c r="J125" s="1516"/>
      <c r="K125" s="1516"/>
      <c r="L125" s="1516"/>
      <c r="M125" s="1516"/>
      <c r="N125" s="1516"/>
      <c r="O125" s="1516"/>
      <c r="P125" s="1516"/>
      <c r="Q125" s="1516"/>
      <c r="R125" s="1516"/>
      <c r="S125" s="1516"/>
      <c r="T125" s="1516"/>
      <c r="U125" s="1516"/>
      <c r="V125" s="1516"/>
      <c r="W125" s="1516"/>
      <c r="X125" s="1516"/>
      <c r="Y125" s="1522">
        <f>SUM(Y124/Y121)</f>
        <v>34.698300000000003</v>
      </c>
      <c r="Z125" s="1518"/>
      <c r="AA125" s="1523" t="e">
        <f t="shared" ref="AA125:AE125" si="405">SUM(AA124/AA121)</f>
        <v>#REF!</v>
      </c>
      <c r="AB125" s="1523" t="e">
        <f t="shared" si="405"/>
        <v>#REF!</v>
      </c>
      <c r="AC125" s="1523" t="e">
        <f t="shared" si="405"/>
        <v>#REF!</v>
      </c>
      <c r="AD125" s="1524" t="e">
        <f t="shared" si="405"/>
        <v>#REF!</v>
      </c>
      <c r="AE125" s="1525">
        <f t="shared" si="405"/>
        <v>28.056456893067594</v>
      </c>
      <c r="AF125" s="1523">
        <f t="shared" ref="AF125" si="406">SUM(AF124/AF121)</f>
        <v>28.205017254103591</v>
      </c>
      <c r="AG125" s="1524">
        <f t="shared" ref="AG125" si="407">SUM(AG124/AG121)</f>
        <v>16.156115683332491</v>
      </c>
      <c r="AH125" s="1525">
        <f t="shared" ref="AH125:AJ125" si="408">SUM(AH124/AH121)</f>
        <v>31.499853008093964</v>
      </c>
      <c r="AI125" s="1312" t="e">
        <f t="shared" si="190"/>
        <v>#REF!</v>
      </c>
      <c r="AJ125" s="1523">
        <f t="shared" si="408"/>
        <v>31.654472696548162</v>
      </c>
      <c r="AK125" s="1524">
        <f t="shared" ref="AK125:AL125" si="409">SUM(AK124/AK121)</f>
        <v>18.071536960763058</v>
      </c>
      <c r="AL125" s="1525">
        <f t="shared" si="409"/>
        <v>29.519472007701317</v>
      </c>
      <c r="AM125" s="1312" t="e">
        <f t="shared" si="193"/>
        <v>#REF!</v>
      </c>
      <c r="AN125" s="1523">
        <f t="shared" ref="AN125" si="410">SUM(AN124/AN121)</f>
        <v>29.642529444588508</v>
      </c>
      <c r="AO125" s="1524">
        <f t="shared" ref="AO125" si="411">SUM(AO124/AO121)</f>
        <v>18.832255062588619</v>
      </c>
      <c r="AP125" s="1516"/>
      <c r="AQ125" s="1516"/>
      <c r="AR125" s="1516"/>
      <c r="AS125" s="1516"/>
      <c r="AT125" s="1525">
        <f t="shared" ref="AT125" si="412">SUM(AT124/AT121)</f>
        <v>28.472176098930916</v>
      </c>
      <c r="AU125" s="1523">
        <f t="shared" ref="AU125" si="413">SUM(AU124/AU121)</f>
        <v>28.563201351485887</v>
      </c>
      <c r="AV125" s="1524">
        <f t="shared" ref="AV125" si="414">SUM(AV124/AV121)</f>
        <v>15.338095898520834</v>
      </c>
      <c r="AW125" s="1525">
        <f t="shared" ref="AW125" si="415">SUM(AW124/AW121)</f>
        <v>30.2772527287758</v>
      </c>
      <c r="AX125" s="1523">
        <f t="shared" ref="AX125" si="416">SUM(AX124/AX121)</f>
        <v>30.361021977511818</v>
      </c>
      <c r="AY125" s="2746">
        <f t="shared" ref="AY125:BC125" si="417">SUM(AY124/AY121)</f>
        <v>16.742508280379624</v>
      </c>
      <c r="AZ125" s="1525">
        <f t="shared" si="417"/>
        <v>30.741139873347407</v>
      </c>
      <c r="BA125" s="1523">
        <f t="shared" si="417"/>
        <v>30.808213503641042</v>
      </c>
      <c r="BB125" s="2746">
        <f t="shared" ref="BB125" si="418">SUM(BB124/BB121)</f>
        <v>16.891281921056198</v>
      </c>
      <c r="BC125" s="1525">
        <f t="shared" si="417"/>
        <v>34.776071779142924</v>
      </c>
      <c r="BD125" s="2224">
        <f t="shared" si="198"/>
        <v>1.1780722829348105</v>
      </c>
      <c r="BE125" s="1523">
        <f t="shared" ref="BE125" si="419">SUM(BE124/BE121)</f>
        <v>35.176026874736131</v>
      </c>
      <c r="BF125" s="1524">
        <f t="shared" ref="BF125" si="420">SUM(BF124/BF121)</f>
        <v>22.730242340437737</v>
      </c>
      <c r="BG125" s="2242">
        <f t="shared" ref="BG125" si="421">SUM(BG124/BG121)</f>
        <v>31.540764067252546</v>
      </c>
      <c r="BH125" s="2233">
        <f t="shared" si="345"/>
        <v>1.0684731779424745</v>
      </c>
      <c r="BI125" s="2243">
        <f t="shared" ref="BI125" si="422">SUM(BI124/BI121)</f>
        <v>31.623893072301598</v>
      </c>
      <c r="BJ125" s="2244">
        <f t="shared" ref="BJ125" si="423">SUM(BJ124/BJ121)</f>
        <v>16.058988150598474</v>
      </c>
      <c r="BK125" s="1299"/>
      <c r="BL125" s="3425">
        <f t="shared" ref="BL125:BU125" si="424">SUM(BL124/BL121)</f>
        <v>32.343714019889603</v>
      </c>
      <c r="BM125" s="3426">
        <f t="shared" si="424"/>
        <v>32.356303273184707</v>
      </c>
      <c r="BN125" s="3427">
        <f t="shared" si="424"/>
        <v>16.747684575542802</v>
      </c>
      <c r="BO125" s="3425">
        <f t="shared" si="424"/>
        <v>33.440972508335427</v>
      </c>
      <c r="BP125" s="3426">
        <f t="shared" si="424"/>
        <v>33.452676674946538</v>
      </c>
      <c r="BQ125" s="3428">
        <f t="shared" si="424"/>
        <v>17.420189208311577</v>
      </c>
      <c r="BR125" s="3425">
        <f t="shared" si="424"/>
        <v>34.315284506770773</v>
      </c>
      <c r="BS125" s="3426">
        <f t="shared" si="424"/>
        <v>34.327360014738069</v>
      </c>
      <c r="BT125" s="3427">
        <f t="shared" si="424"/>
        <v>17.818700851341266</v>
      </c>
      <c r="BU125" s="3390">
        <f t="shared" si="424"/>
        <v>38.791703905666324</v>
      </c>
      <c r="BV125" s="3379">
        <f t="shared" si="227"/>
        <v>1.229891064875696</v>
      </c>
      <c r="BW125" s="3391">
        <f t="shared" ref="BW125:BY125" si="425">SUM(BW124/BW121)</f>
        <v>38.875247416584152</v>
      </c>
      <c r="BX125" s="3392">
        <f t="shared" si="425"/>
        <v>21.28933836838268</v>
      </c>
      <c r="BY125" s="3692">
        <f t="shared" si="425"/>
        <v>35.100292697147943</v>
      </c>
      <c r="BZ125" s="3379">
        <f t="shared" si="202"/>
        <v>1.112854863702909</v>
      </c>
      <c r="CA125" s="3693">
        <f t="shared" ref="CA125:CB125" si="426">SUM(CA124/CA121)</f>
        <v>35.197982648210974</v>
      </c>
      <c r="CB125" s="3694">
        <f t="shared" si="426"/>
        <v>16.997012272061053</v>
      </c>
      <c r="CC125" s="1299"/>
    </row>
    <row r="126" spans="1:81" ht="21" customHeight="1">
      <c r="A126" s="1346" t="s">
        <v>327</v>
      </c>
      <c r="B126" s="1516"/>
      <c r="C126" s="1516"/>
      <c r="D126" s="1516"/>
      <c r="E126" s="1516"/>
      <c r="F126" s="1516"/>
      <c r="G126" s="1516"/>
      <c r="H126" s="1516"/>
      <c r="I126" s="1516"/>
      <c r="J126" s="1516"/>
      <c r="K126" s="1516"/>
      <c r="L126" s="1516"/>
      <c r="M126" s="1516"/>
      <c r="N126" s="1516"/>
      <c r="O126" s="1516"/>
      <c r="P126" s="1516"/>
      <c r="Q126" s="1516"/>
      <c r="R126" s="1516"/>
      <c r="S126" s="1516"/>
      <c r="T126" s="1516"/>
      <c r="U126" s="1516"/>
      <c r="V126" s="1516"/>
      <c r="W126" s="1516"/>
      <c r="X126" s="1516"/>
      <c r="Y126" s="1517">
        <f>SUM(Y57)</f>
        <v>4665</v>
      </c>
      <c r="Z126" s="1518"/>
      <c r="AA126" s="1519">
        <f t="shared" ref="AA126:AD126" si="427">SUM(AA57)</f>
        <v>4665</v>
      </c>
      <c r="AB126" s="1519">
        <f t="shared" si="427"/>
        <v>0</v>
      </c>
      <c r="AC126" s="1519">
        <f t="shared" si="427"/>
        <v>4665</v>
      </c>
      <c r="AD126" s="1520">
        <f t="shared" si="427"/>
        <v>0</v>
      </c>
      <c r="AE126" s="1521">
        <f t="shared" ref="AE126:AH126" si="428">SUM(AE57)</f>
        <v>824.7</v>
      </c>
      <c r="AF126" s="1519">
        <f t="shared" si="428"/>
        <v>824.7</v>
      </c>
      <c r="AG126" s="1520">
        <f t="shared" si="428"/>
        <v>0</v>
      </c>
      <c r="AH126" s="1521">
        <f t="shared" si="428"/>
        <v>4274</v>
      </c>
      <c r="AI126" s="1312">
        <f t="shared" si="190"/>
        <v>0.91618435155412647</v>
      </c>
      <c r="AJ126" s="1519">
        <f t="shared" ref="AJ126:AK126" si="429">SUM(AJ57)</f>
        <v>4274</v>
      </c>
      <c r="AK126" s="1520">
        <f t="shared" si="429"/>
        <v>0</v>
      </c>
      <c r="AL126" s="1521">
        <f t="shared" ref="AL126:AO126" si="430">SUM(AL57)</f>
        <v>4444</v>
      </c>
      <c r="AM126" s="1312">
        <f t="shared" si="193"/>
        <v>0.95262593783494109</v>
      </c>
      <c r="AN126" s="1519">
        <f t="shared" si="430"/>
        <v>4444</v>
      </c>
      <c r="AO126" s="1520">
        <f t="shared" si="430"/>
        <v>0</v>
      </c>
      <c r="AP126" s="1516"/>
      <c r="AQ126" s="1516"/>
      <c r="AR126" s="1516"/>
      <c r="AS126" s="1516"/>
      <c r="AT126" s="1521">
        <f t="shared" ref="AT126:AV126" si="431">SUM(AT57)</f>
        <v>0</v>
      </c>
      <c r="AU126" s="1519">
        <f t="shared" si="431"/>
        <v>0</v>
      </c>
      <c r="AV126" s="1520">
        <f t="shared" si="431"/>
        <v>0</v>
      </c>
      <c r="AW126" s="1521">
        <f t="shared" ref="AW126:AY126" si="432">SUM(AW57)</f>
        <v>0</v>
      </c>
      <c r="AX126" s="1519">
        <f t="shared" si="432"/>
        <v>0</v>
      </c>
      <c r="AY126" s="2745">
        <f t="shared" si="432"/>
        <v>0</v>
      </c>
      <c r="AZ126" s="1521">
        <f t="shared" ref="AZ126:BB126" si="433">SUM(AZ57)</f>
        <v>0</v>
      </c>
      <c r="BA126" s="1519">
        <f t="shared" si="433"/>
        <v>0</v>
      </c>
      <c r="BB126" s="2745">
        <f t="shared" si="433"/>
        <v>0</v>
      </c>
      <c r="BC126" s="1521">
        <f t="shared" ref="BC126:BF126" si="434">SUM(BC57)</f>
        <v>3976</v>
      </c>
      <c r="BD126" s="2224">
        <f t="shared" si="198"/>
        <v>0.89468946894689472</v>
      </c>
      <c r="BE126" s="1519">
        <f t="shared" si="434"/>
        <v>3976</v>
      </c>
      <c r="BF126" s="1520">
        <f t="shared" si="434"/>
        <v>0</v>
      </c>
      <c r="BG126" s="2239">
        <f t="shared" ref="BG126:BJ126" si="435">SUM(BG57)</f>
        <v>3976</v>
      </c>
      <c r="BH126" s="2233">
        <f t="shared" si="345"/>
        <v>0.89468946894689472</v>
      </c>
      <c r="BI126" s="2240">
        <f t="shared" si="435"/>
        <v>3976</v>
      </c>
      <c r="BJ126" s="2241">
        <f t="shared" si="435"/>
        <v>0</v>
      </c>
      <c r="BK126" s="1299"/>
      <c r="BL126" s="3421">
        <f t="shared" ref="BL126:BU126" si="436">SUM(BL57)</f>
        <v>0</v>
      </c>
      <c r="BM126" s="3422">
        <f t="shared" si="436"/>
        <v>0</v>
      </c>
      <c r="BN126" s="3423">
        <f t="shared" si="436"/>
        <v>0</v>
      </c>
      <c r="BO126" s="3421">
        <f t="shared" si="436"/>
        <v>0</v>
      </c>
      <c r="BP126" s="3422">
        <f t="shared" si="436"/>
        <v>0</v>
      </c>
      <c r="BQ126" s="3424">
        <f t="shared" si="436"/>
        <v>0</v>
      </c>
      <c r="BR126" s="3421">
        <f t="shared" si="436"/>
        <v>0</v>
      </c>
      <c r="BS126" s="3422">
        <f t="shared" si="436"/>
        <v>0</v>
      </c>
      <c r="BT126" s="3423">
        <f t="shared" si="436"/>
        <v>0</v>
      </c>
      <c r="BU126" s="3387">
        <f t="shared" si="436"/>
        <v>0</v>
      </c>
      <c r="BV126" s="3379">
        <f t="shared" si="227"/>
        <v>0</v>
      </c>
      <c r="BW126" s="3388">
        <f t="shared" ref="BW126:BY126" si="437">SUM(BW57)</f>
        <v>0</v>
      </c>
      <c r="BX126" s="3389">
        <f t="shared" si="437"/>
        <v>0</v>
      </c>
      <c r="BY126" s="3691">
        <f t="shared" si="437"/>
        <v>-1205.4349999999999</v>
      </c>
      <c r="BZ126" s="3379">
        <f t="shared" si="202"/>
        <v>-0.30317781690140844</v>
      </c>
      <c r="CA126" s="3685">
        <f t="shared" ref="CA126:CB126" si="438">SUM(CA57)</f>
        <v>-1205.4349999999999</v>
      </c>
      <c r="CB126" s="3687">
        <f t="shared" si="438"/>
        <v>0</v>
      </c>
      <c r="CC126" s="1299"/>
    </row>
    <row r="127" spans="1:81" ht="21" customHeight="1">
      <c r="A127" s="1345" t="s">
        <v>549</v>
      </c>
      <c r="B127" s="1516"/>
      <c r="C127" s="1516"/>
      <c r="D127" s="1516"/>
      <c r="E127" s="1516"/>
      <c r="F127" s="1516"/>
      <c r="G127" s="1516"/>
      <c r="H127" s="1516"/>
      <c r="I127" s="1516"/>
      <c r="J127" s="1516"/>
      <c r="K127" s="1516"/>
      <c r="L127" s="1516"/>
      <c r="M127" s="1516"/>
      <c r="N127" s="1516"/>
      <c r="O127" s="1516"/>
      <c r="P127" s="1516"/>
      <c r="Q127" s="1516"/>
      <c r="R127" s="1516"/>
      <c r="S127" s="1516"/>
      <c r="T127" s="1516"/>
      <c r="U127" s="1516"/>
      <c r="V127" s="1516"/>
      <c r="W127" s="1516"/>
      <c r="X127" s="1516"/>
      <c r="Y127" s="1517">
        <f>SUM(Y124+Y126)</f>
        <v>143458.20000000001</v>
      </c>
      <c r="Z127" s="1518"/>
      <c r="AA127" s="1519" t="e">
        <f t="shared" ref="AA127:AE127" si="439">SUM(AA124+AA126)</f>
        <v>#REF!</v>
      </c>
      <c r="AB127" s="1519" t="e">
        <f t="shared" si="439"/>
        <v>#REF!</v>
      </c>
      <c r="AC127" s="1519" t="e">
        <f t="shared" si="439"/>
        <v>#REF!</v>
      </c>
      <c r="AD127" s="1520" t="e">
        <f t="shared" si="439"/>
        <v>#REF!</v>
      </c>
      <c r="AE127" s="1521">
        <f t="shared" si="439"/>
        <v>114144.72939110002</v>
      </c>
      <c r="AF127" s="1519">
        <f t="shared" ref="AF127" si="440">SUM(AF124+AF126)</f>
        <v>113340.15483007004</v>
      </c>
      <c r="AG127" s="1520">
        <f t="shared" ref="AG127" si="441">SUM(AG124+AG126)</f>
        <v>804.57456102995798</v>
      </c>
      <c r="AH127" s="1521">
        <f t="shared" ref="AH127:AJ127" si="442">SUM(AH124+AH126)</f>
        <v>131924.00432999997</v>
      </c>
      <c r="AI127" s="1312" t="e">
        <f t="shared" si="190"/>
        <v>#REF!</v>
      </c>
      <c r="AJ127" s="1519">
        <f t="shared" si="442"/>
        <v>131090.36433000001</v>
      </c>
      <c r="AK127" s="1520">
        <f t="shared" ref="AK127:AL127" si="443">SUM(AK124+AK126)</f>
        <v>833.64</v>
      </c>
      <c r="AL127" s="1521">
        <f t="shared" si="443"/>
        <v>124068.70836400884</v>
      </c>
      <c r="AM127" s="1312" t="e">
        <f t="shared" si="193"/>
        <v>#REF!</v>
      </c>
      <c r="AN127" s="1519">
        <f t="shared" ref="AN127" si="444">SUM(AN124+AN126)</f>
        <v>123199.97643797162</v>
      </c>
      <c r="AO127" s="1520">
        <f t="shared" ref="AO127" si="445">SUM(AO124+AO126)</f>
        <v>868.73192603721304</v>
      </c>
      <c r="AP127" s="1516"/>
      <c r="AQ127" s="1516"/>
      <c r="AR127" s="1516"/>
      <c r="AS127" s="1516"/>
      <c r="AT127" s="1521">
        <f t="shared" ref="AT127" si="446">SUM(AT124+AT126)</f>
        <v>56673.297081400007</v>
      </c>
      <c r="AU127" s="1519">
        <f t="shared" ref="AU127" si="447">SUM(AU124+AU126)</f>
        <v>56463.165167590269</v>
      </c>
      <c r="AV127" s="1520">
        <f t="shared" ref="AV127" si="448">SUM(AV124+AV126)</f>
        <v>210.13191380973541</v>
      </c>
      <c r="AW127" s="1521">
        <f t="shared" ref="AW127" si="449">SUM(AW124+AW126)</f>
        <v>86434.29</v>
      </c>
      <c r="AX127" s="1519">
        <f t="shared" ref="AX127" si="450">SUM(AX124+AX126)</f>
        <v>86140.291554596522</v>
      </c>
      <c r="AY127" s="2745">
        <f t="shared" ref="AY127:BC127" si="451">SUM(AY124+AY126)</f>
        <v>293.99844540346618</v>
      </c>
      <c r="AZ127" s="1521">
        <f t="shared" si="451"/>
        <v>116214.42000000001</v>
      </c>
      <c r="BA127" s="1519">
        <f t="shared" si="451"/>
        <v>115906.66084339833</v>
      </c>
      <c r="BB127" s="2745">
        <f t="shared" ref="BB127" si="452">SUM(BB124+BB126)</f>
        <v>307.75915660164389</v>
      </c>
      <c r="BC127" s="1521">
        <f t="shared" si="451"/>
        <v>143450.20019208643</v>
      </c>
      <c r="BD127" s="2224">
        <f t="shared" si="198"/>
        <v>1.1562157943259443</v>
      </c>
      <c r="BE127" s="1519">
        <f t="shared" ref="BE127" si="453">SUM(BE124+BE126)</f>
        <v>144300.80440115422</v>
      </c>
      <c r="BF127" s="1520">
        <f t="shared" ref="BF127" si="454">SUM(BF124+BF126)</f>
        <v>486.88179093217639</v>
      </c>
      <c r="BG127" s="2239">
        <f t="shared" ref="BG127" si="455">SUM(BG124+BG126)</f>
        <v>130474.55537639356</v>
      </c>
      <c r="BH127" s="2233">
        <f t="shared" si="345"/>
        <v>1.0516314475813711</v>
      </c>
      <c r="BI127" s="2240">
        <f t="shared" ref="BI127" si="456">SUM(BI124+BI126)</f>
        <v>130130.57185020777</v>
      </c>
      <c r="BJ127" s="2241">
        <f t="shared" ref="BJ127" si="457">SUM(BJ124+BJ126)</f>
        <v>343.9835261858193</v>
      </c>
      <c r="BK127" s="1299"/>
      <c r="BL127" s="3421">
        <f t="shared" ref="BL127:BU127" si="458">SUM(BL124+BL126)</f>
        <v>58948.359424089991</v>
      </c>
      <c r="BM127" s="3422">
        <f t="shared" si="458"/>
        <v>58923.740327763939</v>
      </c>
      <c r="BN127" s="3423">
        <f t="shared" si="458"/>
        <v>24.619096326047917</v>
      </c>
      <c r="BO127" s="3421">
        <f t="shared" si="458"/>
        <v>89325.18489619001</v>
      </c>
      <c r="BP127" s="3422">
        <f t="shared" si="458"/>
        <v>89291.215527233813</v>
      </c>
      <c r="BQ127" s="3424">
        <f t="shared" si="458"/>
        <v>33.969368956207575</v>
      </c>
      <c r="BR127" s="3421">
        <f t="shared" si="458"/>
        <v>121974.02193216181</v>
      </c>
      <c r="BS127" s="3422">
        <f t="shared" si="458"/>
        <v>121927.69330994831</v>
      </c>
      <c r="BT127" s="3423">
        <f t="shared" si="458"/>
        <v>46.328622213487293</v>
      </c>
      <c r="BU127" s="3387">
        <f t="shared" si="458"/>
        <v>146981.7660985697</v>
      </c>
      <c r="BV127" s="3379">
        <f t="shared" si="227"/>
        <v>1.1265167041539714</v>
      </c>
      <c r="BW127" s="3388">
        <f t="shared" ref="BW127:BY127" si="459">SUM(BW124+BW126)</f>
        <v>146598.55800793885</v>
      </c>
      <c r="BX127" s="3389">
        <f t="shared" si="459"/>
        <v>383.20809063088825</v>
      </c>
      <c r="BY127" s="3691">
        <f t="shared" si="459"/>
        <v>131872.02461703916</v>
      </c>
      <c r="BZ127" s="3379">
        <f t="shared" si="202"/>
        <v>1.0107106649002495</v>
      </c>
      <c r="CA127" s="3685">
        <f t="shared" ref="CA127:CB127" si="460">SUM(CA124+CA126)</f>
        <v>131526.15756640359</v>
      </c>
      <c r="CB127" s="3687">
        <f t="shared" si="460"/>
        <v>345.87220272417039</v>
      </c>
      <c r="CC127" s="1299"/>
    </row>
    <row r="128" spans="1:81" ht="21" customHeight="1" thickBot="1">
      <c r="A128" s="1347" t="s">
        <v>328</v>
      </c>
      <c r="B128" s="3448"/>
      <c r="C128" s="3448"/>
      <c r="D128" s="3448"/>
      <c r="E128" s="3448"/>
      <c r="F128" s="3448"/>
      <c r="G128" s="3448"/>
      <c r="H128" s="3448"/>
      <c r="I128" s="3448"/>
      <c r="J128" s="3448"/>
      <c r="K128" s="3448"/>
      <c r="L128" s="3448"/>
      <c r="M128" s="3448"/>
      <c r="N128" s="3448"/>
      <c r="O128" s="3448"/>
      <c r="P128" s="3448"/>
      <c r="Q128" s="3448"/>
      <c r="R128" s="3448"/>
      <c r="S128" s="3448"/>
      <c r="T128" s="3448"/>
      <c r="U128" s="3448"/>
      <c r="V128" s="3448"/>
      <c r="W128" s="3448"/>
      <c r="X128" s="3448"/>
      <c r="Y128" s="1526">
        <f>SUM(Y127/Y121)</f>
        <v>35.864550000000001</v>
      </c>
      <c r="Z128" s="3449"/>
      <c r="AA128" s="3438" t="e">
        <f t="shared" ref="AA128:AE128" si="461">SUM(AA127/AA121)</f>
        <v>#REF!</v>
      </c>
      <c r="AB128" s="3438" t="e">
        <f t="shared" si="461"/>
        <v>#REF!</v>
      </c>
      <c r="AC128" s="3438" t="e">
        <f t="shared" si="461"/>
        <v>#REF!</v>
      </c>
      <c r="AD128" s="3439" t="e">
        <f t="shared" si="461"/>
        <v>#REF!</v>
      </c>
      <c r="AE128" s="3436">
        <f t="shared" si="461"/>
        <v>28.260641097078487</v>
      </c>
      <c r="AF128" s="3438">
        <f t="shared" ref="AF128" si="462">SUM(AF127/AF121)</f>
        <v>28.411750433688468</v>
      </c>
      <c r="AG128" s="3439">
        <f t="shared" ref="AG128" si="463">SUM(AG127/AG121)</f>
        <v>16.156115683332491</v>
      </c>
      <c r="AH128" s="3436">
        <f t="shared" ref="AH128:AJ128" si="464">SUM(AH127/AH121)</f>
        <v>32.554536652354152</v>
      </c>
      <c r="AI128" s="3450" t="e">
        <f t="shared" si="190"/>
        <v>#REF!</v>
      </c>
      <c r="AJ128" s="3438">
        <f t="shared" si="464"/>
        <v>32.721300444053945</v>
      </c>
      <c r="AK128" s="3439">
        <f t="shared" ref="AK128:AL128" si="465">SUM(AK127/AK121)</f>
        <v>18.071536960763058</v>
      </c>
      <c r="AL128" s="3436">
        <f t="shared" si="465"/>
        <v>30.616106101078081</v>
      </c>
      <c r="AM128" s="3450" t="e">
        <f t="shared" si="193"/>
        <v>#REF!</v>
      </c>
      <c r="AN128" s="3438">
        <f t="shared" ref="AN128" si="466">SUM(AN127/AN121)</f>
        <v>30.751790677605754</v>
      </c>
      <c r="AO128" s="3439">
        <f t="shared" ref="AO128" si="467">SUM(AO127/AO121)</f>
        <v>18.832255062588619</v>
      </c>
      <c r="AP128" s="3448"/>
      <c r="AQ128" s="3448"/>
      <c r="AR128" s="3448"/>
      <c r="AS128" s="3448"/>
      <c r="AT128" s="3436">
        <f t="shared" ref="AT128" si="468">SUM(AT127/AT121)</f>
        <v>28.472176098930916</v>
      </c>
      <c r="AU128" s="3438">
        <f t="shared" ref="AU128" si="469">SUM(AU127/AU121)</f>
        <v>28.563201351485887</v>
      </c>
      <c r="AV128" s="3439">
        <f t="shared" ref="AV128" si="470">SUM(AV127/AV121)</f>
        <v>15.338095898520834</v>
      </c>
      <c r="AW128" s="3436">
        <f t="shared" ref="AW128" si="471">SUM(AW127/AW121)</f>
        <v>30.2772527287758</v>
      </c>
      <c r="AX128" s="3438">
        <f t="shared" ref="AX128" si="472">SUM(AX127/AX121)</f>
        <v>30.361021977511818</v>
      </c>
      <c r="AY128" s="3451">
        <f t="shared" ref="AY128:BC128" si="473">SUM(AY127/AY121)</f>
        <v>16.742508280379624</v>
      </c>
      <c r="AZ128" s="3436">
        <f t="shared" si="473"/>
        <v>30.741139873347407</v>
      </c>
      <c r="BA128" s="3438">
        <f t="shared" si="473"/>
        <v>30.808213503641042</v>
      </c>
      <c r="BB128" s="3451">
        <f t="shared" ref="BB128" si="474">SUM(BB127/BB121)</f>
        <v>16.891281921056198</v>
      </c>
      <c r="BC128" s="3436">
        <f t="shared" si="473"/>
        <v>35.767435495181047</v>
      </c>
      <c r="BD128" s="3452">
        <f t="shared" si="198"/>
        <v>1.1682555376930044</v>
      </c>
      <c r="BE128" s="3438">
        <f t="shared" ref="BE128" si="475">SUM(BE127/BE121)</f>
        <v>36.172713693227074</v>
      </c>
      <c r="BF128" s="3439">
        <f t="shared" ref="BF128" si="476">SUM(BF127/BF121)</f>
        <v>22.730242340437737</v>
      </c>
      <c r="BG128" s="3436">
        <f t="shared" ref="BG128" si="477">SUM(BG127/BG121)</f>
        <v>32.532127783290676</v>
      </c>
      <c r="BH128" s="3437">
        <f t="shared" si="345"/>
        <v>1.062582147967704</v>
      </c>
      <c r="BI128" s="3438">
        <f t="shared" ref="BI128" si="478">SUM(BI127/BI121)</f>
        <v>32.620579890792541</v>
      </c>
      <c r="BJ128" s="3439">
        <f t="shared" ref="BJ128" si="479">SUM(BJ127/BJ121)</f>
        <v>16.058988150598474</v>
      </c>
      <c r="BK128" s="1300"/>
      <c r="BL128" s="3440">
        <f t="shared" ref="BL128:BU128" si="480">SUM(BL127/BL121)</f>
        <v>32.343714019889603</v>
      </c>
      <c r="BM128" s="3441">
        <f t="shared" si="480"/>
        <v>32.356303273184707</v>
      </c>
      <c r="BN128" s="3442">
        <f t="shared" si="480"/>
        <v>16.747684575542802</v>
      </c>
      <c r="BO128" s="3440">
        <f t="shared" si="480"/>
        <v>33.440972508335427</v>
      </c>
      <c r="BP128" s="3441">
        <f t="shared" si="480"/>
        <v>33.452676674946538</v>
      </c>
      <c r="BQ128" s="3443">
        <f t="shared" si="480"/>
        <v>17.420189208311577</v>
      </c>
      <c r="BR128" s="3440">
        <f t="shared" si="480"/>
        <v>34.315284506770773</v>
      </c>
      <c r="BS128" s="3441">
        <f t="shared" si="480"/>
        <v>34.327360014738069</v>
      </c>
      <c r="BT128" s="3442">
        <f t="shared" si="480"/>
        <v>17.818700851341266</v>
      </c>
      <c r="BU128" s="3444">
        <f t="shared" si="480"/>
        <v>38.791703905666324</v>
      </c>
      <c r="BV128" s="3445">
        <f t="shared" si="227"/>
        <v>1.1924121337550728</v>
      </c>
      <c r="BW128" s="3446">
        <f t="shared" ref="BW128:BY128" si="481">SUM(BW127/BW121)</f>
        <v>38.875247416584152</v>
      </c>
      <c r="BX128" s="3447">
        <f t="shared" si="481"/>
        <v>21.28933836838268</v>
      </c>
      <c r="BY128" s="3444">
        <f t="shared" si="481"/>
        <v>34.782349136689646</v>
      </c>
      <c r="BZ128" s="3683">
        <f t="shared" si="202"/>
        <v>1.0691692030840583</v>
      </c>
      <c r="CA128" s="3446">
        <f t="shared" ref="CA128:CB128" si="482">SUM(CA127/CA121)</f>
        <v>34.878323406630493</v>
      </c>
      <c r="CB128" s="3447">
        <f t="shared" si="482"/>
        <v>16.997012272061053</v>
      </c>
      <c r="CC128" s="1300"/>
    </row>
    <row r="129" spans="1:80" ht="18.75">
      <c r="A129" s="435"/>
      <c r="B129" s="435"/>
      <c r="C129" s="435"/>
      <c r="D129" s="435"/>
      <c r="E129" s="435"/>
      <c r="F129" s="435"/>
      <c r="G129" s="435"/>
      <c r="H129" s="435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35"/>
      <c r="AD129" s="435"/>
      <c r="AE129" s="435"/>
      <c r="AF129" s="435"/>
      <c r="AG129" s="435"/>
      <c r="AH129" s="435"/>
      <c r="AI129" s="435"/>
      <c r="AJ129" s="1499"/>
      <c r="AK129" s="1499"/>
      <c r="AL129" s="435"/>
      <c r="AM129" s="435"/>
      <c r="AN129" s="435"/>
      <c r="AO129" s="435"/>
      <c r="AP129" s="435"/>
      <c r="AQ129" s="435"/>
      <c r="AR129" s="435"/>
      <c r="AS129" s="435"/>
      <c r="AT129" s="435"/>
      <c r="AU129" s="435"/>
      <c r="AV129" s="435"/>
      <c r="AW129" s="435"/>
      <c r="AX129" s="435"/>
      <c r="AY129" s="435"/>
      <c r="AZ129" s="435"/>
      <c r="BA129" s="435"/>
      <c r="BB129" s="435"/>
      <c r="BC129" s="435"/>
      <c r="BD129" s="2230"/>
      <c r="BE129" s="435">
        <f>BI129</f>
        <v>31.52</v>
      </c>
      <c r="BF129" s="435"/>
      <c r="BG129" s="435"/>
      <c r="BH129" s="2230"/>
      <c r="BI129" s="435">
        <v>31.52</v>
      </c>
      <c r="BJ129" s="435"/>
      <c r="BU129" s="435"/>
      <c r="BV129" s="2230"/>
      <c r="BW129" s="435">
        <v>33.72</v>
      </c>
      <c r="BX129" s="435"/>
      <c r="BY129" s="435"/>
      <c r="BZ129" s="2230"/>
      <c r="CA129" s="1868">
        <v>33.722000000000001</v>
      </c>
      <c r="CB129" s="435">
        <v>16.059999999999999</v>
      </c>
    </row>
    <row r="130" spans="1:80" ht="18.75">
      <c r="A130" s="435"/>
      <c r="B130" s="435"/>
      <c r="C130" s="435"/>
      <c r="D130" s="435"/>
      <c r="E130" s="435"/>
      <c r="F130" s="435"/>
      <c r="G130" s="435"/>
      <c r="H130" s="435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1499"/>
      <c r="AK130" s="1499"/>
      <c r="AL130" s="435"/>
      <c r="AM130" s="435"/>
      <c r="AN130" s="435"/>
      <c r="AO130" s="435"/>
      <c r="AP130" s="435"/>
      <c r="AQ130" s="435"/>
      <c r="AR130" s="435"/>
      <c r="AS130" s="435"/>
      <c r="AT130" s="435"/>
      <c r="AU130" s="435"/>
      <c r="AV130" s="435"/>
      <c r="AW130" s="435"/>
      <c r="AX130" s="435"/>
      <c r="AY130" s="435"/>
      <c r="AZ130" s="435"/>
      <c r="BA130" s="435"/>
      <c r="BB130" s="435"/>
      <c r="BC130" s="435"/>
      <c r="BD130" s="2230"/>
      <c r="BE130" s="1868">
        <f>BE128*2-BE129</f>
        <v>40.825427386454152</v>
      </c>
      <c r="BF130" s="435"/>
      <c r="BG130" s="435"/>
      <c r="BH130" s="2230"/>
      <c r="BI130" s="1868">
        <f>BI128*2-BI129</f>
        <v>33.721159781585087</v>
      </c>
      <c r="BJ130" s="435"/>
      <c r="BU130" s="435"/>
      <c r="BV130" s="2230"/>
      <c r="BW130" s="1868">
        <f>BW128*2-BW129</f>
        <v>44.030494833168305</v>
      </c>
      <c r="BX130" s="435"/>
      <c r="BY130" s="435"/>
      <c r="BZ130" s="2230"/>
      <c r="CA130" s="1868">
        <f>CA128*2-CA129</f>
        <v>36.034646813260984</v>
      </c>
      <c r="CB130" s="1868">
        <f>CB128*2-CB129</f>
        <v>17.934024544122106</v>
      </c>
    </row>
    <row r="131" spans="1:80">
      <c r="BW131" s="3435">
        <f>SUM(BW130/BW129)</f>
        <v>1.3057679369266995</v>
      </c>
      <c r="CA131" s="3435">
        <f>SUM(CA130/CA129)</f>
        <v>1.0685797643455603</v>
      </c>
      <c r="CB131" s="3435">
        <f>SUM(CB130/CB129)</f>
        <v>1.1166889504434687</v>
      </c>
    </row>
    <row r="132" spans="1:80">
      <c r="AG132">
        <f>AF113/AF112</f>
        <v>0.29993261127680237</v>
      </c>
      <c r="BE132" s="2015">
        <f>BE130/BE129</f>
        <v>1.2952229500778603</v>
      </c>
      <c r="BI132" s="2015">
        <f>BI130/BI129</f>
        <v>1.0698337494157706</v>
      </c>
    </row>
  </sheetData>
  <mergeCells count="189">
    <mergeCell ref="BU105:CB105"/>
    <mergeCell ref="CC105:CC108"/>
    <mergeCell ref="BU106:BX106"/>
    <mergeCell ref="BY106:CB106"/>
    <mergeCell ref="BU107:BU108"/>
    <mergeCell ref="BV107:BV108"/>
    <mergeCell ref="BW107:BX107"/>
    <mergeCell ref="BY107:BY108"/>
    <mergeCell ref="BZ107:BZ108"/>
    <mergeCell ref="CA107:CB107"/>
    <mergeCell ref="BU4:CB4"/>
    <mergeCell ref="CC4:CC7"/>
    <mergeCell ref="BU5:BX5"/>
    <mergeCell ref="BY5:CB5"/>
    <mergeCell ref="BU6:BU7"/>
    <mergeCell ref="BV6:BV7"/>
    <mergeCell ref="BW6:BX6"/>
    <mergeCell ref="BY6:BY7"/>
    <mergeCell ref="BZ6:BZ7"/>
    <mergeCell ref="CA6:CB6"/>
    <mergeCell ref="A4:A7"/>
    <mergeCell ref="BL106:BN106"/>
    <mergeCell ref="BO106:BQ106"/>
    <mergeCell ref="BR106:BT106"/>
    <mergeCell ref="BL107:BL108"/>
    <mergeCell ref="BM107:BN107"/>
    <mergeCell ref="BO107:BO108"/>
    <mergeCell ref="BP107:BQ107"/>
    <mergeCell ref="BR107:BR108"/>
    <mergeCell ref="BS107:BT107"/>
    <mergeCell ref="BL4:BT4"/>
    <mergeCell ref="AH4:BB4"/>
    <mergeCell ref="E4:F4"/>
    <mergeCell ref="G4:H4"/>
    <mergeCell ref="I4:N4"/>
    <mergeCell ref="C4:D4"/>
    <mergeCell ref="E5:E7"/>
    <mergeCell ref="M5:M7"/>
    <mergeCell ref="Y4:AG4"/>
    <mergeCell ref="AF6:AG6"/>
    <mergeCell ref="AE5:AG5"/>
    <mergeCell ref="F5:F7"/>
    <mergeCell ref="BC4:BJ4"/>
    <mergeCell ref="P5:P7"/>
    <mergeCell ref="AH5:AK5"/>
    <mergeCell ref="AL5:AO5"/>
    <mergeCell ref="AH6:AH7"/>
    <mergeCell ref="AL6:AL7"/>
    <mergeCell ref="AI6:AI7"/>
    <mergeCell ref="AM6:AM7"/>
    <mergeCell ref="AJ6:AK6"/>
    <mergeCell ref="AN6:AO6"/>
    <mergeCell ref="AT5:AV5"/>
    <mergeCell ref="AT6:AT7"/>
    <mergeCell ref="BL105:BT105"/>
    <mergeCell ref="BL5:BN5"/>
    <mergeCell ref="BO5:BQ5"/>
    <mergeCell ref="BR5:BT5"/>
    <mergeCell ref="BL6:BL7"/>
    <mergeCell ref="BM6:BN6"/>
    <mergeCell ref="BO6:BO7"/>
    <mergeCell ref="BP6:BQ6"/>
    <mergeCell ref="BR6:BR7"/>
    <mergeCell ref="BS6:BT6"/>
    <mergeCell ref="A103:CC103"/>
    <mergeCell ref="BK4:BK7"/>
    <mergeCell ref="T5:U5"/>
    <mergeCell ref="T6:T7"/>
    <mergeCell ref="U6:U7"/>
    <mergeCell ref="K5:K7"/>
    <mergeCell ref="L5:L7"/>
    <mergeCell ref="V5:V7"/>
    <mergeCell ref="Y5:Y7"/>
    <mergeCell ref="I5:I7"/>
    <mergeCell ref="BG5:BJ5"/>
    <mergeCell ref="BG6:BG7"/>
    <mergeCell ref="BH6:BH7"/>
    <mergeCell ref="BI6:BJ6"/>
    <mergeCell ref="AH105:BB105"/>
    <mergeCell ref="H92:I92"/>
    <mergeCell ref="AE6:AE7"/>
    <mergeCell ref="AC6:AD6"/>
    <mergeCell ref="AA6:AA7"/>
    <mergeCell ref="AA5:AD5"/>
    <mergeCell ref="Z5:Z7"/>
    <mergeCell ref="W5:X6"/>
    <mergeCell ref="K66:T66"/>
    <mergeCell ref="H91:I91"/>
    <mergeCell ref="A61:H61"/>
    <mergeCell ref="J5:J7"/>
    <mergeCell ref="B4:B7"/>
    <mergeCell ref="G5:G7"/>
    <mergeCell ref="H5:H7"/>
    <mergeCell ref="S5:S7"/>
    <mergeCell ref="O4:X4"/>
    <mergeCell ref="R5:R7"/>
    <mergeCell ref="O5:O7"/>
    <mergeCell ref="D5:D7"/>
    <mergeCell ref="C5:C7"/>
    <mergeCell ref="K61:T61"/>
    <mergeCell ref="N5:N7"/>
    <mergeCell ref="Q5:Q7"/>
    <mergeCell ref="A66:H66"/>
    <mergeCell ref="H87:I87"/>
    <mergeCell ref="H88:I88"/>
    <mergeCell ref="H89:I89"/>
    <mergeCell ref="H90:I90"/>
    <mergeCell ref="H83:I83"/>
    <mergeCell ref="H86:I86"/>
    <mergeCell ref="H85:I85"/>
    <mergeCell ref="H84:I84"/>
    <mergeCell ref="AW6:AW7"/>
    <mergeCell ref="AU6:AV6"/>
    <mergeCell ref="AX6:AY6"/>
    <mergeCell ref="BC5:BF5"/>
    <mergeCell ref="BC6:BC7"/>
    <mergeCell ref="BD6:BD7"/>
    <mergeCell ref="BE6:BF6"/>
    <mergeCell ref="AZ5:BB5"/>
    <mergeCell ref="AZ6:AZ7"/>
    <mergeCell ref="BA6:BB6"/>
    <mergeCell ref="AW5:AY5"/>
    <mergeCell ref="A105:A108"/>
    <mergeCell ref="B105:B108"/>
    <mergeCell ref="C105:D105"/>
    <mergeCell ref="E105:F105"/>
    <mergeCell ref="G105:H105"/>
    <mergeCell ref="I105:N105"/>
    <mergeCell ref="O105:X105"/>
    <mergeCell ref="Y105:AG105"/>
    <mergeCell ref="BC105:BJ105"/>
    <mergeCell ref="V106:V108"/>
    <mergeCell ref="W106:X107"/>
    <mergeCell ref="Y106:Y108"/>
    <mergeCell ref="T107:T108"/>
    <mergeCell ref="U107:U108"/>
    <mergeCell ref="BD107:BD108"/>
    <mergeCell ref="BE107:BF107"/>
    <mergeCell ref="BG107:BG108"/>
    <mergeCell ref="BH107:BH108"/>
    <mergeCell ref="BI107:BJ107"/>
    <mergeCell ref="Z106:Z108"/>
    <mergeCell ref="AA106:AD106"/>
    <mergeCell ref="AE106:AG106"/>
    <mergeCell ref="AH106:AK106"/>
    <mergeCell ref="AL106:AO106"/>
    <mergeCell ref="AU107:AV107"/>
    <mergeCell ref="AW107:AW108"/>
    <mergeCell ref="AX107:AY107"/>
    <mergeCell ref="BC107:BC108"/>
    <mergeCell ref="O106:O108"/>
    <mergeCell ref="P106:P108"/>
    <mergeCell ref="Q106:Q108"/>
    <mergeCell ref="R106:R108"/>
    <mergeCell ref="S106:S108"/>
    <mergeCell ref="T106:U106"/>
    <mergeCell ref="G106:G108"/>
    <mergeCell ref="H106:H108"/>
    <mergeCell ref="I106:I108"/>
    <mergeCell ref="J106:J108"/>
    <mergeCell ref="K106:K108"/>
    <mergeCell ref="L106:L108"/>
    <mergeCell ref="M106:M108"/>
    <mergeCell ref="N106:N108"/>
    <mergeCell ref="AT107:AT108"/>
    <mergeCell ref="A2:CC2"/>
    <mergeCell ref="A1:CC1"/>
    <mergeCell ref="AT106:AV106"/>
    <mergeCell ref="AW106:AY106"/>
    <mergeCell ref="BC106:BF106"/>
    <mergeCell ref="BG106:BJ106"/>
    <mergeCell ref="AA107:AA108"/>
    <mergeCell ref="AC107:AD107"/>
    <mergeCell ref="AE107:AE108"/>
    <mergeCell ref="AF107:AG107"/>
    <mergeCell ref="AH107:AH108"/>
    <mergeCell ref="AI107:AI108"/>
    <mergeCell ref="AJ107:AK107"/>
    <mergeCell ref="AL107:AL108"/>
    <mergeCell ref="AM107:AM108"/>
    <mergeCell ref="AN107:AO107"/>
    <mergeCell ref="AZ106:BB106"/>
    <mergeCell ref="AZ107:AZ108"/>
    <mergeCell ref="BA107:BB107"/>
    <mergeCell ref="BK105:BK108"/>
    <mergeCell ref="C106:C108"/>
    <mergeCell ref="D106:D108"/>
    <mergeCell ref="E106:E108"/>
    <mergeCell ref="F106:F108"/>
  </mergeCells>
  <phoneticPr fontId="7" type="noConversion"/>
  <printOptions horizontalCentered="1" verticalCentered="1"/>
  <pageMargins left="0" right="0" top="0.19685039370078741" bottom="0.19685039370078741" header="0" footer="0"/>
  <pageSetup paperSize="9" scale="26" orientation="landscape" r:id="rId1"/>
  <headerFooter scaleWithDoc="0" alignWithMargins="0"/>
  <rowBreaks count="1" manualBreakCount="1">
    <brk id="102" max="5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X123"/>
  <sheetViews>
    <sheetView zoomScale="65" zoomScaleNormal="65" zoomScaleSheetLayoutView="75" zoomScalePageLayoutView="80" workbookViewId="0">
      <pane xSplit="22" ySplit="7" topLeftCell="BI83" activePane="bottomRight" state="frozen"/>
      <selection pane="topRight" activeCell="W1" sqref="W1"/>
      <selection pane="bottomLeft" activeCell="A7" sqref="A7"/>
      <selection pane="bottomRight" sqref="A1:BX94"/>
    </sheetView>
  </sheetViews>
  <sheetFormatPr defaultRowHeight="12.75" outlineLevelCol="1"/>
  <cols>
    <col min="1" max="1" width="54.42578125" customWidth="1"/>
    <col min="2" max="3" width="9.140625" hidden="1" customWidth="1"/>
    <col min="4" max="4" width="9.5703125" hidden="1" customWidth="1"/>
    <col min="5" max="5" width="14.7109375" hidden="1" customWidth="1"/>
    <col min="6" max="6" width="8.5703125" hidden="1" customWidth="1"/>
    <col min="7" max="7" width="16.7109375" hidden="1" customWidth="1"/>
    <col min="8" max="8" width="11.28515625" hidden="1" customWidth="1"/>
    <col min="9" max="9" width="12.5703125" hidden="1" customWidth="1"/>
    <col min="10" max="10" width="11.42578125" hidden="1" customWidth="1"/>
    <col min="11" max="11" width="14" hidden="1" customWidth="1"/>
    <col min="12" max="12" width="12.7109375" hidden="1" customWidth="1"/>
    <col min="13" max="13" width="8.140625" hidden="1" customWidth="1" outlineLevel="1"/>
    <col min="14" max="14" width="13" hidden="1" customWidth="1" outlineLevel="1"/>
    <col min="15" max="15" width="9.28515625" hidden="1" customWidth="1" outlineLevel="1"/>
    <col min="16" max="16" width="15.140625" hidden="1" customWidth="1"/>
    <col min="17" max="17" width="9.28515625" hidden="1" customWidth="1" outlineLevel="1"/>
    <col min="18" max="18" width="9.140625" hidden="1" customWidth="1" outlineLevel="1"/>
    <col min="19" max="19" width="13.7109375" hidden="1" customWidth="1"/>
    <col min="20" max="21" width="11.5703125" hidden="1" customWidth="1"/>
    <col min="22" max="22" width="0.28515625" hidden="1" customWidth="1"/>
    <col min="23" max="23" width="16.42578125" hidden="1" customWidth="1"/>
    <col min="24" max="24" width="10.28515625" hidden="1" customWidth="1"/>
    <col min="25" max="25" width="14.5703125" hidden="1" customWidth="1"/>
    <col min="26" max="26" width="13.140625" hidden="1" customWidth="1"/>
    <col min="27" max="27" width="13.28515625" hidden="1" customWidth="1"/>
    <col min="28" max="28" width="14.5703125" hidden="1" customWidth="1"/>
    <col min="29" max="29" width="13.140625" hidden="1" customWidth="1"/>
    <col min="30" max="30" width="13.28515625" hidden="1" customWidth="1"/>
    <col min="31" max="31" width="14.5703125" customWidth="1"/>
    <col min="32" max="32" width="10.7109375" customWidth="1"/>
    <col min="33" max="33" width="13.140625" customWidth="1"/>
    <col min="34" max="34" width="13.28515625" customWidth="1"/>
    <col min="35" max="35" width="14.5703125" customWidth="1"/>
    <col min="36" max="36" width="10.5703125" hidden="1" customWidth="1"/>
    <col min="37" max="37" width="13.85546875" customWidth="1"/>
    <col min="38" max="38" width="13.28515625" customWidth="1"/>
    <col min="39" max="41" width="12.85546875" hidden="1" customWidth="1" outlineLevel="1"/>
    <col min="42" max="42" width="14.5703125" customWidth="1" outlineLevel="1"/>
    <col min="43" max="43" width="13.140625" customWidth="1" outlineLevel="1"/>
    <col min="44" max="44" width="13.28515625" customWidth="1" outlineLevel="1"/>
    <col min="45" max="45" width="14.5703125" customWidth="1" outlineLevel="1"/>
    <col min="46" max="46" width="13.140625" customWidth="1" outlineLevel="1"/>
    <col min="47" max="50" width="12.85546875" customWidth="1" outlineLevel="1"/>
    <col min="51" max="51" width="14.5703125" customWidth="1" outlineLevel="1"/>
    <col min="52" max="52" width="12.5703125" style="191" customWidth="1" outlineLevel="1"/>
    <col min="53" max="53" width="13.140625" customWidth="1" outlineLevel="1"/>
    <col min="54" max="54" width="13.28515625" customWidth="1" outlineLevel="1"/>
    <col min="55" max="55" width="14.5703125" customWidth="1" outlineLevel="1"/>
    <col min="56" max="56" width="12" style="191" customWidth="1" outlineLevel="1"/>
    <col min="57" max="57" width="13.140625" customWidth="1" outlineLevel="1"/>
    <col min="58" max="58" width="13.28515625" customWidth="1" outlineLevel="1"/>
    <col min="59" max="59" width="33.42578125" hidden="1" customWidth="1"/>
    <col min="60" max="68" width="13" customWidth="1"/>
    <col min="69" max="69" width="12.85546875" customWidth="1"/>
    <col min="70" max="70" width="12" customWidth="1"/>
    <col min="71" max="73" width="12.85546875" customWidth="1"/>
    <col min="74" max="74" width="12" customWidth="1"/>
    <col min="75" max="76" width="12.85546875" customWidth="1"/>
  </cols>
  <sheetData>
    <row r="1" spans="1:76">
      <c r="A1" s="4426" t="s">
        <v>1528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  <c r="AT1" s="4426"/>
      <c r="AU1" s="4426"/>
      <c r="AV1" s="4426"/>
      <c r="AW1" s="4426"/>
      <c r="AX1" s="4426"/>
      <c r="AY1" s="4426"/>
      <c r="AZ1" s="4426"/>
      <c r="BA1" s="4426"/>
      <c r="BB1" s="4426"/>
      <c r="BC1" s="4426"/>
      <c r="BD1" s="4426"/>
      <c r="BE1" s="4426"/>
      <c r="BF1" s="4426"/>
      <c r="BG1" s="4426"/>
      <c r="BH1" s="4426"/>
      <c r="BI1" s="4426"/>
      <c r="BJ1" s="4426"/>
      <c r="BK1" s="4426"/>
      <c r="BL1" s="4426"/>
      <c r="BM1" s="4426"/>
      <c r="BN1" s="4426"/>
      <c r="BO1" s="4426"/>
      <c r="BP1" s="4426"/>
      <c r="BQ1" s="4426"/>
      <c r="BR1" s="4426"/>
      <c r="BS1" s="4426"/>
      <c r="BT1" s="4426"/>
      <c r="BU1" s="4426"/>
      <c r="BV1" s="4426"/>
      <c r="BW1" s="4426"/>
      <c r="BX1" s="4426"/>
    </row>
    <row r="2" spans="1:76" ht="21" customHeight="1">
      <c r="A2" s="4485" t="s">
        <v>1689</v>
      </c>
      <c r="B2" s="4485"/>
      <c r="C2" s="4485"/>
      <c r="D2" s="4485"/>
      <c r="E2" s="4485"/>
      <c r="F2" s="4485"/>
      <c r="G2" s="4485"/>
      <c r="H2" s="4485"/>
      <c r="I2" s="4485"/>
      <c r="J2" s="4485"/>
      <c r="K2" s="4485"/>
      <c r="L2" s="4485"/>
      <c r="M2" s="4485"/>
      <c r="N2" s="4485"/>
      <c r="O2" s="4485"/>
      <c r="P2" s="4485"/>
      <c r="Q2" s="4485"/>
      <c r="R2" s="4485"/>
      <c r="S2" s="4485"/>
      <c r="T2" s="4485"/>
      <c r="U2" s="4485"/>
      <c r="V2" s="4485"/>
      <c r="W2" s="4485"/>
      <c r="X2" s="4485"/>
      <c r="Y2" s="4485"/>
      <c r="Z2" s="4485"/>
      <c r="AA2" s="4485"/>
      <c r="AB2" s="4485"/>
      <c r="AC2" s="4485"/>
      <c r="AD2" s="4485"/>
      <c r="AE2" s="4485"/>
      <c r="AF2" s="4485"/>
      <c r="AG2" s="4485"/>
      <c r="AH2" s="4485"/>
      <c r="AI2" s="4485"/>
      <c r="AJ2" s="4485"/>
      <c r="AK2" s="4485"/>
      <c r="AL2" s="4485"/>
      <c r="AM2" s="4485"/>
      <c r="AN2" s="4485"/>
      <c r="AO2" s="4485"/>
      <c r="AP2" s="4485"/>
      <c r="AQ2" s="4485"/>
      <c r="AR2" s="4485"/>
      <c r="AS2" s="4485"/>
      <c r="AT2" s="4485"/>
      <c r="AU2" s="4485"/>
      <c r="AV2" s="4485"/>
      <c r="AW2" s="4485"/>
      <c r="AX2" s="4485"/>
      <c r="AY2" s="4485"/>
      <c r="AZ2" s="4485"/>
      <c r="BA2" s="4485"/>
      <c r="BB2" s="4485"/>
      <c r="BC2" s="4485"/>
      <c r="BD2" s="4485"/>
      <c r="BE2" s="4485"/>
      <c r="BF2" s="4485"/>
      <c r="BG2" s="4485"/>
      <c r="BH2" s="4356"/>
      <c r="BI2" s="4356"/>
      <c r="BJ2" s="4356"/>
      <c r="BK2" s="4356"/>
      <c r="BL2" s="4356"/>
      <c r="BM2" s="4356"/>
      <c r="BN2" s="4356"/>
      <c r="BO2" s="4356"/>
      <c r="BP2" s="4356"/>
      <c r="BQ2" s="4356"/>
      <c r="BR2" s="4356"/>
      <c r="BS2" s="4356"/>
      <c r="BT2" s="4356"/>
      <c r="BU2" s="4356"/>
      <c r="BV2" s="4356"/>
      <c r="BW2" s="4356"/>
      <c r="BX2" s="4356"/>
    </row>
    <row r="3" spans="1:76" ht="13.5" thickBot="1">
      <c r="A3" s="411"/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411"/>
      <c r="AK3" s="411"/>
      <c r="AL3" s="411"/>
      <c r="AM3" s="411"/>
      <c r="AN3" s="41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2245"/>
      <c r="BA3" s="411"/>
      <c r="BB3" s="411"/>
      <c r="BC3" s="411"/>
      <c r="BD3" s="2245"/>
      <c r="BE3" s="411"/>
      <c r="BF3" s="411"/>
      <c r="BG3" s="411"/>
    </row>
    <row r="4" spans="1:76" ht="39" customHeight="1" thickBot="1">
      <c r="A4" s="4760" t="s">
        <v>546</v>
      </c>
      <c r="B4" s="4716" t="s">
        <v>58</v>
      </c>
      <c r="C4" s="4662" t="s">
        <v>59</v>
      </c>
      <c r="D4" s="4662"/>
      <c r="E4" s="4719" t="s">
        <v>67</v>
      </c>
      <c r="F4" s="4719"/>
      <c r="G4" s="4719" t="s">
        <v>95</v>
      </c>
      <c r="H4" s="4719"/>
      <c r="I4" s="4719" t="s">
        <v>124</v>
      </c>
      <c r="J4" s="4719"/>
      <c r="K4" s="4719"/>
      <c r="L4" s="4719"/>
      <c r="M4" s="4719"/>
      <c r="N4" s="4720" t="s">
        <v>162</v>
      </c>
      <c r="O4" s="4720"/>
      <c r="P4" s="4720"/>
      <c r="Q4" s="4720"/>
      <c r="R4" s="4720"/>
      <c r="S4" s="4720"/>
      <c r="T4" s="4720"/>
      <c r="U4" s="4720"/>
      <c r="V4" s="4721"/>
      <c r="W4" s="4697" t="s">
        <v>238</v>
      </c>
      <c r="X4" s="4722"/>
      <c r="Y4" s="4722"/>
      <c r="Z4" s="4722"/>
      <c r="AA4" s="4722"/>
      <c r="AB4" s="4723"/>
      <c r="AC4" s="4723"/>
      <c r="AD4" s="4724"/>
      <c r="AE4" s="4697" t="s">
        <v>380</v>
      </c>
      <c r="AF4" s="4698"/>
      <c r="AG4" s="4698"/>
      <c r="AH4" s="4698"/>
      <c r="AI4" s="4698"/>
      <c r="AJ4" s="4698"/>
      <c r="AK4" s="4698"/>
      <c r="AL4" s="4698"/>
      <c r="AM4" s="4698"/>
      <c r="AN4" s="4698"/>
      <c r="AO4" s="4698"/>
      <c r="AP4" s="4698"/>
      <c r="AQ4" s="4698"/>
      <c r="AR4" s="4698"/>
      <c r="AS4" s="4698"/>
      <c r="AT4" s="4698"/>
      <c r="AU4" s="4698"/>
      <c r="AV4" s="4468"/>
      <c r="AW4" s="4468"/>
      <c r="AX4" s="4469"/>
      <c r="AY4" s="4697" t="s">
        <v>833</v>
      </c>
      <c r="AZ4" s="4722"/>
      <c r="BA4" s="4722"/>
      <c r="BB4" s="4722"/>
      <c r="BC4" s="4722"/>
      <c r="BD4" s="4722"/>
      <c r="BE4" s="4722"/>
      <c r="BF4" s="4725"/>
      <c r="BG4" s="4750" t="s">
        <v>160</v>
      </c>
      <c r="BH4" s="4640" t="s">
        <v>1596</v>
      </c>
      <c r="BI4" s="4641"/>
      <c r="BJ4" s="4641"/>
      <c r="BK4" s="4641"/>
      <c r="BL4" s="4641"/>
      <c r="BM4" s="4641"/>
      <c r="BN4" s="4641"/>
      <c r="BO4" s="4641"/>
      <c r="BP4" s="4642"/>
      <c r="BQ4" s="4684" t="s">
        <v>912</v>
      </c>
      <c r="BR4" s="4685"/>
      <c r="BS4" s="4685"/>
      <c r="BT4" s="4685"/>
      <c r="BU4" s="4685"/>
      <c r="BV4" s="4685"/>
      <c r="BW4" s="4685"/>
      <c r="BX4" s="4686"/>
    </row>
    <row r="5" spans="1:76" ht="46.5" customHeight="1" thickBot="1">
      <c r="A5" s="4761"/>
      <c r="B5" s="4717"/>
      <c r="C5" s="4705" t="s">
        <v>61</v>
      </c>
      <c r="D5" s="4705" t="s">
        <v>62</v>
      </c>
      <c r="E5" s="4705" t="s">
        <v>61</v>
      </c>
      <c r="F5" s="4705" t="s">
        <v>66</v>
      </c>
      <c r="G5" s="4707" t="s">
        <v>61</v>
      </c>
      <c r="H5" s="4707" t="s">
        <v>112</v>
      </c>
      <c r="I5" s="4707" t="s">
        <v>60</v>
      </c>
      <c r="J5" s="4707" t="s">
        <v>63</v>
      </c>
      <c r="K5" s="4707" t="s">
        <v>110</v>
      </c>
      <c r="L5" s="4705" t="s">
        <v>61</v>
      </c>
      <c r="M5" s="4705" t="s">
        <v>123</v>
      </c>
      <c r="N5" s="4705" t="s">
        <v>126</v>
      </c>
      <c r="O5" s="4705" t="s">
        <v>97</v>
      </c>
      <c r="P5" s="4705" t="s">
        <v>127</v>
      </c>
      <c r="Q5" s="4705" t="s">
        <v>97</v>
      </c>
      <c r="R5" s="4705" t="s">
        <v>161</v>
      </c>
      <c r="S5" s="4740" t="s">
        <v>23</v>
      </c>
      <c r="T5" s="4740"/>
      <c r="U5" s="4707" t="s">
        <v>110</v>
      </c>
      <c r="V5" s="4742" t="s">
        <v>409</v>
      </c>
      <c r="W5" s="4620" t="s">
        <v>126</v>
      </c>
      <c r="X5" s="4710" t="s">
        <v>97</v>
      </c>
      <c r="Y5" s="4711" t="s">
        <v>127</v>
      </c>
      <c r="Z5" s="4712"/>
      <c r="AA5" s="4713"/>
      <c r="AB5" s="4711" t="s">
        <v>832</v>
      </c>
      <c r="AC5" s="4714"/>
      <c r="AD5" s="4715"/>
      <c r="AE5" s="4726" t="s">
        <v>126</v>
      </c>
      <c r="AF5" s="4727"/>
      <c r="AG5" s="4727"/>
      <c r="AH5" s="4728"/>
      <c r="AI5" s="4726" t="s">
        <v>127</v>
      </c>
      <c r="AJ5" s="4729"/>
      <c r="AK5" s="4729"/>
      <c r="AL5" s="4730"/>
      <c r="AM5" s="1406"/>
      <c r="AN5" s="1407"/>
      <c r="AO5" s="1408"/>
      <c r="AP5" s="4726" t="s">
        <v>863</v>
      </c>
      <c r="AQ5" s="4731"/>
      <c r="AR5" s="4732"/>
      <c r="AS5" s="4657" t="s">
        <v>864</v>
      </c>
      <c r="AT5" s="4658"/>
      <c r="AU5" s="4659"/>
      <c r="AV5" s="4657" t="s">
        <v>1640</v>
      </c>
      <c r="AW5" s="4658"/>
      <c r="AX5" s="4659"/>
      <c r="AY5" s="4733" t="s">
        <v>126</v>
      </c>
      <c r="AZ5" s="4734"/>
      <c r="BA5" s="4734"/>
      <c r="BB5" s="4734"/>
      <c r="BC5" s="4745" t="s">
        <v>127</v>
      </c>
      <c r="BD5" s="4746"/>
      <c r="BE5" s="4746"/>
      <c r="BF5" s="4747"/>
      <c r="BG5" s="4751"/>
      <c r="BH5" s="4693" t="s">
        <v>1662</v>
      </c>
      <c r="BI5" s="4694"/>
      <c r="BJ5" s="4695"/>
      <c r="BK5" s="4657" t="s">
        <v>1663</v>
      </c>
      <c r="BL5" s="4658"/>
      <c r="BM5" s="4659"/>
      <c r="BN5" s="4657" t="s">
        <v>1667</v>
      </c>
      <c r="BO5" s="4658"/>
      <c r="BP5" s="4659"/>
      <c r="BQ5" s="4667" t="s">
        <v>126</v>
      </c>
      <c r="BR5" s="4668"/>
      <c r="BS5" s="4668"/>
      <c r="BT5" s="4668"/>
      <c r="BU5" s="4687" t="s">
        <v>127</v>
      </c>
      <c r="BV5" s="4688"/>
      <c r="BW5" s="4688"/>
      <c r="BX5" s="4689"/>
    </row>
    <row r="6" spans="1:76" ht="20.25" customHeight="1">
      <c r="A6" s="4761"/>
      <c r="B6" s="4717"/>
      <c r="C6" s="4705"/>
      <c r="D6" s="4705"/>
      <c r="E6" s="4705"/>
      <c r="F6" s="4705"/>
      <c r="G6" s="4708"/>
      <c r="H6" s="4708"/>
      <c r="I6" s="4708"/>
      <c r="J6" s="4708"/>
      <c r="K6" s="4708"/>
      <c r="L6" s="4705"/>
      <c r="M6" s="4705"/>
      <c r="N6" s="4705"/>
      <c r="O6" s="4705"/>
      <c r="P6" s="4705"/>
      <c r="Q6" s="4705"/>
      <c r="R6" s="4705"/>
      <c r="S6" s="4707" t="s">
        <v>47</v>
      </c>
      <c r="T6" s="4707" t="s">
        <v>211</v>
      </c>
      <c r="U6" s="4708"/>
      <c r="V6" s="4743"/>
      <c r="W6" s="4621"/>
      <c r="X6" s="4628"/>
      <c r="Y6" s="4660" t="s">
        <v>301</v>
      </c>
      <c r="Z6" s="4662" t="s">
        <v>50</v>
      </c>
      <c r="AA6" s="4749"/>
      <c r="AB6" s="4660" t="s">
        <v>301</v>
      </c>
      <c r="AC6" s="4662" t="s">
        <v>50</v>
      </c>
      <c r="AD6" s="4663"/>
      <c r="AE6" s="4660" t="s">
        <v>301</v>
      </c>
      <c r="AF6" s="4699" t="s">
        <v>97</v>
      </c>
      <c r="AG6" s="4662" t="s">
        <v>50</v>
      </c>
      <c r="AH6" s="4663"/>
      <c r="AI6" s="4660" t="s">
        <v>301</v>
      </c>
      <c r="AJ6" s="4699" t="s">
        <v>97</v>
      </c>
      <c r="AK6" s="4662" t="s">
        <v>50</v>
      </c>
      <c r="AL6" s="4663"/>
      <c r="AM6" s="1409"/>
      <c r="AN6" s="1410"/>
      <c r="AO6" s="1411"/>
      <c r="AP6" s="4660" t="s">
        <v>301</v>
      </c>
      <c r="AQ6" s="4662" t="s">
        <v>50</v>
      </c>
      <c r="AR6" s="4663"/>
      <c r="AS6" s="4660" t="s">
        <v>301</v>
      </c>
      <c r="AT6" s="4662" t="s">
        <v>50</v>
      </c>
      <c r="AU6" s="4663"/>
      <c r="AV6" s="4660" t="s">
        <v>301</v>
      </c>
      <c r="AW6" s="4662" t="s">
        <v>50</v>
      </c>
      <c r="AX6" s="4663"/>
      <c r="AY6" s="4660" t="s">
        <v>301</v>
      </c>
      <c r="AZ6" s="4700" t="s">
        <v>97</v>
      </c>
      <c r="BA6" s="4662" t="s">
        <v>50</v>
      </c>
      <c r="BB6" s="4737"/>
      <c r="BC6" s="4748" t="s">
        <v>301</v>
      </c>
      <c r="BD6" s="4623" t="s">
        <v>97</v>
      </c>
      <c r="BE6" s="4755" t="s">
        <v>50</v>
      </c>
      <c r="BF6" s="4756"/>
      <c r="BG6" s="4751"/>
      <c r="BH6" s="4660" t="s">
        <v>301</v>
      </c>
      <c r="BI6" s="4662" t="s">
        <v>50</v>
      </c>
      <c r="BJ6" s="4663"/>
      <c r="BK6" s="4660" t="s">
        <v>301</v>
      </c>
      <c r="BL6" s="4662" t="s">
        <v>50</v>
      </c>
      <c r="BM6" s="4663"/>
      <c r="BN6" s="4660" t="s">
        <v>301</v>
      </c>
      <c r="BO6" s="4662" t="s">
        <v>50</v>
      </c>
      <c r="BP6" s="4663"/>
      <c r="BQ6" s="4669" t="s">
        <v>301</v>
      </c>
      <c r="BR6" s="4655" t="s">
        <v>97</v>
      </c>
      <c r="BS6" s="4672" t="s">
        <v>50</v>
      </c>
      <c r="BT6" s="4673"/>
      <c r="BU6" s="4690" t="s">
        <v>301</v>
      </c>
      <c r="BV6" s="4650" t="s">
        <v>97</v>
      </c>
      <c r="BW6" s="4691" t="s">
        <v>50</v>
      </c>
      <c r="BX6" s="4692"/>
    </row>
    <row r="7" spans="1:76" ht="42.75" customHeight="1" thickBot="1">
      <c r="A7" s="4762"/>
      <c r="B7" s="4718"/>
      <c r="C7" s="4706"/>
      <c r="D7" s="4706"/>
      <c r="E7" s="4706"/>
      <c r="F7" s="4706"/>
      <c r="G7" s="4709"/>
      <c r="H7" s="4709"/>
      <c r="I7" s="4709"/>
      <c r="J7" s="4709"/>
      <c r="K7" s="4709"/>
      <c r="L7" s="4706"/>
      <c r="M7" s="4706"/>
      <c r="N7" s="4706"/>
      <c r="O7" s="4706"/>
      <c r="P7" s="4706"/>
      <c r="Q7" s="4706"/>
      <c r="R7" s="4706"/>
      <c r="S7" s="4709"/>
      <c r="T7" s="4709"/>
      <c r="U7" s="4709"/>
      <c r="V7" s="4744"/>
      <c r="W7" s="4622"/>
      <c r="X7" s="4629"/>
      <c r="Y7" s="4661"/>
      <c r="Z7" s="1310" t="s">
        <v>47</v>
      </c>
      <c r="AA7" s="620" t="s">
        <v>547</v>
      </c>
      <c r="AB7" s="4661"/>
      <c r="AC7" s="1310" t="s">
        <v>47</v>
      </c>
      <c r="AD7" s="620" t="s">
        <v>547</v>
      </c>
      <c r="AE7" s="4696"/>
      <c r="AF7" s="4590"/>
      <c r="AG7" s="1310" t="s">
        <v>47</v>
      </c>
      <c r="AH7" s="620" t="s">
        <v>547</v>
      </c>
      <c r="AI7" s="4696"/>
      <c r="AJ7" s="4590"/>
      <c r="AK7" s="1310" t="s">
        <v>47</v>
      </c>
      <c r="AL7" s="620" t="s">
        <v>547</v>
      </c>
      <c r="AM7" s="1478" t="s">
        <v>257</v>
      </c>
      <c r="AN7" s="1479" t="s">
        <v>373</v>
      </c>
      <c r="AO7" s="1480"/>
      <c r="AP7" s="4661"/>
      <c r="AQ7" s="1310" t="s">
        <v>47</v>
      </c>
      <c r="AR7" s="620" t="s">
        <v>547</v>
      </c>
      <c r="AS7" s="4661"/>
      <c r="AT7" s="1310" t="s">
        <v>47</v>
      </c>
      <c r="AU7" s="620" t="s">
        <v>547</v>
      </c>
      <c r="AV7" s="4661"/>
      <c r="AW7" s="2771" t="s">
        <v>47</v>
      </c>
      <c r="AX7" s="620" t="s">
        <v>547</v>
      </c>
      <c r="AY7" s="4661"/>
      <c r="AZ7" s="4701"/>
      <c r="BA7" s="1310" t="s">
        <v>47</v>
      </c>
      <c r="BB7" s="1311" t="s">
        <v>547</v>
      </c>
      <c r="BC7" s="4661"/>
      <c r="BD7" s="4701"/>
      <c r="BE7" s="1310" t="s">
        <v>47</v>
      </c>
      <c r="BF7" s="620" t="s">
        <v>547</v>
      </c>
      <c r="BG7" s="4752"/>
      <c r="BH7" s="4661"/>
      <c r="BI7" s="3367" t="s">
        <v>47</v>
      </c>
      <c r="BJ7" s="620" t="s">
        <v>547</v>
      </c>
      <c r="BK7" s="4661"/>
      <c r="BL7" s="3367" t="s">
        <v>47</v>
      </c>
      <c r="BM7" s="620" t="s">
        <v>547</v>
      </c>
      <c r="BN7" s="4661"/>
      <c r="BO7" s="3367" t="s">
        <v>47</v>
      </c>
      <c r="BP7" s="620" t="s">
        <v>547</v>
      </c>
      <c r="BQ7" s="4670"/>
      <c r="BR7" s="4671"/>
      <c r="BS7" s="2937" t="s">
        <v>47</v>
      </c>
      <c r="BT7" s="3429" t="s">
        <v>547</v>
      </c>
      <c r="BU7" s="4670"/>
      <c r="BV7" s="4671"/>
      <c r="BW7" s="2937" t="s">
        <v>47</v>
      </c>
      <c r="BX7" s="3645" t="s">
        <v>547</v>
      </c>
    </row>
    <row r="8" spans="1:76" ht="21" customHeight="1">
      <c r="A8" s="1473" t="s">
        <v>0</v>
      </c>
      <c r="B8" s="1474">
        <f>SUM(B9:B16)</f>
        <v>7787.0999999999995</v>
      </c>
      <c r="C8" s="1475">
        <f>SUM(C9:C16)</f>
        <v>8710.3000000000011</v>
      </c>
      <c r="D8" s="1476">
        <f t="shared" ref="D8:D42" si="0">C8/B8*100</f>
        <v>111.85550461660954</v>
      </c>
      <c r="E8" s="1416">
        <f>SUM(E9:E16)-E15</f>
        <v>9918.1</v>
      </c>
      <c r="F8" s="1416">
        <f t="shared" ref="F8:Z8" si="1">SUM(F9:F16)-F15</f>
        <v>718.50644173639284</v>
      </c>
      <c r="G8" s="1416">
        <f t="shared" si="1"/>
        <v>11143.8</v>
      </c>
      <c r="H8" s="1477">
        <f t="shared" ref="H8:H56" si="2">G8/E8*100</f>
        <v>112.3582137707827</v>
      </c>
      <c r="I8" s="1416">
        <f t="shared" si="1"/>
        <v>12086.737939999999</v>
      </c>
      <c r="J8" s="1416">
        <f t="shared" si="1"/>
        <v>5759.5</v>
      </c>
      <c r="K8" s="1416">
        <f t="shared" si="1"/>
        <v>8100.2438109153081</v>
      </c>
      <c r="L8" s="1416">
        <f t="shared" si="1"/>
        <v>12055.1</v>
      </c>
      <c r="M8" s="1416">
        <f t="shared" si="1"/>
        <v>750.7566538578908</v>
      </c>
      <c r="N8" s="1416">
        <f t="shared" si="1"/>
        <v>15356.929999999998</v>
      </c>
      <c r="O8" s="1416">
        <f t="shared" si="1"/>
        <v>730.28673534554662</v>
      </c>
      <c r="P8" s="1416" t="e">
        <f t="shared" si="1"/>
        <v>#REF!</v>
      </c>
      <c r="Q8" s="1416" t="e">
        <f t="shared" si="1"/>
        <v>#REF!</v>
      </c>
      <c r="R8" s="1416" t="e">
        <f t="shared" si="1"/>
        <v>#REF!</v>
      </c>
      <c r="S8" s="1416">
        <f t="shared" si="1"/>
        <v>13172.8958</v>
      </c>
      <c r="T8" s="1416">
        <f t="shared" si="1"/>
        <v>0</v>
      </c>
      <c r="U8" s="1416">
        <f t="shared" si="1"/>
        <v>9205.5</v>
      </c>
      <c r="V8" s="1417">
        <f t="shared" si="1"/>
        <v>0</v>
      </c>
      <c r="W8" s="1418">
        <f t="shared" si="1"/>
        <v>16520.07</v>
      </c>
      <c r="X8" s="1852"/>
      <c r="Y8" s="1495">
        <f t="shared" si="1"/>
        <v>12416.762545040288</v>
      </c>
      <c r="Z8" s="1496">
        <f t="shared" si="1"/>
        <v>12416.762545040288</v>
      </c>
      <c r="AA8" s="1497">
        <f>AA9+AA10+AA12+AA13+AA14+AA16</f>
        <v>0</v>
      </c>
      <c r="AB8" s="1495">
        <f t="shared" ref="AB8:AC8" si="3">SUM(AB9:AB16)-AB15</f>
        <v>11735.1</v>
      </c>
      <c r="AC8" s="1496">
        <f t="shared" si="3"/>
        <v>11735.1</v>
      </c>
      <c r="AD8" s="1497">
        <f>AD9+AD10+AD12+AD13+AD14+AD16</f>
        <v>0</v>
      </c>
      <c r="AE8" s="1495">
        <v>15636.95</v>
      </c>
      <c r="AF8" s="1294">
        <f>SUM(AE8/Y8)</f>
        <v>1.2593419535308721</v>
      </c>
      <c r="AG8" s="1496">
        <v>15786.34</v>
      </c>
      <c r="AH8" s="1497">
        <v>0</v>
      </c>
      <c r="AI8" s="1495">
        <f>AI9+AI10+AI12+AI13+AI14+AI16</f>
        <v>13472.574404759991</v>
      </c>
      <c r="AJ8" s="1294">
        <f>SUM(AI8/Y8)</f>
        <v>1.0850311710391396</v>
      </c>
      <c r="AK8" s="1496">
        <f>AK9+AK10+AK12+AK13+AK14+AK16</f>
        <v>13472.574404759991</v>
      </c>
      <c r="AL8" s="1497">
        <f>AL9+AL10+AL12+AL13+AL14+AL16</f>
        <v>0</v>
      </c>
      <c r="AM8" s="1420" t="e">
        <f>#REF!</f>
        <v>#REF!</v>
      </c>
      <c r="AN8" s="1416">
        <v>0</v>
      </c>
      <c r="AO8" s="1417" t="e">
        <f>AM8+AN8</f>
        <v>#REF!</v>
      </c>
      <c r="AP8" s="1495">
        <f t="shared" ref="AP8:BE8" si="4">SUM(AP9:AP16)-AP15</f>
        <v>4689.5500000000011</v>
      </c>
      <c r="AQ8" s="1496">
        <f t="shared" si="4"/>
        <v>4689.5500000000011</v>
      </c>
      <c r="AR8" s="1497">
        <f>AR9+AR10+AR12+AR13+AR14+AR16</f>
        <v>0</v>
      </c>
      <c r="AS8" s="1495">
        <f t="shared" si="4"/>
        <v>7398.74</v>
      </c>
      <c r="AT8" s="1496">
        <f t="shared" si="4"/>
        <v>7398.74</v>
      </c>
      <c r="AU8" s="1497">
        <f>AU9+AU10+AU12+AU13+AU14+AU16</f>
        <v>0</v>
      </c>
      <c r="AV8" s="1495">
        <f t="shared" ref="AV8:AW8" si="5">SUM(AV9:AV16)-AV15</f>
        <v>12203.08</v>
      </c>
      <c r="AW8" s="1496">
        <f t="shared" si="5"/>
        <v>12203.08</v>
      </c>
      <c r="AX8" s="1497">
        <f>AX9+AX10+AX12+AX13+AX14+AX16</f>
        <v>0</v>
      </c>
      <c r="AY8" s="1495">
        <f t="shared" si="4"/>
        <v>15273.137040000001</v>
      </c>
      <c r="AZ8" s="1166">
        <f>SUM(AY8/AI8)</f>
        <v>1.133646516333497</v>
      </c>
      <c r="BA8" s="1496">
        <f t="shared" si="4"/>
        <v>15273.137040000001</v>
      </c>
      <c r="BB8" s="1497">
        <f>BB9+BB10+BB12+BB13+BB14+BB16</f>
        <v>0</v>
      </c>
      <c r="BC8" s="1495">
        <f t="shared" si="4"/>
        <v>12994.682901961944</v>
      </c>
      <c r="BD8" s="2246">
        <f>SUM(BC8/AI8)</f>
        <v>0.96452856830174905</v>
      </c>
      <c r="BE8" s="1496">
        <f t="shared" si="4"/>
        <v>12994.682901961944</v>
      </c>
      <c r="BF8" s="1497">
        <f>BF9+BF10+BF12+BF13+BF14+BF16</f>
        <v>0</v>
      </c>
      <c r="BG8" s="2055"/>
      <c r="BH8" s="1495">
        <f t="shared" ref="BH8:BI8" si="6">SUM(BH9:BH16)-BH15</f>
        <v>6154.53</v>
      </c>
      <c r="BI8" s="1496">
        <f t="shared" si="6"/>
        <v>6154.53</v>
      </c>
      <c r="BJ8" s="1497">
        <f>BJ9+BJ10+BJ12+BJ13+BJ14+BJ16</f>
        <v>0</v>
      </c>
      <c r="BK8" s="1495">
        <f t="shared" ref="BK8:BL8" si="7">SUM(BK9:BK16)-BK15</f>
        <v>9559.86</v>
      </c>
      <c r="BL8" s="1496">
        <f t="shared" si="7"/>
        <v>9559.86</v>
      </c>
      <c r="BM8" s="1497">
        <f>BM9+BM10+BM12+BM13+BM14+BM16</f>
        <v>0</v>
      </c>
      <c r="BN8" s="1495">
        <f t="shared" ref="BN8:BO8" si="8">SUM(BN9:BN16)-BN15</f>
        <v>12992.802136669545</v>
      </c>
      <c r="BO8" s="1496">
        <f t="shared" si="8"/>
        <v>12992.802136669545</v>
      </c>
      <c r="BP8" s="1497">
        <f>BP9+BP10+BP12+BP13+BP14+BP16</f>
        <v>0</v>
      </c>
      <c r="BQ8" s="2938">
        <f t="shared" ref="BQ8" si="9">SUM(BQ9:BQ16)-BQ15</f>
        <v>14713.221242638498</v>
      </c>
      <c r="BR8" s="3430">
        <f>SUM(BQ8/BC8)</f>
        <v>1.1322493479557771</v>
      </c>
      <c r="BS8" s="2939">
        <f t="shared" ref="BS8" si="10">SUM(BS9:BS16)-BS15</f>
        <v>14713.221242638498</v>
      </c>
      <c r="BT8" s="2940">
        <f>BT9+BT10+BT12+BT13+BT14+BT16</f>
        <v>0</v>
      </c>
      <c r="BU8" s="2938">
        <f t="shared" ref="BU8" si="11">SUM(BU9:BU16)-BU15</f>
        <v>13626.347400619647</v>
      </c>
      <c r="BV8" s="3701">
        <f>SUM(BU8/BC8)</f>
        <v>1.0486094584549142</v>
      </c>
      <c r="BW8" s="2939">
        <f t="shared" ref="BW8" si="12">SUM(BW9:BW16)-BW15</f>
        <v>13626.347400619647</v>
      </c>
      <c r="BX8" s="2940">
        <f>BX9+BX10+BX12+BX13+BX14+BX16</f>
        <v>0</v>
      </c>
    </row>
    <row r="9" spans="1:76" ht="21" customHeight="1">
      <c r="A9" s="1400" t="s">
        <v>1</v>
      </c>
      <c r="B9" s="1229">
        <v>1474.6</v>
      </c>
      <c r="C9" s="1421">
        <v>1358.2</v>
      </c>
      <c r="D9" s="1415">
        <f t="shared" si="0"/>
        <v>92.106333921063339</v>
      </c>
      <c r="E9" s="1421">
        <v>1536.5</v>
      </c>
      <c r="F9" s="1415">
        <f t="shared" ref="F9:F30" si="13">E9/C9*100</f>
        <v>113.12766897364158</v>
      </c>
      <c r="G9" s="1421">
        <v>1642.6</v>
      </c>
      <c r="H9" s="1415">
        <f t="shared" si="2"/>
        <v>106.90530426293523</v>
      </c>
      <c r="I9" s="382">
        <f>1775.3*0.9518</f>
        <v>1689.73054</v>
      </c>
      <c r="J9" s="382">
        <v>974.8</v>
      </c>
      <c r="K9" s="382">
        <v>1253.0999999999999</v>
      </c>
      <c r="L9" s="382">
        <v>1864.4</v>
      </c>
      <c r="M9" s="1422">
        <f t="shared" ref="M9:M56" si="14">L9/G9*100</f>
        <v>113.50298307561184</v>
      </c>
      <c r="N9" s="382">
        <v>2192.4</v>
      </c>
      <c r="O9" s="1423">
        <f t="shared" ref="O9:O51" si="15">N9/I9*100</f>
        <v>129.74849824280267</v>
      </c>
      <c r="P9" s="382" t="e">
        <f>электр!AC14</f>
        <v>#REF!</v>
      </c>
      <c r="Q9" s="1422" t="e">
        <f t="shared" ref="Q9:Q59" si="16">P9/I9*100</f>
        <v>#REF!</v>
      </c>
      <c r="R9" s="1422" t="e">
        <f t="shared" ref="R9:R26" si="17">P9/L9*100</f>
        <v>#REF!</v>
      </c>
      <c r="S9" s="382">
        <v>2037.2</v>
      </c>
      <c r="T9" s="382"/>
      <c r="U9" s="382">
        <v>1316.9</v>
      </c>
      <c r="V9" s="1196"/>
      <c r="W9" s="1356">
        <v>2285.4</v>
      </c>
      <c r="X9" s="1853"/>
      <c r="Y9" s="1110">
        <f>электр!Q52</f>
        <v>2047.0527990000001</v>
      </c>
      <c r="Z9" s="1069">
        <f>Y9</f>
        <v>2047.0527990000001</v>
      </c>
      <c r="AA9" s="1107">
        <v>0</v>
      </c>
      <c r="AB9" s="1110">
        <f>SUM(электр!AG52)</f>
        <v>1542.6</v>
      </c>
      <c r="AC9" s="1069">
        <f>AB9</f>
        <v>1542.6</v>
      </c>
      <c r="AD9" s="1107">
        <v>0</v>
      </c>
      <c r="AE9" s="1110">
        <v>2169.88</v>
      </c>
      <c r="AF9" s="1069">
        <f t="shared" ref="AF9:AF63" si="18">SUM(AE9/Y9)</f>
        <v>1.0600019701787868</v>
      </c>
      <c r="AG9" s="1069">
        <v>2169.88</v>
      </c>
      <c r="AH9" s="1107">
        <v>0</v>
      </c>
      <c r="AI9" s="1110">
        <f>электр!AN52</f>
        <v>1886.3204777318492</v>
      </c>
      <c r="AJ9" s="1069">
        <f t="shared" ref="AJ9:AJ63" si="19">SUM(AI9/Y9)</f>
        <v>0.92148110622907742</v>
      </c>
      <c r="AK9" s="1069">
        <f>AI9</f>
        <v>1886.3204777318492</v>
      </c>
      <c r="AL9" s="1107">
        <f>AA9*1.084</f>
        <v>0</v>
      </c>
      <c r="AM9" s="1391" t="e">
        <f>#REF!</f>
        <v>#REF!</v>
      </c>
      <c r="AN9" s="1394">
        <v>0</v>
      </c>
      <c r="AO9" s="1424" t="e">
        <f t="shared" ref="AO9:AO63" si="20">AM9+AN9</f>
        <v>#REF!</v>
      </c>
      <c r="AP9" s="1110">
        <f>SUM(электр!AT52)</f>
        <v>732.2</v>
      </c>
      <c r="AQ9" s="1069">
        <f>SUM(AP9)</f>
        <v>732.2</v>
      </c>
      <c r="AR9" s="1107">
        <v>0</v>
      </c>
      <c r="AS9" s="1110">
        <f>SUM(электр!AW52)</f>
        <v>972.9</v>
      </c>
      <c r="AT9" s="1069">
        <f>SUM(AS9)</f>
        <v>972.9</v>
      </c>
      <c r="AU9" s="1107">
        <v>0</v>
      </c>
      <c r="AV9" s="1110">
        <v>1384.79</v>
      </c>
      <c r="AW9" s="1069">
        <f>SUM(AV9)</f>
        <v>1384.79</v>
      </c>
      <c r="AX9" s="1107">
        <v>0</v>
      </c>
      <c r="AY9" s="1110">
        <v>1999.86</v>
      </c>
      <c r="AZ9" s="1174">
        <f>SUM(AY9/AI9)</f>
        <v>1.060191003389134</v>
      </c>
      <c r="BA9" s="1069">
        <f>SUM(AY9)</f>
        <v>1999.86</v>
      </c>
      <c r="BB9" s="1107">
        <v>0</v>
      </c>
      <c r="BC9" s="1110">
        <f>SUM(электр!BD52)</f>
        <v>1609.8565618924345</v>
      </c>
      <c r="BD9" s="1362">
        <f>SUM(BC9/AI9)</f>
        <v>0.85343746245503271</v>
      </c>
      <c r="BE9" s="1069">
        <f>SUM(BC9)</f>
        <v>1609.8565618924345</v>
      </c>
      <c r="BF9" s="1107">
        <v>0</v>
      </c>
      <c r="BG9" s="2056" t="s">
        <v>1516</v>
      </c>
      <c r="BH9" s="1110">
        <f>SUM(электр!BM52)</f>
        <v>398.75</v>
      </c>
      <c r="BI9" s="1069">
        <f>SUM(BH9)</f>
        <v>398.75</v>
      </c>
      <c r="BJ9" s="1107">
        <v>0</v>
      </c>
      <c r="BK9" s="1110">
        <f>SUM(электр!BP52)</f>
        <v>513.78</v>
      </c>
      <c r="BL9" s="1069">
        <f>SUM(BK9)</f>
        <v>513.78</v>
      </c>
      <c r="BM9" s="1107">
        <v>0</v>
      </c>
      <c r="BN9" s="1110">
        <f>SUM(электр!BS52)</f>
        <v>673.15957644006369</v>
      </c>
      <c r="BO9" s="1069">
        <f>SUM(BN9)</f>
        <v>673.15957644006369</v>
      </c>
      <c r="BP9" s="1107">
        <v>0</v>
      </c>
      <c r="BQ9" s="2941">
        <f>SUM('электр 2017-2018'!CH52)</f>
        <v>1647.6715686052219</v>
      </c>
      <c r="BR9" s="3431">
        <f>SUM(BQ9/BC9)</f>
        <v>1.0234896745510884</v>
      </c>
      <c r="BS9" s="2942">
        <f>SUM(BQ9)</f>
        <v>1647.6715686052219</v>
      </c>
      <c r="BT9" s="2784">
        <v>0</v>
      </c>
      <c r="BU9" s="2941">
        <f>SUM(электр!BZ52)</f>
        <v>1566.52</v>
      </c>
      <c r="BV9" s="3702">
        <f t="shared" ref="BV9:BV63" si="21">SUM(BU9/BC9)</f>
        <v>0.97308048249870716</v>
      </c>
      <c r="BW9" s="2942">
        <f>SUM(BU9)</f>
        <v>1566.52</v>
      </c>
      <c r="BX9" s="2784">
        <v>0</v>
      </c>
    </row>
    <row r="10" spans="1:76" ht="21" customHeight="1">
      <c r="A10" s="1400" t="s">
        <v>2</v>
      </c>
      <c r="B10" s="1229">
        <v>207.4</v>
      </c>
      <c r="C10" s="1421">
        <v>234.2</v>
      </c>
      <c r="D10" s="1415">
        <f t="shared" si="0"/>
        <v>112.92189006750239</v>
      </c>
      <c r="E10" s="1421">
        <v>211</v>
      </c>
      <c r="F10" s="1415">
        <f t="shared" si="13"/>
        <v>90.093936806148605</v>
      </c>
      <c r="G10" s="1421">
        <v>222</v>
      </c>
      <c r="H10" s="1415">
        <f t="shared" si="2"/>
        <v>105.21327014218009</v>
      </c>
      <c r="I10" s="382">
        <v>206.5</v>
      </c>
      <c r="J10" s="382">
        <v>112.2</v>
      </c>
      <c r="K10" s="382">
        <v>181.3</v>
      </c>
      <c r="L10" s="382">
        <v>247.9</v>
      </c>
      <c r="M10" s="1422">
        <f t="shared" si="14"/>
        <v>111.66666666666667</v>
      </c>
      <c r="N10" s="382">
        <v>216.83</v>
      </c>
      <c r="O10" s="1423">
        <f t="shared" si="15"/>
        <v>105.00242130750605</v>
      </c>
      <c r="P10" s="382">
        <v>206.5</v>
      </c>
      <c r="Q10" s="1422">
        <f t="shared" si="16"/>
        <v>100</v>
      </c>
      <c r="R10" s="1422">
        <f t="shared" si="17"/>
        <v>83.299717628075825</v>
      </c>
      <c r="S10" s="382">
        <v>206.5</v>
      </c>
      <c r="T10" s="382"/>
      <c r="U10" s="382">
        <v>192.7</v>
      </c>
      <c r="V10" s="1196"/>
      <c r="W10" s="1356">
        <v>267.89999999999998</v>
      </c>
      <c r="X10" s="1853"/>
      <c r="Y10" s="1110">
        <f>Аморт!G26</f>
        <v>256.93</v>
      </c>
      <c r="Z10" s="1069">
        <f t="shared" ref="Z10:Z16" si="22">Y10</f>
        <v>256.93</v>
      </c>
      <c r="AA10" s="1107">
        <v>0</v>
      </c>
      <c r="AB10" s="1110">
        <f>SUM(Аморт!L26)</f>
        <v>275.8</v>
      </c>
      <c r="AC10" s="1069">
        <f t="shared" ref="AC10" si="23">AB10</f>
        <v>275.8</v>
      </c>
      <c r="AD10" s="1107">
        <v>0</v>
      </c>
      <c r="AE10" s="1110">
        <v>273.60000000000002</v>
      </c>
      <c r="AF10" s="1069">
        <f t="shared" si="18"/>
        <v>1.0648814852294399</v>
      </c>
      <c r="AG10" s="1069">
        <v>273.60000000000002</v>
      </c>
      <c r="AH10" s="1107">
        <v>0</v>
      </c>
      <c r="AI10" s="1110">
        <f>Аморт!O26</f>
        <v>273.60000000000002</v>
      </c>
      <c r="AJ10" s="1069">
        <f t="shared" si="19"/>
        <v>1.0648814852294399</v>
      </c>
      <c r="AK10" s="1069">
        <f>AI10</f>
        <v>273.60000000000002</v>
      </c>
      <c r="AL10" s="1107"/>
      <c r="AM10" s="1391" t="e">
        <f>#REF!</f>
        <v>#REF!</v>
      </c>
      <c r="AN10" s="1394">
        <v>0</v>
      </c>
      <c r="AO10" s="1424" t="e">
        <f t="shared" si="20"/>
        <v>#REF!</v>
      </c>
      <c r="AP10" s="1110">
        <f>SUM(Аморт!Q26)</f>
        <v>189.68</v>
      </c>
      <c r="AQ10" s="1069">
        <f t="shared" ref="AQ10" si="24">AP10</f>
        <v>189.68</v>
      </c>
      <c r="AR10" s="1107">
        <v>0</v>
      </c>
      <c r="AS10" s="1110">
        <f>SUM(Аморт!R26)</f>
        <v>307.45999999999998</v>
      </c>
      <c r="AT10" s="1069">
        <f t="shared" ref="AT10" si="25">AS10</f>
        <v>307.45999999999998</v>
      </c>
      <c r="AU10" s="1107">
        <v>0</v>
      </c>
      <c r="AV10" s="1110">
        <v>425.24</v>
      </c>
      <c r="AW10" s="1069">
        <f t="shared" ref="AW10:AW12" si="26">AV10</f>
        <v>425.24</v>
      </c>
      <c r="AX10" s="1107">
        <v>0</v>
      </c>
      <c r="AY10" s="1110">
        <f>SUM(Аморт!U26)</f>
        <v>273.60000000000002</v>
      </c>
      <c r="AZ10" s="1174">
        <f>SUM(AY10/AI10)</f>
        <v>1</v>
      </c>
      <c r="BA10" s="1069">
        <f>SUM(AY10)</f>
        <v>273.60000000000002</v>
      </c>
      <c r="BB10" s="1107">
        <v>0</v>
      </c>
      <c r="BC10" s="1110">
        <f>SUM(Аморт!V26)</f>
        <v>273.60000000000002</v>
      </c>
      <c r="BD10" s="1362">
        <f t="shared" ref="BD10:BD63" si="27">SUM(BC10/AI10)</f>
        <v>1</v>
      </c>
      <c r="BE10" s="1069">
        <f>SUM(BC10)</f>
        <v>273.60000000000002</v>
      </c>
      <c r="BF10" s="1107">
        <v>0</v>
      </c>
      <c r="BG10" s="2056" t="str">
        <f>вода!BK10</f>
        <v>Приложение</v>
      </c>
      <c r="BH10" s="1110">
        <f>SUM(Аморт!AB26)</f>
        <v>247.01</v>
      </c>
      <c r="BI10" s="1069">
        <f t="shared" ref="BI10" si="28">BH10</f>
        <v>247.01</v>
      </c>
      <c r="BJ10" s="1107">
        <v>0</v>
      </c>
      <c r="BK10" s="1110">
        <f>SUM(Аморт!AC26)</f>
        <v>369.43</v>
      </c>
      <c r="BL10" s="1069">
        <f t="shared" ref="BL10" si="29">BK10</f>
        <v>369.43</v>
      </c>
      <c r="BM10" s="1107">
        <v>0</v>
      </c>
      <c r="BN10" s="1110">
        <f>SUM(Аморт!AD26)</f>
        <v>492.57333333333332</v>
      </c>
      <c r="BO10" s="1069">
        <f t="shared" ref="BO10" si="30">BN10</f>
        <v>492.57333333333332</v>
      </c>
      <c r="BP10" s="1107">
        <v>0</v>
      </c>
      <c r="BQ10" s="2941">
        <f>SUM(Аморт!AE26)</f>
        <v>425.24</v>
      </c>
      <c r="BR10" s="3431">
        <f t="shared" ref="BR10:BR63" si="31">SUM(BQ10/BC10)</f>
        <v>1.5542397660818712</v>
      </c>
      <c r="BS10" s="2942">
        <f>SUM(BQ10)</f>
        <v>425.24</v>
      </c>
      <c r="BT10" s="2784">
        <v>0</v>
      </c>
      <c r="BU10" s="2941">
        <v>422.27</v>
      </c>
      <c r="BV10" s="3702">
        <f t="shared" si="21"/>
        <v>1.5433845029239763</v>
      </c>
      <c r="BW10" s="2942">
        <f>SUM(BU10)</f>
        <v>422.27</v>
      </c>
      <c r="BX10" s="2784">
        <v>0</v>
      </c>
    </row>
    <row r="11" spans="1:76" ht="21" customHeight="1">
      <c r="A11" s="1400" t="s">
        <v>219</v>
      </c>
      <c r="B11" s="1229"/>
      <c r="C11" s="1421"/>
      <c r="D11" s="1415"/>
      <c r="E11" s="1421"/>
      <c r="F11" s="1415"/>
      <c r="G11" s="1421"/>
      <c r="H11" s="1415"/>
      <c r="I11" s="382"/>
      <c r="J11" s="382"/>
      <c r="K11" s="382">
        <v>31.8</v>
      </c>
      <c r="L11" s="382">
        <v>31.8</v>
      </c>
      <c r="M11" s="1422"/>
      <c r="N11" s="382"/>
      <c r="O11" s="1423"/>
      <c r="P11" s="382"/>
      <c r="Q11" s="1422"/>
      <c r="R11" s="1422"/>
      <c r="S11" s="382"/>
      <c r="T11" s="382"/>
      <c r="U11" s="382"/>
      <c r="V11" s="1196"/>
      <c r="W11" s="1356">
        <v>0</v>
      </c>
      <c r="X11" s="1853"/>
      <c r="Y11" s="1110">
        <v>0</v>
      </c>
      <c r="Z11" s="1069">
        <f t="shared" si="22"/>
        <v>0</v>
      </c>
      <c r="AA11" s="1107">
        <v>0</v>
      </c>
      <c r="AB11" s="1110">
        <v>0</v>
      </c>
      <c r="AC11" s="1069">
        <v>0</v>
      </c>
      <c r="AD11" s="1107">
        <v>0</v>
      </c>
      <c r="AE11" s="1110">
        <v>0</v>
      </c>
      <c r="AF11" s="1069"/>
      <c r="AG11" s="1069">
        <v>0</v>
      </c>
      <c r="AH11" s="1107">
        <v>0</v>
      </c>
      <c r="AI11" s="1110">
        <f>Y11</f>
        <v>0</v>
      </c>
      <c r="AJ11" s="1069"/>
      <c r="AK11" s="1069">
        <f>Z11</f>
        <v>0</v>
      </c>
      <c r="AL11" s="1107">
        <f>AA11</f>
        <v>0</v>
      </c>
      <c r="AM11" s="1391" t="e">
        <f>#REF!</f>
        <v>#REF!</v>
      </c>
      <c r="AN11" s="1394">
        <v>0</v>
      </c>
      <c r="AO11" s="1424" t="e">
        <f t="shared" si="20"/>
        <v>#REF!</v>
      </c>
      <c r="AP11" s="1110">
        <v>0</v>
      </c>
      <c r="AQ11" s="1069">
        <v>0</v>
      </c>
      <c r="AR11" s="1107">
        <v>0</v>
      </c>
      <c r="AS11" s="1110">
        <v>0</v>
      </c>
      <c r="AT11" s="1069">
        <v>0</v>
      </c>
      <c r="AU11" s="1107">
        <v>0</v>
      </c>
      <c r="AV11" s="1110">
        <v>0</v>
      </c>
      <c r="AW11" s="1069">
        <v>0</v>
      </c>
      <c r="AX11" s="1107">
        <v>0</v>
      </c>
      <c r="AY11" s="1110">
        <v>0</v>
      </c>
      <c r="AZ11" s="1174">
        <v>0</v>
      </c>
      <c r="BA11" s="1069">
        <v>0</v>
      </c>
      <c r="BB11" s="1107">
        <v>0</v>
      </c>
      <c r="BC11" s="1110">
        <v>0</v>
      </c>
      <c r="BD11" s="1362">
        <v>0</v>
      </c>
      <c r="BE11" s="1069">
        <v>0</v>
      </c>
      <c r="BF11" s="1107">
        <v>0</v>
      </c>
      <c r="BG11" s="2057"/>
      <c r="BH11" s="1110">
        <v>0</v>
      </c>
      <c r="BI11" s="1069">
        <v>0</v>
      </c>
      <c r="BJ11" s="1107">
        <v>0</v>
      </c>
      <c r="BK11" s="1110">
        <v>0</v>
      </c>
      <c r="BL11" s="1069">
        <v>0</v>
      </c>
      <c r="BM11" s="1107">
        <v>0</v>
      </c>
      <c r="BN11" s="1110">
        <v>0</v>
      </c>
      <c r="BO11" s="1069">
        <v>0</v>
      </c>
      <c r="BP11" s="1107">
        <v>0</v>
      </c>
      <c r="BQ11" s="2941">
        <v>0</v>
      </c>
      <c r="BR11" s="3431"/>
      <c r="BS11" s="2942">
        <v>0</v>
      </c>
      <c r="BT11" s="2784">
        <v>0</v>
      </c>
      <c r="BU11" s="2941">
        <v>0</v>
      </c>
      <c r="BV11" s="3702"/>
      <c r="BW11" s="2942">
        <v>0</v>
      </c>
      <c r="BX11" s="2784">
        <v>0</v>
      </c>
    </row>
    <row r="12" spans="1:76" ht="29.25" customHeight="1">
      <c r="A12" s="1400" t="s">
        <v>3</v>
      </c>
      <c r="B12" s="1229">
        <v>201.5</v>
      </c>
      <c r="C12" s="1421">
        <v>136.69999999999999</v>
      </c>
      <c r="D12" s="1415">
        <f t="shared" si="0"/>
        <v>67.84119106699751</v>
      </c>
      <c r="E12" s="1421">
        <v>189</v>
      </c>
      <c r="F12" s="1415">
        <f t="shared" si="13"/>
        <v>138.25896122896856</v>
      </c>
      <c r="G12" s="1421">
        <v>244.1</v>
      </c>
      <c r="H12" s="1415">
        <f t="shared" si="2"/>
        <v>129.15343915343917</v>
      </c>
      <c r="I12" s="382">
        <v>430</v>
      </c>
      <c r="J12" s="382">
        <v>33.4</v>
      </c>
      <c r="K12" s="382">
        <v>329.8</v>
      </c>
      <c r="L12" s="382">
        <v>427</v>
      </c>
      <c r="M12" s="1422">
        <f t="shared" si="14"/>
        <v>174.92830807046295</v>
      </c>
      <c r="N12" s="382">
        <v>473</v>
      </c>
      <c r="O12" s="1423">
        <f t="shared" si="15"/>
        <v>110.00000000000001</v>
      </c>
      <c r="P12" s="382">
        <v>451</v>
      </c>
      <c r="Q12" s="1422">
        <f t="shared" si="16"/>
        <v>104.88372093023256</v>
      </c>
      <c r="R12" s="1422">
        <f t="shared" si="17"/>
        <v>105.62060889929742</v>
      </c>
      <c r="S12" s="382">
        <v>451.07</v>
      </c>
      <c r="T12" s="382"/>
      <c r="U12" s="382">
        <v>242.4</v>
      </c>
      <c r="V12" s="1196"/>
      <c r="W12" s="1356">
        <v>484</v>
      </c>
      <c r="X12" s="1853"/>
      <c r="Y12" s="1110">
        <f>U12/3*4*1.048</f>
        <v>338.71359999999999</v>
      </c>
      <c r="Z12" s="1069">
        <f t="shared" si="22"/>
        <v>338.71359999999999</v>
      </c>
      <c r="AA12" s="1107">
        <v>0</v>
      </c>
      <c r="AB12" s="1110">
        <f>SUM(AC12:AD12)</f>
        <v>152.4</v>
      </c>
      <c r="AC12" s="1069">
        <v>152.4</v>
      </c>
      <c r="AD12" s="1107">
        <v>0</v>
      </c>
      <c r="AE12" s="1110">
        <v>320</v>
      </c>
      <c r="AF12" s="1069">
        <f t="shared" si="18"/>
        <v>0.94475096364598299</v>
      </c>
      <c r="AG12" s="1069">
        <v>320</v>
      </c>
      <c r="AH12" s="1107">
        <v>0</v>
      </c>
      <c r="AI12" s="1110">
        <v>0</v>
      </c>
      <c r="AJ12" s="1069"/>
      <c r="AK12" s="1069">
        <f>AI12</f>
        <v>0</v>
      </c>
      <c r="AL12" s="1107">
        <f>AA12*1.046</f>
        <v>0</v>
      </c>
      <c r="AM12" s="1391" t="e">
        <f>#REF!</f>
        <v>#REF!</v>
      </c>
      <c r="AN12" s="1394">
        <v>0</v>
      </c>
      <c r="AO12" s="1424" t="e">
        <f t="shared" si="20"/>
        <v>#REF!</v>
      </c>
      <c r="AP12" s="1110">
        <f>SUM(AQ12:AR12)</f>
        <v>0</v>
      </c>
      <c r="AQ12" s="1069">
        <v>0</v>
      </c>
      <c r="AR12" s="1107">
        <v>0</v>
      </c>
      <c r="AS12" s="1110">
        <f>SUM(AT12:AU12)</f>
        <v>0</v>
      </c>
      <c r="AT12" s="1069">
        <v>0</v>
      </c>
      <c r="AU12" s="1107">
        <v>0</v>
      </c>
      <c r="AV12" s="1110">
        <v>139.24</v>
      </c>
      <c r="AW12" s="1069">
        <f t="shared" si="26"/>
        <v>139.24</v>
      </c>
      <c r="AX12" s="1107">
        <v>0</v>
      </c>
      <c r="AY12" s="1110">
        <f>SUM(BA12:BB12)</f>
        <v>152.4</v>
      </c>
      <c r="AZ12" s="1174"/>
      <c r="BA12" s="1069">
        <f>SUM(AC12)</f>
        <v>152.4</v>
      </c>
      <c r="BB12" s="1107">
        <v>0</v>
      </c>
      <c r="BC12" s="1110">
        <f>SUM(BE12:BF12)</f>
        <v>0</v>
      </c>
      <c r="BD12" s="1362">
        <v>0</v>
      </c>
      <c r="BE12" s="1069">
        <v>0</v>
      </c>
      <c r="BF12" s="1107">
        <v>0</v>
      </c>
      <c r="BG12" s="2056" t="str">
        <f>вода!BK12</f>
        <v>Выполнять за счет амортизации</v>
      </c>
      <c r="BH12" s="1110">
        <f>SUM(BI12:BJ12)</f>
        <v>265.85000000000002</v>
      </c>
      <c r="BI12" s="1069">
        <v>265.85000000000002</v>
      </c>
      <c r="BJ12" s="1107">
        <v>0</v>
      </c>
      <c r="BK12" s="1110">
        <f>SUM(BL12:BM12)</f>
        <v>414.09</v>
      </c>
      <c r="BL12" s="1069">
        <v>414.09</v>
      </c>
      <c r="BM12" s="1107">
        <v>0</v>
      </c>
      <c r="BN12" s="1110">
        <f>SUM(BO12:BP12)</f>
        <v>552.12</v>
      </c>
      <c r="BO12" s="1069">
        <v>552.12</v>
      </c>
      <c r="BP12" s="1107">
        <v>0</v>
      </c>
      <c r="BQ12" s="2941">
        <f>SUM(AV12/2)</f>
        <v>69.62</v>
      </c>
      <c r="BR12" s="3431"/>
      <c r="BS12" s="2942">
        <f>SUM(BQ12)</f>
        <v>69.62</v>
      </c>
      <c r="BT12" s="2784">
        <v>0</v>
      </c>
      <c r="BU12" s="2941">
        <f>SUM(BW12:BX12)</f>
        <v>0</v>
      </c>
      <c r="BV12" s="3702"/>
      <c r="BW12" s="2942">
        <v>0</v>
      </c>
      <c r="BX12" s="2784">
        <v>0</v>
      </c>
    </row>
    <row r="13" spans="1:76" ht="21" customHeight="1">
      <c r="A13" s="1400" t="s">
        <v>4</v>
      </c>
      <c r="B13" s="1229">
        <v>4232.3999999999996</v>
      </c>
      <c r="C13" s="1421">
        <v>5099.2</v>
      </c>
      <c r="D13" s="1415">
        <f t="shared" si="0"/>
        <v>120.48010585010869</v>
      </c>
      <c r="E13" s="1421">
        <v>5650.1</v>
      </c>
      <c r="F13" s="1415">
        <f t="shared" si="13"/>
        <v>110.8036554753687</v>
      </c>
      <c r="G13" s="1421">
        <v>6020.2</v>
      </c>
      <c r="H13" s="1415">
        <f t="shared" si="2"/>
        <v>106.55032654289303</v>
      </c>
      <c r="I13" s="382">
        <v>6748.7</v>
      </c>
      <c r="J13" s="382">
        <v>3090.2</v>
      </c>
      <c r="K13" s="382">
        <v>4364.5</v>
      </c>
      <c r="L13" s="382">
        <v>6047.4</v>
      </c>
      <c r="M13" s="1422">
        <f t="shared" si="14"/>
        <v>100.45181223215177</v>
      </c>
      <c r="N13" s="382">
        <v>8605.1</v>
      </c>
      <c r="O13" s="1423">
        <f t="shared" si="15"/>
        <v>127.50751996680843</v>
      </c>
      <c r="P13" s="382">
        <f>ЗП!AP15</f>
        <v>7227.8576999999987</v>
      </c>
      <c r="Q13" s="1422">
        <f t="shared" si="16"/>
        <v>107.09999999999997</v>
      </c>
      <c r="R13" s="1422">
        <f t="shared" si="17"/>
        <v>119.52008631808711</v>
      </c>
      <c r="S13" s="382">
        <v>7227.9</v>
      </c>
      <c r="T13" s="382"/>
      <c r="U13" s="382">
        <v>5255.2</v>
      </c>
      <c r="V13" s="1196"/>
      <c r="W13" s="1356">
        <v>9055.6</v>
      </c>
      <c r="X13" s="1853"/>
      <c r="Y13" s="1110">
        <f>ЗП!U30</f>
        <v>6614.9353670399987</v>
      </c>
      <c r="Z13" s="1069">
        <f t="shared" si="22"/>
        <v>6614.9353670399987</v>
      </c>
      <c r="AA13" s="1107">
        <v>0</v>
      </c>
      <c r="AB13" s="1110">
        <v>6921.7</v>
      </c>
      <c r="AC13" s="1069">
        <f>SUM(AB13)</f>
        <v>6921.7</v>
      </c>
      <c r="AD13" s="1107">
        <v>0</v>
      </c>
      <c r="AE13" s="1110">
        <v>9055.6</v>
      </c>
      <c r="AF13" s="1069">
        <f t="shared" si="18"/>
        <v>1.3689627331993315</v>
      </c>
      <c r="AG13" s="1069">
        <v>9055.6</v>
      </c>
      <c r="AH13" s="1107">
        <v>0</v>
      </c>
      <c r="AI13" s="1110">
        <f>ЗП!BB30</f>
        <v>7848.1866666666683</v>
      </c>
      <c r="AJ13" s="1069">
        <f t="shared" si="19"/>
        <v>1.1864343687727543</v>
      </c>
      <c r="AK13" s="1069">
        <f>AI13</f>
        <v>7848.1866666666683</v>
      </c>
      <c r="AL13" s="1107">
        <f>AA13*1.05</f>
        <v>0</v>
      </c>
      <c r="AM13" s="1391" t="e">
        <f>#REF!</f>
        <v>#REF!</v>
      </c>
      <c r="AN13" s="1394">
        <v>0</v>
      </c>
      <c r="AO13" s="1424" t="e">
        <f t="shared" si="20"/>
        <v>#REF!</v>
      </c>
      <c r="AP13" s="1110">
        <f>SUM(ЗП!BG30)</f>
        <v>3420.4</v>
      </c>
      <c r="AQ13" s="1069">
        <f>SUM(AP13)</f>
        <v>3420.4</v>
      </c>
      <c r="AR13" s="1107">
        <v>0</v>
      </c>
      <c r="AS13" s="1110">
        <f>SUM(ЗП!BK30)</f>
        <v>5249.4</v>
      </c>
      <c r="AT13" s="1069">
        <f>SUM(AS13)</f>
        <v>5249.4</v>
      </c>
      <c r="AU13" s="1107">
        <v>0</v>
      </c>
      <c r="AV13" s="1110">
        <v>7065.88</v>
      </c>
      <c r="AW13" s="1069">
        <f>SUM(AV13)</f>
        <v>7065.88</v>
      </c>
      <c r="AX13" s="1107">
        <v>0</v>
      </c>
      <c r="AY13" s="1110">
        <v>8965.0400000000009</v>
      </c>
      <c r="AZ13" s="1174">
        <f t="shared" ref="AZ13:AZ63" si="32">SUM(AY13/AI13)</f>
        <v>1.1423071826358189</v>
      </c>
      <c r="BA13" s="1069">
        <f>SUM(AY13)</f>
        <v>8965.0400000000009</v>
      </c>
      <c r="BB13" s="1107">
        <v>0</v>
      </c>
      <c r="BC13" s="1110">
        <f>SUM(ЗП!BW30)</f>
        <v>7857.3839999999982</v>
      </c>
      <c r="BD13" s="1362">
        <f t="shared" si="27"/>
        <v>1.0011719055272212</v>
      </c>
      <c r="BE13" s="1069">
        <f>SUM(BC13)</f>
        <v>7857.3839999999982</v>
      </c>
      <c r="BF13" s="1107">
        <v>0</v>
      </c>
      <c r="BG13" s="2056" t="str">
        <f>вода!BK13</f>
        <v>Приложение</v>
      </c>
      <c r="BH13" s="1110">
        <f>SUM(BI13:BJ13)</f>
        <v>3703.05</v>
      </c>
      <c r="BI13" s="1069">
        <f>SUM(ЗП!CB30)</f>
        <v>3703.05</v>
      </c>
      <c r="BJ13" s="1107">
        <v>0</v>
      </c>
      <c r="BK13" s="1110">
        <f>SUM(BL13:BM13)</f>
        <v>5833.01</v>
      </c>
      <c r="BL13" s="1069">
        <f>SUM(ЗП!CF30)</f>
        <v>5833.01</v>
      </c>
      <c r="BM13" s="1107">
        <v>0</v>
      </c>
      <c r="BN13" s="1110">
        <f>SUM(BO13:BP13)</f>
        <v>7962.97</v>
      </c>
      <c r="BO13" s="1069">
        <f>SUM(ЗП!CJ30)</f>
        <v>7962.97</v>
      </c>
      <c r="BP13" s="1107">
        <v>0</v>
      </c>
      <c r="BQ13" s="2941">
        <f>SUM(ЗП!CN30)</f>
        <v>8643.1223999999984</v>
      </c>
      <c r="BR13" s="3431">
        <f t="shared" si="31"/>
        <v>1.1000000000000001</v>
      </c>
      <c r="BS13" s="2942">
        <f>SUM(BQ13)</f>
        <v>8643.1223999999984</v>
      </c>
      <c r="BT13" s="2784">
        <v>0</v>
      </c>
      <c r="BU13" s="2941">
        <f>SUM(ЗП!CR30)</f>
        <v>8331.1056813599971</v>
      </c>
      <c r="BV13" s="3702">
        <f t="shared" si="21"/>
        <v>1.06029</v>
      </c>
      <c r="BW13" s="2942">
        <f>SUM(BU13)</f>
        <v>8331.1056813599971</v>
      </c>
      <c r="BX13" s="2784">
        <v>0</v>
      </c>
    </row>
    <row r="14" spans="1:76" ht="28.5" customHeight="1">
      <c r="A14" s="1400" t="s">
        <v>121</v>
      </c>
      <c r="B14" s="1229">
        <v>1085</v>
      </c>
      <c r="C14" s="1421">
        <v>1303.3</v>
      </c>
      <c r="D14" s="1415">
        <f t="shared" si="0"/>
        <v>120.11981566820276</v>
      </c>
      <c r="E14" s="1421">
        <v>1422.5</v>
      </c>
      <c r="F14" s="1415">
        <f t="shared" si="13"/>
        <v>109.14601396455153</v>
      </c>
      <c r="G14" s="1421">
        <v>1998.5</v>
      </c>
      <c r="H14" s="1415">
        <f t="shared" si="2"/>
        <v>140.49209138840069</v>
      </c>
      <c r="I14" s="382">
        <f>I13*30.2/100</f>
        <v>2038.1073999999999</v>
      </c>
      <c r="J14" s="382">
        <v>1023.4</v>
      </c>
      <c r="K14" s="382">
        <v>1279.4000000000001</v>
      </c>
      <c r="L14" s="382">
        <v>1818.2</v>
      </c>
      <c r="M14" s="1422">
        <f t="shared" si="14"/>
        <v>90.978233675256448</v>
      </c>
      <c r="N14" s="382">
        <v>2598.6999999999998</v>
      </c>
      <c r="O14" s="1423">
        <f t="shared" si="15"/>
        <v>127.50554754867187</v>
      </c>
      <c r="P14" s="382">
        <f>P13*30.2/100</f>
        <v>2182.8130253999993</v>
      </c>
      <c r="Q14" s="1422">
        <f t="shared" si="16"/>
        <v>107.09999999999997</v>
      </c>
      <c r="R14" s="1422">
        <f t="shared" si="17"/>
        <v>120.05351586184135</v>
      </c>
      <c r="S14" s="382">
        <f>S13*30.2/100</f>
        <v>2182.8258000000001</v>
      </c>
      <c r="T14" s="382"/>
      <c r="U14" s="382">
        <v>1570.4</v>
      </c>
      <c r="V14" s="1196"/>
      <c r="W14" s="1356">
        <v>2734.79</v>
      </c>
      <c r="X14" s="1853"/>
      <c r="Y14" s="1110">
        <f>Y13*U15</f>
        <v>1976.7267659460372</v>
      </c>
      <c r="Z14" s="1069">
        <f t="shared" si="22"/>
        <v>1976.7267659460372</v>
      </c>
      <c r="AA14" s="1107">
        <v>0</v>
      </c>
      <c r="AB14" s="1110">
        <v>2065.6999999999998</v>
      </c>
      <c r="AC14" s="1069">
        <f>SUM(AB14)</f>
        <v>2065.6999999999998</v>
      </c>
      <c r="AD14" s="1107">
        <v>0</v>
      </c>
      <c r="AE14" s="1110">
        <v>2725.74</v>
      </c>
      <c r="AF14" s="1069">
        <f t="shared" si="18"/>
        <v>1.3789159164319273</v>
      </c>
      <c r="AG14" s="1069">
        <v>2725.74</v>
      </c>
      <c r="AH14" s="1107">
        <v>0</v>
      </c>
      <c r="AI14" s="1110">
        <f>AI13*AI15</f>
        <v>2345.2565727913948</v>
      </c>
      <c r="AJ14" s="1069">
        <f t="shared" si="19"/>
        <v>1.1864343687727543</v>
      </c>
      <c r="AK14" s="1069">
        <f>AK13*AK15</f>
        <v>2345.2565727913948</v>
      </c>
      <c r="AL14" s="1107">
        <f>AA14*1.05</f>
        <v>0</v>
      </c>
      <c r="AM14" s="1391" t="e">
        <f>#REF!</f>
        <v>#REF!</v>
      </c>
      <c r="AN14" s="1394">
        <v>0</v>
      </c>
      <c r="AO14" s="1424" t="e">
        <f t="shared" si="20"/>
        <v>#REF!</v>
      </c>
      <c r="AP14" s="1110">
        <v>0</v>
      </c>
      <c r="AQ14" s="1069">
        <f>SUM(AP14)</f>
        <v>0</v>
      </c>
      <c r="AR14" s="1107">
        <v>0</v>
      </c>
      <c r="AS14" s="1110">
        <v>0</v>
      </c>
      <c r="AT14" s="1069">
        <f>SUM(AS14)</f>
        <v>0</v>
      </c>
      <c r="AU14" s="1107">
        <v>0</v>
      </c>
      <c r="AV14" s="1110">
        <v>2125.71</v>
      </c>
      <c r="AW14" s="1069">
        <f>SUM(AV14)</f>
        <v>2125.71</v>
      </c>
      <c r="AX14" s="1107">
        <v>0</v>
      </c>
      <c r="AY14" s="1327">
        <f t="shared" ref="AY14" si="33">SUM(BA14+BB14)</f>
        <v>2698.4770400000002</v>
      </c>
      <c r="AZ14" s="1174">
        <f t="shared" si="32"/>
        <v>1.150610586196201</v>
      </c>
      <c r="BA14" s="1069">
        <f>SUM(BA13*AE15)/100</f>
        <v>2698.4770400000002</v>
      </c>
      <c r="BB14" s="1107">
        <f>SUM(BB13*AE15)/100</f>
        <v>0</v>
      </c>
      <c r="BC14" s="1327">
        <f t="shared" ref="BC14" si="34">SUM(BE14+BF14)</f>
        <v>2348.0049919318008</v>
      </c>
      <c r="BD14" s="1362">
        <f t="shared" si="27"/>
        <v>1.0011719055272212</v>
      </c>
      <c r="BE14" s="1069">
        <f>BE13*BE15</f>
        <v>2348.0049919318008</v>
      </c>
      <c r="BF14" s="1107">
        <f>SUM(BF13*AY15)</f>
        <v>0</v>
      </c>
      <c r="BG14" s="2056" t="str">
        <f>вода!BK14</f>
        <v xml:space="preserve"> </v>
      </c>
      <c r="BH14" s="1110">
        <v>1116.03</v>
      </c>
      <c r="BI14" s="1069">
        <f>SUM(BH14)</f>
        <v>1116.03</v>
      </c>
      <c r="BJ14" s="1107">
        <v>0</v>
      </c>
      <c r="BK14" s="1110">
        <v>1756.7</v>
      </c>
      <c r="BL14" s="1069">
        <f>SUM(BK14)</f>
        <v>1756.7</v>
      </c>
      <c r="BM14" s="1107">
        <v>0</v>
      </c>
      <c r="BN14" s="1110">
        <v>2398.4499999999998</v>
      </c>
      <c r="BO14" s="1069">
        <f>SUM(BN14)</f>
        <v>2398.4499999999998</v>
      </c>
      <c r="BP14" s="1107">
        <v>0</v>
      </c>
      <c r="BQ14" s="3366">
        <f t="shared" ref="BQ14" si="35">SUM(BS14+BT14)</f>
        <v>2599.8512179199997</v>
      </c>
      <c r="BR14" s="3431">
        <f t="shared" si="31"/>
        <v>1.1072596637799286</v>
      </c>
      <c r="BS14" s="2942">
        <f>SUM(BS13*BS15)</f>
        <v>2599.8512179199997</v>
      </c>
      <c r="BT14" s="2784">
        <f>SUM(BT13*AW15)/100</f>
        <v>0</v>
      </c>
      <c r="BU14" s="3366">
        <f>BC14*(1-0.01)*(1+0.071)*(1+0)</f>
        <v>2489.5662128953691</v>
      </c>
      <c r="BV14" s="3702">
        <f t="shared" si="21"/>
        <v>1.06029</v>
      </c>
      <c r="BW14" s="2942">
        <f>SUM(BU14)</f>
        <v>2489.5662128953691</v>
      </c>
      <c r="BX14" s="2784">
        <f>SUM(BX13*BQ15)</f>
        <v>0</v>
      </c>
    </row>
    <row r="15" spans="1:76" s="191" customFormat="1" ht="21" customHeight="1">
      <c r="A15" s="1426" t="s">
        <v>322</v>
      </c>
      <c r="B15" s="1230"/>
      <c r="C15" s="1415"/>
      <c r="D15" s="1415"/>
      <c r="E15" s="1393">
        <f>E14/E13</f>
        <v>0.25176545547866408</v>
      </c>
      <c r="F15" s="1393">
        <f t="shared" ref="F15:Z15" si="36">F14/F13</f>
        <v>0.98503983010573459</v>
      </c>
      <c r="G15" s="1393">
        <f t="shared" si="36"/>
        <v>0.33196571542473674</v>
      </c>
      <c r="H15" s="1393">
        <f t="shared" si="36"/>
        <v>1.3185514859200738</v>
      </c>
      <c r="I15" s="1393">
        <f t="shared" si="36"/>
        <v>0.30199999999999999</v>
      </c>
      <c r="J15" s="1393">
        <f t="shared" si="36"/>
        <v>0.33117597566500551</v>
      </c>
      <c r="K15" s="1393">
        <f t="shared" si="36"/>
        <v>0.29313781647382292</v>
      </c>
      <c r="L15" s="1393">
        <f t="shared" si="36"/>
        <v>0.3006581340741476</v>
      </c>
      <c r="M15" s="1393">
        <f t="shared" si="36"/>
        <v>0.90569031711442738</v>
      </c>
      <c r="N15" s="1393">
        <f t="shared" si="36"/>
        <v>0.30199532835179133</v>
      </c>
      <c r="O15" s="1393">
        <f t="shared" si="36"/>
        <v>0.99998453096619655</v>
      </c>
      <c r="P15" s="1393">
        <f t="shared" si="36"/>
        <v>0.30199999999999999</v>
      </c>
      <c r="Q15" s="1393">
        <f t="shared" si="36"/>
        <v>1</v>
      </c>
      <c r="R15" s="1393">
        <f t="shared" si="36"/>
        <v>1.0044630953690461</v>
      </c>
      <c r="S15" s="1393">
        <f t="shared" si="36"/>
        <v>0.30200000000000005</v>
      </c>
      <c r="T15" s="1393"/>
      <c r="U15" s="1393">
        <f t="shared" si="36"/>
        <v>0.2988278276754453</v>
      </c>
      <c r="V15" s="1197"/>
      <c r="W15" s="1357">
        <f t="shared" si="36"/>
        <v>0.30199986748531293</v>
      </c>
      <c r="X15" s="2070"/>
      <c r="Y15" s="1108">
        <f t="shared" si="36"/>
        <v>0.2988278276754453</v>
      </c>
      <c r="Z15" s="1070">
        <f t="shared" si="36"/>
        <v>0.2988278276754453</v>
      </c>
      <c r="AA15" s="1109"/>
      <c r="AB15" s="1108">
        <f t="shared" ref="AB15:AC15" si="37">AB14/AB13</f>
        <v>0.2984382449398269</v>
      </c>
      <c r="AC15" s="1070">
        <f t="shared" si="37"/>
        <v>0.2984382449398269</v>
      </c>
      <c r="AD15" s="1109"/>
      <c r="AE15" s="1108">
        <v>30.1</v>
      </c>
      <c r="AF15" s="1219"/>
      <c r="AG15" s="1070">
        <v>30.1</v>
      </c>
      <c r="AH15" s="1109">
        <v>0</v>
      </c>
      <c r="AI15" s="1108">
        <f>Y15</f>
        <v>0.2988278276754453</v>
      </c>
      <c r="AJ15" s="1219"/>
      <c r="AK15" s="1070">
        <f>AI15</f>
        <v>0.2988278276754453</v>
      </c>
      <c r="AL15" s="1109"/>
      <c r="AM15" s="2071" t="e">
        <f>#REF!</f>
        <v>#REF!</v>
      </c>
      <c r="AN15" s="2072">
        <v>0</v>
      </c>
      <c r="AO15" s="2073" t="e">
        <f t="shared" si="20"/>
        <v>#REF!</v>
      </c>
      <c r="AP15" s="1108">
        <f>AP14/AP13</f>
        <v>0</v>
      </c>
      <c r="AQ15" s="1070">
        <f t="shared" ref="AQ15" si="38">AQ14/AQ13</f>
        <v>0</v>
      </c>
      <c r="AR15" s="1109"/>
      <c r="AS15" s="1108">
        <f>AS14/AS13</f>
        <v>0</v>
      </c>
      <c r="AT15" s="1070">
        <f t="shared" ref="AT15" si="39">AT14/AT13</f>
        <v>0</v>
      </c>
      <c r="AU15" s="1109"/>
      <c r="AV15" s="1108">
        <f>AV14/AV13</f>
        <v>0.30084150877173121</v>
      </c>
      <c r="AW15" s="1070">
        <f t="shared" ref="AW15" si="40">AW14/AW13</f>
        <v>0.30084150877173121</v>
      </c>
      <c r="AX15" s="1109"/>
      <c r="AY15" s="1108">
        <f>SUM(AY14/AY13)</f>
        <v>0.30099999999999999</v>
      </c>
      <c r="AZ15" s="1070">
        <f t="shared" si="32"/>
        <v>1.0072689760570555</v>
      </c>
      <c r="BA15" s="1070">
        <f>SUM(BA14/BA13)</f>
        <v>0.30099999999999999</v>
      </c>
      <c r="BB15" s="1109">
        <v>0</v>
      </c>
      <c r="BC15" s="1108">
        <f>Y15</f>
        <v>0.2988278276754453</v>
      </c>
      <c r="BD15" s="1362">
        <f t="shared" si="27"/>
        <v>1</v>
      </c>
      <c r="BE15" s="1070">
        <f>Z15</f>
        <v>0.2988278276754453</v>
      </c>
      <c r="BF15" s="1109">
        <v>0</v>
      </c>
      <c r="BG15" s="2058"/>
      <c r="BH15" s="1108">
        <f>BH14/BH13</f>
        <v>0.30138129379835538</v>
      </c>
      <c r="BI15" s="1070">
        <f t="shared" ref="BI15" si="41">BI14/BI13</f>
        <v>0.30138129379835538</v>
      </c>
      <c r="BJ15" s="1109">
        <v>0</v>
      </c>
      <c r="BK15" s="1108">
        <f>BK14/BK13</f>
        <v>0.30116526458895149</v>
      </c>
      <c r="BL15" s="1070">
        <f t="shared" ref="BL15" si="42">BL14/BL13</f>
        <v>0.30116526458895149</v>
      </c>
      <c r="BM15" s="1109">
        <v>0</v>
      </c>
      <c r="BN15" s="1108">
        <f>BN14/BN13</f>
        <v>0.30120043149729309</v>
      </c>
      <c r="BO15" s="1070">
        <f t="shared" ref="BO15" si="43">BO14/BO13</f>
        <v>0.30120043149729309</v>
      </c>
      <c r="BP15" s="1109">
        <v>0</v>
      </c>
      <c r="BQ15" s="2943">
        <v>0.30080000000000001</v>
      </c>
      <c r="BR15" s="3431">
        <f t="shared" si="31"/>
        <v>1.0065996943453897</v>
      </c>
      <c r="BS15" s="2944">
        <v>0.30080000000000001</v>
      </c>
      <c r="BT15" s="2785">
        <v>0.30080000000000001</v>
      </c>
      <c r="BU15" s="2943">
        <f>SUM(BU14/BU13)</f>
        <v>0.29882782767544536</v>
      </c>
      <c r="BV15" s="3704">
        <f t="shared" si="21"/>
        <v>1.0000000000000002</v>
      </c>
      <c r="BW15" s="3705">
        <f>SUM(BW14/BW13)</f>
        <v>0.29882782767544536</v>
      </c>
      <c r="BX15" s="2785">
        <v>0</v>
      </c>
    </row>
    <row r="16" spans="1:76" ht="21" customHeight="1">
      <c r="A16" s="1400" t="s">
        <v>6</v>
      </c>
      <c r="B16" s="1229">
        <v>586.20000000000005</v>
      </c>
      <c r="C16" s="1421">
        <v>578.70000000000005</v>
      </c>
      <c r="D16" s="1415">
        <f t="shared" si="0"/>
        <v>98.720573183213929</v>
      </c>
      <c r="E16" s="1421">
        <v>909</v>
      </c>
      <c r="F16" s="1415">
        <f t="shared" si="13"/>
        <v>157.07620528771383</v>
      </c>
      <c r="G16" s="1421">
        <v>1016.4</v>
      </c>
      <c r="H16" s="1415">
        <f t="shared" si="2"/>
        <v>111.81518151815182</v>
      </c>
      <c r="I16" s="382">
        <v>973.7</v>
      </c>
      <c r="J16" s="382">
        <v>525.5</v>
      </c>
      <c r="K16" s="382">
        <f>'цех стоки'!K47</f>
        <v>660.34381091530884</v>
      </c>
      <c r="L16" s="382">
        <f>'цех стоки'!L47</f>
        <v>1618.4</v>
      </c>
      <c r="M16" s="1422">
        <f t="shared" si="14"/>
        <v>159.22865013774106</v>
      </c>
      <c r="N16" s="382">
        <v>1270.9000000000001</v>
      </c>
      <c r="O16" s="1423">
        <f t="shared" si="15"/>
        <v>130.52274827975762</v>
      </c>
      <c r="P16" s="382">
        <f>'цех стоки'!P47</f>
        <v>1129.3</v>
      </c>
      <c r="Q16" s="1422">
        <f t="shared" si="16"/>
        <v>115.98028140084213</v>
      </c>
      <c r="R16" s="1422">
        <f t="shared" si="17"/>
        <v>69.778793870489366</v>
      </c>
      <c r="S16" s="382">
        <v>1067.4000000000001</v>
      </c>
      <c r="T16" s="382"/>
      <c r="U16" s="383">
        <v>627.9</v>
      </c>
      <c r="V16" s="1427"/>
      <c r="W16" s="1428">
        <v>1692.38</v>
      </c>
      <c r="X16" s="1855"/>
      <c r="Y16" s="1110">
        <f>'цех стоки'!X47</f>
        <v>1182.4040130542526</v>
      </c>
      <c r="Z16" s="1069">
        <f t="shared" si="22"/>
        <v>1182.4040130542526</v>
      </c>
      <c r="AA16" s="1107">
        <v>0</v>
      </c>
      <c r="AB16" s="1110">
        <f>'цех стоки'!AA47</f>
        <v>776.9</v>
      </c>
      <c r="AC16" s="1069">
        <f t="shared" ref="AC16" si="44">AB16</f>
        <v>776.9</v>
      </c>
      <c r="AD16" s="1107">
        <v>0</v>
      </c>
      <c r="AE16" s="1110">
        <v>1092.1400000000001</v>
      </c>
      <c r="AF16" s="1069">
        <f t="shared" si="18"/>
        <v>0.92366059988151372</v>
      </c>
      <c r="AG16" s="1069">
        <v>1241.52</v>
      </c>
      <c r="AH16" s="1107">
        <v>0</v>
      </c>
      <c r="AI16" s="1110">
        <f>'цех стоки'!AC47</f>
        <v>1119.2106875700802</v>
      </c>
      <c r="AJ16" s="1069">
        <f t="shared" si="19"/>
        <v>0.94655521734830839</v>
      </c>
      <c r="AK16" s="1069">
        <f>SUM('цех стоки'!AC47)</f>
        <v>1119.2106875700802</v>
      </c>
      <c r="AL16" s="1107">
        <f>SUM('цех стоки'!Y64)</f>
        <v>0</v>
      </c>
      <c r="AM16" s="1856">
        <f>AK16*1.05</f>
        <v>1175.1712219485842</v>
      </c>
      <c r="AN16" s="383">
        <f>AL16*1.05</f>
        <v>0</v>
      </c>
      <c r="AO16" s="1427" t="e">
        <f>#REF!*1.05</f>
        <v>#REF!</v>
      </c>
      <c r="AP16" s="1110">
        <f>SUM('цех стоки'!AE47)</f>
        <v>347.27</v>
      </c>
      <c r="AQ16" s="1069">
        <f>SUM(AP16)</f>
        <v>347.27</v>
      </c>
      <c r="AR16" s="1107">
        <v>0</v>
      </c>
      <c r="AS16" s="1110">
        <f>SUM('цех стоки'!AF47)</f>
        <v>868.98</v>
      </c>
      <c r="AT16" s="1069">
        <f>SUM(AS16)</f>
        <v>868.98</v>
      </c>
      <c r="AU16" s="1107">
        <v>0</v>
      </c>
      <c r="AV16" s="1110">
        <v>1062.22</v>
      </c>
      <c r="AW16" s="1069">
        <f>SUM(AV16)</f>
        <v>1062.22</v>
      </c>
      <c r="AX16" s="1107">
        <v>0</v>
      </c>
      <c r="AY16" s="1110">
        <v>1183.76</v>
      </c>
      <c r="AZ16" s="1174">
        <f>SUM(AY16/AI16)</f>
        <v>1.0576739600030651</v>
      </c>
      <c r="BA16" s="1069">
        <f>SUM(AY16)</f>
        <v>1183.76</v>
      </c>
      <c r="BB16" s="1107">
        <v>0</v>
      </c>
      <c r="BC16" s="1110">
        <f>SUM('цех стоки'!AH47)</f>
        <v>905.83734813770843</v>
      </c>
      <c r="BD16" s="1362">
        <f t="shared" si="27"/>
        <v>0.80935373312452286</v>
      </c>
      <c r="BE16" s="1069">
        <f>SUM(BC16)</f>
        <v>905.83734813770843</v>
      </c>
      <c r="BF16" s="1107">
        <v>0</v>
      </c>
      <c r="BG16" s="2057" t="str">
        <f>вода!BK34</f>
        <v>Приложение</v>
      </c>
      <c r="BH16" s="1110">
        <f>SUM('цех стоки'!AN47)</f>
        <v>423.84</v>
      </c>
      <c r="BI16" s="1069">
        <f>SUM(BH16)</f>
        <v>423.84</v>
      </c>
      <c r="BJ16" s="1107">
        <v>0</v>
      </c>
      <c r="BK16" s="1110">
        <f>SUM('цех стоки'!AO47)</f>
        <v>672.85</v>
      </c>
      <c r="BL16" s="1069">
        <f>SUM(BK16)</f>
        <v>672.85</v>
      </c>
      <c r="BM16" s="1107">
        <v>0</v>
      </c>
      <c r="BN16" s="1110">
        <f>SUM('цех стоки'!AP47)</f>
        <v>913.52922689614729</v>
      </c>
      <c r="BO16" s="1069">
        <f>SUM(BN16)</f>
        <v>913.52922689614729</v>
      </c>
      <c r="BP16" s="1107">
        <v>0</v>
      </c>
      <c r="BQ16" s="2941">
        <f>SUM('цех стоки'!AQ47)</f>
        <v>1327.7160561132764</v>
      </c>
      <c r="BR16" s="3431">
        <f t="shared" si="31"/>
        <v>1.4657333999783728</v>
      </c>
      <c r="BS16" s="2942">
        <f>SUM(BQ16)</f>
        <v>1327.7160561132764</v>
      </c>
      <c r="BT16" s="2784">
        <v>0</v>
      </c>
      <c r="BU16" s="2941">
        <f>SUM('цех стоки'!AR47)</f>
        <v>816.88550636427806</v>
      </c>
      <c r="BV16" s="3702">
        <f t="shared" si="21"/>
        <v>0.9018015298703409</v>
      </c>
      <c r="BW16" s="2942">
        <f>SUM(BU16)</f>
        <v>816.88550636427806</v>
      </c>
      <c r="BX16" s="2784">
        <v>0</v>
      </c>
    </row>
    <row r="17" spans="1:76" ht="21" customHeight="1">
      <c r="A17" s="1345" t="s">
        <v>7</v>
      </c>
      <c r="B17" s="1412">
        <f>SUM(B18:B26)</f>
        <v>26653.700000000004</v>
      </c>
      <c r="C17" s="1413">
        <f>SUM(C18:C26)</f>
        <v>29414</v>
      </c>
      <c r="D17" s="1414">
        <f t="shared" si="0"/>
        <v>110.35616068313216</v>
      </c>
      <c r="E17" s="1394">
        <f>SUM(E18:E26)</f>
        <v>33364.957532963468</v>
      </c>
      <c r="F17" s="1394">
        <f>SUM(F18:F26)</f>
        <v>851.66176001421229</v>
      </c>
      <c r="G17" s="1394">
        <f>SUM(G18:G26)</f>
        <v>33031.655567248337</v>
      </c>
      <c r="H17" s="1415">
        <f t="shared" si="2"/>
        <v>99.001041840422417</v>
      </c>
      <c r="I17" s="1394">
        <f>I18+I19+I20+I22+I23+I24+I26</f>
        <v>35984.4516</v>
      </c>
      <c r="J17" s="1394">
        <f>SUM(J18:J26)</f>
        <v>17728.514742148349</v>
      </c>
      <c r="K17" s="1394">
        <f>SUM(K18:K26)</f>
        <v>23132.282033012896</v>
      </c>
      <c r="L17" s="1394">
        <f>SUM(L18:L26)</f>
        <v>33260.600222854184</v>
      </c>
      <c r="M17" s="1429">
        <f t="shared" si="14"/>
        <v>100.69310681427923</v>
      </c>
      <c r="N17" s="1394">
        <f>SUM(N18:N26)</f>
        <v>42496.001997885767</v>
      </c>
      <c r="O17" s="1423">
        <f t="shared" si="15"/>
        <v>118.09545542132361</v>
      </c>
      <c r="P17" s="1394" t="e">
        <f>P18+P19+P20+P22+P23+P24+P26</f>
        <v>#REF!</v>
      </c>
      <c r="Q17" s="1394" t="e">
        <f t="shared" ref="Q17:V17" si="45">Q18+Q19+Q20+Q22+Q23+Q24+Q26</f>
        <v>#REF!</v>
      </c>
      <c r="R17" s="1394" t="e">
        <f t="shared" si="45"/>
        <v>#REF!</v>
      </c>
      <c r="S17" s="1394" t="e">
        <f t="shared" si="45"/>
        <v>#REF!</v>
      </c>
      <c r="T17" s="1394" t="e">
        <f t="shared" si="45"/>
        <v>#REF!</v>
      </c>
      <c r="U17" s="1394">
        <f t="shared" si="45"/>
        <v>27749.199999999997</v>
      </c>
      <c r="V17" s="1424">
        <f t="shared" si="45"/>
        <v>0</v>
      </c>
      <c r="W17" s="1358">
        <f>W18+W19+W20+W22+W23+W24+W26+W21</f>
        <v>44820.57</v>
      </c>
      <c r="X17" s="1436"/>
      <c r="Y17" s="1330">
        <f t="shared" ref="Y17:AL17" si="46">Y18+Y19+Y20+Y22+Y23+Y24+Y26+Y21</f>
        <v>36235.315577079971</v>
      </c>
      <c r="Z17" s="1328">
        <f t="shared" si="46"/>
        <v>35960.164869963985</v>
      </c>
      <c r="AA17" s="1329">
        <f t="shared" si="46"/>
        <v>275.45070711599271</v>
      </c>
      <c r="AB17" s="1330">
        <f t="shared" ref="AB17:AD17" si="47">AB18+AB19+AB20+AB22+AB23+AB24+AB26+AB21</f>
        <v>33167.799500000001</v>
      </c>
      <c r="AC17" s="1328">
        <f t="shared" si="47"/>
        <v>32881.346918186529</v>
      </c>
      <c r="AD17" s="1329">
        <f t="shared" si="47"/>
        <v>286.45258181347208</v>
      </c>
      <c r="AE17" s="1330">
        <v>38355.11</v>
      </c>
      <c r="AF17" s="1069">
        <f t="shared" si="18"/>
        <v>1.058500785467448</v>
      </c>
      <c r="AG17" s="1328">
        <v>38068.36</v>
      </c>
      <c r="AH17" s="1329">
        <v>286.76</v>
      </c>
      <c r="AI17" s="1330">
        <f t="shared" si="46"/>
        <v>37373.673441835519</v>
      </c>
      <c r="AJ17" s="1069">
        <f t="shared" si="19"/>
        <v>1.0314157016884267</v>
      </c>
      <c r="AK17" s="1328">
        <f t="shared" si="46"/>
        <v>37094.60951560011</v>
      </c>
      <c r="AL17" s="1329">
        <f t="shared" si="46"/>
        <v>279.06392623540467</v>
      </c>
      <c r="AM17" s="1391" t="e">
        <f>AM18+AM19+AM20+AM21+AM22+AM23+AM24+AM26</f>
        <v>#REF!</v>
      </c>
      <c r="AN17" s="1394" t="e">
        <f>AN18+AN19+AN20+AN21+AN22+AN23+AN24+AN26</f>
        <v>#REF!</v>
      </c>
      <c r="AO17" s="1424" t="e">
        <f t="shared" si="20"/>
        <v>#REF!</v>
      </c>
      <c r="AP17" s="1330">
        <f t="shared" ref="AP17:AY17" si="48">AP18+AP19+AP20+AP22+AP23+AP24+AP26+AP21</f>
        <v>14375.140000000001</v>
      </c>
      <c r="AQ17" s="1328">
        <f t="shared" si="48"/>
        <v>14291.938781498018</v>
      </c>
      <c r="AR17" s="1329">
        <f t="shared" si="48"/>
        <v>83.201218501982225</v>
      </c>
      <c r="AS17" s="1330">
        <f t="shared" si="48"/>
        <v>21766.959999999999</v>
      </c>
      <c r="AT17" s="1328">
        <f t="shared" si="48"/>
        <v>21638.673007134646</v>
      </c>
      <c r="AU17" s="1329">
        <f t="shared" si="48"/>
        <v>128.28699286535436</v>
      </c>
      <c r="AV17" s="1330">
        <f t="shared" ref="AV17:AX17" si="49">AV18+AV19+AV20+AV22+AV23+AV24+AV26+AV21</f>
        <v>35012.31</v>
      </c>
      <c r="AW17" s="1328">
        <f t="shared" si="49"/>
        <v>34762.271208118502</v>
      </c>
      <c r="AX17" s="1329">
        <f t="shared" si="49"/>
        <v>250.03879188149563</v>
      </c>
      <c r="AY17" s="1330">
        <f t="shared" si="48"/>
        <v>42309.236673061234</v>
      </c>
      <c r="AZ17" s="1174">
        <f t="shared" si="32"/>
        <v>1.1320598907385144</v>
      </c>
      <c r="BA17" s="1328">
        <f t="shared" ref="BA17:BF17" si="50">BA18+BA19+BA20+BA22+BA23+BA24+BA26+BA21</f>
        <v>42079.048840055417</v>
      </c>
      <c r="BB17" s="1329">
        <f t="shared" si="50"/>
        <v>230.18783300581879</v>
      </c>
      <c r="BC17" s="1330">
        <f t="shared" si="50"/>
        <v>36922.751570893131</v>
      </c>
      <c r="BD17" s="1362">
        <f t="shared" si="27"/>
        <v>0.98793477254398998</v>
      </c>
      <c r="BE17" s="1328">
        <f t="shared" si="50"/>
        <v>36669.193249897304</v>
      </c>
      <c r="BF17" s="1329">
        <f t="shared" si="50"/>
        <v>253.55832099582594</v>
      </c>
      <c r="BG17" s="2057"/>
      <c r="BH17" s="1330">
        <f t="shared" ref="BH17:BQ17" si="51">BH18+BH19+BH20+BH22+BH23+BH24+BH26+BH21</f>
        <v>19235.626349999999</v>
      </c>
      <c r="BI17" s="1328">
        <f t="shared" si="51"/>
        <v>19112.021238502639</v>
      </c>
      <c r="BJ17" s="1329">
        <f t="shared" si="51"/>
        <v>123.60511149736146</v>
      </c>
      <c r="BK17" s="1330">
        <f t="shared" ref="BK17:BM17" si="52">BK18+BK19+BK20+BK22+BK23+BK24+BK26+BK21</f>
        <v>29645.475589000001</v>
      </c>
      <c r="BL17" s="1328">
        <f t="shared" si="52"/>
        <v>29450.042397077163</v>
      </c>
      <c r="BM17" s="1329">
        <f t="shared" si="52"/>
        <v>195.4331919228365</v>
      </c>
      <c r="BN17" s="1330">
        <f t="shared" ref="BN17:BP17" si="53">BN18+BN19+BN20+BN22+BN23+BN24+BN26+BN21</f>
        <v>39961.508717452387</v>
      </c>
      <c r="BO17" s="1328">
        <f t="shared" si="53"/>
        <v>39698.041234340308</v>
      </c>
      <c r="BP17" s="1329">
        <f t="shared" si="53"/>
        <v>263.4674831120833</v>
      </c>
      <c r="BQ17" s="2945">
        <f t="shared" si="51"/>
        <v>39331.352388966661</v>
      </c>
      <c r="BR17" s="3431">
        <f t="shared" si="31"/>
        <v>1.0652335136358655</v>
      </c>
      <c r="BS17" s="2946">
        <f t="shared" ref="BS17:BU17" si="54">BS18+BS19+BS20+BS22+BS23+BS24+BS26+BS21</f>
        <v>39050.675657677115</v>
      </c>
      <c r="BT17" s="2947">
        <f t="shared" si="54"/>
        <v>280.67673128955369</v>
      </c>
      <c r="BU17" s="2945">
        <f t="shared" si="54"/>
        <v>38286.041854455776</v>
      </c>
      <c r="BV17" s="3702">
        <f t="shared" si="21"/>
        <v>1.0369227705293056</v>
      </c>
      <c r="BW17" s="2946">
        <f t="shared" ref="BW17:BX17" si="55">BW18+BW19+BW20+BW22+BW23+BW24+BW26+BW21</f>
        <v>37989.67154719567</v>
      </c>
      <c r="BX17" s="2947">
        <f t="shared" si="55"/>
        <v>296.37030726010505</v>
      </c>
    </row>
    <row r="18" spans="1:76" ht="21" customHeight="1">
      <c r="A18" s="1400" t="s">
        <v>1</v>
      </c>
      <c r="B18" s="1229">
        <v>4310.6000000000004</v>
      </c>
      <c r="C18" s="1421">
        <v>4957.8</v>
      </c>
      <c r="D18" s="1415">
        <f t="shared" si="0"/>
        <v>115.0141511622512</v>
      </c>
      <c r="E18" s="1421">
        <v>6244.2</v>
      </c>
      <c r="F18" s="1415">
        <f t="shared" si="13"/>
        <v>125.94699261769333</v>
      </c>
      <c r="G18" s="1421">
        <v>7235</v>
      </c>
      <c r="H18" s="1415">
        <f t="shared" si="2"/>
        <v>115.8675250632587</v>
      </c>
      <c r="I18" s="382">
        <v>7455.3</v>
      </c>
      <c r="J18" s="382">
        <v>4034.7</v>
      </c>
      <c r="K18" s="382">
        <v>4952.3</v>
      </c>
      <c r="L18" s="382">
        <v>6865.9</v>
      </c>
      <c r="M18" s="1422">
        <f t="shared" si="14"/>
        <v>94.898410504492048</v>
      </c>
      <c r="N18" s="382">
        <v>9016</v>
      </c>
      <c r="O18" s="1423">
        <f t="shared" si="15"/>
        <v>120.9341005727469</v>
      </c>
      <c r="P18" s="382">
        <f>электр!AC15</f>
        <v>8582.7999999999993</v>
      </c>
      <c r="Q18" s="1422">
        <f t="shared" si="16"/>
        <v>115.12346920982388</v>
      </c>
      <c r="R18" s="1422">
        <f t="shared" si="17"/>
        <v>125.00619001150612</v>
      </c>
      <c r="S18" s="382" t="e">
        <f>P18/P51*S51</f>
        <v>#REF!</v>
      </c>
      <c r="T18" s="382" t="e">
        <f>P18-S18</f>
        <v>#REF!</v>
      </c>
      <c r="U18" s="382">
        <v>6066.2</v>
      </c>
      <c r="V18" s="1196"/>
      <c r="W18" s="1356">
        <v>9664.9</v>
      </c>
      <c r="X18" s="1853"/>
      <c r="Y18" s="1110">
        <f>электр!Q54</f>
        <v>6188.2733022666562</v>
      </c>
      <c r="Z18" s="1069">
        <f>($Z$51/$Y$51)*Y18</f>
        <v>6141.0950267572307</v>
      </c>
      <c r="AA18" s="1107">
        <f>Y18-Z18</f>
        <v>47.178275509425475</v>
      </c>
      <c r="AB18" s="1110">
        <f>SUM(электр!AG54)</f>
        <v>7103.9</v>
      </c>
      <c r="AC18" s="1069">
        <f>SUM(AC51/AB51)*AB18</f>
        <v>7042.1838214141881</v>
      </c>
      <c r="AD18" s="1107">
        <f>AB18-AC18</f>
        <v>61.716178585811576</v>
      </c>
      <c r="AE18" s="1110">
        <v>6559.57</v>
      </c>
      <c r="AF18" s="1069">
        <f t="shared" si="18"/>
        <v>1.0600000484137222</v>
      </c>
      <c r="AG18" s="1069">
        <v>6508.9</v>
      </c>
      <c r="AH18" s="1107">
        <v>50.67</v>
      </c>
      <c r="AI18" s="1110">
        <f>электр!AN54</f>
        <v>5760.2649333677646</v>
      </c>
      <c r="AJ18" s="1069">
        <f t="shared" si="19"/>
        <v>0.93083557432052655</v>
      </c>
      <c r="AK18" s="1069">
        <f>AI18-AL18</f>
        <v>5709.595465470642</v>
      </c>
      <c r="AL18" s="1107">
        <f>AA18*1.074</f>
        <v>50.669467897122964</v>
      </c>
      <c r="AM18" s="1391" t="e">
        <f>#REF!*Z18/Y18</f>
        <v>#REF!</v>
      </c>
      <c r="AN18" s="1394" t="e">
        <f>#REF!-AM18</f>
        <v>#REF!</v>
      </c>
      <c r="AO18" s="1424" t="e">
        <f t="shared" si="20"/>
        <v>#REF!</v>
      </c>
      <c r="AP18" s="1110">
        <f>SUM(электр!AT54)</f>
        <v>3477.1</v>
      </c>
      <c r="AQ18" s="1069">
        <f>SUM(AQ51/AP51)*AP18</f>
        <v>3456.975051174928</v>
      </c>
      <c r="AR18" s="1107">
        <f>AP18-AQ18</f>
        <v>20.124948825071897</v>
      </c>
      <c r="AS18" s="1110">
        <f>SUM(электр!AW54)</f>
        <v>5259.9</v>
      </c>
      <c r="AT18" s="1069">
        <f>SUM(AT51/AS51)*AS18</f>
        <v>5228.8999543449117</v>
      </c>
      <c r="AU18" s="1107">
        <f>AS18-AT18</f>
        <v>31.000045655087888</v>
      </c>
      <c r="AV18" s="1110">
        <v>7413.21</v>
      </c>
      <c r="AW18" s="1069">
        <f>SUM(AW51/AV51)*AV18</f>
        <v>7359.2151247527217</v>
      </c>
      <c r="AX18" s="1107">
        <f>AV18-AW18</f>
        <v>53.994875247278287</v>
      </c>
      <c r="AY18" s="1110">
        <v>5986.43</v>
      </c>
      <c r="AZ18" s="1174">
        <f t="shared" si="32"/>
        <v>1.0392629625977996</v>
      </c>
      <c r="BA18" s="1069">
        <f>SUM(BA51/AY51)*AY18</f>
        <v>5953.7090831232317</v>
      </c>
      <c r="BB18" s="1107">
        <f>AY18-BA18</f>
        <v>32.72091687676857</v>
      </c>
      <c r="BC18" s="1110">
        <f>SUM(электр!BD54)</f>
        <v>5992.9145541926509</v>
      </c>
      <c r="BD18" s="1362">
        <f t="shared" si="27"/>
        <v>1.0403887014774627</v>
      </c>
      <c r="BE18" s="1069">
        <f>SUM(BE51/BC51)*BC18</f>
        <v>5960.1581937278479</v>
      </c>
      <c r="BF18" s="1107">
        <f>BC18-BE18</f>
        <v>32.756360464803038</v>
      </c>
      <c r="BG18" s="2057" t="str">
        <f>BG9</f>
        <v xml:space="preserve">Приложение </v>
      </c>
      <c r="BH18" s="1110">
        <f>SUM(электр!BM54)</f>
        <v>4706.46</v>
      </c>
      <c r="BI18" s="1069">
        <f>SUM(BI51/BH51)*BH18</f>
        <v>4675.942930449829</v>
      </c>
      <c r="BJ18" s="1107">
        <f>BH18-BI18</f>
        <v>30.517069550171072</v>
      </c>
      <c r="BK18" s="1110">
        <f>SUM(электр!BP54)</f>
        <v>6734.81</v>
      </c>
      <c r="BL18" s="1069">
        <f>SUM(BL51/BK51)*BK18</f>
        <v>6689.9864595680428</v>
      </c>
      <c r="BM18" s="1107">
        <f>BK18-BL18</f>
        <v>44.823540431957554</v>
      </c>
      <c r="BN18" s="1110">
        <f>SUM(электр!BS54)</f>
        <v>8819.8699368364178</v>
      </c>
      <c r="BO18" s="1069">
        <f>SUM(BO51/BN51)*BN18</f>
        <v>8761.1692761320501</v>
      </c>
      <c r="BP18" s="1107">
        <f>BN18-BO18</f>
        <v>58.700660704367692</v>
      </c>
      <c r="BQ18" s="2941">
        <f>SUM('электр 2017-2018'!CH54)</f>
        <v>6133.6861666831164</v>
      </c>
      <c r="BR18" s="3431">
        <f t="shared" si="31"/>
        <v>1.0234896745510882</v>
      </c>
      <c r="BS18" s="2942">
        <f>SUM(BS51/BQ51)*BQ18</f>
        <v>6089.9149033155363</v>
      </c>
      <c r="BT18" s="2784">
        <f>BQ18-BS18</f>
        <v>43.771263367580104</v>
      </c>
      <c r="BU18" s="2941">
        <f>SUM(электр!BZ54)</f>
        <v>5969.91</v>
      </c>
      <c r="BV18" s="3702">
        <f t="shared" si="21"/>
        <v>0.99616137457248455</v>
      </c>
      <c r="BW18" s="2942">
        <v>5899.18</v>
      </c>
      <c r="BX18" s="2784">
        <v>70.73</v>
      </c>
    </row>
    <row r="19" spans="1:76" ht="21" customHeight="1">
      <c r="A19" s="1400" t="s">
        <v>8</v>
      </c>
      <c r="B19" s="1229">
        <v>559</v>
      </c>
      <c r="C19" s="1421">
        <v>481.5</v>
      </c>
      <c r="D19" s="1415">
        <f t="shared" si="0"/>
        <v>86.135957066189633</v>
      </c>
      <c r="E19" s="1421">
        <v>479.1</v>
      </c>
      <c r="F19" s="1415">
        <f t="shared" si="13"/>
        <v>99.501557632398757</v>
      </c>
      <c r="G19" s="1421">
        <v>467.5</v>
      </c>
      <c r="H19" s="1415">
        <f t="shared" si="2"/>
        <v>97.578793571279476</v>
      </c>
      <c r="I19" s="382">
        <v>537.5</v>
      </c>
      <c r="J19" s="382">
        <v>238.7</v>
      </c>
      <c r="K19" s="382">
        <v>240.2</v>
      </c>
      <c r="L19" s="382">
        <v>320.7</v>
      </c>
      <c r="M19" s="1422">
        <f t="shared" si="14"/>
        <v>68.598930481283418</v>
      </c>
      <c r="N19" s="382">
        <v>591.25</v>
      </c>
      <c r="O19" s="1423">
        <f t="shared" si="15"/>
        <v>110.00000000000001</v>
      </c>
      <c r="P19" s="382" t="e">
        <f>ХР!AK22</f>
        <v>#REF!</v>
      </c>
      <c r="Q19" s="1422" t="e">
        <f t="shared" si="16"/>
        <v>#REF!</v>
      </c>
      <c r="R19" s="1422" t="e">
        <f t="shared" si="17"/>
        <v>#REF!</v>
      </c>
      <c r="S19" s="382" t="e">
        <f>P19/P51*S51</f>
        <v>#REF!</v>
      </c>
      <c r="T19" s="382" t="e">
        <f t="shared" ref="T19:T24" si="56">P19-S19</f>
        <v>#REF!</v>
      </c>
      <c r="U19" s="382">
        <v>221.6</v>
      </c>
      <c r="V19" s="1196"/>
      <c r="W19" s="1356">
        <v>598.5</v>
      </c>
      <c r="X19" s="1853"/>
      <c r="Y19" s="1110">
        <f>ХР!O45</f>
        <v>489.28469176470583</v>
      </c>
      <c r="Z19" s="1069">
        <f>($Z$51/$Y$51)*Y19</f>
        <v>485.55447384072301</v>
      </c>
      <c r="AA19" s="1107">
        <f>Y19-Z19</f>
        <v>3.7302179239828206</v>
      </c>
      <c r="AB19" s="1110">
        <f>SUM(ХР!AF45)</f>
        <v>368.69950000000006</v>
      </c>
      <c r="AC19" s="1069">
        <f>SUM(AC51/AB51)*AB19</f>
        <v>365.49636873597615</v>
      </c>
      <c r="AD19" s="1107">
        <f>AB19-AC19</f>
        <v>3.2031312640239094</v>
      </c>
      <c r="AE19" s="1110">
        <v>473.71</v>
      </c>
      <c r="AF19" s="1069">
        <f t="shared" si="18"/>
        <v>0.96816844665928026</v>
      </c>
      <c r="AG19" s="1069">
        <v>469.69</v>
      </c>
      <c r="AH19" s="1107">
        <v>4.01</v>
      </c>
      <c r="AI19" s="1110">
        <f>ХР!AP45</f>
        <v>406.01364163361512</v>
      </c>
      <c r="AJ19" s="1069">
        <f t="shared" si="19"/>
        <v>0.82981063676699851</v>
      </c>
      <c r="AK19" s="1069">
        <f>AI19-AL19</f>
        <v>401.99992714740961</v>
      </c>
      <c r="AL19" s="1107">
        <f>AA19*1.076</f>
        <v>4.0137144862055152</v>
      </c>
      <c r="AM19" s="1391" t="e">
        <f>#REF!*Z19/Y19</f>
        <v>#REF!</v>
      </c>
      <c r="AN19" s="1394" t="e">
        <f>#REF!-AM19</f>
        <v>#REF!</v>
      </c>
      <c r="AO19" s="1424" t="e">
        <f t="shared" si="20"/>
        <v>#REF!</v>
      </c>
      <c r="AP19" s="1110">
        <f>SUM(ХР!AT45)</f>
        <v>0</v>
      </c>
      <c r="AQ19" s="1069">
        <f>SUM(AQ51/AP51)*AP19</f>
        <v>0</v>
      </c>
      <c r="AR19" s="1107">
        <f>AP19-AQ19</f>
        <v>0</v>
      </c>
      <c r="AS19" s="1110">
        <f>SUM(ХР!AX45)</f>
        <v>0</v>
      </c>
      <c r="AT19" s="1069">
        <f>SUM(AT51/AS51)*AS19</f>
        <v>0</v>
      </c>
      <c r="AU19" s="1107">
        <f>AS19-AT19</f>
        <v>0</v>
      </c>
      <c r="AV19" s="1110">
        <v>356.78</v>
      </c>
      <c r="AW19" s="1069">
        <f>SUM(AW51/AV51)*AV19</f>
        <v>354.18135628280811</v>
      </c>
      <c r="AX19" s="1107">
        <f>AV19-AW19</f>
        <v>2.5986437171918624</v>
      </c>
      <c r="AY19" s="1110">
        <v>347.67</v>
      </c>
      <c r="AZ19" s="1174">
        <f t="shared" ref="AZ19" si="57">SUM(AY19/AI19)</f>
        <v>0.8563012774672627</v>
      </c>
      <c r="BA19" s="1069">
        <f>SUM(BA51/AY51)*AY19</f>
        <v>345.76968860062743</v>
      </c>
      <c r="BB19" s="1107">
        <f>AY19-BA19</f>
        <v>1.9003113993725833</v>
      </c>
      <c r="BC19" s="1110">
        <f>SUM(ХР!BL45)</f>
        <v>229.75931518119856</v>
      </c>
      <c r="BD19" s="1362">
        <f t="shared" si="27"/>
        <v>0.56589062933144574</v>
      </c>
      <c r="BE19" s="1069">
        <f>BC19-BF19</f>
        <v>176.75931518119856</v>
      </c>
      <c r="BF19" s="1107">
        <v>53</v>
      </c>
      <c r="BG19" s="2056" t="str">
        <f>вода!BK19</f>
        <v>Приложение</v>
      </c>
      <c r="BH19" s="1110">
        <f>SUM(ХР!BT45)</f>
        <v>268.25635</v>
      </c>
      <c r="BI19" s="1069">
        <f>SUM(BI51/BH51)*BH19</f>
        <v>266.51695400168597</v>
      </c>
      <c r="BJ19" s="1107">
        <f>BH19-BI19</f>
        <v>1.7393959983140235</v>
      </c>
      <c r="BK19" s="1110">
        <f>SUM(ХР!BX45)</f>
        <v>443.16558899999995</v>
      </c>
      <c r="BL19" s="1069">
        <f>SUM(BL51/BK51)*BK19</f>
        <v>440.2160996013987</v>
      </c>
      <c r="BM19" s="1107">
        <f>BK19-BL19</f>
        <v>2.9494893986012585</v>
      </c>
      <c r="BN19" s="1110">
        <f>SUM(ХР!CB45)</f>
        <v>602.7244816900585</v>
      </c>
      <c r="BO19" s="1069">
        <f>SUM(BO51/BN51)*BN19</f>
        <v>598.71304778555862</v>
      </c>
      <c r="BP19" s="1107">
        <f>BN19-BO19</f>
        <v>4.0114339044998815</v>
      </c>
      <c r="BQ19" s="2941">
        <f>SUM(ХР!CG45)</f>
        <v>409.83814715477445</v>
      </c>
      <c r="BR19" s="3431">
        <f t="shared" si="31"/>
        <v>1.7837716256751444</v>
      </c>
      <c r="BS19" s="2942">
        <f>SUM(BS51/BQ51)*BQ19</f>
        <v>406.91345668485206</v>
      </c>
      <c r="BT19" s="2784">
        <f>BQ19-BS19</f>
        <v>2.9246904699223819</v>
      </c>
      <c r="BU19" s="2941">
        <f>SUM(ХР!CL45)</f>
        <v>310.00924898576147</v>
      </c>
      <c r="BV19" s="3702">
        <f t="shared" si="21"/>
        <v>1.3492782599098287</v>
      </c>
      <c r="BW19" s="2942">
        <f>SUM(BW51/BU51)*BU19</f>
        <v>307.84579219241471</v>
      </c>
      <c r="BX19" s="2784">
        <f>BU19-BW19</f>
        <v>2.1634567933467679</v>
      </c>
    </row>
    <row r="20" spans="1:76" ht="21" customHeight="1">
      <c r="A20" s="1400" t="s">
        <v>2</v>
      </c>
      <c r="B20" s="1229">
        <v>1528</v>
      </c>
      <c r="C20" s="1421">
        <v>1086.5999999999999</v>
      </c>
      <c r="D20" s="1415">
        <f t="shared" si="0"/>
        <v>71.112565445026178</v>
      </c>
      <c r="E20" s="1421">
        <v>1110.8</v>
      </c>
      <c r="F20" s="1415">
        <f t="shared" si="13"/>
        <v>102.2271304988036</v>
      </c>
      <c r="G20" s="1421">
        <v>1206.3</v>
      </c>
      <c r="H20" s="1415">
        <f t="shared" si="2"/>
        <v>108.59740727403673</v>
      </c>
      <c r="I20" s="382">
        <v>1250</v>
      </c>
      <c r="J20" s="382">
        <v>602.20000000000005</v>
      </c>
      <c r="K20" s="382">
        <v>752.7</v>
      </c>
      <c r="L20" s="382">
        <v>994.7</v>
      </c>
      <c r="M20" s="1422">
        <f t="shared" si="14"/>
        <v>82.458758186189186</v>
      </c>
      <c r="N20" s="382">
        <v>1346.6</v>
      </c>
      <c r="O20" s="1423">
        <f t="shared" si="15"/>
        <v>107.72800000000001</v>
      </c>
      <c r="P20" s="382">
        <v>1281</v>
      </c>
      <c r="Q20" s="1422">
        <f t="shared" si="16"/>
        <v>102.47999999999999</v>
      </c>
      <c r="R20" s="1422">
        <f t="shared" si="17"/>
        <v>128.78254750175932</v>
      </c>
      <c r="S20" s="382" t="e">
        <f>P20/P51*S51</f>
        <v>#REF!</v>
      </c>
      <c r="T20" s="382" t="e">
        <f t="shared" si="56"/>
        <v>#REF!</v>
      </c>
      <c r="U20" s="382">
        <v>720.7</v>
      </c>
      <c r="V20" s="1196"/>
      <c r="W20" s="1356">
        <v>1281</v>
      </c>
      <c r="X20" s="1853"/>
      <c r="Y20" s="1110">
        <f>Аморт!G27</f>
        <v>960.93</v>
      </c>
      <c r="Z20" s="1069">
        <f>($Z$51/$Y$51)*Y20</f>
        <v>953.60404361913572</v>
      </c>
      <c r="AA20" s="1107">
        <f>Y20-Z20</f>
        <v>7.325956380864227</v>
      </c>
      <c r="AB20" s="1110">
        <f>SUM(Аморт!L27)</f>
        <v>833.9</v>
      </c>
      <c r="AC20" s="1069">
        <f>SUM(AC51/AB51)*AB20</f>
        <v>826.65537080720333</v>
      </c>
      <c r="AD20" s="1107">
        <f>AB20-AC20</f>
        <v>7.2446291927966513</v>
      </c>
      <c r="AE20" s="1110">
        <v>960.9</v>
      </c>
      <c r="AF20" s="1069">
        <f t="shared" si="18"/>
        <v>0.99996878024413849</v>
      </c>
      <c r="AG20" s="1069">
        <v>960.9</v>
      </c>
      <c r="AH20" s="1107">
        <v>0</v>
      </c>
      <c r="AI20" s="1110">
        <f>Аморт!O27</f>
        <v>960.9</v>
      </c>
      <c r="AJ20" s="1069">
        <f t="shared" si="19"/>
        <v>0.99996878024413849</v>
      </c>
      <c r="AK20" s="1069">
        <f>AI20</f>
        <v>960.9</v>
      </c>
      <c r="AL20" s="1107"/>
      <c r="AM20" s="1391" t="e">
        <f>#REF!*Z20/Y20</f>
        <v>#REF!</v>
      </c>
      <c r="AN20" s="1394" t="e">
        <f>#REF!-AM20</f>
        <v>#REF!</v>
      </c>
      <c r="AO20" s="1424" t="e">
        <f t="shared" si="20"/>
        <v>#REF!</v>
      </c>
      <c r="AP20" s="1110">
        <f>SUM(Аморт!Q27)</f>
        <v>407.8</v>
      </c>
      <c r="AQ20" s="1069">
        <f>SUM(AQ51/AP51)*AP20</f>
        <v>405.4397129415708</v>
      </c>
      <c r="AR20" s="1107">
        <f>AP20-AQ20</f>
        <v>2.3602870584292077</v>
      </c>
      <c r="AS20" s="1110">
        <f>SUM(Аморт!R27)</f>
        <v>588.73</v>
      </c>
      <c r="AT20" s="1069">
        <f>SUM(AT51/AS51)*AS20</f>
        <v>585.26022740384417</v>
      </c>
      <c r="AU20" s="1107">
        <f>AS20-AT20</f>
        <v>3.469772596155849</v>
      </c>
      <c r="AV20" s="1110">
        <v>717.01</v>
      </c>
      <c r="AW20" s="1069">
        <f>SUM(AW51/AV51)*AV20</f>
        <v>711.78758413682453</v>
      </c>
      <c r="AX20" s="1107">
        <f>AV20-AW20</f>
        <v>5.2224158631754563</v>
      </c>
      <c r="AY20" s="1110">
        <f>SUM(Аморт!U27)</f>
        <v>960.9</v>
      </c>
      <c r="AZ20" s="1174">
        <f t="shared" si="32"/>
        <v>1</v>
      </c>
      <c r="BA20" s="1069">
        <f>SUM(BA51/AY51)*AY20</f>
        <v>955.64786658711671</v>
      </c>
      <c r="BB20" s="1107">
        <f>AY20-BA20</f>
        <v>5.2521334128832677</v>
      </c>
      <c r="BC20" s="1110">
        <f>SUM(Аморт!V27)</f>
        <v>960.9</v>
      </c>
      <c r="BD20" s="1362">
        <f t="shared" si="27"/>
        <v>1</v>
      </c>
      <c r="BE20" s="1069">
        <f>SUM(BE51/BC51)*BC20</f>
        <v>955.64786658711671</v>
      </c>
      <c r="BF20" s="1107">
        <f>BC20-BE20</f>
        <v>5.2521334128832677</v>
      </c>
      <c r="BG20" s="2057" t="str">
        <f>BG10</f>
        <v>Приложение</v>
      </c>
      <c r="BH20" s="1110">
        <f>SUM(Аморт!AB27)</f>
        <v>290.64999999999998</v>
      </c>
      <c r="BI20" s="1069">
        <f>SUM(BI51/BH51)*BH20</f>
        <v>288.76540175317388</v>
      </c>
      <c r="BJ20" s="1107">
        <f>BH20-BI20</f>
        <v>1.8845982468261013</v>
      </c>
      <c r="BK20" s="1110">
        <f>SUM(Аморт!AC27)</f>
        <v>439.48</v>
      </c>
      <c r="BL20" s="1069">
        <f>SUM(BL51/BK51)*BK20</f>
        <v>436.55504004581621</v>
      </c>
      <c r="BM20" s="1107">
        <f>BK20-BL20</f>
        <v>2.9249599541838052</v>
      </c>
      <c r="BN20" s="1110">
        <f>SUM(Аморт!AD27)</f>
        <v>585.97333333333336</v>
      </c>
      <c r="BO20" s="1069">
        <f>SUM(BO51/BN51)*BN20</f>
        <v>582.07338672775495</v>
      </c>
      <c r="BP20" s="1107">
        <f>BN20-BO20</f>
        <v>3.8999466055784069</v>
      </c>
      <c r="BQ20" s="2941">
        <f>SUM(Аморт!AE27)</f>
        <v>717.01</v>
      </c>
      <c r="BR20" s="3431">
        <f t="shared" si="31"/>
        <v>0.74618586741596415</v>
      </c>
      <c r="BS20" s="2942">
        <f>SUM(BS51/BQ51)*BQ20</f>
        <v>711.89326714241395</v>
      </c>
      <c r="BT20" s="2784">
        <f>BQ20-BS20</f>
        <v>5.1167328575860438</v>
      </c>
      <c r="BU20" s="2941">
        <f>SUM(BW20:BX20)</f>
        <v>717.01</v>
      </c>
      <c r="BV20" s="3702">
        <f t="shared" si="21"/>
        <v>0.74618586741596415</v>
      </c>
      <c r="BW20" s="2942">
        <v>711.89</v>
      </c>
      <c r="BX20" s="2784">
        <v>5.12</v>
      </c>
    </row>
    <row r="21" spans="1:76" ht="21" customHeight="1">
      <c r="A21" s="1400" t="s">
        <v>69</v>
      </c>
      <c r="B21" s="1229">
        <v>56.9</v>
      </c>
      <c r="C21" s="1430">
        <v>110.1</v>
      </c>
      <c r="D21" s="1415">
        <f t="shared" si="0"/>
        <v>193.49736379613356</v>
      </c>
      <c r="E21" s="1430">
        <v>25.8</v>
      </c>
      <c r="F21" s="1415">
        <f t="shared" si="13"/>
        <v>23.43324250681199</v>
      </c>
      <c r="G21" s="1421"/>
      <c r="H21" s="1415">
        <f t="shared" si="2"/>
        <v>0</v>
      </c>
      <c r="I21" s="382">
        <v>0</v>
      </c>
      <c r="J21" s="382">
        <v>31</v>
      </c>
      <c r="K21" s="382">
        <v>42.2</v>
      </c>
      <c r="L21" s="382">
        <v>51.9</v>
      </c>
      <c r="M21" s="1422"/>
      <c r="N21" s="382"/>
      <c r="O21" s="1423"/>
      <c r="P21" s="382"/>
      <c r="Q21" s="1422"/>
      <c r="R21" s="1422"/>
      <c r="S21" s="382"/>
      <c r="T21" s="382">
        <f t="shared" si="56"/>
        <v>0</v>
      </c>
      <c r="U21" s="382"/>
      <c r="V21" s="1196"/>
      <c r="W21" s="1356">
        <v>55.65</v>
      </c>
      <c r="X21" s="1853"/>
      <c r="Y21" s="1110">
        <v>0</v>
      </c>
      <c r="Z21" s="1069">
        <f>($Z$51/$Y$51)*Y21</f>
        <v>0</v>
      </c>
      <c r="AA21" s="1107">
        <f>Y21-Z21</f>
        <v>0</v>
      </c>
      <c r="AB21" s="1110">
        <v>0</v>
      </c>
      <c r="AC21" s="1069">
        <v>0</v>
      </c>
      <c r="AD21" s="1107">
        <v>0</v>
      </c>
      <c r="AE21" s="1110">
        <v>0</v>
      </c>
      <c r="AF21" s="1069"/>
      <c r="AG21" s="1069">
        <v>290</v>
      </c>
      <c r="AH21" s="1107">
        <v>0</v>
      </c>
      <c r="AI21" s="1110">
        <v>0</v>
      </c>
      <c r="AJ21" s="1069"/>
      <c r="AK21" s="1069">
        <v>0</v>
      </c>
      <c r="AL21" s="1107">
        <v>0</v>
      </c>
      <c r="AM21" s="1391" t="e">
        <f>#REF!</f>
        <v>#REF!</v>
      </c>
      <c r="AN21" s="1394" t="e">
        <f>#REF!-AM21</f>
        <v>#REF!</v>
      </c>
      <c r="AO21" s="1424" t="e">
        <f t="shared" si="20"/>
        <v>#REF!</v>
      </c>
      <c r="AP21" s="1110">
        <v>0</v>
      </c>
      <c r="AQ21" s="1069">
        <v>0</v>
      </c>
      <c r="AR21" s="1107">
        <v>0</v>
      </c>
      <c r="AS21" s="1110">
        <v>0</v>
      </c>
      <c r="AT21" s="1069">
        <v>0</v>
      </c>
      <c r="AU21" s="1107">
        <v>0</v>
      </c>
      <c r="AV21" s="1110">
        <v>0</v>
      </c>
      <c r="AW21" s="1069">
        <v>0</v>
      </c>
      <c r="AX21" s="1107">
        <v>0</v>
      </c>
      <c r="AY21" s="1110">
        <v>0</v>
      </c>
      <c r="AZ21" s="1174">
        <v>0</v>
      </c>
      <c r="BA21" s="1069">
        <v>0</v>
      </c>
      <c r="BB21" s="1107">
        <v>0</v>
      </c>
      <c r="BC21" s="1110">
        <v>0</v>
      </c>
      <c r="BD21" s="1362">
        <v>0</v>
      </c>
      <c r="BE21" s="1069">
        <v>0</v>
      </c>
      <c r="BF21" s="1107">
        <v>0</v>
      </c>
      <c r="BG21" s="2057" t="s">
        <v>250</v>
      </c>
      <c r="BH21" s="1110">
        <v>0</v>
      </c>
      <c r="BI21" s="1069">
        <v>0</v>
      </c>
      <c r="BJ21" s="1107">
        <v>0</v>
      </c>
      <c r="BK21" s="1110">
        <v>0</v>
      </c>
      <c r="BL21" s="1069">
        <v>0</v>
      </c>
      <c r="BM21" s="1107">
        <v>0</v>
      </c>
      <c r="BN21" s="1110">
        <v>0</v>
      </c>
      <c r="BO21" s="1069">
        <v>0</v>
      </c>
      <c r="BP21" s="1107">
        <v>0</v>
      </c>
      <c r="BQ21" s="2941">
        <v>0</v>
      </c>
      <c r="BR21" s="3431"/>
      <c r="BS21" s="2942">
        <v>0</v>
      </c>
      <c r="BT21" s="2784">
        <v>0</v>
      </c>
      <c r="BU21" s="2941">
        <v>0</v>
      </c>
      <c r="BV21" s="3702"/>
      <c r="BW21" s="2942">
        <v>0</v>
      </c>
      <c r="BX21" s="2784">
        <v>0</v>
      </c>
    </row>
    <row r="22" spans="1:76" ht="30" customHeight="1">
      <c r="A22" s="1400" t="s">
        <v>3</v>
      </c>
      <c r="B22" s="1229">
        <v>1425.1</v>
      </c>
      <c r="C22" s="1421">
        <v>504.9</v>
      </c>
      <c r="D22" s="1415">
        <f t="shared" si="0"/>
        <v>35.429092695249459</v>
      </c>
      <c r="E22" s="1421">
        <v>828</v>
      </c>
      <c r="F22" s="1415">
        <f t="shared" si="13"/>
        <v>163.99286987522282</v>
      </c>
      <c r="G22" s="1421">
        <v>514.29999999999995</v>
      </c>
      <c r="H22" s="1415">
        <f t="shared" si="2"/>
        <v>62.113526570048307</v>
      </c>
      <c r="I22" s="382">
        <v>841.5</v>
      </c>
      <c r="J22" s="382">
        <v>339.9</v>
      </c>
      <c r="K22" s="382">
        <v>245.3</v>
      </c>
      <c r="L22" s="382">
        <v>279.7</v>
      </c>
      <c r="M22" s="1422">
        <f t="shared" si="14"/>
        <v>54.384600427765896</v>
      </c>
      <c r="N22" s="382">
        <v>925.65</v>
      </c>
      <c r="O22" s="1423">
        <f t="shared" si="15"/>
        <v>109.99999999999999</v>
      </c>
      <c r="P22" s="382">
        <v>882.7</v>
      </c>
      <c r="Q22" s="1422">
        <f t="shared" si="16"/>
        <v>104.89601901366608</v>
      </c>
      <c r="R22" s="1422">
        <f t="shared" si="17"/>
        <v>315.58813013943512</v>
      </c>
      <c r="S22" s="382" t="e">
        <f>P22/P51*S51</f>
        <v>#REF!</v>
      </c>
      <c r="T22" s="382" t="e">
        <f t="shared" si="56"/>
        <v>#REF!</v>
      </c>
      <c r="U22" s="382">
        <v>102.4</v>
      </c>
      <c r="V22" s="1196"/>
      <c r="W22" s="1356">
        <v>906</v>
      </c>
      <c r="X22" s="1853"/>
      <c r="Y22" s="1110">
        <f>U22/3*4*1.048+1.3</f>
        <v>144.38693333333336</v>
      </c>
      <c r="Z22" s="1069">
        <f>Y22</f>
        <v>144.38693333333336</v>
      </c>
      <c r="AA22" s="1107">
        <v>0.3</v>
      </c>
      <c r="AB22" s="1110">
        <f>SUM(AC22:AD22)</f>
        <v>195.4</v>
      </c>
      <c r="AC22" s="1069">
        <v>195.4</v>
      </c>
      <c r="AD22" s="1107">
        <v>0</v>
      </c>
      <c r="AE22" s="1110">
        <v>290</v>
      </c>
      <c r="AF22" s="1069">
        <f t="shared" si="18"/>
        <v>2.0084919965056853</v>
      </c>
      <c r="AG22" s="1069">
        <v>290</v>
      </c>
      <c r="AH22" s="1107">
        <v>0</v>
      </c>
      <c r="AI22" s="1110">
        <v>0</v>
      </c>
      <c r="AJ22" s="1069"/>
      <c r="AK22" s="1069">
        <f>AI22-AL22</f>
        <v>0</v>
      </c>
      <c r="AL22" s="1107">
        <v>0</v>
      </c>
      <c r="AM22" s="1391" t="e">
        <f>#REF!*Z22/Y22</f>
        <v>#REF!</v>
      </c>
      <c r="AN22" s="1394" t="e">
        <f>#REF!-AM22</f>
        <v>#REF!</v>
      </c>
      <c r="AO22" s="1424" t="e">
        <f t="shared" si="20"/>
        <v>#REF!</v>
      </c>
      <c r="AP22" s="1110">
        <f>SUM(AQ22:AR22)</f>
        <v>0</v>
      </c>
      <c r="AQ22" s="1069">
        <v>0</v>
      </c>
      <c r="AR22" s="1107">
        <v>0</v>
      </c>
      <c r="AS22" s="1110">
        <f>SUM(AT22:AU22)</f>
        <v>0</v>
      </c>
      <c r="AT22" s="1069">
        <v>0</v>
      </c>
      <c r="AU22" s="1107">
        <v>0</v>
      </c>
      <c r="AV22" s="1110">
        <v>683.31</v>
      </c>
      <c r="AW22" s="1069">
        <f>SUM(AV22)</f>
        <v>683.31</v>
      </c>
      <c r="AX22" s="1107">
        <f>AV22-AW22</f>
        <v>0</v>
      </c>
      <c r="AY22" s="1110">
        <f>SUM(BA22:BB22)</f>
        <v>195.4</v>
      </c>
      <c r="AZ22" s="1174"/>
      <c r="BA22" s="1069">
        <f>SUM(AC22)</f>
        <v>195.4</v>
      </c>
      <c r="BB22" s="1107">
        <v>0</v>
      </c>
      <c r="BC22" s="1110">
        <f>SUM(BE22:BF22)</f>
        <v>0</v>
      </c>
      <c r="BD22" s="1362">
        <v>0</v>
      </c>
      <c r="BE22" s="1069">
        <v>0</v>
      </c>
      <c r="BF22" s="1107">
        <v>0</v>
      </c>
      <c r="BG22" s="2056" t="str">
        <f>BG12</f>
        <v>Выполнять за счет амортизации</v>
      </c>
      <c r="BH22" s="1110">
        <f>SUM(BI22:BJ22)</f>
        <v>172.77</v>
      </c>
      <c r="BI22" s="1069">
        <v>172.77</v>
      </c>
      <c r="BJ22" s="1107">
        <v>0</v>
      </c>
      <c r="BK22" s="1110">
        <f>SUM(BL22:BM22)</f>
        <v>281.32</v>
      </c>
      <c r="BL22" s="1069">
        <v>281.32</v>
      </c>
      <c r="BM22" s="1107">
        <v>0</v>
      </c>
      <c r="BN22" s="1110">
        <f>SUM(BO22:BP22)</f>
        <v>375.09</v>
      </c>
      <c r="BO22" s="1069">
        <v>375.09</v>
      </c>
      <c r="BP22" s="1107">
        <v>0</v>
      </c>
      <c r="BQ22" s="2941">
        <f>SUM(AV22/2)</f>
        <v>341.65499999999997</v>
      </c>
      <c r="BR22" s="3431"/>
      <c r="BS22" s="2942">
        <f>SUM(BS51/BQ51)*BQ22</f>
        <v>339.21687868445548</v>
      </c>
      <c r="BT22" s="2784">
        <f>BQ22-BS22</f>
        <v>2.4381213155444925</v>
      </c>
      <c r="BU22" s="3366">
        <f>BC22*(1-0.01)*(1+0.071)*(1+0)</f>
        <v>0</v>
      </c>
      <c r="BV22" s="3702"/>
      <c r="BW22" s="2942">
        <v>0</v>
      </c>
      <c r="BX22" s="2784">
        <v>0</v>
      </c>
    </row>
    <row r="23" spans="1:76" ht="21" customHeight="1">
      <c r="A23" s="1400" t="s">
        <v>4</v>
      </c>
      <c r="B23" s="1229">
        <v>10755.2</v>
      </c>
      <c r="C23" s="1421">
        <v>13034.8</v>
      </c>
      <c r="D23" s="1415">
        <f t="shared" si="0"/>
        <v>121.19532877119903</v>
      </c>
      <c r="E23" s="1421">
        <v>13879</v>
      </c>
      <c r="F23" s="1415">
        <f t="shared" si="13"/>
        <v>106.47650903734618</v>
      </c>
      <c r="G23" s="1421">
        <v>13019.43</v>
      </c>
      <c r="H23" s="1415">
        <f t="shared" si="2"/>
        <v>93.806686360688815</v>
      </c>
      <c r="I23" s="382">
        <v>14405.8</v>
      </c>
      <c r="J23" s="382">
        <v>6804.3</v>
      </c>
      <c r="K23" s="382">
        <v>9271.6</v>
      </c>
      <c r="L23" s="382">
        <v>13327.1</v>
      </c>
      <c r="M23" s="1422">
        <f t="shared" si="14"/>
        <v>102.36316029196362</v>
      </c>
      <c r="N23" s="382">
        <v>16932.900000000001</v>
      </c>
      <c r="O23" s="1423">
        <f t="shared" si="15"/>
        <v>117.54223993113885</v>
      </c>
      <c r="P23" s="382">
        <f>ЗП!AP16</f>
        <v>15428.825999999999</v>
      </c>
      <c r="Q23" s="1422">
        <f t="shared" si="16"/>
        <v>107.10148690110928</v>
      </c>
      <c r="R23" s="1422">
        <f t="shared" si="17"/>
        <v>115.77031762348898</v>
      </c>
      <c r="S23" s="382" t="e">
        <f>P23/P51*S51</f>
        <v>#REF!</v>
      </c>
      <c r="T23" s="382" t="e">
        <f t="shared" si="56"/>
        <v>#REF!</v>
      </c>
      <c r="U23" s="382">
        <v>11392.9</v>
      </c>
      <c r="V23" s="1196"/>
      <c r="W23" s="1356">
        <v>17655.599999999999</v>
      </c>
      <c r="X23" s="1853"/>
      <c r="Y23" s="1110">
        <f>ЗП!U31</f>
        <v>15960.333312000001</v>
      </c>
      <c r="Z23" s="1069">
        <f>($Z$51/$Y$51)*Y23</f>
        <v>15838.654619829118</v>
      </c>
      <c r="AA23" s="1107">
        <f>Y23-Z23</f>
        <v>121.67869217088264</v>
      </c>
      <c r="AB23" s="1110">
        <v>14386.3</v>
      </c>
      <c r="AC23" s="1069">
        <f>SUM(AC51/AB51)*AB23</f>
        <v>14261.316897761924</v>
      </c>
      <c r="AD23" s="1107">
        <f>AB23-AC23</f>
        <v>124.98310223807493</v>
      </c>
      <c r="AE23" s="1110">
        <v>17655.599999999999</v>
      </c>
      <c r="AF23" s="1069">
        <f t="shared" si="18"/>
        <v>1.1062174990246216</v>
      </c>
      <c r="AG23" s="1069">
        <v>17525.77</v>
      </c>
      <c r="AH23" s="1107">
        <v>129.83000000000001</v>
      </c>
      <c r="AI23" s="1110">
        <f>ЗП!BB31</f>
        <v>17655.599999999999</v>
      </c>
      <c r="AJ23" s="1069">
        <f t="shared" si="19"/>
        <v>1.1062174990246216</v>
      </c>
      <c r="AK23" s="1069">
        <f>AI23-AL23</f>
        <v>17525.768835453666</v>
      </c>
      <c r="AL23" s="1107">
        <f>AA23*1.067</f>
        <v>129.83116454633176</v>
      </c>
      <c r="AM23" s="1391" t="e">
        <f>#REF!*Z23/Y23</f>
        <v>#REF!</v>
      </c>
      <c r="AN23" s="1394" t="e">
        <f>#REF!-AM23</f>
        <v>#REF!</v>
      </c>
      <c r="AO23" s="1424" t="e">
        <f t="shared" si="20"/>
        <v>#REF!</v>
      </c>
      <c r="AP23" s="1110">
        <f>SUM(ЗП!BG31)</f>
        <v>7216.8</v>
      </c>
      <c r="AQ23" s="1069">
        <f>SUM(AQ51/AP51)*AP23</f>
        <v>7175.0302117624524</v>
      </c>
      <c r="AR23" s="1107">
        <f>AP23-AQ23</f>
        <v>41.7697882375478</v>
      </c>
      <c r="AS23" s="1110">
        <f>SUM(ЗП!BK31)</f>
        <v>11302.5</v>
      </c>
      <c r="AT23" s="1069">
        <f>SUM(AT51/AS51)*AS23</f>
        <v>11235.88694347485</v>
      </c>
      <c r="AU23" s="1107">
        <f>AS23-AT23</f>
        <v>66.613056525149659</v>
      </c>
      <c r="AV23" s="1110">
        <v>15274.15</v>
      </c>
      <c r="AW23" s="1069">
        <f>SUM(AW51/AV51)*AV23</f>
        <v>15162.89916213648</v>
      </c>
      <c r="AX23" s="1107">
        <f>AV23-AW23</f>
        <v>111.25083786351934</v>
      </c>
      <c r="AY23" s="1110">
        <v>19817.509999999998</v>
      </c>
      <c r="AZ23" s="1174">
        <f t="shared" si="32"/>
        <v>1.1224489680328054</v>
      </c>
      <c r="BA23" s="1069">
        <f>SUM(BA51/AY51)*AY23</f>
        <v>19709.190501164379</v>
      </c>
      <c r="BB23" s="1107">
        <f>AY23-BA23</f>
        <v>108.31949883561902</v>
      </c>
      <c r="BC23" s="1110">
        <f>SUM(ЗП!BW31)</f>
        <v>17552.1672</v>
      </c>
      <c r="BD23" s="1362">
        <f t="shared" si="27"/>
        <v>0.9941416434445729</v>
      </c>
      <c r="BE23" s="1069">
        <f>SUM(BE51/BC51)*BC23</f>
        <v>17456.229720741354</v>
      </c>
      <c r="BF23" s="1107">
        <f>BC23-BE23</f>
        <v>95.937479258645908</v>
      </c>
      <c r="BG23" s="2057" t="str">
        <f>BG13</f>
        <v>Приложение</v>
      </c>
      <c r="BH23" s="1110">
        <f>SUM(ЗП!CB31)</f>
        <v>7813.64</v>
      </c>
      <c r="BI23" s="1069">
        <f>SUM(BI51/BH51)*BH23</f>
        <v>7762.9757225345593</v>
      </c>
      <c r="BJ23" s="1107">
        <f>BH23-BI23</f>
        <v>50.664277465441046</v>
      </c>
      <c r="BK23" s="1110">
        <f>SUM(ЗП!CF31)</f>
        <v>12228.09</v>
      </c>
      <c r="BL23" s="1069">
        <f>SUM(BL51/BK51)*BK23</f>
        <v>12146.705924351152</v>
      </c>
      <c r="BM23" s="1107">
        <f>BK23-BL23</f>
        <v>81.384075648848011</v>
      </c>
      <c r="BN23" s="1110">
        <f>SUM(ЗП!CJ31)</f>
        <v>16642.54</v>
      </c>
      <c r="BO23" s="1069">
        <f>SUM(BO51/BN51)*BN23</f>
        <v>16531.775544197913</v>
      </c>
      <c r="BP23" s="1107">
        <f>BN23-BO23</f>
        <v>110.76445580208747</v>
      </c>
      <c r="BQ23" s="2941">
        <f>SUM(ЗП!CN31)</f>
        <v>19307.383919999997</v>
      </c>
      <c r="BR23" s="3431">
        <f t="shared" si="31"/>
        <v>1.0999999999999999</v>
      </c>
      <c r="BS23" s="2942">
        <f>SUM(BS51/BQ51)*BQ23</f>
        <v>19169.602402730372</v>
      </c>
      <c r="BT23" s="2784">
        <f>BQ23-BS23</f>
        <v>137.7815172696246</v>
      </c>
      <c r="BU23" s="2941">
        <f>SUM(ЗП!CR31)</f>
        <v>18610.387360487999</v>
      </c>
      <c r="BV23" s="3702">
        <f t="shared" si="21"/>
        <v>1.06029</v>
      </c>
      <c r="BW23" s="2942">
        <f>SUM(BW51/BU51)*BU23</f>
        <v>18480.511335519106</v>
      </c>
      <c r="BX23" s="2784">
        <f>BU23-BW23</f>
        <v>129.87602496889303</v>
      </c>
    </row>
    <row r="24" spans="1:76" ht="27.75" customHeight="1">
      <c r="A24" s="1400" t="s">
        <v>121</v>
      </c>
      <c r="B24" s="1229">
        <v>2761</v>
      </c>
      <c r="C24" s="1421">
        <v>3376.4</v>
      </c>
      <c r="D24" s="1415">
        <f t="shared" si="0"/>
        <v>122.28902571532055</v>
      </c>
      <c r="E24" s="1421">
        <v>3574.3</v>
      </c>
      <c r="F24" s="1415">
        <f t="shared" si="13"/>
        <v>105.86127236109466</v>
      </c>
      <c r="G24" s="1421">
        <v>4238.7</v>
      </c>
      <c r="H24" s="1415">
        <f t="shared" si="2"/>
        <v>118.58825504294546</v>
      </c>
      <c r="I24" s="382">
        <f>I23*30.2/100</f>
        <v>4350.5515999999998</v>
      </c>
      <c r="J24" s="382">
        <v>2141.6</v>
      </c>
      <c r="K24" s="382">
        <v>2782.9</v>
      </c>
      <c r="L24" s="382">
        <v>4001.1</v>
      </c>
      <c r="M24" s="1422">
        <f t="shared" si="14"/>
        <v>94.394507750017695</v>
      </c>
      <c r="N24" s="382">
        <v>5113.7</v>
      </c>
      <c r="O24" s="1423">
        <f t="shared" si="15"/>
        <v>117.54141704697861</v>
      </c>
      <c r="P24" s="382">
        <f>P23*30.2/100</f>
        <v>4659.5054519999994</v>
      </c>
      <c r="Q24" s="1422">
        <f t="shared" si="16"/>
        <v>107.10148690110928</v>
      </c>
      <c r="R24" s="1422">
        <f t="shared" si="17"/>
        <v>116.45561100697309</v>
      </c>
      <c r="S24" s="382" t="e">
        <f>P24/P51*S51</f>
        <v>#REF!</v>
      </c>
      <c r="T24" s="382" t="e">
        <f t="shared" si="56"/>
        <v>#REF!</v>
      </c>
      <c r="U24" s="382">
        <v>3432</v>
      </c>
      <c r="V24" s="1196"/>
      <c r="W24" s="1356">
        <v>5331.99</v>
      </c>
      <c r="X24" s="1853"/>
      <c r="Y24" s="1110">
        <f>Y23*U25</f>
        <v>4807.8947350353292</v>
      </c>
      <c r="Z24" s="1069">
        <f>($Z$51/$Y$51)*Y24</f>
        <v>4771.2402158584327</v>
      </c>
      <c r="AA24" s="1107">
        <f>Y24-Z24</f>
        <v>36.654519176896429</v>
      </c>
      <c r="AB24" s="1110">
        <v>4362.1000000000004</v>
      </c>
      <c r="AC24" s="1069">
        <f>SUM(AC51/AB51)*AB24</f>
        <v>4324.2036131407867</v>
      </c>
      <c r="AD24" s="1107">
        <f>AB24-AC24</f>
        <v>37.896386859213635</v>
      </c>
      <c r="AE24" s="1110">
        <v>5331.99</v>
      </c>
      <c r="AF24" s="1069">
        <f t="shared" si="18"/>
        <v>1.1090072253757068</v>
      </c>
      <c r="AG24" s="1069">
        <v>5292.78</v>
      </c>
      <c r="AH24" s="1107">
        <v>39.21</v>
      </c>
      <c r="AI24" s="1110">
        <f>AI23*0.302</f>
        <v>5331.9911999999995</v>
      </c>
      <c r="AJ24" s="1069">
        <f t="shared" si="19"/>
        <v>1.1090074749651979</v>
      </c>
      <c r="AK24" s="1069">
        <f>AI24-AL24</f>
        <v>5292.7821883070073</v>
      </c>
      <c r="AL24" s="1107">
        <f>AL23*0.302</f>
        <v>39.209011692992192</v>
      </c>
      <c r="AM24" s="1391" t="e">
        <f>#REF!*Z24/Y24</f>
        <v>#REF!</v>
      </c>
      <c r="AN24" s="1394" t="e">
        <f>#REF!-AM24</f>
        <v>#REF!</v>
      </c>
      <c r="AO24" s="1424" t="e">
        <f t="shared" si="20"/>
        <v>#REF!</v>
      </c>
      <c r="AP24" s="1110">
        <v>0</v>
      </c>
      <c r="AQ24" s="1069">
        <f>SUM(AQ51/AP51)*AP24</f>
        <v>0</v>
      </c>
      <c r="AR24" s="1107">
        <f>AP24-AQ24</f>
        <v>0</v>
      </c>
      <c r="AS24" s="1110">
        <v>0</v>
      </c>
      <c r="AT24" s="1069">
        <f>SUM(AT51/AS51)*AS24</f>
        <v>0</v>
      </c>
      <c r="AU24" s="1107">
        <f>AS24-AT24</f>
        <v>0</v>
      </c>
      <c r="AV24" s="1110">
        <v>4613.4399999999996</v>
      </c>
      <c r="AW24" s="1069">
        <f>SUM(AW51/AV51)*AV24</f>
        <v>4579.8375366594491</v>
      </c>
      <c r="AX24" s="1107">
        <f>AV24-AW24</f>
        <v>33.602463340550457</v>
      </c>
      <c r="AY24" s="1327">
        <f t="shared" ref="AY24" si="58">SUM(BA24+BB24)</f>
        <v>5984.8866730612381</v>
      </c>
      <c r="AZ24" s="1174">
        <f t="shared" si="32"/>
        <v>1.1224487154182172</v>
      </c>
      <c r="BA24" s="1069">
        <f>SUM(BA23*AE25)</f>
        <v>5952.1741917750442</v>
      </c>
      <c r="BB24" s="1107">
        <f>SUM(BB23*AE25)</f>
        <v>32.712481286194311</v>
      </c>
      <c r="BC24" s="1327">
        <f t="shared" ref="BC24" si="59">SUM(BE24+BF24)</f>
        <v>5287.4191672357347</v>
      </c>
      <c r="BD24" s="1362">
        <f t="shared" si="27"/>
        <v>0.99164064022381271</v>
      </c>
      <c r="BE24" s="1069">
        <f>BE23*BE25</f>
        <v>5258.5189373719013</v>
      </c>
      <c r="BF24" s="1107">
        <f>BF23*BF25</f>
        <v>28.900229863833449</v>
      </c>
      <c r="BG24" s="2056" t="s">
        <v>1015</v>
      </c>
      <c r="BH24" s="1110">
        <v>2360.08</v>
      </c>
      <c r="BI24" s="1069">
        <f>SUM(BI51/BH51)*BH24</f>
        <v>2344.7770492676091</v>
      </c>
      <c r="BJ24" s="1107">
        <f>BH24-BI24</f>
        <v>15.302950732390855</v>
      </c>
      <c r="BK24" s="1110">
        <v>3693.13</v>
      </c>
      <c r="BL24" s="1069">
        <f>SUM(BL51/BK51)*BK24</f>
        <v>3668.5503664430807</v>
      </c>
      <c r="BM24" s="1107">
        <f>BK24-BL24</f>
        <v>24.579633556919362</v>
      </c>
      <c r="BN24" s="1110">
        <v>5026.05</v>
      </c>
      <c r="BO24" s="1069">
        <f>SUM(BO51/BN51)*BN24</f>
        <v>4992.5991149137044</v>
      </c>
      <c r="BP24" s="1107">
        <f>BN24-BO24</f>
        <v>33.450885086295784</v>
      </c>
      <c r="BQ24" s="3366">
        <f t="shared" ref="BQ24" si="60">SUM(BS24+BT24)</f>
        <v>5830.829943839999</v>
      </c>
      <c r="BR24" s="3431">
        <f t="shared" si="31"/>
        <v>1.1027742948717947</v>
      </c>
      <c r="BS24" s="2942">
        <f>SUM(BS23*BS25)</f>
        <v>5789.2199256245722</v>
      </c>
      <c r="BT24" s="2784">
        <f>SUM(BT23*BT25)</f>
        <v>41.610018215426628</v>
      </c>
      <c r="BU24" s="3366">
        <f>BC24*(1-0.01)*(1+0.071)*(1+0)</f>
        <v>5606.1976688283767</v>
      </c>
      <c r="BV24" s="3702">
        <f t="shared" si="21"/>
        <v>1.06029</v>
      </c>
      <c r="BW24" s="2942">
        <f>SUM(BW51/BU51)*BU24</f>
        <v>5567.0737831018942</v>
      </c>
      <c r="BX24" s="2784">
        <f>BU24-BW24</f>
        <v>39.123885726482513</v>
      </c>
    </row>
    <row r="25" spans="1:76" s="191" customFormat="1" ht="21" customHeight="1">
      <c r="A25" s="1426" t="str">
        <f>A15</f>
        <v>то же в %</v>
      </c>
      <c r="B25" s="1230"/>
      <c r="C25" s="1415"/>
      <c r="D25" s="1415"/>
      <c r="E25" s="1393">
        <f>E24/E23</f>
        <v>0.25753296346999066</v>
      </c>
      <c r="F25" s="1393">
        <f t="shared" ref="F25:W25" si="61">F24/F23</f>
        <v>0.99422185530110008</v>
      </c>
      <c r="G25" s="1393">
        <f t="shared" si="61"/>
        <v>0.32556724833575662</v>
      </c>
      <c r="H25" s="1393"/>
      <c r="I25" s="1393">
        <f t="shared" si="61"/>
        <v>0.30199999999999999</v>
      </c>
      <c r="J25" s="1393">
        <f t="shared" si="61"/>
        <v>0.31474214834736858</v>
      </c>
      <c r="K25" s="1393">
        <f t="shared" si="61"/>
        <v>0.30015315587385133</v>
      </c>
      <c r="L25" s="1393">
        <f t="shared" si="61"/>
        <v>0.30022285418433114</v>
      </c>
      <c r="M25" s="1393">
        <f t="shared" si="61"/>
        <v>0.92215312111097902</v>
      </c>
      <c r="N25" s="1393">
        <f t="shared" si="61"/>
        <v>0.3019978857726674</v>
      </c>
      <c r="O25" s="1393">
        <f t="shared" si="61"/>
        <v>0.99999299924724316</v>
      </c>
      <c r="P25" s="1393">
        <f t="shared" si="61"/>
        <v>0.30199999999999999</v>
      </c>
      <c r="Q25" s="1393">
        <f t="shared" si="61"/>
        <v>1</v>
      </c>
      <c r="R25" s="1393">
        <f t="shared" si="61"/>
        <v>1.0059194221589063</v>
      </c>
      <c r="S25" s="1393" t="e">
        <f t="shared" si="61"/>
        <v>#REF!</v>
      </c>
      <c r="T25" s="1393" t="e">
        <f t="shared" si="61"/>
        <v>#REF!</v>
      </c>
      <c r="U25" s="1393">
        <f t="shared" si="61"/>
        <v>0.30124024611819644</v>
      </c>
      <c r="V25" s="1197"/>
      <c r="W25" s="2064">
        <f t="shared" si="61"/>
        <v>0.3019999320328961</v>
      </c>
      <c r="X25" s="1360"/>
      <c r="Y25" s="2063">
        <f t="shared" ref="Y25:AL25" si="62">Y24/Y23</f>
        <v>0.30124024611819644</v>
      </c>
      <c r="Z25" s="1362">
        <f t="shared" si="62"/>
        <v>0.30124024611819644</v>
      </c>
      <c r="AA25" s="2065">
        <f t="shared" si="62"/>
        <v>0.30124024611819217</v>
      </c>
      <c r="AB25" s="2063">
        <f t="shared" ref="AB25:AD25" si="63">AB24/AB23</f>
        <v>0.30321208371853781</v>
      </c>
      <c r="AC25" s="1362">
        <f t="shared" si="63"/>
        <v>0.30321208371853781</v>
      </c>
      <c r="AD25" s="2065">
        <f t="shared" si="63"/>
        <v>0.30321208371853692</v>
      </c>
      <c r="AE25" s="2063">
        <f t="shared" si="62"/>
        <v>0.3019999320328961</v>
      </c>
      <c r="AF25" s="2066"/>
      <c r="AG25" s="1362">
        <v>0</v>
      </c>
      <c r="AH25" s="2065">
        <v>0</v>
      </c>
      <c r="AI25" s="2063">
        <f t="shared" si="62"/>
        <v>0.30199999999999999</v>
      </c>
      <c r="AJ25" s="2066"/>
      <c r="AK25" s="1362">
        <f t="shared" si="62"/>
        <v>0.30199999999999999</v>
      </c>
      <c r="AL25" s="2065">
        <f t="shared" si="62"/>
        <v>0.30199999999999999</v>
      </c>
      <c r="AM25" s="2067"/>
      <c r="AN25" s="2068" t="e">
        <f>#REF!-AM25</f>
        <v>#REF!</v>
      </c>
      <c r="AO25" s="2069" t="e">
        <f t="shared" si="20"/>
        <v>#REF!</v>
      </c>
      <c r="AP25" s="2063">
        <f>AP24/AP23</f>
        <v>0</v>
      </c>
      <c r="AQ25" s="1362">
        <f t="shared" ref="AQ25" si="64">AQ24/AQ23</f>
        <v>0</v>
      </c>
      <c r="AR25" s="2065">
        <f t="shared" ref="AR25" si="65">AR24/AR23</f>
        <v>0</v>
      </c>
      <c r="AS25" s="2063">
        <f>AS24/AS23</f>
        <v>0</v>
      </c>
      <c r="AT25" s="1362">
        <f t="shared" ref="AT25" si="66">AT24/AT23</f>
        <v>0</v>
      </c>
      <c r="AU25" s="2065">
        <f t="shared" ref="AU25" si="67">AU24/AU23</f>
        <v>0</v>
      </c>
      <c r="AV25" s="2063">
        <f>AV24/AV23</f>
        <v>0.3020423395082541</v>
      </c>
      <c r="AW25" s="1362">
        <f t="shared" ref="AW25:AX25" si="68">AW24/AW23</f>
        <v>0.30204233950825415</v>
      </c>
      <c r="AX25" s="2065">
        <f t="shared" si="68"/>
        <v>0.30204233950825066</v>
      </c>
      <c r="AY25" s="2063">
        <f>SUM(AY24/AY23)</f>
        <v>0.3019999320328961</v>
      </c>
      <c r="AZ25" s="1362">
        <f t="shared" si="32"/>
        <v>0.99999977494336456</v>
      </c>
      <c r="BA25" s="1362">
        <f>SUM(BA24/BA23)</f>
        <v>0.3019999320328961</v>
      </c>
      <c r="BB25" s="2065">
        <f>SUM(BB24/BB23)</f>
        <v>0.3019999320328961</v>
      </c>
      <c r="BC25" s="2063">
        <f>Y25</f>
        <v>0.30124024611819644</v>
      </c>
      <c r="BD25" s="1362">
        <f t="shared" si="27"/>
        <v>0.99748425866952473</v>
      </c>
      <c r="BE25" s="1362">
        <f>Z25</f>
        <v>0.30124024611819644</v>
      </c>
      <c r="BF25" s="2065">
        <f>AA25</f>
        <v>0.30124024611819217</v>
      </c>
      <c r="BG25" s="2059"/>
      <c r="BH25" s="2063">
        <f>BH24/BH23</f>
        <v>0.3020461654235414</v>
      </c>
      <c r="BI25" s="1362">
        <f t="shared" ref="BI25:BJ25" si="69">BI24/BI23</f>
        <v>0.30204616542354135</v>
      </c>
      <c r="BJ25" s="2065">
        <f t="shared" si="69"/>
        <v>0.30204616542354235</v>
      </c>
      <c r="BK25" s="2063">
        <f>BK24/BK23</f>
        <v>0.30202018467315828</v>
      </c>
      <c r="BL25" s="1362">
        <f t="shared" ref="BL25:BM25" si="70">BL24/BL23</f>
        <v>0.30202018467315828</v>
      </c>
      <c r="BM25" s="2065">
        <f t="shared" si="70"/>
        <v>0.30202018467315828</v>
      </c>
      <c r="BN25" s="2063">
        <f>BN24/BN23</f>
        <v>0.30200017545398716</v>
      </c>
      <c r="BO25" s="1362">
        <f t="shared" ref="BO25:BP25" si="71">BO24/BO23</f>
        <v>0.30200017545398716</v>
      </c>
      <c r="BP25" s="2065">
        <f t="shared" si="71"/>
        <v>0.30200017545398683</v>
      </c>
      <c r="BQ25" s="2948">
        <v>0.30199999999999999</v>
      </c>
      <c r="BR25" s="3431">
        <f t="shared" si="31"/>
        <v>1.0025220862470861</v>
      </c>
      <c r="BS25" s="2949">
        <v>0.30199999999999999</v>
      </c>
      <c r="BT25" s="2950">
        <v>0.30199999999999999</v>
      </c>
      <c r="BU25" s="3710">
        <f>SUM(BU24/BU23)</f>
        <v>0.30124024611819644</v>
      </c>
      <c r="BV25" s="3709">
        <f t="shared" si="21"/>
        <v>1</v>
      </c>
      <c r="BW25" s="3709">
        <f t="shared" ref="BW25:BX25" si="72">SUM(BW24/BW23)</f>
        <v>0.30124024611819639</v>
      </c>
      <c r="BX25" s="3711">
        <f t="shared" si="72"/>
        <v>0.30124024611819761</v>
      </c>
    </row>
    <row r="26" spans="1:76" ht="21" customHeight="1">
      <c r="A26" s="1400" t="s">
        <v>6</v>
      </c>
      <c r="B26" s="1229">
        <v>5257.9</v>
      </c>
      <c r="C26" s="1421">
        <v>5861.9</v>
      </c>
      <c r="D26" s="1415">
        <f t="shared" si="0"/>
        <v>111.48747598851251</v>
      </c>
      <c r="E26" s="1421">
        <v>7223.5</v>
      </c>
      <c r="F26" s="1415">
        <f t="shared" si="13"/>
        <v>123.22796362953991</v>
      </c>
      <c r="G26" s="1421">
        <v>6350.1</v>
      </c>
      <c r="H26" s="1415">
        <f t="shared" si="2"/>
        <v>87.908908423894232</v>
      </c>
      <c r="I26" s="382">
        <v>7143.8</v>
      </c>
      <c r="J26" s="382">
        <v>3535.8</v>
      </c>
      <c r="K26" s="382">
        <f>'цех стоки'!K48</f>
        <v>4844.7818798570233</v>
      </c>
      <c r="L26" s="382">
        <v>7419.2</v>
      </c>
      <c r="M26" s="1422">
        <f t="shared" si="14"/>
        <v>116.83595533928599</v>
      </c>
      <c r="N26" s="382">
        <v>8569.6</v>
      </c>
      <c r="O26" s="1423">
        <f t="shared" si="15"/>
        <v>119.95856546935804</v>
      </c>
      <c r="P26" s="382">
        <f>'цех стоки'!P48</f>
        <v>7339.1</v>
      </c>
      <c r="Q26" s="1422">
        <f t="shared" si="16"/>
        <v>102.73383913323441</v>
      </c>
      <c r="R26" s="1422">
        <f t="shared" si="17"/>
        <v>98.92036877291352</v>
      </c>
      <c r="S26" s="382">
        <v>7149.16</v>
      </c>
      <c r="T26" s="382">
        <v>48.44</v>
      </c>
      <c r="U26" s="382">
        <v>5813.4</v>
      </c>
      <c r="V26" s="1196"/>
      <c r="W26" s="1356">
        <v>9326.93</v>
      </c>
      <c r="X26" s="1853"/>
      <c r="Y26" s="1110">
        <f>'цех стоки'!X48</f>
        <v>7684.2126026799478</v>
      </c>
      <c r="Z26" s="1069">
        <f>($Z$51/$Y$51)*Y26</f>
        <v>7625.6295567260067</v>
      </c>
      <c r="AA26" s="1107">
        <f>Y26-Z26</f>
        <v>58.583045953941109</v>
      </c>
      <c r="AB26" s="1110">
        <f>'цех стоки'!AA48</f>
        <v>5917.5</v>
      </c>
      <c r="AC26" s="1069">
        <f>SUM(AC51/AB51)*AB26</f>
        <v>5866.0908463264486</v>
      </c>
      <c r="AD26" s="1107">
        <f>AB26-AC26</f>
        <v>51.409153673551373</v>
      </c>
      <c r="AE26" s="1110">
        <v>7083.35</v>
      </c>
      <c r="AF26" s="1069">
        <f t="shared" si="18"/>
        <v>0.92180557283508913</v>
      </c>
      <c r="AG26" s="1069">
        <v>7020.31</v>
      </c>
      <c r="AH26" s="1107">
        <v>63.04</v>
      </c>
      <c r="AI26" s="1110">
        <f>'цех стоки'!AC48</f>
        <v>7258.9036668341378</v>
      </c>
      <c r="AJ26" s="1069">
        <f t="shared" si="19"/>
        <v>0.94465159179777514</v>
      </c>
      <c r="AK26" s="1069">
        <f>SUM('цех стоки'!X74)</f>
        <v>7203.5630992213855</v>
      </c>
      <c r="AL26" s="1107">
        <f>SUM('цех стоки'!Y74)</f>
        <v>55.340567612752238</v>
      </c>
      <c r="AM26" s="1391" t="e">
        <f>#REF!*Z26/Y26</f>
        <v>#REF!</v>
      </c>
      <c r="AN26" s="1394" t="e">
        <f>#REF!-AM26</f>
        <v>#REF!</v>
      </c>
      <c r="AO26" s="1424" t="e">
        <f t="shared" si="20"/>
        <v>#REF!</v>
      </c>
      <c r="AP26" s="1110">
        <f>SUM('цех стоки'!AE48)</f>
        <v>3273.44</v>
      </c>
      <c r="AQ26" s="1069">
        <f>SUM(AQ51/AP51)*AP26</f>
        <v>3254.4938056190667</v>
      </c>
      <c r="AR26" s="1107">
        <f>AP26-AQ26</f>
        <v>18.946194380933321</v>
      </c>
      <c r="AS26" s="1110">
        <f>SUM('цех стоки'!AF48)</f>
        <v>4615.83</v>
      </c>
      <c r="AT26" s="1069">
        <f>SUM(AT51/AS51)*AS26</f>
        <v>4588.625881911039</v>
      </c>
      <c r="AU26" s="1107">
        <f>AS26-AT26</f>
        <v>27.204118088960968</v>
      </c>
      <c r="AV26" s="1110">
        <v>5954.41</v>
      </c>
      <c r="AW26" s="1069">
        <f>SUM(AW51/AV51)*AV26</f>
        <v>5911.0404441502196</v>
      </c>
      <c r="AX26" s="1107">
        <f>AV26-AW26</f>
        <v>43.369555849780227</v>
      </c>
      <c r="AY26" s="1110">
        <v>9016.44</v>
      </c>
      <c r="AZ26" s="1174">
        <f t="shared" ref="AZ26" si="73">SUM(AY26/AI26)</f>
        <v>1.2421214571555799</v>
      </c>
      <c r="BA26" s="1069">
        <f>SUM(BA51/AY51)*AY26</f>
        <v>8967.1575088050195</v>
      </c>
      <c r="BB26" s="1107">
        <f>AY26-BA26</f>
        <v>49.282491194981048</v>
      </c>
      <c r="BC26" s="1110">
        <f>SUM('цех стоки'!AH48)</f>
        <v>6899.5913342835493</v>
      </c>
      <c r="BD26" s="1362">
        <f t="shared" si="27"/>
        <v>0.95050046824670187</v>
      </c>
      <c r="BE26" s="1069">
        <f>SUM(BE51/BC51)*BC26</f>
        <v>6861.879216287889</v>
      </c>
      <c r="BF26" s="1107">
        <f>BC26-BE26</f>
        <v>37.712117995660265</v>
      </c>
      <c r="BG26" s="2057" t="str">
        <f>BG16</f>
        <v>Приложение</v>
      </c>
      <c r="BH26" s="1110">
        <f>SUM('цех стоки'!AN48)</f>
        <v>3623.77</v>
      </c>
      <c r="BI26" s="1069">
        <f>SUM(BI51/BH51)*BH26</f>
        <v>3600.2731804957816</v>
      </c>
      <c r="BJ26" s="1107">
        <f>BH26-BI26</f>
        <v>23.496819504218365</v>
      </c>
      <c r="BK26" s="1110">
        <f>SUM('цех стоки'!AO48)</f>
        <v>5825.48</v>
      </c>
      <c r="BL26" s="1069">
        <f>SUM(BL51/BK51)*BK26</f>
        <v>5786.7085070676731</v>
      </c>
      <c r="BM26" s="1107">
        <f>BK26-BL26</f>
        <v>38.77149293232651</v>
      </c>
      <c r="BN26" s="1110">
        <f>SUM('цех стоки'!AP48)</f>
        <v>7909.2609655925799</v>
      </c>
      <c r="BO26" s="1069">
        <f>SUM(BO51/BN51)*BN26</f>
        <v>7856.6208645833258</v>
      </c>
      <c r="BP26" s="1107">
        <f>BN26-BO26</f>
        <v>52.640101009254067</v>
      </c>
      <c r="BQ26" s="2941">
        <f>SUM('цех стоки'!AQ48)</f>
        <v>6590.9492112887756</v>
      </c>
      <c r="BR26" s="3431">
        <f t="shared" si="31"/>
        <v>0.95526660811617148</v>
      </c>
      <c r="BS26" s="2942">
        <f>SUM(BS51/BQ51)*BQ26</f>
        <v>6543.9148234949062</v>
      </c>
      <c r="BT26" s="2784">
        <f>BQ26-BS26</f>
        <v>47.034387793869428</v>
      </c>
      <c r="BU26" s="2941">
        <f>SUM('цех стоки'!AR48)</f>
        <v>7072.5275761536359</v>
      </c>
      <c r="BV26" s="3702">
        <f t="shared" si="21"/>
        <v>1.0250647079647717</v>
      </c>
      <c r="BW26" s="2942">
        <f>SUM(BW51/BU51)*BU26</f>
        <v>7023.1706363822532</v>
      </c>
      <c r="BX26" s="2784">
        <f>BU26-BW26</f>
        <v>49.356939771382713</v>
      </c>
    </row>
    <row r="27" spans="1:76" ht="20.25" customHeight="1">
      <c r="A27" s="1431" t="s">
        <v>550</v>
      </c>
      <c r="B27" s="1412">
        <f>SUM(B28:B33)</f>
        <v>2395.8000000000002</v>
      </c>
      <c r="C27" s="1413">
        <f>SUM(C28:C33)</f>
        <v>2601</v>
      </c>
      <c r="D27" s="1414">
        <f t="shared" si="0"/>
        <v>108.56498873027797</v>
      </c>
      <c r="E27" s="1394">
        <f>SUM(E28:E33)-E31</f>
        <v>2392.9000000000005</v>
      </c>
      <c r="F27" s="1394">
        <f>SUM(F28:F33)</f>
        <v>339.98834519956017</v>
      </c>
      <c r="G27" s="1394">
        <f>SUM(G28:G33)-G31</f>
        <v>3044</v>
      </c>
      <c r="H27" s="1415"/>
      <c r="I27" s="1394">
        <f>SUM(I28:I33)-I31</f>
        <v>3337.4</v>
      </c>
      <c r="J27" s="1394">
        <f>SUM(J28:J33)</f>
        <v>1546.7365654205605</v>
      </c>
      <c r="K27" s="1394">
        <f>SUM(K28:K33)-K31</f>
        <v>2079.5081315642897</v>
      </c>
      <c r="L27" s="1394">
        <f>SUM(L28:L33)-L31</f>
        <v>3384.9</v>
      </c>
      <c r="M27" s="1429">
        <f t="shared" si="14"/>
        <v>111.19908015768725</v>
      </c>
      <c r="N27" s="1394">
        <f>SUM(N28:N33)</f>
        <v>4176.4219929086685</v>
      </c>
      <c r="O27" s="1423">
        <f t="shared" si="15"/>
        <v>125.13998900067922</v>
      </c>
      <c r="P27" s="1394">
        <f>SUM(P28:P33)-P31</f>
        <v>3618.2853557039994</v>
      </c>
      <c r="Q27" s="1394">
        <f>SUM(Q28:Q33)</f>
        <v>535.52937492418869</v>
      </c>
      <c r="R27" s="1394">
        <f>SUM(R28:R33)</f>
        <v>498.49512913534039</v>
      </c>
      <c r="S27" s="1394">
        <f>SUM(S28:S33)-S31</f>
        <v>3539.4</v>
      </c>
      <c r="T27" s="1394">
        <f>SUM(T28:T33)</f>
        <v>0</v>
      </c>
      <c r="U27" s="1394">
        <f>SUM(U28:U33)-U31</f>
        <v>2712</v>
      </c>
      <c r="V27" s="1424">
        <f>SUM(V28:V33)-V31</f>
        <v>0</v>
      </c>
      <c r="W27" s="1358">
        <f>SUM(W28:W33)-W31</f>
        <v>4744.9500000000007</v>
      </c>
      <c r="X27" s="1436"/>
      <c r="Y27" s="1330">
        <f>SUM(Y28:Y33)-Y31</f>
        <v>3810.3137653314348</v>
      </c>
      <c r="Z27" s="1328">
        <f>SUM(Z28:Z33)-Z31</f>
        <v>3810.3137653314348</v>
      </c>
      <c r="AA27" s="1329">
        <f>SUM(AA28:AA33)</f>
        <v>0</v>
      </c>
      <c r="AB27" s="1330">
        <f>SUM(AB28:AB33)-AB31</f>
        <v>2449.9</v>
      </c>
      <c r="AC27" s="1328">
        <f>SUM(AC28:AC33)-AC31</f>
        <v>2444.1835279903339</v>
      </c>
      <c r="AD27" s="1329">
        <f>SUM(AD28:AD33)</f>
        <v>5.716472009665722</v>
      </c>
      <c r="AE27" s="1330">
        <v>3908.46</v>
      </c>
      <c r="AF27" s="1069">
        <f t="shared" si="18"/>
        <v>1.0257580453246553</v>
      </c>
      <c r="AG27" s="1328">
        <v>3908.46</v>
      </c>
      <c r="AH27" s="1329">
        <v>0</v>
      </c>
      <c r="AI27" s="1330">
        <f>SUM(AI28:AI33)</f>
        <v>4015.8612375136295</v>
      </c>
      <c r="AJ27" s="1069">
        <f t="shared" si="19"/>
        <v>1.0539450252240095</v>
      </c>
      <c r="AK27" s="1328">
        <f>SUM(AK28:AK33)-AK31</f>
        <v>4010.2974672538039</v>
      </c>
      <c r="AL27" s="1329">
        <f>SUM(AL28:AL33)</f>
        <v>5.2617688926677602</v>
      </c>
      <c r="AM27" s="1391" t="e">
        <f>#REF!</f>
        <v>#REF!</v>
      </c>
      <c r="AN27" s="1394">
        <v>0</v>
      </c>
      <c r="AO27" s="1424" t="e">
        <f t="shared" si="20"/>
        <v>#REF!</v>
      </c>
      <c r="AP27" s="1330">
        <f>SUM(AP28:AP33)-AP31</f>
        <v>1054.58</v>
      </c>
      <c r="AQ27" s="1328">
        <f>SUM(AQ28:AQ33)-AQ31</f>
        <v>1052.5220704597962</v>
      </c>
      <c r="AR27" s="1329"/>
      <c r="AS27" s="1330">
        <f>SUM(AS28:AS33)-AS31</f>
        <v>1686.55</v>
      </c>
      <c r="AT27" s="1328">
        <f>SUM(AT28:AT33)-AT31</f>
        <v>1683.3111998157194</v>
      </c>
      <c r="AU27" s="1329"/>
      <c r="AV27" s="1330">
        <f>SUM(AV28:AV33)-AV31</f>
        <v>3051.3199999999997</v>
      </c>
      <c r="AW27" s="1328">
        <f>SUM(AW28:AW33)-AW31</f>
        <v>3045.778926525335</v>
      </c>
      <c r="AX27" s="1329">
        <f>SUM(AV27-AW27)</f>
        <v>5.5410734746646995</v>
      </c>
      <c r="AY27" s="1330">
        <f>SUM(AY28:AY33)-AY31</f>
        <v>5342.0712213395909</v>
      </c>
      <c r="AZ27" s="1174">
        <f t="shared" si="32"/>
        <v>1.3302429803692788</v>
      </c>
      <c r="BA27" s="1328">
        <f>SUM(BA28:BA33)-BA31</f>
        <v>5336.5912167205643</v>
      </c>
      <c r="BB27" s="1329">
        <f>SUM(BB28:BB33)</f>
        <v>5.4800046190265448</v>
      </c>
      <c r="BC27" s="1330">
        <f>SUM(BC28:BC33)-BC31</f>
        <v>3068.8808562007616</v>
      </c>
      <c r="BD27" s="1362">
        <f t="shared" si="27"/>
        <v>0.76418996441740128</v>
      </c>
      <c r="BE27" s="1328">
        <f>SUM(BE28:BE33)-BE31</f>
        <v>3064.6874343771628</v>
      </c>
      <c r="BF27" s="1329">
        <f>SUM(BF28:BF33)</f>
        <v>4.1934218235985554</v>
      </c>
      <c r="BG27" s="2057"/>
      <c r="BH27" s="1330">
        <f>SUM(BH28:BH33)-BH31</f>
        <v>1436.7099999999998</v>
      </c>
      <c r="BI27" s="1328">
        <f>SUM(BI28:BI33)-BI31</f>
        <v>1433.8322998523174</v>
      </c>
      <c r="BJ27" s="1329"/>
      <c r="BK27" s="1330">
        <f>SUM(BK28:BK33)-BK31</f>
        <v>2201.7599999999998</v>
      </c>
      <c r="BL27" s="1328">
        <f>SUM(BL28:BL33)-BL31</f>
        <v>2197.3340247129977</v>
      </c>
      <c r="BM27" s="1329"/>
      <c r="BN27" s="1330">
        <f>SUM(BN28:BN33)-BN31</f>
        <v>3004.1548497855492</v>
      </c>
      <c r="BO27" s="1328">
        <f>SUM(BO28:BO33)-BO31</f>
        <v>2998.1456979951108</v>
      </c>
      <c r="BP27" s="1329"/>
      <c r="BQ27" s="2945">
        <f>SUM(BQ28:BQ33)-BQ31</f>
        <v>3442.0580249415802</v>
      </c>
      <c r="BR27" s="3431">
        <f t="shared" si="31"/>
        <v>1.1216004094739629</v>
      </c>
      <c r="BS27" s="2946">
        <f>SUM(BS28:BS33)-BS31</f>
        <v>3435.2769153734666</v>
      </c>
      <c r="BT27" s="2947">
        <f>SUM(BT28:BT33)-BT31</f>
        <v>6.7811095681133793</v>
      </c>
      <c r="BU27" s="2945">
        <f>SUM(BU28:BU33)-BU31</f>
        <v>3246.5926049635227</v>
      </c>
      <c r="BV27" s="3702">
        <f t="shared" si="21"/>
        <v>1.0579076728911418</v>
      </c>
      <c r="BW27" s="2946">
        <f>SUM(BW28:BW33)-BW31</f>
        <v>3240.9582437576878</v>
      </c>
      <c r="BX27" s="2947">
        <f>SUM(BX28:BX33)</f>
        <v>5.6343612058349208</v>
      </c>
    </row>
    <row r="28" spans="1:76" ht="31.5" customHeight="1">
      <c r="A28" s="1400" t="s">
        <v>3</v>
      </c>
      <c r="B28" s="1229">
        <v>136.30000000000001</v>
      </c>
      <c r="C28" s="1421">
        <v>303.60000000000002</v>
      </c>
      <c r="D28" s="1415">
        <f t="shared" si="0"/>
        <v>222.74394717534852</v>
      </c>
      <c r="E28" s="1421">
        <v>107.7</v>
      </c>
      <c r="F28" s="1415">
        <f t="shared" si="13"/>
        <v>35.474308300395258</v>
      </c>
      <c r="G28" s="1421">
        <v>238.5</v>
      </c>
      <c r="H28" s="1415">
        <f t="shared" si="2"/>
        <v>221.44846796657382</v>
      </c>
      <c r="I28" s="382">
        <v>196.9</v>
      </c>
      <c r="J28" s="382">
        <v>93.1</v>
      </c>
      <c r="K28" s="382">
        <v>136.4</v>
      </c>
      <c r="L28" s="382">
        <v>300.60000000000002</v>
      </c>
      <c r="M28" s="1422">
        <f t="shared" si="14"/>
        <v>126.03773584905662</v>
      </c>
      <c r="N28" s="382">
        <v>216.7</v>
      </c>
      <c r="O28" s="1423">
        <f t="shared" si="15"/>
        <v>110.05586592178771</v>
      </c>
      <c r="P28" s="382">
        <v>206.7</v>
      </c>
      <c r="Q28" s="1422">
        <f t="shared" si="16"/>
        <v>104.97714575926867</v>
      </c>
      <c r="R28" s="1422">
        <f t="shared" ref="R28:R42" si="74">P28/L28*100</f>
        <v>68.762475049900189</v>
      </c>
      <c r="S28" s="382">
        <v>206.7</v>
      </c>
      <c r="T28" s="382"/>
      <c r="U28" s="382">
        <v>268.8</v>
      </c>
      <c r="V28" s="1196"/>
      <c r="W28" s="1356">
        <v>309</v>
      </c>
      <c r="X28" s="1853"/>
      <c r="Y28" s="1110">
        <f>P28*1.048</f>
        <v>216.6216</v>
      </c>
      <c r="Z28" s="1069">
        <f>Y28</f>
        <v>216.6216</v>
      </c>
      <c r="AA28" s="1107"/>
      <c r="AB28" s="1110">
        <f>SUM(AC28:AD28)</f>
        <v>259.89999999999998</v>
      </c>
      <c r="AC28" s="1069">
        <v>259.89999999999998</v>
      </c>
      <c r="AD28" s="1107">
        <v>0</v>
      </c>
      <c r="AE28" s="1110">
        <v>230</v>
      </c>
      <c r="AF28" s="1069">
        <f t="shared" si="18"/>
        <v>1.0617593074744163</v>
      </c>
      <c r="AG28" s="1069">
        <v>230</v>
      </c>
      <c r="AH28" s="1107">
        <v>0</v>
      </c>
      <c r="AI28" s="1110">
        <f>AK28+AL28</f>
        <v>361.53</v>
      </c>
      <c r="AJ28" s="1069">
        <f t="shared" si="19"/>
        <v>1.6689471410053289</v>
      </c>
      <c r="AK28" s="1069">
        <f>'Ремонт стоки 2015'!G19/1000</f>
        <v>361.53</v>
      </c>
      <c r="AL28" s="1107">
        <f>AA28*1.046</f>
        <v>0</v>
      </c>
      <c r="AM28" s="1392">
        <f>AK28*1.046</f>
        <v>378.16037999999998</v>
      </c>
      <c r="AN28" s="382">
        <f>AL28*1.046</f>
        <v>0</v>
      </c>
      <c r="AO28" s="1196" t="e">
        <f>#REF!*1.046</f>
        <v>#REF!</v>
      </c>
      <c r="AP28" s="1110">
        <f>SUM(AQ28:AR28)</f>
        <v>0</v>
      </c>
      <c r="AQ28" s="1069">
        <v>0</v>
      </c>
      <c r="AR28" s="1107">
        <v>0</v>
      </c>
      <c r="AS28" s="1110">
        <f>SUM(AT28:AU28)</f>
        <v>0</v>
      </c>
      <c r="AT28" s="1069">
        <v>0</v>
      </c>
      <c r="AU28" s="1107">
        <v>0</v>
      </c>
      <c r="AV28" s="1110">
        <f>SUM(AW28:AX28)</f>
        <v>215.34</v>
      </c>
      <c r="AW28" s="1069">
        <v>215.34</v>
      </c>
      <c r="AX28" s="1107">
        <v>0</v>
      </c>
      <c r="AY28" s="1110">
        <f>SUM(BA28:BB28)</f>
        <v>1081.7670000000001</v>
      </c>
      <c r="AZ28" s="1174">
        <f t="shared" si="32"/>
        <v>2.9921915193759858</v>
      </c>
      <c r="BA28" s="1069">
        <f>SUM('Ремонт стоки 2016'!K88/1000)</f>
        <v>1081.7670000000001</v>
      </c>
      <c r="BB28" s="1107">
        <v>0</v>
      </c>
      <c r="BC28" s="1110">
        <f>'  текРемстоки 2016'!I91/1000</f>
        <v>132.46199999999999</v>
      </c>
      <c r="BD28" s="1362">
        <f t="shared" si="27"/>
        <v>0.36639283047050036</v>
      </c>
      <c r="BE28" s="1069">
        <f>BC28</f>
        <v>132.46199999999999</v>
      </c>
      <c r="BF28" s="1107">
        <v>0</v>
      </c>
      <c r="BG28" s="2056" t="str">
        <f>BG22</f>
        <v>Выполнять за счет амортизации</v>
      </c>
      <c r="BH28" s="1110">
        <f>SUM(BI28:BJ28)</f>
        <v>98.44</v>
      </c>
      <c r="BI28" s="1069">
        <v>98.44</v>
      </c>
      <c r="BJ28" s="1107">
        <v>0</v>
      </c>
      <c r="BK28" s="1110">
        <f>SUM(BL28:BM28)</f>
        <v>116.68</v>
      </c>
      <c r="BL28" s="1069">
        <v>116.68</v>
      </c>
      <c r="BM28" s="1107">
        <v>0</v>
      </c>
      <c r="BN28" s="1110">
        <f>SUM(BO28:BP28)</f>
        <v>155.57</v>
      </c>
      <c r="BO28" s="1069">
        <v>155.57</v>
      </c>
      <c r="BP28" s="1107">
        <v>0</v>
      </c>
      <c r="BQ28" s="2941">
        <f>SUM(AV28/2)</f>
        <v>107.67</v>
      </c>
      <c r="BR28" s="3431">
        <f t="shared" si="31"/>
        <v>0.81283688907007301</v>
      </c>
      <c r="BS28" s="2942">
        <f>SUM(BQ28)</f>
        <v>107.67</v>
      </c>
      <c r="BT28" s="2784">
        <v>0</v>
      </c>
      <c r="BU28" s="3366">
        <f>BC28*(1-0.01)*(1+0.071)*(1+0)</f>
        <v>140.44813397999997</v>
      </c>
      <c r="BV28" s="3702">
        <f t="shared" si="21"/>
        <v>1.0602899999999997</v>
      </c>
      <c r="BW28" s="2942">
        <f>BU28</f>
        <v>140.44813397999997</v>
      </c>
      <c r="BX28" s="2784">
        <v>0</v>
      </c>
    </row>
    <row r="29" spans="1:76" ht="21" customHeight="1">
      <c r="A29" s="1400" t="s">
        <v>4</v>
      </c>
      <c r="B29" s="1229">
        <v>1216.9000000000001</v>
      </c>
      <c r="C29" s="1421">
        <v>1404.6</v>
      </c>
      <c r="D29" s="1415">
        <f t="shared" si="0"/>
        <v>115.4244391486564</v>
      </c>
      <c r="E29" s="1421">
        <v>1305.4000000000001</v>
      </c>
      <c r="F29" s="1415">
        <f t="shared" si="13"/>
        <v>92.937491100669249</v>
      </c>
      <c r="G29" s="1421">
        <v>1610.2</v>
      </c>
      <c r="H29" s="1415">
        <f t="shared" si="2"/>
        <v>123.34916500689444</v>
      </c>
      <c r="I29" s="382">
        <v>1927.2</v>
      </c>
      <c r="J29" s="382">
        <v>856</v>
      </c>
      <c r="K29" s="382">
        <v>1159.5</v>
      </c>
      <c r="L29" s="382">
        <v>1696.9</v>
      </c>
      <c r="M29" s="1422">
        <f t="shared" si="14"/>
        <v>105.38442429511863</v>
      </c>
      <c r="N29" s="382">
        <v>2453.6999999999998</v>
      </c>
      <c r="O29" s="1423">
        <f t="shared" si="15"/>
        <v>127.31942714819426</v>
      </c>
      <c r="P29" s="382">
        <f>ЗП!AP17</f>
        <v>2064.0440519999997</v>
      </c>
      <c r="Q29" s="1422">
        <f t="shared" si="16"/>
        <v>107.10066687422166</v>
      </c>
      <c r="R29" s="1422">
        <f t="shared" si="74"/>
        <v>121.6361631209853</v>
      </c>
      <c r="S29" s="382">
        <v>2064</v>
      </c>
      <c r="T29" s="382"/>
      <c r="U29" s="382">
        <v>1288.8</v>
      </c>
      <c r="V29" s="1196"/>
      <c r="W29" s="1356">
        <v>2633.2</v>
      </c>
      <c r="X29" s="1853"/>
      <c r="Y29" s="1110">
        <f>ЗП!U32</f>
        <v>2179.6305189119998</v>
      </c>
      <c r="Z29" s="1069">
        <f>Y29</f>
        <v>2179.6305189119998</v>
      </c>
      <c r="AA29" s="1107"/>
      <c r="AB29" s="1110">
        <v>1158.3</v>
      </c>
      <c r="AC29" s="1069">
        <f>SUM(AB29)</f>
        <v>1158.3</v>
      </c>
      <c r="AD29" s="1107">
        <v>0</v>
      </c>
      <c r="AE29" s="1110">
        <v>2288.61</v>
      </c>
      <c r="AF29" s="1069">
        <f t="shared" si="18"/>
        <v>1.0499990618329198</v>
      </c>
      <c r="AG29" s="1069">
        <v>2288.61</v>
      </c>
      <c r="AH29" s="1107">
        <v>0</v>
      </c>
      <c r="AI29" s="1110">
        <f>ЗП!BB32</f>
        <v>2257.028571428571</v>
      </c>
      <c r="AJ29" s="1069">
        <f t="shared" si="19"/>
        <v>1.0355097122402221</v>
      </c>
      <c r="AK29" s="1069">
        <f>AI29</f>
        <v>2257.028571428571</v>
      </c>
      <c r="AL29" s="1107">
        <f>AA29*1.05</f>
        <v>0</v>
      </c>
      <c r="AM29" s="1391" t="e">
        <f>#REF!</f>
        <v>#REF!</v>
      </c>
      <c r="AN29" s="1394">
        <v>0</v>
      </c>
      <c r="AO29" s="1424" t="e">
        <f t="shared" si="20"/>
        <v>#REF!</v>
      </c>
      <c r="AP29" s="1110">
        <f>SUM(ЗП!BG32)</f>
        <v>686.3</v>
      </c>
      <c r="AQ29" s="1069">
        <f>SUM(AP29)</f>
        <v>686.3</v>
      </c>
      <c r="AR29" s="1107">
        <v>0</v>
      </c>
      <c r="AS29" s="1110">
        <f>SUM(ЗП!BK32)</f>
        <v>1117.9000000000001</v>
      </c>
      <c r="AT29" s="1069">
        <f>SUM(AS29)</f>
        <v>1117.9000000000001</v>
      </c>
      <c r="AU29" s="1107">
        <v>0</v>
      </c>
      <c r="AV29" s="1110">
        <v>1576.62</v>
      </c>
      <c r="AW29" s="1069">
        <f>SUM(AV29)</f>
        <v>1576.62</v>
      </c>
      <c r="AX29" s="1107">
        <v>0</v>
      </c>
      <c r="AY29" s="1110">
        <v>2482.73</v>
      </c>
      <c r="AZ29" s="1174">
        <f t="shared" si="32"/>
        <v>1.09999936705656</v>
      </c>
      <c r="BA29" s="1069">
        <f>SUM(AY29)</f>
        <v>2482.73</v>
      </c>
      <c r="BB29" s="1107">
        <v>0</v>
      </c>
      <c r="BC29" s="1110">
        <f>SUM(ЗП!BW32)</f>
        <v>1648.136533333334</v>
      </c>
      <c r="BD29" s="1362">
        <f t="shared" si="27"/>
        <v>0.73022404509933037</v>
      </c>
      <c r="BE29" s="1069">
        <f>SUM(BC29)</f>
        <v>1648.136533333334</v>
      </c>
      <c r="BF29" s="1107">
        <v>0</v>
      </c>
      <c r="BG29" s="2056" t="str">
        <f>BG23</f>
        <v>Приложение</v>
      </c>
      <c r="BH29" s="1110">
        <f>SUM(ЗП!CB32)</f>
        <v>677.18</v>
      </c>
      <c r="BI29" s="1069">
        <f>SUM(BH29)</f>
        <v>677.18</v>
      </c>
      <c r="BJ29" s="1107">
        <v>0</v>
      </c>
      <c r="BK29" s="1110">
        <f>SUM(ЗП!CF32)</f>
        <v>1075.97</v>
      </c>
      <c r="BL29" s="1069">
        <f>SUM(BK29)</f>
        <v>1075.97</v>
      </c>
      <c r="BM29" s="1107">
        <v>0</v>
      </c>
      <c r="BN29" s="1110">
        <f>SUM(ЗП!CJ32)</f>
        <v>1474.7600000000002</v>
      </c>
      <c r="BO29" s="1069">
        <f>SUM(BN29)</f>
        <v>1474.7600000000002</v>
      </c>
      <c r="BP29" s="1107">
        <v>0</v>
      </c>
      <c r="BQ29" s="2941">
        <f>SUM(ЗП!CN32)</f>
        <v>1812.9501866666674</v>
      </c>
      <c r="BR29" s="3431">
        <f t="shared" si="31"/>
        <v>1.1000000000000001</v>
      </c>
      <c r="BS29" s="2942">
        <f>SUM(BQ29)</f>
        <v>1812.9501866666674</v>
      </c>
      <c r="BT29" s="2784">
        <v>0</v>
      </c>
      <c r="BU29" s="2941">
        <f>SUM(ЗП!CR32)</f>
        <v>1747.5026849280007</v>
      </c>
      <c r="BV29" s="3702">
        <f t="shared" si="21"/>
        <v>1.06029</v>
      </c>
      <c r="BW29" s="2942">
        <f>SUM(BU29)</f>
        <v>1747.5026849280007</v>
      </c>
      <c r="BX29" s="2784">
        <v>0</v>
      </c>
    </row>
    <row r="30" spans="1:76" ht="31.5" customHeight="1">
      <c r="A30" s="1400" t="s">
        <v>121</v>
      </c>
      <c r="B30" s="1229">
        <v>293.3</v>
      </c>
      <c r="C30" s="1421">
        <v>366.3</v>
      </c>
      <c r="D30" s="1415">
        <f t="shared" si="0"/>
        <v>124.88919195363108</v>
      </c>
      <c r="E30" s="1421">
        <v>338</v>
      </c>
      <c r="F30" s="1415">
        <f t="shared" si="13"/>
        <v>92.274092274092268</v>
      </c>
      <c r="G30" s="1421">
        <v>535.70000000000005</v>
      </c>
      <c r="H30" s="1415">
        <f t="shared" si="2"/>
        <v>158.49112426035506</v>
      </c>
      <c r="I30" s="382">
        <v>578.20000000000005</v>
      </c>
      <c r="J30" s="382">
        <v>288.10000000000002</v>
      </c>
      <c r="K30" s="382">
        <v>351.9</v>
      </c>
      <c r="L30" s="382">
        <v>514</v>
      </c>
      <c r="M30" s="1422">
        <f t="shared" si="14"/>
        <v>95.949225312674997</v>
      </c>
      <c r="N30" s="382">
        <v>741</v>
      </c>
      <c r="O30" s="1423">
        <f t="shared" si="15"/>
        <v>128.15634728467657</v>
      </c>
      <c r="P30" s="382">
        <f>P29*30.2/100</f>
        <v>623.34130370399987</v>
      </c>
      <c r="Q30" s="1422">
        <f t="shared" si="16"/>
        <v>107.80721267796606</v>
      </c>
      <c r="R30" s="1422">
        <f t="shared" si="74"/>
        <v>121.2726271797665</v>
      </c>
      <c r="S30" s="382">
        <v>623.29999999999995</v>
      </c>
      <c r="T30" s="382"/>
      <c r="U30" s="382">
        <v>389.6</v>
      </c>
      <c r="V30" s="1196"/>
      <c r="W30" s="1356">
        <v>795.23</v>
      </c>
      <c r="X30" s="1853"/>
      <c r="Y30" s="1110">
        <f>Y29*0.302</f>
        <v>658.24841671142394</v>
      </c>
      <c r="Z30" s="1069">
        <f>Y30</f>
        <v>658.24841671142394</v>
      </c>
      <c r="AA30" s="1107"/>
      <c r="AB30" s="1110">
        <v>348.5</v>
      </c>
      <c r="AC30" s="1069">
        <f>SUM(AB30)</f>
        <v>348.5</v>
      </c>
      <c r="AD30" s="1107">
        <v>0</v>
      </c>
      <c r="AE30" s="1110">
        <v>691.16</v>
      </c>
      <c r="AF30" s="1069">
        <f t="shared" si="18"/>
        <v>1.0499987276125944</v>
      </c>
      <c r="AG30" s="1069">
        <v>691.16</v>
      </c>
      <c r="AH30" s="1107">
        <v>0</v>
      </c>
      <c r="AI30" s="1110">
        <f>AI29*W31</f>
        <v>681.62571428571425</v>
      </c>
      <c r="AJ30" s="1069">
        <f t="shared" si="19"/>
        <v>1.0355144000058247</v>
      </c>
      <c r="AK30" s="1069">
        <f>AK29*W31</f>
        <v>681.62571428571425</v>
      </c>
      <c r="AL30" s="1107">
        <f>AA30*1.05</f>
        <v>0</v>
      </c>
      <c r="AM30" s="1391" t="e">
        <f>#REF!</f>
        <v>#REF!</v>
      </c>
      <c r="AN30" s="1394">
        <v>0</v>
      </c>
      <c r="AO30" s="1424" t="e">
        <f t="shared" si="20"/>
        <v>#REF!</v>
      </c>
      <c r="AP30" s="1110">
        <v>0</v>
      </c>
      <c r="AQ30" s="1069">
        <f>SUM(AP30)</f>
        <v>0</v>
      </c>
      <c r="AR30" s="1107">
        <v>0</v>
      </c>
      <c r="AS30" s="1110">
        <v>0</v>
      </c>
      <c r="AT30" s="1069">
        <f>SUM(AS30)</f>
        <v>0</v>
      </c>
      <c r="AU30" s="1107">
        <v>0</v>
      </c>
      <c r="AV30" s="1110">
        <v>473.1</v>
      </c>
      <c r="AW30" s="1069">
        <f>SUM(AV30)</f>
        <v>473.1</v>
      </c>
      <c r="AX30" s="1107">
        <v>0</v>
      </c>
      <c r="AY30" s="1327">
        <f t="shared" ref="AY30" si="75">SUM(BA30+BB30)</f>
        <v>749.78422133959032</v>
      </c>
      <c r="AZ30" s="1174">
        <f t="shared" si="32"/>
        <v>1.0999940372339099</v>
      </c>
      <c r="BA30" s="1069">
        <f>SUM(BA29*AE31)</f>
        <v>749.78422133959032</v>
      </c>
      <c r="BB30" s="1107">
        <f>SUM(BB29*AE31)</f>
        <v>0</v>
      </c>
      <c r="BC30" s="1327">
        <f t="shared" ref="BC30" si="76">SUM(BE30+BF30)</f>
        <v>495.87808155630398</v>
      </c>
      <c r="BD30" s="1362">
        <f t="shared" si="27"/>
        <v>0.72749321389076704</v>
      </c>
      <c r="BE30" s="1069">
        <f>BE29*BE31</f>
        <v>495.87808155630398</v>
      </c>
      <c r="BF30" s="1107">
        <f>SUM(BF29*AY31)</f>
        <v>0</v>
      </c>
      <c r="BG30" s="2056" t="str">
        <f>BG24</f>
        <v xml:space="preserve">В размере 30,10% (на уровне факт.за 2014 год) от скорректированного ФОТ </v>
      </c>
      <c r="BH30" s="1110">
        <v>204.5</v>
      </c>
      <c r="BI30" s="1069">
        <f>SUM(BH30)</f>
        <v>204.5</v>
      </c>
      <c r="BJ30" s="1107">
        <v>0</v>
      </c>
      <c r="BK30" s="1110">
        <v>324.93</v>
      </c>
      <c r="BL30" s="1069">
        <f>SUM(BK30)</f>
        <v>324.93</v>
      </c>
      <c r="BM30" s="1107">
        <v>0</v>
      </c>
      <c r="BN30" s="1110">
        <v>445.38</v>
      </c>
      <c r="BO30" s="1069">
        <f>SUM(BN30)</f>
        <v>445.38</v>
      </c>
      <c r="BP30" s="1107">
        <v>0</v>
      </c>
      <c r="BQ30" s="3366">
        <f t="shared" ref="BQ30" si="77">SUM(BS30+BT30)</f>
        <v>545.69800618666682</v>
      </c>
      <c r="BR30" s="3431">
        <f t="shared" si="31"/>
        <v>1.1004680918220946</v>
      </c>
      <c r="BS30" s="2942">
        <f>SUM(BS29*BS31)</f>
        <v>545.69800618666682</v>
      </c>
      <c r="BT30" s="2784">
        <f>SUM(BT29*AW31)</f>
        <v>0</v>
      </c>
      <c r="BU30" s="3366">
        <f>BC30*(1-0.01)*(1+0.071)*(1+0)</f>
        <v>525.77457109333352</v>
      </c>
      <c r="BV30" s="3702">
        <f t="shared" si="21"/>
        <v>1.06029</v>
      </c>
      <c r="BW30" s="2942">
        <f>SUM(BU30)</f>
        <v>525.77457109333352</v>
      </c>
      <c r="BX30" s="2784">
        <f>SUM(BX29*BQ31)</f>
        <v>0</v>
      </c>
    </row>
    <row r="31" spans="1:76" s="191" customFormat="1" ht="21" customHeight="1">
      <c r="A31" s="1426" t="str">
        <f>A25</f>
        <v>то же в %</v>
      </c>
      <c r="B31" s="1230"/>
      <c r="C31" s="1415"/>
      <c r="D31" s="1415"/>
      <c r="E31" s="1393">
        <f>E30/E29</f>
        <v>0.25892446759613907</v>
      </c>
      <c r="F31" s="1393">
        <f t="shared" ref="F31:AE31" si="78">F30/F29</f>
        <v>0.99286188147839727</v>
      </c>
      <c r="G31" s="1393">
        <f t="shared" si="78"/>
        <v>0.33269159110669483</v>
      </c>
      <c r="H31" s="1393"/>
      <c r="I31" s="1393">
        <f t="shared" si="78"/>
        <v>0.30002075550020757</v>
      </c>
      <c r="J31" s="1393">
        <f t="shared" si="78"/>
        <v>0.33656542056074767</v>
      </c>
      <c r="K31" s="1393">
        <f t="shared" si="78"/>
        <v>0.30349288486416559</v>
      </c>
      <c r="L31" s="1393">
        <f t="shared" si="78"/>
        <v>0.30290529789616355</v>
      </c>
      <c r="M31" s="1393">
        <f t="shared" si="78"/>
        <v>0.91046875242188263</v>
      </c>
      <c r="N31" s="1393">
        <f t="shared" si="78"/>
        <v>0.30199290866854139</v>
      </c>
      <c r="O31" s="1393">
        <f t="shared" si="78"/>
        <v>1.0065733891145157</v>
      </c>
      <c r="P31" s="1393">
        <f t="shared" si="78"/>
        <v>0.30199999999999999</v>
      </c>
      <c r="Q31" s="1393">
        <f t="shared" si="78"/>
        <v>1.0065970252507781</v>
      </c>
      <c r="R31" s="1393">
        <f t="shared" si="78"/>
        <v>0.99701128404669248</v>
      </c>
      <c r="S31" s="1393">
        <f t="shared" si="78"/>
        <v>0.3019864341085271</v>
      </c>
      <c r="T31" s="1393"/>
      <c r="U31" s="1393">
        <f t="shared" si="78"/>
        <v>0.30229671011793918</v>
      </c>
      <c r="V31" s="1197"/>
      <c r="W31" s="2064">
        <f t="shared" si="78"/>
        <v>0.30200136715783082</v>
      </c>
      <c r="X31" s="1360"/>
      <c r="Y31" s="2063">
        <f t="shared" si="78"/>
        <v>0.30199999999999999</v>
      </c>
      <c r="Z31" s="1362">
        <f t="shared" si="78"/>
        <v>0.30199999999999999</v>
      </c>
      <c r="AA31" s="1432"/>
      <c r="AB31" s="2063">
        <f t="shared" ref="AB31:AC31" si="79">AB30/AB29</f>
        <v>0.30087196753863421</v>
      </c>
      <c r="AC31" s="1362">
        <f t="shared" si="79"/>
        <v>0.30087196753863421</v>
      </c>
      <c r="AD31" s="1363"/>
      <c r="AE31" s="1854">
        <f t="shared" si="78"/>
        <v>0.30199990387178238</v>
      </c>
      <c r="AF31" s="1069"/>
      <c r="AG31" s="1364">
        <v>0</v>
      </c>
      <c r="AH31" s="1432">
        <v>0</v>
      </c>
      <c r="AI31" s="2063">
        <f>AI30/AI29</f>
        <v>0.30200136715783082</v>
      </c>
      <c r="AJ31" s="1069"/>
      <c r="AK31" s="1362">
        <f>AK30/AK29</f>
        <v>0.30200136715783082</v>
      </c>
      <c r="AL31" s="1432"/>
      <c r="AM31" s="1391" t="e">
        <f>#REF!</f>
        <v>#REF!</v>
      </c>
      <c r="AN31" s="1394">
        <v>0</v>
      </c>
      <c r="AO31" s="1424" t="e">
        <f t="shared" si="20"/>
        <v>#REF!</v>
      </c>
      <c r="AP31" s="1854">
        <f>AP30/AP29</f>
        <v>0</v>
      </c>
      <c r="AQ31" s="1364">
        <f t="shared" ref="AQ31" si="80">AQ30/AQ29</f>
        <v>0</v>
      </c>
      <c r="AR31" s="1432"/>
      <c r="AS31" s="1854">
        <f>AS30/AS29</f>
        <v>0</v>
      </c>
      <c r="AT31" s="1364">
        <f t="shared" ref="AT31" si="81">AT30/AT29</f>
        <v>0</v>
      </c>
      <c r="AU31" s="1432"/>
      <c r="AV31" s="1108">
        <f>AV30/AV29</f>
        <v>0.30007230657989881</v>
      </c>
      <c r="AW31" s="1070">
        <f t="shared" ref="AW31" si="82">AW30/AW29</f>
        <v>0.30007230657989881</v>
      </c>
      <c r="AX31" s="1109">
        <v>0</v>
      </c>
      <c r="AY31" s="2063">
        <f>SUM(AY30/AY29)</f>
        <v>0.30199990387178238</v>
      </c>
      <c r="AZ31" s="1174">
        <f t="shared" si="32"/>
        <v>0.99999515470389355</v>
      </c>
      <c r="BA31" s="1362">
        <f>SUM(BA30/BA29)</f>
        <v>0.30199990387178238</v>
      </c>
      <c r="BB31" s="1432"/>
      <c r="BC31" s="2063">
        <f>AB31</f>
        <v>0.30087196753863421</v>
      </c>
      <c r="BD31" s="1362">
        <f t="shared" si="27"/>
        <v>0.99626028309134651</v>
      </c>
      <c r="BE31" s="1362">
        <f>BC31</f>
        <v>0.30087196753863421</v>
      </c>
      <c r="BF31" s="1432"/>
      <c r="BG31" s="2060"/>
      <c r="BH31" s="1108">
        <f>BH30/BH29</f>
        <v>0.30198765468560801</v>
      </c>
      <c r="BI31" s="1070">
        <f t="shared" ref="BI31" si="83">BI30/BI29</f>
        <v>0.30198765468560801</v>
      </c>
      <c r="BJ31" s="1109">
        <v>0</v>
      </c>
      <c r="BK31" s="1108">
        <f>BK30/BK29</f>
        <v>0.30198797364238777</v>
      </c>
      <c r="BL31" s="1070">
        <f t="shared" ref="BL31" si="84">BL30/BL29</f>
        <v>0.30198797364238777</v>
      </c>
      <c r="BM31" s="1109"/>
      <c r="BN31" s="1108">
        <f>BN30/BN29</f>
        <v>0.30200168162955321</v>
      </c>
      <c r="BO31" s="1070">
        <f t="shared" ref="BO31" si="85">BO30/BO29</f>
        <v>0.30200168162955321</v>
      </c>
      <c r="BP31" s="1432"/>
      <c r="BQ31" s="2948">
        <v>0.30099999999999999</v>
      </c>
      <c r="BR31" s="3431">
        <f t="shared" si="31"/>
        <v>1.0004255380200859</v>
      </c>
      <c r="BS31" s="2949">
        <v>0.30099999999999999</v>
      </c>
      <c r="BT31" s="2951">
        <v>30.1</v>
      </c>
      <c r="BU31" s="2948">
        <f>SUM(BU30/BU29)</f>
        <v>0.30087196753863421</v>
      </c>
      <c r="BV31" s="3702">
        <f t="shared" si="21"/>
        <v>1</v>
      </c>
      <c r="BW31" s="2949">
        <f>SUM(BW30/BW29)</f>
        <v>0.30087196753863421</v>
      </c>
      <c r="BX31" s="2951"/>
    </row>
    <row r="32" spans="1:76" ht="21" customHeight="1">
      <c r="A32" s="1400" t="s">
        <v>2</v>
      </c>
      <c r="B32" s="1229">
        <v>46.2</v>
      </c>
      <c r="C32" s="1421">
        <v>0</v>
      </c>
      <c r="D32" s="1415">
        <f t="shared" si="0"/>
        <v>0</v>
      </c>
      <c r="E32" s="1421">
        <v>18.899999999999999</v>
      </c>
      <c r="F32" s="1415"/>
      <c r="G32" s="1421">
        <v>25.5</v>
      </c>
      <c r="H32" s="1415">
        <f t="shared" si="2"/>
        <v>134.92063492063494</v>
      </c>
      <c r="I32" s="382">
        <v>26.4</v>
      </c>
      <c r="J32" s="382">
        <v>12.6</v>
      </c>
      <c r="K32" s="382">
        <v>18.899999999999999</v>
      </c>
      <c r="L32" s="382">
        <v>25.5</v>
      </c>
      <c r="M32" s="1422">
        <f t="shared" si="14"/>
        <v>100</v>
      </c>
      <c r="N32" s="382">
        <v>27.72</v>
      </c>
      <c r="O32" s="1423">
        <f t="shared" si="15"/>
        <v>105</v>
      </c>
      <c r="P32" s="382">
        <v>26.4</v>
      </c>
      <c r="Q32" s="1422">
        <f t="shared" si="16"/>
        <v>100</v>
      </c>
      <c r="R32" s="1422">
        <f t="shared" si="74"/>
        <v>103.52941176470587</v>
      </c>
      <c r="S32" s="382">
        <v>26.4</v>
      </c>
      <c r="T32" s="382"/>
      <c r="U32" s="382">
        <v>18.899999999999999</v>
      </c>
      <c r="V32" s="1196"/>
      <c r="W32" s="1356">
        <v>26.4</v>
      </c>
      <c r="X32" s="1853"/>
      <c r="Y32" s="1110">
        <f>Аморт!G28</f>
        <v>25.2</v>
      </c>
      <c r="Z32" s="1069">
        <f>Y32</f>
        <v>25.2</v>
      </c>
      <c r="AA32" s="1107"/>
      <c r="AB32" s="1110">
        <f>SUM(Аморт!L28)</f>
        <v>25.2</v>
      </c>
      <c r="AC32" s="1069">
        <f>AB32</f>
        <v>25.2</v>
      </c>
      <c r="AD32" s="1107">
        <v>0</v>
      </c>
      <c r="AE32" s="1110">
        <v>25.2</v>
      </c>
      <c r="AF32" s="1069">
        <f t="shared" si="18"/>
        <v>1</v>
      </c>
      <c r="AG32" s="1069">
        <v>25.2</v>
      </c>
      <c r="AH32" s="1107">
        <v>0</v>
      </c>
      <c r="AI32" s="1110">
        <f>Аморт!O28</f>
        <v>25.2</v>
      </c>
      <c r="AJ32" s="1069">
        <f t="shared" si="19"/>
        <v>1</v>
      </c>
      <c r="AK32" s="1069">
        <f>AI32</f>
        <v>25.2</v>
      </c>
      <c r="AL32" s="1107"/>
      <c r="AM32" s="1391" t="e">
        <f>#REF!</f>
        <v>#REF!</v>
      </c>
      <c r="AN32" s="1394">
        <v>0</v>
      </c>
      <c r="AO32" s="1424" t="e">
        <f t="shared" si="20"/>
        <v>#REF!</v>
      </c>
      <c r="AP32" s="1110">
        <f>SUM(Аморт!Q28)</f>
        <v>12.72</v>
      </c>
      <c r="AQ32" s="1069">
        <f>AP32</f>
        <v>12.72</v>
      </c>
      <c r="AR32" s="1107">
        <v>0</v>
      </c>
      <c r="AS32" s="1110">
        <f>SUM(Аморт!R28)</f>
        <v>19.11</v>
      </c>
      <c r="AT32" s="1069">
        <f>AS32</f>
        <v>19.11</v>
      </c>
      <c r="AU32" s="1107">
        <v>0</v>
      </c>
      <c r="AV32" s="1110">
        <v>25.5</v>
      </c>
      <c r="AW32" s="1069">
        <f>AV32</f>
        <v>25.5</v>
      </c>
      <c r="AX32" s="1107">
        <v>0</v>
      </c>
      <c r="AY32" s="1110">
        <f>SUM(Аморт!U28)</f>
        <v>25.2</v>
      </c>
      <c r="AZ32" s="1174">
        <f t="shared" si="32"/>
        <v>1</v>
      </c>
      <c r="BA32" s="1069">
        <f>SUM(AY32)</f>
        <v>25.2</v>
      </c>
      <c r="BB32" s="1107">
        <v>0</v>
      </c>
      <c r="BC32" s="1110">
        <f>SUM(Аморт!V28)</f>
        <v>25.2</v>
      </c>
      <c r="BD32" s="1362">
        <f t="shared" si="27"/>
        <v>1</v>
      </c>
      <c r="BE32" s="1069">
        <f>SUM(BC32)</f>
        <v>25.2</v>
      </c>
      <c r="BF32" s="1107">
        <v>0</v>
      </c>
      <c r="BG32" s="2056" t="str">
        <f>BG20</f>
        <v>Приложение</v>
      </c>
      <c r="BH32" s="1110">
        <f>SUM(Аморт!AB28)</f>
        <v>12.78</v>
      </c>
      <c r="BI32" s="1069">
        <f>BH32</f>
        <v>12.78</v>
      </c>
      <c r="BJ32" s="1107">
        <v>0</v>
      </c>
      <c r="BK32" s="1110">
        <f>SUM(Аморт!AC28)</f>
        <v>19.170000000000002</v>
      </c>
      <c r="BL32" s="1069">
        <f>BK32</f>
        <v>19.170000000000002</v>
      </c>
      <c r="BM32" s="1107">
        <v>0</v>
      </c>
      <c r="BN32" s="1110">
        <f>SUM(Аморт!AD28)</f>
        <v>25.560000000000002</v>
      </c>
      <c r="BO32" s="1069">
        <f>BN32</f>
        <v>25.560000000000002</v>
      </c>
      <c r="BP32" s="1107">
        <v>0</v>
      </c>
      <c r="BQ32" s="2941">
        <f>SUM(Аморт!AE28)</f>
        <v>25.5</v>
      </c>
      <c r="BR32" s="3431">
        <f t="shared" si="31"/>
        <v>1.0119047619047619</v>
      </c>
      <c r="BS32" s="2942">
        <f>SUM(BQ32)</f>
        <v>25.5</v>
      </c>
      <c r="BT32" s="2784">
        <v>0</v>
      </c>
      <c r="BU32" s="2941">
        <f>SUM(Аморт!AF28)</f>
        <v>25.5</v>
      </c>
      <c r="BV32" s="3702">
        <f t="shared" si="21"/>
        <v>1.0119047619047619</v>
      </c>
      <c r="BW32" s="2942">
        <f>SUM(BU32)</f>
        <v>25.5</v>
      </c>
      <c r="BX32" s="2784">
        <v>0</v>
      </c>
    </row>
    <row r="33" spans="1:76" ht="21" customHeight="1">
      <c r="A33" s="1400" t="s">
        <v>6</v>
      </c>
      <c r="B33" s="1229">
        <v>703.1</v>
      </c>
      <c r="C33" s="1421">
        <v>526.5</v>
      </c>
      <c r="D33" s="1415">
        <f t="shared" si="0"/>
        <v>74.882662494666477</v>
      </c>
      <c r="E33" s="1421">
        <v>622.9</v>
      </c>
      <c r="F33" s="1415">
        <f t="shared" ref="F33:F42" si="86">E33/C33*100</f>
        <v>118.30959164292499</v>
      </c>
      <c r="G33" s="1421">
        <v>634.1</v>
      </c>
      <c r="H33" s="1415">
        <f t="shared" si="2"/>
        <v>101.79804141916841</v>
      </c>
      <c r="I33" s="382">
        <v>608.70000000000005</v>
      </c>
      <c r="J33" s="382">
        <v>296.60000000000002</v>
      </c>
      <c r="K33" s="382">
        <f>'цех стоки'!K49</f>
        <v>412.80813156428934</v>
      </c>
      <c r="L33" s="382">
        <f>'цех стоки'!L49</f>
        <v>847.9</v>
      </c>
      <c r="M33" s="1429">
        <f t="shared" si="14"/>
        <v>133.71707932502758</v>
      </c>
      <c r="N33" s="382">
        <v>737</v>
      </c>
      <c r="O33" s="1423">
        <f t="shared" si="15"/>
        <v>121.07770658781007</v>
      </c>
      <c r="P33" s="382">
        <f>'цех стоки'!P49</f>
        <v>697.8</v>
      </c>
      <c r="Q33" s="1422">
        <f t="shared" si="16"/>
        <v>114.6377525874815</v>
      </c>
      <c r="R33" s="1422">
        <f t="shared" si="74"/>
        <v>82.297440735935837</v>
      </c>
      <c r="S33" s="382">
        <v>619</v>
      </c>
      <c r="T33" s="382"/>
      <c r="U33" s="382">
        <v>745.9</v>
      </c>
      <c r="V33" s="1196"/>
      <c r="W33" s="1356">
        <v>981.12</v>
      </c>
      <c r="X33" s="1853"/>
      <c r="Y33" s="1110">
        <f>'цех стоки'!X49</f>
        <v>730.61322970801143</v>
      </c>
      <c r="Z33" s="1069">
        <f>Y33</f>
        <v>730.61322970801143</v>
      </c>
      <c r="AA33" s="1107"/>
      <c r="AB33" s="1110">
        <f>'цех стоки'!AA49</f>
        <v>658</v>
      </c>
      <c r="AC33" s="1069">
        <f>SUM(AC51/AB51)*AB33</f>
        <v>652.28352799033428</v>
      </c>
      <c r="AD33" s="1107">
        <f>AB33-AC33</f>
        <v>5.716472009665722</v>
      </c>
      <c r="AE33" s="1110">
        <v>673.48</v>
      </c>
      <c r="AF33" s="1069">
        <f t="shared" si="18"/>
        <v>0.92180099211884703</v>
      </c>
      <c r="AG33" s="1069">
        <v>673.48</v>
      </c>
      <c r="AH33" s="1107">
        <v>0</v>
      </c>
      <c r="AI33" s="1110">
        <f>'цех стоки'!AC49</f>
        <v>690.17495043218662</v>
      </c>
      <c r="AJ33" s="1069">
        <f t="shared" si="19"/>
        <v>0.94465159179777525</v>
      </c>
      <c r="AK33" s="1069">
        <f>SUM('цех стоки'!X100)</f>
        <v>684.91318153951886</v>
      </c>
      <c r="AL33" s="1107">
        <f>SUM('цех стоки'!Y100)</f>
        <v>5.2617688926677602</v>
      </c>
      <c r="AM33" s="1433" t="e">
        <f>#REF!</f>
        <v>#REF!</v>
      </c>
      <c r="AN33" s="1434">
        <v>0</v>
      </c>
      <c r="AO33" s="1435" t="e">
        <f t="shared" si="20"/>
        <v>#REF!</v>
      </c>
      <c r="AP33" s="1110">
        <f>SUM('цех стоки'!AE49)</f>
        <v>355.56</v>
      </c>
      <c r="AQ33" s="1069">
        <f>SUM(AQ51/AP51)*AP33</f>
        <v>353.50207045979624</v>
      </c>
      <c r="AR33" s="1107">
        <f>AP33-AQ33</f>
        <v>2.0579295402037587</v>
      </c>
      <c r="AS33" s="1110">
        <f>SUM('цех стоки'!AF49)</f>
        <v>549.54</v>
      </c>
      <c r="AT33" s="1069">
        <f>SUM(AT51/AS51)*AS33</f>
        <v>546.30119981571943</v>
      </c>
      <c r="AU33" s="1107">
        <f>AS33-AT33</f>
        <v>3.2388001842805352</v>
      </c>
      <c r="AV33" s="1110">
        <v>760.76</v>
      </c>
      <c r="AW33" s="1069">
        <f>SUM(AW51/AV51)*AV33</f>
        <v>755.21892652533518</v>
      </c>
      <c r="AX33" s="1107">
        <f>AV33-AW33</f>
        <v>5.5410734746648131</v>
      </c>
      <c r="AY33" s="1110">
        <v>1002.59</v>
      </c>
      <c r="AZ33" s="1174">
        <f t="shared" ref="AZ33" si="87">SUM(AY33/AI33)</f>
        <v>1.4526606614340023</v>
      </c>
      <c r="BA33" s="1069">
        <f>SUM(BA51/AY51)*AY33</f>
        <v>997.10999538097349</v>
      </c>
      <c r="BB33" s="1107">
        <f>AY33-BA33</f>
        <v>5.4800046190265448</v>
      </c>
      <c r="BC33" s="1110">
        <f>SUM('цех стоки'!AH49)</f>
        <v>767.20424131112384</v>
      </c>
      <c r="BD33" s="1362">
        <f t="shared" si="27"/>
        <v>1.1116083549985429</v>
      </c>
      <c r="BE33" s="1069">
        <f>SUM(BE51/BC51)*BC33</f>
        <v>763.01081948752528</v>
      </c>
      <c r="BF33" s="1107">
        <f>BC33-BE33</f>
        <v>4.1934218235985554</v>
      </c>
      <c r="BG33" s="2056" t="str">
        <f>BG26</f>
        <v>Приложение</v>
      </c>
      <c r="BH33" s="1110">
        <f>SUM('цех стоки'!AN49)</f>
        <v>443.81</v>
      </c>
      <c r="BI33" s="1069">
        <f>SUM(BI51/BH51)*BH33</f>
        <v>440.93229985231756</v>
      </c>
      <c r="BJ33" s="1107">
        <f>BH33-BI33</f>
        <v>2.8777001476824466</v>
      </c>
      <c r="BK33" s="1110">
        <f>SUM('цех стоки'!AO49)</f>
        <v>665.01</v>
      </c>
      <c r="BL33" s="1069">
        <f>SUM(BL51/BK51)*BK33</f>
        <v>660.58402471299769</v>
      </c>
      <c r="BM33" s="1107">
        <f>BK33-BL33</f>
        <v>4.4259752870023021</v>
      </c>
      <c r="BN33" s="1110">
        <f>SUM('цех стоки'!AP49)</f>
        <v>902.88484978554936</v>
      </c>
      <c r="BO33" s="1069">
        <f>SUM(BO51/BN51)*BN33</f>
        <v>896.87569799511073</v>
      </c>
      <c r="BP33" s="1107">
        <f>BN33-BO33</f>
        <v>6.0091517904386365</v>
      </c>
      <c r="BQ33" s="2941">
        <f>SUM('цех стоки'!AQ49)</f>
        <v>950.2398320882462</v>
      </c>
      <c r="BR33" s="3431">
        <f t="shared" si="31"/>
        <v>1.2385747900250412</v>
      </c>
      <c r="BS33" s="2942">
        <f>SUM(BS51/BQ51)*BQ33</f>
        <v>943.45872252013282</v>
      </c>
      <c r="BT33" s="2784">
        <f>BQ33-BS33</f>
        <v>6.7811095681133793</v>
      </c>
      <c r="BU33" s="2941">
        <f>SUM('цех стоки'!AR49)</f>
        <v>807.36721496218854</v>
      </c>
      <c r="BV33" s="3702">
        <f t="shared" si="21"/>
        <v>1.0523497805257538</v>
      </c>
      <c r="BW33" s="2942">
        <f>SUM(BW51/BU51)*BU33</f>
        <v>801.73285375635362</v>
      </c>
      <c r="BX33" s="2784">
        <f>BU33-BW33</f>
        <v>5.6343612058349208</v>
      </c>
    </row>
    <row r="34" spans="1:76" ht="20.25" customHeight="1">
      <c r="A34" s="1431" t="s">
        <v>542</v>
      </c>
      <c r="B34" s="1412">
        <f>SUM(B35:B41)</f>
        <v>5314.8</v>
      </c>
      <c r="C34" s="1413">
        <f>SUM(C35:C41)</f>
        <v>5623.9</v>
      </c>
      <c r="D34" s="1414">
        <f t="shared" si="0"/>
        <v>105.81583502671783</v>
      </c>
      <c r="E34" s="1394">
        <f>SUM(E35:E41)-E40</f>
        <v>7123.4000000000005</v>
      </c>
      <c r="F34" s="1394">
        <f>SUM(F35:F41)</f>
        <v>913.65189698036852</v>
      </c>
      <c r="G34" s="1394">
        <v>12529.9</v>
      </c>
      <c r="H34" s="1422"/>
      <c r="I34" s="1394">
        <f>I35+I37+I38+I39+I41</f>
        <v>11227.5098</v>
      </c>
      <c r="J34" s="1394">
        <f>SUM(J35:J41)</f>
        <v>5757.3238488674342</v>
      </c>
      <c r="K34" s="1394">
        <f>SUM(K35:K41)-K40</f>
        <v>8391.3600740438869</v>
      </c>
      <c r="L34" s="1394">
        <f>SUM(L35:L41)-L40</f>
        <v>11925.999999999998</v>
      </c>
      <c r="M34" s="1422">
        <f t="shared" si="14"/>
        <v>95.180328653859959</v>
      </c>
      <c r="N34" s="1394">
        <v>16741.8</v>
      </c>
      <c r="O34" s="1423">
        <f t="shared" si="15"/>
        <v>149.11409830165545</v>
      </c>
      <c r="P34" s="1394">
        <f>P35+P37+P38+P39+P41</f>
        <v>12235.25798464</v>
      </c>
      <c r="Q34" s="1394">
        <f t="shared" ref="Q34:AK34" si="88">Q35+Q37+Q38+Q39+Q41</f>
        <v>543.11165966081455</v>
      </c>
      <c r="R34" s="1394">
        <f t="shared" si="88"/>
        <v>719.07045660461495</v>
      </c>
      <c r="S34" s="1394">
        <f t="shared" si="88"/>
        <v>12517.6</v>
      </c>
      <c r="T34" s="1394">
        <f t="shared" si="88"/>
        <v>0</v>
      </c>
      <c r="U34" s="1394">
        <f t="shared" si="88"/>
        <v>9500.4</v>
      </c>
      <c r="V34" s="1424">
        <f t="shared" si="88"/>
        <v>0</v>
      </c>
      <c r="W34" s="1358">
        <f t="shared" si="88"/>
        <v>17090.59</v>
      </c>
      <c r="X34" s="1436"/>
      <c r="Y34" s="1330">
        <f t="shared" si="88"/>
        <v>11977.560558241828</v>
      </c>
      <c r="Z34" s="1328">
        <f t="shared" si="88"/>
        <v>11977.560558241828</v>
      </c>
      <c r="AA34" s="1329">
        <f t="shared" si="88"/>
        <v>0</v>
      </c>
      <c r="AB34" s="1330">
        <f t="shared" ref="AB34:AD34" si="89">AB35+AB37+AB38+AB39+AB41</f>
        <v>11982.7</v>
      </c>
      <c r="AC34" s="1328">
        <f t="shared" si="89"/>
        <v>11982.7</v>
      </c>
      <c r="AD34" s="1329">
        <f t="shared" si="89"/>
        <v>0</v>
      </c>
      <c r="AE34" s="1330">
        <v>15733.22</v>
      </c>
      <c r="AF34" s="1069">
        <f t="shared" si="18"/>
        <v>1.3135579589429736</v>
      </c>
      <c r="AG34" s="1328">
        <v>15733.22</v>
      </c>
      <c r="AH34" s="1329">
        <v>0</v>
      </c>
      <c r="AI34" s="1330">
        <f>AI35+AI37+AI38+AI39+AI41</f>
        <v>14124.397647353169</v>
      </c>
      <c r="AJ34" s="1069">
        <f t="shared" si="19"/>
        <v>1.179238257963479</v>
      </c>
      <c r="AK34" s="1328">
        <f t="shared" si="88"/>
        <v>14124.397647353169</v>
      </c>
      <c r="AL34" s="1329">
        <f>AL35+AL37+AL38+AL39+AL41</f>
        <v>0</v>
      </c>
      <c r="AM34" s="1391" t="e">
        <f>#REF!</f>
        <v>#REF!</v>
      </c>
      <c r="AN34" s="1394">
        <v>0</v>
      </c>
      <c r="AO34" s="1424" t="e">
        <f t="shared" si="20"/>
        <v>#REF!</v>
      </c>
      <c r="AP34" s="1330">
        <f t="shared" ref="AP34:BF34" si="90">AP35+AP37+AP38+AP39+AP41</f>
        <v>5196.55</v>
      </c>
      <c r="AQ34" s="1328">
        <f t="shared" si="90"/>
        <v>5196.55</v>
      </c>
      <c r="AR34" s="1329">
        <f t="shared" si="90"/>
        <v>0</v>
      </c>
      <c r="AS34" s="1330">
        <f t="shared" si="90"/>
        <v>7853.18</v>
      </c>
      <c r="AT34" s="1328">
        <f t="shared" si="90"/>
        <v>7853.18</v>
      </c>
      <c r="AU34" s="1329">
        <f t="shared" si="90"/>
        <v>0</v>
      </c>
      <c r="AV34" s="1330">
        <f t="shared" ref="AV34:AX34" si="91">AV35+AV37+AV38+AV39+AV41</f>
        <v>12358.45</v>
      </c>
      <c r="AW34" s="1328">
        <f t="shared" si="91"/>
        <v>12358.45</v>
      </c>
      <c r="AX34" s="1329">
        <f t="shared" si="91"/>
        <v>0</v>
      </c>
      <c r="AY34" s="1330">
        <f t="shared" si="90"/>
        <v>16901.098910000001</v>
      </c>
      <c r="AZ34" s="1174">
        <f t="shared" si="32"/>
        <v>1.1965890037914055</v>
      </c>
      <c r="BA34" s="1328">
        <f t="shared" si="90"/>
        <v>16901.098910000001</v>
      </c>
      <c r="BB34" s="1329">
        <f t="shared" si="90"/>
        <v>0</v>
      </c>
      <c r="BC34" s="1330">
        <f t="shared" si="90"/>
        <v>13151.996497389971</v>
      </c>
      <c r="BD34" s="1362">
        <f t="shared" si="27"/>
        <v>0.93115450483331441</v>
      </c>
      <c r="BE34" s="1328">
        <f t="shared" si="90"/>
        <v>13151.996497389971</v>
      </c>
      <c r="BF34" s="1329">
        <f t="shared" si="90"/>
        <v>0</v>
      </c>
      <c r="BG34" s="2056"/>
      <c r="BH34" s="1330">
        <f t="shared" ref="BH34:BQ34" si="92">BH35+BH37+BH38+BH39+BH41</f>
        <v>6200.9600000000009</v>
      </c>
      <c r="BI34" s="1328">
        <f t="shared" si="92"/>
        <v>6200.9600000000009</v>
      </c>
      <c r="BJ34" s="1329">
        <f t="shared" si="92"/>
        <v>0</v>
      </c>
      <c r="BK34" s="1330">
        <f t="shared" ref="BK34:BM34" si="93">BK35+BK37+BK38+BK39+BK41</f>
        <v>9679.7800000000007</v>
      </c>
      <c r="BL34" s="1328">
        <f t="shared" si="93"/>
        <v>9679.7800000000007</v>
      </c>
      <c r="BM34" s="1329">
        <f t="shared" si="93"/>
        <v>0</v>
      </c>
      <c r="BN34" s="1330">
        <f t="shared" ref="BN34:BP34" si="94">BN35+BN37+BN38+BN39+BN41</f>
        <v>13183.091624392389</v>
      </c>
      <c r="BO34" s="1328">
        <f t="shared" si="94"/>
        <v>13183.091624392389</v>
      </c>
      <c r="BP34" s="1329">
        <f t="shared" si="94"/>
        <v>0</v>
      </c>
      <c r="BQ34" s="2945">
        <f t="shared" si="92"/>
        <v>14608.977924901288</v>
      </c>
      <c r="BR34" s="3431">
        <f t="shared" si="31"/>
        <v>1.1107802475312745</v>
      </c>
      <c r="BS34" s="2946">
        <f t="shared" ref="BS34:BU34" si="95">BS35+BS37+BS38+BS39+BS41</f>
        <v>14608.977924901288</v>
      </c>
      <c r="BT34" s="2947">
        <f t="shared" si="95"/>
        <v>0</v>
      </c>
      <c r="BU34" s="2945">
        <f t="shared" si="95"/>
        <v>13711.210360974783</v>
      </c>
      <c r="BV34" s="3702">
        <f t="shared" si="21"/>
        <v>1.0425193136035116</v>
      </c>
      <c r="BW34" s="2946">
        <f t="shared" ref="BW34:BX34" si="96">BW35+BW37+BW38+BW39+BW41</f>
        <v>13711.210360974783</v>
      </c>
      <c r="BX34" s="2947">
        <f t="shared" si="96"/>
        <v>0</v>
      </c>
    </row>
    <row r="35" spans="1:76" ht="21" customHeight="1">
      <c r="A35" s="1400" t="s">
        <v>2</v>
      </c>
      <c r="B35" s="1229">
        <v>1184.9000000000001</v>
      </c>
      <c r="C35" s="1421">
        <v>1102.8</v>
      </c>
      <c r="D35" s="1415">
        <f t="shared" si="0"/>
        <v>93.071145244324399</v>
      </c>
      <c r="E35" s="1421">
        <v>1090</v>
      </c>
      <c r="F35" s="1415">
        <f t="shared" si="86"/>
        <v>98.839318099383391</v>
      </c>
      <c r="G35" s="1421">
        <f>Аморт!G14</f>
        <v>3280</v>
      </c>
      <c r="H35" s="1415">
        <f t="shared" si="2"/>
        <v>300.91743119266056</v>
      </c>
      <c r="I35" s="382">
        <v>2025</v>
      </c>
      <c r="J35" s="382">
        <v>1460.8</v>
      </c>
      <c r="K35" s="382">
        <v>2699.1</v>
      </c>
      <c r="L35" s="382">
        <v>3595</v>
      </c>
      <c r="M35" s="1422">
        <f t="shared" si="14"/>
        <v>109.60365853658536</v>
      </c>
      <c r="N35" s="382">
        <f>Аморт!O14</f>
        <v>3791.1</v>
      </c>
      <c r="O35" s="1423">
        <f t="shared" si="15"/>
        <v>187.21481481481482</v>
      </c>
      <c r="P35" s="382">
        <v>2025</v>
      </c>
      <c r="Q35" s="1422">
        <f t="shared" si="16"/>
        <v>100</v>
      </c>
      <c r="R35" s="1422">
        <f t="shared" si="74"/>
        <v>56.328233657858142</v>
      </c>
      <c r="S35" s="382">
        <v>2025</v>
      </c>
      <c r="T35" s="382"/>
      <c r="U35" s="382">
        <v>2658.5</v>
      </c>
      <c r="V35" s="1196"/>
      <c r="W35" s="1356">
        <v>3595</v>
      </c>
      <c r="X35" s="1853"/>
      <c r="Y35" s="1110">
        <f>Аморт!G29</f>
        <v>3544.67</v>
      </c>
      <c r="Z35" s="1069">
        <f t="shared" ref="Z35:Z41" si="97">Y35</f>
        <v>3544.67</v>
      </c>
      <c r="AA35" s="1107"/>
      <c r="AB35" s="1110">
        <f>SUM(Аморт!L29)</f>
        <v>3567.6</v>
      </c>
      <c r="AC35" s="1069">
        <f t="shared" ref="AC35" si="98">AB35</f>
        <v>3567.6</v>
      </c>
      <c r="AD35" s="1107">
        <v>0</v>
      </c>
      <c r="AE35" s="1110">
        <v>3562.4</v>
      </c>
      <c r="AF35" s="1069">
        <f t="shared" si="18"/>
        <v>1.0050018760561632</v>
      </c>
      <c r="AG35" s="1069">
        <v>3562.4</v>
      </c>
      <c r="AH35" s="1107">
        <v>0</v>
      </c>
      <c r="AI35" s="1110">
        <f>Аморт!O29</f>
        <v>3562.4</v>
      </c>
      <c r="AJ35" s="1069">
        <f t="shared" si="19"/>
        <v>1.0050018760561632</v>
      </c>
      <c r="AK35" s="1069">
        <f>AI35</f>
        <v>3562.4</v>
      </c>
      <c r="AL35" s="1107"/>
      <c r="AM35" s="1391" t="e">
        <f>#REF!</f>
        <v>#REF!</v>
      </c>
      <c r="AN35" s="1394">
        <v>0</v>
      </c>
      <c r="AO35" s="1424" t="e">
        <f t="shared" si="20"/>
        <v>#REF!</v>
      </c>
      <c r="AP35" s="1110">
        <f>SUM(Аморт!Q29)</f>
        <v>1790.52</v>
      </c>
      <c r="AQ35" s="1069">
        <f t="shared" ref="AQ35" si="99">AP35</f>
        <v>1790.52</v>
      </c>
      <c r="AR35" s="1107">
        <v>0</v>
      </c>
      <c r="AS35" s="1110">
        <f>SUM(Аморт!R29)</f>
        <v>2713.05</v>
      </c>
      <c r="AT35" s="1069">
        <f t="shared" ref="AT35" si="100">AS35</f>
        <v>2713.05</v>
      </c>
      <c r="AU35" s="1107">
        <v>0</v>
      </c>
      <c r="AV35" s="1110">
        <v>4015.93</v>
      </c>
      <c r="AW35" s="1069">
        <f t="shared" ref="AW35" si="101">AV35</f>
        <v>4015.93</v>
      </c>
      <c r="AX35" s="1107">
        <v>0</v>
      </c>
      <c r="AY35" s="1110">
        <f>SUM(Аморт!U29)</f>
        <v>3562.4</v>
      </c>
      <c r="AZ35" s="1174">
        <f t="shared" si="32"/>
        <v>1</v>
      </c>
      <c r="BA35" s="1069">
        <f>SUM(AY35)</f>
        <v>3562.4</v>
      </c>
      <c r="BB35" s="1107">
        <v>0</v>
      </c>
      <c r="BC35" s="1110">
        <f>SUM(Аморт!V29)</f>
        <v>3562.4</v>
      </c>
      <c r="BD35" s="1362">
        <f t="shared" si="27"/>
        <v>1</v>
      </c>
      <c r="BE35" s="1069">
        <f>SUM(BC35)</f>
        <v>3562.4</v>
      </c>
      <c r="BF35" s="1107">
        <v>0</v>
      </c>
      <c r="BG35" s="2056" t="str">
        <f>BG32</f>
        <v>Приложение</v>
      </c>
      <c r="BH35" s="1110">
        <f>SUM(Аморт!AB29)</f>
        <v>1954.32</v>
      </c>
      <c r="BI35" s="1069">
        <f t="shared" ref="BI35" si="102">BH35</f>
        <v>1954.32</v>
      </c>
      <c r="BJ35" s="1107">
        <v>0</v>
      </c>
      <c r="BK35" s="1110">
        <f>SUM(Аморт!AC29)</f>
        <v>2931.48</v>
      </c>
      <c r="BL35" s="1069">
        <f t="shared" ref="BL35" si="103">BK35</f>
        <v>2931.48</v>
      </c>
      <c r="BM35" s="1107">
        <v>0</v>
      </c>
      <c r="BN35" s="1110">
        <f>SUM(Аморт!AD29)</f>
        <v>3908.64</v>
      </c>
      <c r="BO35" s="1069">
        <f t="shared" ref="BO35" si="104">BN35</f>
        <v>3908.64</v>
      </c>
      <c r="BP35" s="1107">
        <v>0</v>
      </c>
      <c r="BQ35" s="2941">
        <f>SUM(Аморт!AE29)</f>
        <v>4015.93</v>
      </c>
      <c r="BR35" s="3431">
        <f t="shared" si="31"/>
        <v>1.1273102402874466</v>
      </c>
      <c r="BS35" s="2942">
        <f>SUM(BQ35)</f>
        <v>4015.93</v>
      </c>
      <c r="BT35" s="2784">
        <v>0</v>
      </c>
      <c r="BU35" s="2941">
        <f>SUM(Аморт!AF29)</f>
        <v>4015.93</v>
      </c>
      <c r="BV35" s="3702">
        <f t="shared" si="21"/>
        <v>1.1273102402874466</v>
      </c>
      <c r="BW35" s="2942">
        <f>SUM(BU35)</f>
        <v>4015.93</v>
      </c>
      <c r="BX35" s="2784">
        <v>0</v>
      </c>
    </row>
    <row r="36" spans="1:76" ht="21" customHeight="1">
      <c r="A36" s="1400" t="s">
        <v>69</v>
      </c>
      <c r="B36" s="1229">
        <v>9.1</v>
      </c>
      <c r="C36" s="1421">
        <v>9</v>
      </c>
      <c r="D36" s="1415">
        <f t="shared" si="0"/>
        <v>98.901098901098905</v>
      </c>
      <c r="E36" s="1421">
        <v>9.8000000000000007</v>
      </c>
      <c r="F36" s="1415">
        <f t="shared" si="86"/>
        <v>108.8888888888889</v>
      </c>
      <c r="G36" s="1421"/>
      <c r="H36" s="1415">
        <f t="shared" si="2"/>
        <v>0</v>
      </c>
      <c r="I36" s="382"/>
      <c r="J36" s="382">
        <v>14.8</v>
      </c>
      <c r="K36" s="382">
        <v>7.8</v>
      </c>
      <c r="L36" s="382">
        <v>10.1</v>
      </c>
      <c r="M36" s="1422"/>
      <c r="N36" s="382"/>
      <c r="O36" s="1423"/>
      <c r="P36" s="382"/>
      <c r="Q36" s="1422"/>
      <c r="R36" s="1422">
        <f t="shared" si="74"/>
        <v>0</v>
      </c>
      <c r="S36" s="382"/>
      <c r="T36" s="382"/>
      <c r="U36" s="382"/>
      <c r="V36" s="1196"/>
      <c r="W36" s="1356">
        <v>0</v>
      </c>
      <c r="X36" s="1853"/>
      <c r="Y36" s="1110">
        <v>0</v>
      </c>
      <c r="Z36" s="1069">
        <f t="shared" si="97"/>
        <v>0</v>
      </c>
      <c r="AA36" s="1107"/>
      <c r="AB36" s="1110">
        <v>0</v>
      </c>
      <c r="AC36" s="1069">
        <v>0</v>
      </c>
      <c r="AD36" s="1107">
        <v>0</v>
      </c>
      <c r="AE36" s="1110">
        <v>0</v>
      </c>
      <c r="AF36" s="1069"/>
      <c r="AG36" s="1069">
        <v>0</v>
      </c>
      <c r="AH36" s="1107">
        <v>0</v>
      </c>
      <c r="AI36" s="1110">
        <f>Y36</f>
        <v>0</v>
      </c>
      <c r="AJ36" s="1069"/>
      <c r="AK36" s="1069"/>
      <c r="AL36" s="1107"/>
      <c r="AM36" s="1391" t="e">
        <f>#REF!</f>
        <v>#REF!</v>
      </c>
      <c r="AN36" s="1394">
        <v>0</v>
      </c>
      <c r="AO36" s="1424" t="e">
        <f t="shared" si="20"/>
        <v>#REF!</v>
      </c>
      <c r="AP36" s="1110">
        <v>0</v>
      </c>
      <c r="AQ36" s="1069">
        <v>0</v>
      </c>
      <c r="AR36" s="1107">
        <v>0</v>
      </c>
      <c r="AS36" s="1110">
        <v>0</v>
      </c>
      <c r="AT36" s="1069">
        <v>0</v>
      </c>
      <c r="AU36" s="1107">
        <v>0</v>
      </c>
      <c r="AV36" s="1110">
        <v>0</v>
      </c>
      <c r="AW36" s="1069">
        <v>0</v>
      </c>
      <c r="AX36" s="1107">
        <v>0</v>
      </c>
      <c r="AY36" s="1110">
        <v>0</v>
      </c>
      <c r="AZ36" s="1174">
        <v>0</v>
      </c>
      <c r="BA36" s="1069">
        <v>0</v>
      </c>
      <c r="BB36" s="1107">
        <v>0</v>
      </c>
      <c r="BC36" s="1110">
        <v>0</v>
      </c>
      <c r="BD36" s="1362">
        <v>0</v>
      </c>
      <c r="BE36" s="1069">
        <v>0</v>
      </c>
      <c r="BF36" s="1107">
        <v>0</v>
      </c>
      <c r="BG36" s="2056"/>
      <c r="BH36" s="1110">
        <v>0</v>
      </c>
      <c r="BI36" s="1069">
        <v>0</v>
      </c>
      <c r="BJ36" s="1107">
        <v>0</v>
      </c>
      <c r="BK36" s="1110">
        <v>0</v>
      </c>
      <c r="BL36" s="1069">
        <v>0</v>
      </c>
      <c r="BM36" s="1107">
        <v>0</v>
      </c>
      <c r="BN36" s="1110">
        <v>0</v>
      </c>
      <c r="BO36" s="1069">
        <v>0</v>
      </c>
      <c r="BP36" s="1107">
        <v>0</v>
      </c>
      <c r="BQ36" s="2941">
        <v>0</v>
      </c>
      <c r="BR36" s="3431" t="e">
        <f t="shared" si="31"/>
        <v>#DIV/0!</v>
      </c>
      <c r="BS36" s="2942">
        <v>0</v>
      </c>
      <c r="BT36" s="2784">
        <v>0</v>
      </c>
      <c r="BU36" s="2941">
        <v>0</v>
      </c>
      <c r="BV36" s="3702"/>
      <c r="BW36" s="2942">
        <v>0</v>
      </c>
      <c r="BX36" s="2784">
        <v>0</v>
      </c>
    </row>
    <row r="37" spans="1:76" ht="27.75" customHeight="1">
      <c r="A37" s="1400" t="s">
        <v>3</v>
      </c>
      <c r="B37" s="1229">
        <v>160.5</v>
      </c>
      <c r="C37" s="1421">
        <v>209.5</v>
      </c>
      <c r="D37" s="1415">
        <f t="shared" si="0"/>
        <v>130.52959501557632</v>
      </c>
      <c r="E37" s="1421">
        <v>596.1</v>
      </c>
      <c r="F37" s="1415">
        <f t="shared" si="86"/>
        <v>284.53460620525061</v>
      </c>
      <c r="G37" s="1421">
        <f>G34-G35-G38-G39-G41</f>
        <v>1328.0449999999987</v>
      </c>
      <c r="H37" s="1415">
        <f t="shared" si="2"/>
        <v>222.78896158362667</v>
      </c>
      <c r="I37" s="382">
        <v>735.9</v>
      </c>
      <c r="J37" s="382">
        <v>344.8</v>
      </c>
      <c r="K37" s="382">
        <v>224.8</v>
      </c>
      <c r="L37" s="382">
        <v>250.9</v>
      </c>
      <c r="M37" s="1422">
        <f t="shared" si="14"/>
        <v>18.892432108851754</v>
      </c>
      <c r="N37" s="382">
        <f>N34-N35-N38-N39-N41</f>
        <v>809.46099199999662</v>
      </c>
      <c r="O37" s="1423">
        <f t="shared" si="15"/>
        <v>109.99605816007565</v>
      </c>
      <c r="P37" s="382">
        <f>I37*1.049</f>
        <v>771.95909999999992</v>
      </c>
      <c r="Q37" s="1422">
        <f t="shared" si="16"/>
        <v>104.89999999999999</v>
      </c>
      <c r="R37" s="1422">
        <f t="shared" si="74"/>
        <v>307.6760063770426</v>
      </c>
      <c r="S37" s="382">
        <v>772</v>
      </c>
      <c r="T37" s="382"/>
      <c r="U37" s="382">
        <v>114.9</v>
      </c>
      <c r="V37" s="1196"/>
      <c r="W37" s="1356">
        <v>842</v>
      </c>
      <c r="X37" s="1853"/>
      <c r="Y37" s="1110">
        <v>0</v>
      </c>
      <c r="Z37" s="1069">
        <f t="shared" si="97"/>
        <v>0</v>
      </c>
      <c r="AA37" s="1107"/>
      <c r="AB37" s="1110">
        <f>SUM(AC37:AD37)</f>
        <v>50.4</v>
      </c>
      <c r="AC37" s="1069">
        <v>50.4</v>
      </c>
      <c r="AD37" s="1107">
        <v>0</v>
      </c>
      <c r="AE37" s="1110">
        <v>730</v>
      </c>
      <c r="AF37" s="1069"/>
      <c r="AG37" s="1069">
        <v>730</v>
      </c>
      <c r="AH37" s="1107">
        <v>0</v>
      </c>
      <c r="AI37" s="1110">
        <v>0</v>
      </c>
      <c r="AJ37" s="1069"/>
      <c r="AK37" s="1069">
        <f>AI37</f>
        <v>0</v>
      </c>
      <c r="AL37" s="1107"/>
      <c r="AM37" s="1391" t="e">
        <f>#REF!</f>
        <v>#REF!</v>
      </c>
      <c r="AN37" s="1394">
        <v>0</v>
      </c>
      <c r="AO37" s="1424" t="e">
        <f t="shared" si="20"/>
        <v>#REF!</v>
      </c>
      <c r="AP37" s="1110">
        <f>SUM(AQ37:AR37)</f>
        <v>0</v>
      </c>
      <c r="AQ37" s="1069">
        <v>0</v>
      </c>
      <c r="AR37" s="1107">
        <v>0</v>
      </c>
      <c r="AS37" s="1110">
        <f>SUM(AT37:AU37)</f>
        <v>0</v>
      </c>
      <c r="AT37" s="1069">
        <v>0</v>
      </c>
      <c r="AU37" s="1107">
        <v>0</v>
      </c>
      <c r="AV37" s="1110">
        <f>SUM(AW37:AX37)</f>
        <v>150.85</v>
      </c>
      <c r="AW37" s="1069">
        <v>150.85</v>
      </c>
      <c r="AX37" s="1107">
        <v>0</v>
      </c>
      <c r="AY37" s="1110">
        <v>168.81</v>
      </c>
      <c r="AZ37" s="1174"/>
      <c r="BA37" s="1069">
        <v>168.81</v>
      </c>
      <c r="BB37" s="1107">
        <v>0</v>
      </c>
      <c r="BC37" s="1110">
        <f>SUM(BE37:BF37)</f>
        <v>168.81355932203391</v>
      </c>
      <c r="BD37" s="1362"/>
      <c r="BE37" s="1069">
        <f>'Кап Рем'!G13</f>
        <v>168.81355932203391</v>
      </c>
      <c r="BF37" s="1107">
        <v>0</v>
      </c>
      <c r="BG37" s="2056" t="str">
        <f>BG28</f>
        <v>Выполнять за счет амортизации</v>
      </c>
      <c r="BH37" s="1110">
        <f>SUM(BI37:BJ37)</f>
        <v>239.3</v>
      </c>
      <c r="BI37" s="1069">
        <v>239.3</v>
      </c>
      <c r="BJ37" s="1107">
        <v>0</v>
      </c>
      <c r="BK37" s="1110">
        <f>SUM(BL37:BM37)</f>
        <v>293.12</v>
      </c>
      <c r="BL37" s="1069">
        <v>293.12</v>
      </c>
      <c r="BM37" s="1107">
        <v>0</v>
      </c>
      <c r="BN37" s="1110">
        <f>SUM(BO37:BP37)</f>
        <v>390.83</v>
      </c>
      <c r="BO37" s="1069">
        <v>390.83</v>
      </c>
      <c r="BP37" s="1107">
        <v>0</v>
      </c>
      <c r="BQ37" s="2941">
        <f>SUM(AV37/2)</f>
        <v>75.424999999999997</v>
      </c>
      <c r="BR37" s="3431">
        <f t="shared" si="31"/>
        <v>0.44679467871485939</v>
      </c>
      <c r="BS37" s="2942">
        <f>SUM(BQ37)</f>
        <v>75.424999999999997</v>
      </c>
      <c r="BT37" s="2784">
        <v>0</v>
      </c>
      <c r="BU37" s="3366">
        <f>BC37*(1-0.01)*(1+0.071)*(1+0)</f>
        <v>178.99132881355931</v>
      </c>
      <c r="BV37" s="3702">
        <f t="shared" si="21"/>
        <v>1.0602899999999997</v>
      </c>
      <c r="BW37" s="2942">
        <f>SUM(BU37)</f>
        <v>178.99132881355931</v>
      </c>
      <c r="BX37" s="2784">
        <v>0</v>
      </c>
    </row>
    <row r="38" spans="1:76" ht="21" customHeight="1">
      <c r="A38" s="1400" t="s">
        <v>4</v>
      </c>
      <c r="B38" s="1229">
        <v>2374.9</v>
      </c>
      <c r="C38" s="1421">
        <v>2766.9</v>
      </c>
      <c r="D38" s="1415">
        <f t="shared" si="0"/>
        <v>116.50595814560614</v>
      </c>
      <c r="E38" s="1421">
        <v>2966.8</v>
      </c>
      <c r="F38" s="1415">
        <f t="shared" si="86"/>
        <v>107.22469189345478</v>
      </c>
      <c r="G38" s="1421">
        <v>4252.5</v>
      </c>
      <c r="H38" s="1415">
        <f t="shared" si="2"/>
        <v>143.33625455035727</v>
      </c>
      <c r="I38" s="382">
        <v>4819.8999999999996</v>
      </c>
      <c r="J38" s="382">
        <v>2154.4</v>
      </c>
      <c r="K38" s="382">
        <v>3078.5</v>
      </c>
      <c r="L38" s="382">
        <v>4557.5</v>
      </c>
      <c r="M38" s="1422">
        <f t="shared" si="14"/>
        <v>107.17225161669606</v>
      </c>
      <c r="N38" s="382">
        <f>ЗП!AF18</f>
        <v>6581.9040000000005</v>
      </c>
      <c r="O38" s="1423">
        <f t="shared" si="15"/>
        <v>136.55685802610014</v>
      </c>
      <c r="P38" s="382">
        <f>ЗП!AP18</f>
        <v>5162.1343200000001</v>
      </c>
      <c r="Q38" s="1422">
        <f t="shared" si="16"/>
        <v>107.10044440756033</v>
      </c>
      <c r="R38" s="1422">
        <f t="shared" si="74"/>
        <v>113.26679802523314</v>
      </c>
      <c r="S38" s="382">
        <v>5162.1000000000004</v>
      </c>
      <c r="T38" s="382"/>
      <c r="U38" s="382">
        <v>3781.1</v>
      </c>
      <c r="V38" s="1196"/>
      <c r="W38" s="1356">
        <v>6778.1</v>
      </c>
      <c r="X38" s="1853"/>
      <c r="Y38" s="1110">
        <f>ЗП!U33</f>
        <v>4303.5898752000003</v>
      </c>
      <c r="Z38" s="1069">
        <f t="shared" si="97"/>
        <v>4303.5898752000003</v>
      </c>
      <c r="AA38" s="1107"/>
      <c r="AB38" s="1110">
        <v>4690</v>
      </c>
      <c r="AC38" s="1069">
        <f>SUM(AB38)</f>
        <v>4690</v>
      </c>
      <c r="AD38" s="1107">
        <v>0</v>
      </c>
      <c r="AE38" s="1110">
        <v>6778.1</v>
      </c>
      <c r="AF38" s="1069">
        <f t="shared" si="18"/>
        <v>1.5749874399184012</v>
      </c>
      <c r="AG38" s="1069">
        <v>6778.1</v>
      </c>
      <c r="AH38" s="1107">
        <v>0</v>
      </c>
      <c r="AI38" s="1110">
        <f>ЗП!BB33</f>
        <v>6064.6157894736843</v>
      </c>
      <c r="AJ38" s="1069">
        <f t="shared" si="19"/>
        <v>1.4091992883480431</v>
      </c>
      <c r="AK38" s="1069">
        <f>AI38</f>
        <v>6064.6157894736843</v>
      </c>
      <c r="AL38" s="1107">
        <f>AA38*1.05</f>
        <v>0</v>
      </c>
      <c r="AM38" s="1391" t="e">
        <f>#REF!</f>
        <v>#REF!</v>
      </c>
      <c r="AN38" s="1394">
        <v>0</v>
      </c>
      <c r="AO38" s="1424" t="e">
        <f t="shared" si="20"/>
        <v>#REF!</v>
      </c>
      <c r="AP38" s="1110">
        <f>SUM(ЗП!BG33)</f>
        <v>2164</v>
      </c>
      <c r="AQ38" s="1069">
        <f>SUM(AP38)</f>
        <v>2164</v>
      </c>
      <c r="AR38" s="1107">
        <v>0</v>
      </c>
      <c r="AS38" s="1110">
        <f>SUM(ЗП!BK33)</f>
        <v>3339</v>
      </c>
      <c r="AT38" s="1069">
        <f>SUM(AS38)</f>
        <v>3339</v>
      </c>
      <c r="AU38" s="1107">
        <v>0</v>
      </c>
      <c r="AV38" s="1110">
        <v>4413.96</v>
      </c>
      <c r="AW38" s="1069">
        <f>SUM(AV38)</f>
        <v>4413.96</v>
      </c>
      <c r="AX38" s="1107">
        <v>0</v>
      </c>
      <c r="AY38" s="1110">
        <f>SUM(ЗП!BS33)</f>
        <v>7455.91</v>
      </c>
      <c r="AZ38" s="1174">
        <f t="shared" si="32"/>
        <v>1.2294117647058822</v>
      </c>
      <c r="BA38" s="1069">
        <f>SUM(AY38)</f>
        <v>7455.91</v>
      </c>
      <c r="BB38" s="1107">
        <v>0</v>
      </c>
      <c r="BC38" s="1110">
        <f>SUM(ЗП!BW33)</f>
        <v>5210.6322580645156</v>
      </c>
      <c r="BD38" s="1362">
        <f t="shared" si="27"/>
        <v>0.85918588067995627</v>
      </c>
      <c r="BE38" s="1069">
        <f>SUM(BC38)</f>
        <v>5210.6322580645156</v>
      </c>
      <c r="BF38" s="1107">
        <v>0</v>
      </c>
      <c r="BG38" s="2056" t="str">
        <f>BG29</f>
        <v>Приложение</v>
      </c>
      <c r="BH38" s="1110">
        <f>SUM(ЗП!CB33)</f>
        <v>2135.4699999999998</v>
      </c>
      <c r="BI38" s="1069">
        <f>SUM(BH38)</f>
        <v>2135.4699999999998</v>
      </c>
      <c r="BJ38" s="1107">
        <v>0</v>
      </c>
      <c r="BK38" s="1110">
        <f>SUM(ЗП!CF33)</f>
        <v>3466.89</v>
      </c>
      <c r="BL38" s="1069">
        <f>SUM(BK38)</f>
        <v>3466.89</v>
      </c>
      <c r="BM38" s="1107">
        <v>0</v>
      </c>
      <c r="BN38" s="1110">
        <f>SUM(ЗП!CJ33)</f>
        <v>4798.3099999999995</v>
      </c>
      <c r="BO38" s="1069">
        <f>SUM(BN38)</f>
        <v>4798.3099999999995</v>
      </c>
      <c r="BP38" s="1107">
        <v>0</v>
      </c>
      <c r="BQ38" s="2941">
        <f>SUM(ЗП!CN33)</f>
        <v>5731.695483870968</v>
      </c>
      <c r="BR38" s="3431">
        <f t="shared" si="31"/>
        <v>1.1000000000000001</v>
      </c>
      <c r="BS38" s="2942">
        <f>SUM(BQ38)</f>
        <v>5731.695483870968</v>
      </c>
      <c r="BT38" s="2784">
        <v>0</v>
      </c>
      <c r="BU38" s="2941">
        <f>SUM(ЗП!CR33)</f>
        <v>5524.7812769032244</v>
      </c>
      <c r="BV38" s="3702">
        <f t="shared" si="21"/>
        <v>1.0602899999999997</v>
      </c>
      <c r="BW38" s="2942">
        <f>SUM(BU38)</f>
        <v>5524.7812769032244</v>
      </c>
      <c r="BX38" s="2784">
        <v>0</v>
      </c>
    </row>
    <row r="39" spans="1:76" ht="21" customHeight="1">
      <c r="A39" s="1400" t="s">
        <v>121</v>
      </c>
      <c r="B39" s="1229">
        <v>606.79999999999995</v>
      </c>
      <c r="C39" s="1421">
        <v>710.5</v>
      </c>
      <c r="D39" s="1415">
        <f t="shared" si="0"/>
        <v>117.08965062623599</v>
      </c>
      <c r="E39" s="1421">
        <v>765</v>
      </c>
      <c r="F39" s="1415">
        <f t="shared" si="86"/>
        <v>107.67065446868402</v>
      </c>
      <c r="G39" s="1421">
        <f>G38*0.302</f>
        <v>1284.2549999999999</v>
      </c>
      <c r="H39" s="1415">
        <f t="shared" si="2"/>
        <v>167.87647058823526</v>
      </c>
      <c r="I39" s="382">
        <f>I38*30.2/100</f>
        <v>1455.6097999999997</v>
      </c>
      <c r="J39" s="382">
        <v>697.7</v>
      </c>
      <c r="K39" s="382">
        <v>895.2</v>
      </c>
      <c r="L39" s="382">
        <v>1327.3</v>
      </c>
      <c r="M39" s="1422">
        <f t="shared" si="14"/>
        <v>103.35174867919534</v>
      </c>
      <c r="N39" s="382">
        <f>N38*0.302</f>
        <v>1987.7350080000001</v>
      </c>
      <c r="O39" s="1423">
        <f t="shared" si="15"/>
        <v>136.55685802610014</v>
      </c>
      <c r="P39" s="382">
        <f>P38*30.2/100</f>
        <v>1558.9645646399999</v>
      </c>
      <c r="Q39" s="1422">
        <f t="shared" si="16"/>
        <v>107.10044440756035</v>
      </c>
      <c r="R39" s="1422">
        <f t="shared" si="74"/>
        <v>117.45382088751602</v>
      </c>
      <c r="S39" s="382">
        <v>1559</v>
      </c>
      <c r="T39" s="382"/>
      <c r="U39" s="382">
        <v>1128.4000000000001</v>
      </c>
      <c r="V39" s="1196"/>
      <c r="W39" s="1356">
        <v>2046.99</v>
      </c>
      <c r="X39" s="1853"/>
      <c r="Y39" s="1110">
        <f>Y38*U40</f>
        <v>1284.3275277500413</v>
      </c>
      <c r="Z39" s="1069">
        <f t="shared" si="97"/>
        <v>1284.3275277500413</v>
      </c>
      <c r="AA39" s="1107"/>
      <c r="AB39" s="1110">
        <v>1397.5</v>
      </c>
      <c r="AC39" s="1069">
        <f>SUM(AB39)</f>
        <v>1397.5</v>
      </c>
      <c r="AD39" s="1107">
        <v>0</v>
      </c>
      <c r="AE39" s="1110">
        <v>2040.21</v>
      </c>
      <c r="AF39" s="1069">
        <f t="shared" si="18"/>
        <v>1.5885433862607905</v>
      </c>
      <c r="AG39" s="1069">
        <v>2040.21</v>
      </c>
      <c r="AH39" s="1107">
        <v>0</v>
      </c>
      <c r="AI39" s="1110">
        <f>AI38*Y40</f>
        <v>1809.8734381111599</v>
      </c>
      <c r="AJ39" s="1069">
        <f t="shared" si="19"/>
        <v>1.4091992883480431</v>
      </c>
      <c r="AK39" s="1069">
        <f>AK38*Z40</f>
        <v>1809.8734381111599</v>
      </c>
      <c r="AL39" s="1107">
        <f>AA39*1.05</f>
        <v>0</v>
      </c>
      <c r="AM39" s="1391" t="e">
        <f>#REF!</f>
        <v>#REF!</v>
      </c>
      <c r="AN39" s="1394">
        <v>0</v>
      </c>
      <c r="AO39" s="1424" t="e">
        <f t="shared" si="20"/>
        <v>#REF!</v>
      </c>
      <c r="AP39" s="1110">
        <v>0</v>
      </c>
      <c r="AQ39" s="1069">
        <f>SUM(AP39)</f>
        <v>0</v>
      </c>
      <c r="AR39" s="1107">
        <v>0</v>
      </c>
      <c r="AS39" s="1110">
        <v>0</v>
      </c>
      <c r="AT39" s="1069">
        <f>SUM(AS39)</f>
        <v>0</v>
      </c>
      <c r="AU39" s="1107">
        <v>0</v>
      </c>
      <c r="AV39" s="1110">
        <v>1344.58</v>
      </c>
      <c r="AW39" s="1069">
        <f>SUM(AV39)</f>
        <v>1344.58</v>
      </c>
      <c r="AX39" s="1107">
        <v>0</v>
      </c>
      <c r="AY39" s="1327">
        <f t="shared" ref="AY39" si="105">SUM(BA39+BB39)</f>
        <v>2244.2289099999998</v>
      </c>
      <c r="AZ39" s="1174">
        <f t="shared" ref="AZ39:AZ40" si="106">SUM(AY39/AI39)</f>
        <v>1.2399921799737261</v>
      </c>
      <c r="BA39" s="1069">
        <f>SUM(BA38*AE40)</f>
        <v>2244.2289099999998</v>
      </c>
      <c r="BB39" s="1107">
        <f>SUM(BB38*AE40)</f>
        <v>0</v>
      </c>
      <c r="BC39" s="1327">
        <f t="shared" ref="BC39" si="107">SUM(BE39+BF39)</f>
        <v>1555.0177038427971</v>
      </c>
      <c r="BD39" s="1362">
        <f t="shared" si="27"/>
        <v>0.85918588067995616</v>
      </c>
      <c r="BE39" s="1069">
        <f>BE38*BE40</f>
        <v>1555.0177038427971</v>
      </c>
      <c r="BF39" s="1107">
        <f>SUM(BF38*AY40)</f>
        <v>0</v>
      </c>
      <c r="BG39" s="2056" t="s">
        <v>250</v>
      </c>
      <c r="BH39" s="1110">
        <v>648.14</v>
      </c>
      <c r="BI39" s="1069">
        <f>SUM(BH39)</f>
        <v>648.14</v>
      </c>
      <c r="BJ39" s="1107">
        <v>0</v>
      </c>
      <c r="BK39" s="1110">
        <v>1058.6300000000001</v>
      </c>
      <c r="BL39" s="1069">
        <f>SUM(BK39)</f>
        <v>1058.6300000000001</v>
      </c>
      <c r="BM39" s="1107">
        <v>0</v>
      </c>
      <c r="BN39" s="1110">
        <v>1465.41</v>
      </c>
      <c r="BO39" s="1069">
        <f>SUM(BN39)</f>
        <v>1465.41</v>
      </c>
      <c r="BP39" s="1107">
        <v>0</v>
      </c>
      <c r="BQ39" s="3366">
        <f t="shared" ref="BQ39" si="108">SUM(BS39+BT39)</f>
        <v>1745.8744443870967</v>
      </c>
      <c r="BR39" s="3431">
        <f t="shared" si="31"/>
        <v>1.1227360563629918</v>
      </c>
      <c r="BS39" s="2942">
        <f>SUM(BS38*BS40)</f>
        <v>1745.8744443870967</v>
      </c>
      <c r="BT39" s="2784">
        <f>SUM(BT38*AW40)</f>
        <v>0</v>
      </c>
      <c r="BU39" s="3366">
        <f>BC39*(1-0.01)*(1+0.071)*(1+0)</f>
        <v>1648.7697212074793</v>
      </c>
      <c r="BV39" s="3702">
        <f t="shared" si="21"/>
        <v>1.06029</v>
      </c>
      <c r="BW39" s="2942">
        <f>SUM(BU39)</f>
        <v>1648.7697212074793</v>
      </c>
      <c r="BX39" s="2784">
        <f>SUM(BX38*BQ40)</f>
        <v>0</v>
      </c>
    </row>
    <row r="40" spans="1:76" s="191" customFormat="1" ht="21" customHeight="1">
      <c r="A40" s="1426" t="str">
        <f>A31</f>
        <v>то же в %</v>
      </c>
      <c r="B40" s="1230"/>
      <c r="C40" s="1415"/>
      <c r="D40" s="1415"/>
      <c r="E40" s="1393">
        <f>E39/E38</f>
        <v>0.25785357961439936</v>
      </c>
      <c r="F40" s="1393">
        <f t="shared" ref="F40:Z40" si="109">F39/F38</f>
        <v>1.0041591406545833</v>
      </c>
      <c r="G40" s="1393">
        <f t="shared" si="109"/>
        <v>0.30199999999999999</v>
      </c>
      <c r="H40" s="1393"/>
      <c r="I40" s="1393">
        <f t="shared" si="109"/>
        <v>0.30199999999999999</v>
      </c>
      <c r="J40" s="1393">
        <f t="shared" si="109"/>
        <v>0.32384886743408836</v>
      </c>
      <c r="K40" s="1393">
        <f t="shared" si="109"/>
        <v>0.29079096962806561</v>
      </c>
      <c r="L40" s="1393">
        <f t="shared" si="109"/>
        <v>0.29123422929237519</v>
      </c>
      <c r="M40" s="1393">
        <f t="shared" si="109"/>
        <v>0.96435175262375905</v>
      </c>
      <c r="N40" s="1393">
        <f t="shared" si="109"/>
        <v>0.30199999999999999</v>
      </c>
      <c r="O40" s="1393">
        <f t="shared" si="109"/>
        <v>1</v>
      </c>
      <c r="P40" s="1393">
        <f t="shared" si="109"/>
        <v>0.30199999999999999</v>
      </c>
      <c r="Q40" s="1393">
        <f t="shared" si="109"/>
        <v>1.0000000000000002</v>
      </c>
      <c r="R40" s="1393">
        <f t="shared" si="109"/>
        <v>1.0369660212461387</v>
      </c>
      <c r="S40" s="1393">
        <f t="shared" si="109"/>
        <v>0.30200887235814877</v>
      </c>
      <c r="T40" s="1393"/>
      <c r="U40" s="1393">
        <f t="shared" si="109"/>
        <v>0.29843167332257814</v>
      </c>
      <c r="V40" s="1197"/>
      <c r="W40" s="1357">
        <f t="shared" si="109"/>
        <v>0.30200056062908481</v>
      </c>
      <c r="X40" s="2070"/>
      <c r="Y40" s="1108">
        <f t="shared" si="109"/>
        <v>0.29843167332257814</v>
      </c>
      <c r="Z40" s="1070">
        <f t="shared" si="109"/>
        <v>0.29843167332257814</v>
      </c>
      <c r="AA40" s="1109"/>
      <c r="AB40" s="1108">
        <f t="shared" ref="AB40:AC40" si="110">AB39/AB38</f>
        <v>0.29797441364605542</v>
      </c>
      <c r="AC40" s="1070">
        <f t="shared" si="110"/>
        <v>0.29797441364605542</v>
      </c>
      <c r="AD40" s="1109"/>
      <c r="AE40" s="1108">
        <v>0.30099999999999999</v>
      </c>
      <c r="AF40" s="1219"/>
      <c r="AG40" s="1070">
        <v>0.30099999999999999</v>
      </c>
      <c r="AH40" s="1109">
        <v>0</v>
      </c>
      <c r="AI40" s="1108">
        <f>AI39/AI38</f>
        <v>0.29843167332257814</v>
      </c>
      <c r="AJ40" s="1219"/>
      <c r="AK40" s="1070">
        <f>AK39/AK38</f>
        <v>0.29843167332257814</v>
      </c>
      <c r="AL40" s="1109"/>
      <c r="AM40" s="2071" t="e">
        <f>#REF!</f>
        <v>#REF!</v>
      </c>
      <c r="AN40" s="2072">
        <v>0</v>
      </c>
      <c r="AO40" s="2073" t="e">
        <f t="shared" si="20"/>
        <v>#REF!</v>
      </c>
      <c r="AP40" s="1108">
        <f>AP39/AP38</f>
        <v>0</v>
      </c>
      <c r="AQ40" s="1070">
        <f t="shared" ref="AQ40" si="111">AQ39/AQ38</f>
        <v>0</v>
      </c>
      <c r="AR40" s="1109"/>
      <c r="AS40" s="1108">
        <f>AS39/AS38</f>
        <v>0</v>
      </c>
      <c r="AT40" s="1070">
        <f t="shared" ref="AT40" si="112">AT39/AT38</f>
        <v>0</v>
      </c>
      <c r="AU40" s="1109"/>
      <c r="AV40" s="1108">
        <f>AV39/AV38</f>
        <v>0.30461988781049215</v>
      </c>
      <c r="AW40" s="1070">
        <f t="shared" ref="AW40" si="113">AW39/AW38</f>
        <v>0.30461988781049215</v>
      </c>
      <c r="AX40" s="1109"/>
      <c r="AY40" s="1108">
        <f>SUM(AY39/AY38)</f>
        <v>0.30099999999999999</v>
      </c>
      <c r="AZ40" s="1070">
        <f t="shared" si="106"/>
        <v>1.0086060794044662</v>
      </c>
      <c r="BA40" s="1070">
        <f>SUM(BA39/BA38)</f>
        <v>0.30099999999999999</v>
      </c>
      <c r="BB40" s="1109"/>
      <c r="BC40" s="1108">
        <f>Y40</f>
        <v>0.29843167332257814</v>
      </c>
      <c r="BD40" s="1362">
        <f t="shared" si="27"/>
        <v>1</v>
      </c>
      <c r="BE40" s="1070">
        <f>Z40</f>
        <v>0.29843167332257814</v>
      </c>
      <c r="BF40" s="1109"/>
      <c r="BG40" s="2060"/>
      <c r="BH40" s="1108">
        <f>BH39/BH38</f>
        <v>0.30351163912393997</v>
      </c>
      <c r="BI40" s="1070">
        <f t="shared" ref="BI40" si="114">BI39/BI38</f>
        <v>0.30351163912393997</v>
      </c>
      <c r="BJ40" s="1109">
        <v>0</v>
      </c>
      <c r="BK40" s="1108">
        <f>BK39/BK38</f>
        <v>0.30535436659369064</v>
      </c>
      <c r="BL40" s="1070">
        <f t="shared" ref="BL40" si="115">BL39/BL38</f>
        <v>0.30535436659369064</v>
      </c>
      <c r="BM40" s="1109"/>
      <c r="BN40" s="1108">
        <f>BN39/BN38</f>
        <v>0.30540127669950468</v>
      </c>
      <c r="BO40" s="1070">
        <f t="shared" ref="BO40" si="116">BO39/BO38</f>
        <v>0.30540127669950468</v>
      </c>
      <c r="BP40" s="1109"/>
      <c r="BQ40" s="2943">
        <v>0.30459999999999998</v>
      </c>
      <c r="BR40" s="3431">
        <f t="shared" si="31"/>
        <v>1.0206691421481742</v>
      </c>
      <c r="BS40" s="2944">
        <v>0.30459999999999998</v>
      </c>
      <c r="BT40" s="2785">
        <v>0.30459999999999998</v>
      </c>
      <c r="BU40" s="2943">
        <f>SUM(BU39/BU38)</f>
        <v>0.29843167332257814</v>
      </c>
      <c r="BV40" s="3702">
        <f t="shared" si="21"/>
        <v>1</v>
      </c>
      <c r="BW40" s="2944">
        <f>SUM(BW39/BW38)</f>
        <v>0.29843167332257814</v>
      </c>
      <c r="BX40" s="2785"/>
    </row>
    <row r="41" spans="1:76" ht="21" customHeight="1">
      <c r="A41" s="1400" t="s">
        <v>6</v>
      </c>
      <c r="B41" s="1229">
        <v>978.6</v>
      </c>
      <c r="C41" s="1421">
        <v>825.2</v>
      </c>
      <c r="D41" s="1415">
        <f t="shared" si="0"/>
        <v>84.32454526875128</v>
      </c>
      <c r="E41" s="1421">
        <v>1695.7</v>
      </c>
      <c r="F41" s="1415">
        <f t="shared" si="86"/>
        <v>205.48957828405236</v>
      </c>
      <c r="G41" s="1421">
        <f>'цех стоки'!G45-стоки!G16-стоки!G26-стоки!G33</f>
        <v>2385.1000000000008</v>
      </c>
      <c r="H41" s="1415">
        <f t="shared" si="2"/>
        <v>140.65577637553815</v>
      </c>
      <c r="I41" s="382">
        <v>2191.1</v>
      </c>
      <c r="J41" s="382">
        <v>1084.5</v>
      </c>
      <c r="K41" s="382">
        <f>'цех стоки'!K50</f>
        <v>1485.9600740438873</v>
      </c>
      <c r="L41" s="382">
        <f>'цех стоки'!L50</f>
        <v>2185.1999999999998</v>
      </c>
      <c r="M41" s="1422">
        <f t="shared" si="14"/>
        <v>91.618800050312316</v>
      </c>
      <c r="N41" s="382">
        <f>'цех стоки'!N50</f>
        <v>3571.6000000000022</v>
      </c>
      <c r="O41" s="1423">
        <f t="shared" si="15"/>
        <v>163.00488339190372</v>
      </c>
      <c r="P41" s="382">
        <v>2717.2</v>
      </c>
      <c r="Q41" s="1422">
        <f t="shared" si="16"/>
        <v>124.01077084569394</v>
      </c>
      <c r="R41" s="1422">
        <f t="shared" si="74"/>
        <v>124.34559765696504</v>
      </c>
      <c r="S41" s="382">
        <v>2999.5</v>
      </c>
      <c r="T41" s="382"/>
      <c r="U41" s="382">
        <v>1817.5</v>
      </c>
      <c r="V41" s="1196"/>
      <c r="W41" s="1356">
        <v>3828.5</v>
      </c>
      <c r="X41" s="1853"/>
      <c r="Y41" s="1110">
        <f>'цех стоки'!X50</f>
        <v>2844.973155291787</v>
      </c>
      <c r="Z41" s="1069">
        <f t="shared" si="97"/>
        <v>2844.973155291787</v>
      </c>
      <c r="AA41" s="1107"/>
      <c r="AB41" s="1110">
        <f>'цех стоки'!AA50</f>
        <v>2277.1999999999998</v>
      </c>
      <c r="AC41" s="1069">
        <f t="shared" ref="AC41" si="117">AB41</f>
        <v>2277.1999999999998</v>
      </c>
      <c r="AD41" s="1107">
        <v>0</v>
      </c>
      <c r="AE41" s="1110">
        <v>2622.51</v>
      </c>
      <c r="AF41" s="1069">
        <f t="shared" si="18"/>
        <v>0.92180483148742742</v>
      </c>
      <c r="AG41" s="1069">
        <v>2622.51</v>
      </c>
      <c r="AH41" s="1107">
        <v>0</v>
      </c>
      <c r="AI41" s="1110">
        <f>'цех стоки'!AC50</f>
        <v>2687.5084197683254</v>
      </c>
      <c r="AJ41" s="1069">
        <f t="shared" si="19"/>
        <v>0.94465159179777514</v>
      </c>
      <c r="AK41" s="1069">
        <f>SUM('цех стоки'!X113)</f>
        <v>2687.5084197683254</v>
      </c>
      <c r="AL41" s="1107">
        <f>SUM('цех стоки'!Y113)</f>
        <v>0</v>
      </c>
      <c r="AM41" s="1391" t="e">
        <f>#REF!</f>
        <v>#REF!</v>
      </c>
      <c r="AN41" s="1394">
        <v>0</v>
      </c>
      <c r="AO41" s="1424" t="e">
        <f t="shared" si="20"/>
        <v>#REF!</v>
      </c>
      <c r="AP41" s="1110">
        <f>SUM('цех стоки'!AE50)</f>
        <v>1242.03</v>
      </c>
      <c r="AQ41" s="1069">
        <f>SUM(AP41)</f>
        <v>1242.03</v>
      </c>
      <c r="AR41" s="1107">
        <v>0</v>
      </c>
      <c r="AS41" s="1110">
        <f>SUM('цех стоки'!AF50)</f>
        <v>1801.13</v>
      </c>
      <c r="AT41" s="1069">
        <f>SUM(AS41)</f>
        <v>1801.13</v>
      </c>
      <c r="AU41" s="1107">
        <v>0</v>
      </c>
      <c r="AV41" s="1110">
        <v>2433.13</v>
      </c>
      <c r="AW41" s="1069">
        <f>SUM(AV41)</f>
        <v>2433.13</v>
      </c>
      <c r="AX41" s="1107">
        <v>0</v>
      </c>
      <c r="AY41" s="1110">
        <v>3469.75</v>
      </c>
      <c r="AZ41" s="1174">
        <f>SUM(AY41/AI41)</f>
        <v>1.2910657226142224</v>
      </c>
      <c r="BA41" s="1069">
        <f>SUM(AY41)</f>
        <v>3469.75</v>
      </c>
      <c r="BB41" s="1107">
        <v>0</v>
      </c>
      <c r="BC41" s="1110">
        <f>SUM('цех стоки'!AH50)</f>
        <v>2655.1329761606248</v>
      </c>
      <c r="BD41" s="1362">
        <f t="shared" si="27"/>
        <v>0.9879533610501241</v>
      </c>
      <c r="BE41" s="1069">
        <f>SUM(BC41)</f>
        <v>2655.1329761606248</v>
      </c>
      <c r="BF41" s="1107">
        <v>0</v>
      </c>
      <c r="BG41" s="2056" t="str">
        <f>BG33</f>
        <v>Приложение</v>
      </c>
      <c r="BH41" s="1110">
        <f>SUM('цех стоки'!AN50)</f>
        <v>1223.73</v>
      </c>
      <c r="BI41" s="1069">
        <f>SUM(BH41)</f>
        <v>1223.73</v>
      </c>
      <c r="BJ41" s="1107">
        <v>0</v>
      </c>
      <c r="BK41" s="1110">
        <f>SUM('цех стоки'!AO50)</f>
        <v>1929.66</v>
      </c>
      <c r="BL41" s="1069">
        <f>SUM(BK41)</f>
        <v>1929.66</v>
      </c>
      <c r="BM41" s="1107">
        <v>0</v>
      </c>
      <c r="BN41" s="1110">
        <f>SUM('цех стоки'!AP50)</f>
        <v>2619.9016243923902</v>
      </c>
      <c r="BO41" s="1069">
        <f>SUM(BN41)</f>
        <v>2619.9016243923902</v>
      </c>
      <c r="BP41" s="1107">
        <v>0</v>
      </c>
      <c r="BQ41" s="2941">
        <f>SUM('цех стоки'!AQ50)</f>
        <v>3040.0529966432241</v>
      </c>
      <c r="BR41" s="3431">
        <f t="shared" si="31"/>
        <v>1.1449720311331455</v>
      </c>
      <c r="BS41" s="2942">
        <f>SUM(BQ41)</f>
        <v>3040.0529966432241</v>
      </c>
      <c r="BT41" s="2784">
        <v>0</v>
      </c>
      <c r="BU41" s="2941">
        <f>SUM('цех стоки'!AR50)</f>
        <v>2342.738034050521</v>
      </c>
      <c r="BV41" s="3702">
        <f t="shared" si="21"/>
        <v>0.88234301448742014</v>
      </c>
      <c r="BW41" s="2942">
        <f>SUM(BU41)</f>
        <v>2342.738034050521</v>
      </c>
      <c r="BX41" s="2784">
        <v>0</v>
      </c>
    </row>
    <row r="42" spans="1:76" ht="21" customHeight="1">
      <c r="A42" s="1345" t="s">
        <v>10</v>
      </c>
      <c r="B42" s="1412">
        <v>87.2</v>
      </c>
      <c r="C42" s="1413">
        <v>78.3</v>
      </c>
      <c r="D42" s="1415">
        <f t="shared" si="0"/>
        <v>89.793577981651367</v>
      </c>
      <c r="E42" s="1413">
        <v>159.30000000000001</v>
      </c>
      <c r="F42" s="1414">
        <f t="shared" si="86"/>
        <v>203.44827586206898</v>
      </c>
      <c r="G42" s="1413">
        <v>151.1</v>
      </c>
      <c r="H42" s="1415">
        <f t="shared" si="2"/>
        <v>94.852479598242297</v>
      </c>
      <c r="I42" s="1394">
        <v>217.2</v>
      </c>
      <c r="J42" s="1394">
        <v>72.400000000000006</v>
      </c>
      <c r="K42" s="1394">
        <v>258.60000000000002</v>
      </c>
      <c r="L42" s="1394">
        <f>L43+L44</f>
        <v>338.40000000000003</v>
      </c>
      <c r="M42" s="1429">
        <f t="shared" si="14"/>
        <v>223.95764394440772</v>
      </c>
      <c r="N42" s="1394">
        <v>250</v>
      </c>
      <c r="O42" s="1423">
        <f t="shared" si="15"/>
        <v>115.10128913443832</v>
      </c>
      <c r="P42" s="1394">
        <f>227.84+P45</f>
        <v>1927.1399999999999</v>
      </c>
      <c r="Q42" s="1422">
        <f t="shared" si="16"/>
        <v>887.26519337016578</v>
      </c>
      <c r="R42" s="1422">
        <f t="shared" si="74"/>
        <v>569.48581560283685</v>
      </c>
      <c r="S42" s="1394">
        <f>1927.14</f>
        <v>1927.14</v>
      </c>
      <c r="T42" s="382">
        <v>0</v>
      </c>
      <c r="U42" s="382">
        <f>U43+U44+U45</f>
        <v>188.8</v>
      </c>
      <c r="V42" s="1196"/>
      <c r="W42" s="1356">
        <f>W43+W44+W45</f>
        <v>2157</v>
      </c>
      <c r="X42" s="1853"/>
      <c r="Y42" s="1110">
        <f t="shared" ref="Y42:AL42" si="118">Y43+Y44+Y45</f>
        <v>1927.84</v>
      </c>
      <c r="Z42" s="1069">
        <f t="shared" si="118"/>
        <v>1927.04</v>
      </c>
      <c r="AA42" s="1107">
        <f t="shared" si="118"/>
        <v>0.8</v>
      </c>
      <c r="AB42" s="1110">
        <f t="shared" ref="AB42:AD42" si="119">AB43+AB44+AB45</f>
        <v>1970.4</v>
      </c>
      <c r="AC42" s="1069">
        <f t="shared" si="119"/>
        <v>1969.1630113342155</v>
      </c>
      <c r="AD42" s="1107">
        <f t="shared" si="119"/>
        <v>1.2369886657844305</v>
      </c>
      <c r="AE42" s="1110">
        <v>1927.84</v>
      </c>
      <c r="AF42" s="1069">
        <f t="shared" si="18"/>
        <v>1</v>
      </c>
      <c r="AG42" s="1069">
        <v>1927.04</v>
      </c>
      <c r="AH42" s="1107">
        <v>0.8</v>
      </c>
      <c r="AI42" s="1110">
        <f t="shared" si="118"/>
        <v>1927.84</v>
      </c>
      <c r="AJ42" s="1069">
        <f t="shared" si="19"/>
        <v>1</v>
      </c>
      <c r="AK42" s="1069">
        <f t="shared" si="118"/>
        <v>1927.04</v>
      </c>
      <c r="AL42" s="1107">
        <f t="shared" si="118"/>
        <v>0.8</v>
      </c>
      <c r="AM42" s="1391" t="e">
        <f>#REF!*Z42/Y42</f>
        <v>#REF!</v>
      </c>
      <c r="AN42" s="382" t="e">
        <f>#REF!-AM42</f>
        <v>#REF!</v>
      </c>
      <c r="AO42" s="1424" t="e">
        <f t="shared" si="20"/>
        <v>#REF!</v>
      </c>
      <c r="AP42" s="1110">
        <f t="shared" ref="AP42:BF42" si="120">AP43+AP44+AP45</f>
        <v>209.94</v>
      </c>
      <c r="AQ42" s="1069">
        <f t="shared" si="120"/>
        <v>209.88906688054394</v>
      </c>
      <c r="AR42" s="1107">
        <f t="shared" si="120"/>
        <v>5.0933119456050946E-2</v>
      </c>
      <c r="AS42" s="1110">
        <f t="shared" si="120"/>
        <v>1548.24</v>
      </c>
      <c r="AT42" s="1069">
        <f t="shared" si="120"/>
        <v>1540.8882524477353</v>
      </c>
      <c r="AU42" s="1107">
        <f t="shared" si="120"/>
        <v>7.3517475522646976</v>
      </c>
      <c r="AV42" s="1110">
        <f t="shared" ref="AV42:AX42" si="121">AV43+AV44+AV45</f>
        <v>1794.1</v>
      </c>
      <c r="AW42" s="1069">
        <f t="shared" si="121"/>
        <v>1783.5694402716554</v>
      </c>
      <c r="AX42" s="1107">
        <f t="shared" si="121"/>
        <v>10.530559728344741</v>
      </c>
      <c r="AY42" s="1110">
        <f t="shared" si="120"/>
        <v>2116.7799999999997</v>
      </c>
      <c r="AZ42" s="1174">
        <f t="shared" si="32"/>
        <v>1.0980060585940741</v>
      </c>
      <c r="BA42" s="1069">
        <f t="shared" si="120"/>
        <v>2103.4324817644683</v>
      </c>
      <c r="BB42" s="1107">
        <f t="shared" si="120"/>
        <v>13.347518235531863</v>
      </c>
      <c r="BC42" s="1110">
        <f t="shared" si="120"/>
        <v>1684.7746853333333</v>
      </c>
      <c r="BD42" s="1362">
        <f t="shared" si="27"/>
        <v>0.87391831548952892</v>
      </c>
      <c r="BE42" s="1069">
        <f t="shared" si="120"/>
        <v>1676.7689960276371</v>
      </c>
      <c r="BF42" s="1107">
        <f t="shared" si="120"/>
        <v>8.0056893056960661</v>
      </c>
      <c r="BG42" s="2056" t="s">
        <v>250</v>
      </c>
      <c r="BH42" s="1110">
        <f t="shared" ref="BH42:BQ42" si="122">BH43+BH44+BH45</f>
        <v>1095.52</v>
      </c>
      <c r="BI42" s="1069">
        <f t="shared" si="122"/>
        <v>1090.4379715537075</v>
      </c>
      <c r="BJ42" s="1107">
        <f t="shared" si="122"/>
        <v>5.0820284462923979</v>
      </c>
      <c r="BK42" s="1110">
        <f t="shared" ref="BK42:BM42" si="123">BK43+BK44+BK45</f>
        <v>1682.06</v>
      </c>
      <c r="BL42" s="1069">
        <f t="shared" si="123"/>
        <v>1674.2785868989872</v>
      </c>
      <c r="BM42" s="1107">
        <f t="shared" si="123"/>
        <v>7.7814131010127987</v>
      </c>
      <c r="BN42" s="1110">
        <f t="shared" ref="BN42:BP42" si="124">BN43+BN44+BN45</f>
        <v>2242.75</v>
      </c>
      <c r="BO42" s="1069">
        <f t="shared" si="124"/>
        <v>2232.3747381619705</v>
      </c>
      <c r="BP42" s="1107">
        <f t="shared" si="124"/>
        <v>10.375261838029182</v>
      </c>
      <c r="BQ42" s="2941">
        <f t="shared" si="122"/>
        <v>1815.7113519999998</v>
      </c>
      <c r="BR42" s="3431">
        <f t="shared" si="31"/>
        <v>1.0777176128099055</v>
      </c>
      <c r="BS42" s="2942">
        <f t="shared" ref="BS42:BU42" si="125">BS43+BS44+BS45</f>
        <v>1805.2396699968972</v>
      </c>
      <c r="BT42" s="2784">
        <f t="shared" si="125"/>
        <v>10.471682003102639</v>
      </c>
      <c r="BU42" s="2941">
        <f t="shared" si="125"/>
        <v>1794.04</v>
      </c>
      <c r="BV42" s="3702">
        <f t="shared" si="21"/>
        <v>1.0648545562904446</v>
      </c>
      <c r="BW42" s="2942">
        <f t="shared" ref="BW42" si="126">BW43+BW44+BW45</f>
        <v>1783.5700000000002</v>
      </c>
      <c r="BX42" s="2784">
        <f>BX43+BX44+BX45</f>
        <v>10.469999999999999</v>
      </c>
    </row>
    <row r="43" spans="1:76" ht="39" customHeight="1">
      <c r="A43" s="1426" t="s">
        <v>81</v>
      </c>
      <c r="B43" s="1412"/>
      <c r="C43" s="1413"/>
      <c r="D43" s="1415"/>
      <c r="E43" s="1413"/>
      <c r="F43" s="1414"/>
      <c r="G43" s="1413"/>
      <c r="H43" s="1415"/>
      <c r="I43" s="382"/>
      <c r="J43" s="382">
        <v>44.4</v>
      </c>
      <c r="K43" s="382">
        <v>236.1</v>
      </c>
      <c r="L43" s="382">
        <v>303.3</v>
      </c>
      <c r="M43" s="1429"/>
      <c r="N43" s="382"/>
      <c r="O43" s="1423"/>
      <c r="P43" s="382">
        <v>227.84</v>
      </c>
      <c r="Q43" s="1422"/>
      <c r="R43" s="1422"/>
      <c r="S43" s="382">
        <v>227.84</v>
      </c>
      <c r="T43" s="382"/>
      <c r="U43" s="382">
        <v>138.5</v>
      </c>
      <c r="V43" s="1196"/>
      <c r="W43" s="1356">
        <v>418</v>
      </c>
      <c r="X43" s="1853"/>
      <c r="Y43" s="1110">
        <f>P43</f>
        <v>227.84</v>
      </c>
      <c r="Z43" s="1069">
        <f>Y43</f>
        <v>227.84</v>
      </c>
      <c r="AA43" s="1107">
        <v>0</v>
      </c>
      <c r="AB43" s="1110">
        <v>220.1</v>
      </c>
      <c r="AC43" s="1069">
        <f>AB43</f>
        <v>220.1</v>
      </c>
      <c r="AD43" s="1107">
        <v>0</v>
      </c>
      <c r="AE43" s="1110">
        <v>227.84</v>
      </c>
      <c r="AF43" s="1069">
        <f t="shared" si="18"/>
        <v>1</v>
      </c>
      <c r="AG43" s="1069">
        <v>227.84</v>
      </c>
      <c r="AH43" s="1107">
        <v>0</v>
      </c>
      <c r="AI43" s="1110">
        <f>Y43</f>
        <v>227.84</v>
      </c>
      <c r="AJ43" s="1069">
        <f t="shared" si="19"/>
        <v>1</v>
      </c>
      <c r="AK43" s="1069">
        <f>AI43</f>
        <v>227.84</v>
      </c>
      <c r="AL43" s="1107">
        <f>AA43*1.046</f>
        <v>0</v>
      </c>
      <c r="AM43" s="1392" t="e">
        <f>#REF!</f>
        <v>#REF!</v>
      </c>
      <c r="AN43" s="382" t="e">
        <f>#REF!-AM43</f>
        <v>#REF!</v>
      </c>
      <c r="AO43" s="1424" t="e">
        <f t="shared" si="20"/>
        <v>#REF!</v>
      </c>
      <c r="AP43" s="1110">
        <v>201.14</v>
      </c>
      <c r="AQ43" s="1069">
        <f>SUM(AP43)</f>
        <v>201.14</v>
      </c>
      <c r="AR43" s="1107">
        <v>0</v>
      </c>
      <c r="AS43" s="1110">
        <v>300.83999999999997</v>
      </c>
      <c r="AT43" s="1069">
        <f>SUM(AS43)</f>
        <v>300.83999999999997</v>
      </c>
      <c r="AU43" s="1107">
        <v>0</v>
      </c>
      <c r="AV43" s="1110">
        <v>348.31</v>
      </c>
      <c r="AW43" s="1069">
        <f>SUM(AV43)</f>
        <v>348.31</v>
      </c>
      <c r="AX43" s="1107">
        <v>0</v>
      </c>
      <c r="AY43" s="1110">
        <v>453.58</v>
      </c>
      <c r="AZ43" s="1174">
        <f>SUM(AY43/AI43)</f>
        <v>1.9907830056179774</v>
      </c>
      <c r="BA43" s="1069">
        <f>SUM(AY43)</f>
        <v>453.58</v>
      </c>
      <c r="BB43" s="1107">
        <v>0</v>
      </c>
      <c r="BC43" s="1110">
        <v>220.1</v>
      </c>
      <c r="BD43" s="1362">
        <f t="shared" si="27"/>
        <v>0.96602879213483139</v>
      </c>
      <c r="BE43" s="1069">
        <f>SUM(BC43)</f>
        <v>220.1</v>
      </c>
      <c r="BF43" s="1107">
        <v>0</v>
      </c>
      <c r="BG43" s="2056" t="s">
        <v>250</v>
      </c>
      <c r="BH43" s="1110">
        <v>311.75</v>
      </c>
      <c r="BI43" s="1069">
        <f>SUM(BH43)</f>
        <v>311.75</v>
      </c>
      <c r="BJ43" s="1107">
        <v>0</v>
      </c>
      <c r="BK43" s="1110">
        <v>512.89</v>
      </c>
      <c r="BL43" s="1069">
        <f>SUM(BK43)</f>
        <v>512.89</v>
      </c>
      <c r="BM43" s="1107">
        <v>0</v>
      </c>
      <c r="BN43" s="1110">
        <v>683.85</v>
      </c>
      <c r="BO43" s="1069">
        <f>SUM(BN43)</f>
        <v>683.85</v>
      </c>
      <c r="BP43" s="1107">
        <v>0</v>
      </c>
      <c r="BQ43" s="2941">
        <f>SUM(AV43)</f>
        <v>348.31</v>
      </c>
      <c r="BR43" s="3431">
        <f t="shared" si="31"/>
        <v>1.5825079509313948</v>
      </c>
      <c r="BS43" s="2942">
        <f>SUM(BQ43)</f>
        <v>348.31</v>
      </c>
      <c r="BT43" s="2784">
        <v>0</v>
      </c>
      <c r="BU43" s="2941">
        <v>348.31</v>
      </c>
      <c r="BV43" s="3702">
        <f t="shared" si="21"/>
        <v>1.5825079509313948</v>
      </c>
      <c r="BW43" s="2942">
        <f>SUM(BU43)</f>
        <v>348.31</v>
      </c>
      <c r="BX43" s="2784">
        <v>0</v>
      </c>
    </row>
    <row r="44" spans="1:76" ht="21" customHeight="1">
      <c r="A44" s="1426" t="s">
        <v>543</v>
      </c>
      <c r="B44" s="1412"/>
      <c r="C44" s="1413"/>
      <c r="D44" s="1415"/>
      <c r="E44" s="1413"/>
      <c r="F44" s="1414"/>
      <c r="G44" s="1413"/>
      <c r="H44" s="1415"/>
      <c r="I44" s="382"/>
      <c r="J44" s="382">
        <v>28</v>
      </c>
      <c r="K44" s="382">
        <v>22.5</v>
      </c>
      <c r="L44" s="382">
        <v>35.1</v>
      </c>
      <c r="M44" s="1429"/>
      <c r="N44" s="382"/>
      <c r="O44" s="1423"/>
      <c r="P44" s="382"/>
      <c r="Q44" s="1422"/>
      <c r="R44" s="1422"/>
      <c r="S44" s="382"/>
      <c r="T44" s="382"/>
      <c r="U44" s="382">
        <v>50.3</v>
      </c>
      <c r="V44" s="1196"/>
      <c r="W44" s="1356">
        <v>39</v>
      </c>
      <c r="X44" s="1853"/>
      <c r="Y44" s="1110">
        <v>0</v>
      </c>
      <c r="Z44" s="1069">
        <v>0</v>
      </c>
      <c r="AA44" s="1107">
        <v>0</v>
      </c>
      <c r="AB44" s="1110">
        <v>50.3</v>
      </c>
      <c r="AC44" s="1069">
        <f>SUM(AC51/AB51)*AB44</f>
        <v>49.863011334215521</v>
      </c>
      <c r="AD44" s="1107">
        <f>AB44-AC44</f>
        <v>0.43698866578447593</v>
      </c>
      <c r="AE44" s="1110">
        <v>0</v>
      </c>
      <c r="AF44" s="1069"/>
      <c r="AG44" s="1069">
        <v>0</v>
      </c>
      <c r="AH44" s="1107">
        <v>0</v>
      </c>
      <c r="AI44" s="1110">
        <f>Y44</f>
        <v>0</v>
      </c>
      <c r="AJ44" s="1069"/>
      <c r="AK44" s="1069"/>
      <c r="AL44" s="1107"/>
      <c r="AM44" s="1392" t="e">
        <f>#REF!</f>
        <v>#REF!</v>
      </c>
      <c r="AN44" s="382" t="e">
        <f>#REF!-AM44</f>
        <v>#REF!</v>
      </c>
      <c r="AO44" s="1424" t="e">
        <f t="shared" si="20"/>
        <v>#REF!</v>
      </c>
      <c r="AP44" s="1110">
        <v>8.8000000000000007</v>
      </c>
      <c r="AQ44" s="1069">
        <f>SUM(AQ51/AP51)*AP44</f>
        <v>8.7490668805439498</v>
      </c>
      <c r="AR44" s="1107">
        <f>AP44-AQ44</f>
        <v>5.0933119456050946E-2</v>
      </c>
      <c r="AS44" s="1110">
        <v>17.5</v>
      </c>
      <c r="AT44" s="1069">
        <f>SUM(AT51/AS51)*AS44</f>
        <v>17.396861005159025</v>
      </c>
      <c r="AU44" s="1107">
        <f>AS44-AT44</f>
        <v>0.10313899484097533</v>
      </c>
      <c r="AV44" s="1110">
        <v>26.06</v>
      </c>
      <c r="AW44" s="1069">
        <f>SUM(AW51/AV51)*AV44</f>
        <v>25.870189317590611</v>
      </c>
      <c r="AX44" s="1107">
        <f>AV44-AW44</f>
        <v>0.18981068240938725</v>
      </c>
      <c r="AY44" s="1110">
        <v>23.33</v>
      </c>
      <c r="AZ44" s="1174"/>
      <c r="BA44" s="1069">
        <f>SUM(BA51/AY51)*AY44</f>
        <v>23.202481764468136</v>
      </c>
      <c r="BB44" s="1107">
        <f>AY44-BA44</f>
        <v>0.1275182355318627</v>
      </c>
      <c r="BC44" s="1110">
        <f>AS44/3*4</f>
        <v>23.333333333333332</v>
      </c>
      <c r="BD44" s="1362"/>
      <c r="BE44" s="1069">
        <f>SUM(BE51/BC51)*BC44</f>
        <v>23.205796878307897</v>
      </c>
      <c r="BF44" s="1107">
        <f>BC44-BE44</f>
        <v>0.1275364550254352</v>
      </c>
      <c r="BG44" s="1994" t="s">
        <v>1014</v>
      </c>
      <c r="BH44" s="1110">
        <v>15.89</v>
      </c>
      <c r="BI44" s="1069">
        <f>SUM(BI51/BH51)*BH44</f>
        <v>15.786967947214634</v>
      </c>
      <c r="BJ44" s="1107">
        <f>BH44-BI44</f>
        <v>0.10303205278536609</v>
      </c>
      <c r="BK44" s="1110">
        <v>23.27</v>
      </c>
      <c r="BL44" s="1069">
        <f>SUM(BL51/BK51)*BK44</f>
        <v>23.11512647188983</v>
      </c>
      <c r="BM44" s="1107">
        <f>BK44-BL44</f>
        <v>0.15487352811016919</v>
      </c>
      <c r="BN44" s="1110">
        <v>31.03</v>
      </c>
      <c r="BO44" s="1069">
        <f>SUM(BO51/BN51)*BN44</f>
        <v>30.823479777513604</v>
      </c>
      <c r="BP44" s="1107">
        <f>BN44-BO44</f>
        <v>0.20652022248639668</v>
      </c>
      <c r="BQ44" s="2941">
        <f>SUM(AV44)</f>
        <v>26.06</v>
      </c>
      <c r="BR44" s="3431">
        <f t="shared" si="31"/>
        <v>1.1168571428571428</v>
      </c>
      <c r="BS44" s="2942">
        <f>SUM(BS51/BQ51)*BQ44</f>
        <v>25.874030406453613</v>
      </c>
      <c r="BT44" s="2784">
        <f>BQ44-BS44</f>
        <v>0.18596959354638543</v>
      </c>
      <c r="BU44" s="2941">
        <f>SUM(BW44:BX44)</f>
        <v>26.05</v>
      </c>
      <c r="BV44" s="3702">
        <f t="shared" si="21"/>
        <v>1.1164285714285715</v>
      </c>
      <c r="BW44" s="2942">
        <v>25.87</v>
      </c>
      <c r="BX44" s="2784">
        <v>0.18</v>
      </c>
    </row>
    <row r="45" spans="1:76" ht="21" customHeight="1">
      <c r="A45" s="1426" t="s">
        <v>545</v>
      </c>
      <c r="B45" s="1412"/>
      <c r="C45" s="1413"/>
      <c r="D45" s="1415"/>
      <c r="E45" s="1413"/>
      <c r="F45" s="1414"/>
      <c r="G45" s="1413"/>
      <c r="H45" s="1415"/>
      <c r="I45" s="382"/>
      <c r="J45" s="382"/>
      <c r="K45" s="382"/>
      <c r="L45" s="382">
        <v>0</v>
      </c>
      <c r="M45" s="1429"/>
      <c r="N45" s="382"/>
      <c r="O45" s="1423"/>
      <c r="P45" s="382">
        <v>1699.3</v>
      </c>
      <c r="Q45" s="1422"/>
      <c r="R45" s="1422"/>
      <c r="S45" s="382">
        <v>1699.3</v>
      </c>
      <c r="T45" s="382"/>
      <c r="U45" s="382">
        <v>0</v>
      </c>
      <c r="V45" s="1196"/>
      <c r="W45" s="1356">
        <v>1700</v>
      </c>
      <c r="X45" s="1853"/>
      <c r="Y45" s="1110">
        <v>1700</v>
      </c>
      <c r="Z45" s="1069">
        <f>Y45-AA45</f>
        <v>1699.2</v>
      </c>
      <c r="AA45" s="1107">
        <v>0.8</v>
      </c>
      <c r="AB45" s="1110">
        <v>1700</v>
      </c>
      <c r="AC45" s="1069">
        <v>1699.2</v>
      </c>
      <c r="AD45" s="1107">
        <f>AB45-AC45</f>
        <v>0.79999999999995453</v>
      </c>
      <c r="AE45" s="1110">
        <v>1700</v>
      </c>
      <c r="AF45" s="1069">
        <f t="shared" si="18"/>
        <v>1</v>
      </c>
      <c r="AG45" s="1069">
        <v>1699.2</v>
      </c>
      <c r="AH45" s="1107">
        <v>0.8</v>
      </c>
      <c r="AI45" s="1110">
        <f>Y45</f>
        <v>1700</v>
      </c>
      <c r="AJ45" s="1069">
        <f t="shared" si="19"/>
        <v>1</v>
      </c>
      <c r="AK45" s="1069">
        <f>Z45</f>
        <v>1699.2</v>
      </c>
      <c r="AL45" s="1107">
        <f>AA45</f>
        <v>0.8</v>
      </c>
      <c r="AM45" s="1391" t="e">
        <f>#REF!*Z45/Y45</f>
        <v>#REF!</v>
      </c>
      <c r="AN45" s="382" t="e">
        <f>#REF!-AM45</f>
        <v>#REF!</v>
      </c>
      <c r="AO45" s="1424" t="e">
        <f t="shared" si="20"/>
        <v>#REF!</v>
      </c>
      <c r="AP45" s="1110">
        <v>0</v>
      </c>
      <c r="AQ45" s="1069">
        <f>SUM(AQ51/AP51)*AP45</f>
        <v>0</v>
      </c>
      <c r="AR45" s="1107">
        <f>AP45-AQ45</f>
        <v>0</v>
      </c>
      <c r="AS45" s="1110">
        <v>1229.9000000000001</v>
      </c>
      <c r="AT45" s="1069">
        <f>SUM(AT51/AS51)*AS45</f>
        <v>1222.6513914425764</v>
      </c>
      <c r="AU45" s="1107">
        <f>AS45-AT45</f>
        <v>7.2486085574237222</v>
      </c>
      <c r="AV45" s="2765">
        <v>1419.73</v>
      </c>
      <c r="AW45" s="2766">
        <f>SUM(AW51/AV51)*AV45</f>
        <v>1409.3892509540647</v>
      </c>
      <c r="AX45" s="2793">
        <f>AV45-AW45</f>
        <v>10.340749045935354</v>
      </c>
      <c r="AY45" s="1110">
        <v>1639.87</v>
      </c>
      <c r="AZ45" s="1174">
        <f t="shared" si="32"/>
        <v>0.96462941176470585</v>
      </c>
      <c r="BA45" s="1069">
        <v>1626.65</v>
      </c>
      <c r="BB45" s="1107">
        <v>13.22</v>
      </c>
      <c r="BC45" s="1110">
        <f>'налог на имущ'!D15</f>
        <v>1441.3413519999999</v>
      </c>
      <c r="BD45" s="1362">
        <f t="shared" si="27"/>
        <v>0.84784785411764696</v>
      </c>
      <c r="BE45" s="1069">
        <f>SUM(BE51/BC51)*BC45</f>
        <v>1433.4631991493293</v>
      </c>
      <c r="BF45" s="1107">
        <f>BC45-BE45</f>
        <v>7.8781528506706309</v>
      </c>
      <c r="BG45" s="2061" t="s">
        <v>981</v>
      </c>
      <c r="BH45" s="2765">
        <v>767.88</v>
      </c>
      <c r="BI45" s="1069">
        <f>SUM(BI51/BH51)*BH45</f>
        <v>762.90100360649296</v>
      </c>
      <c r="BJ45" s="1107">
        <f>BH45-BI45</f>
        <v>4.9789963935070318</v>
      </c>
      <c r="BK45" s="1110">
        <v>1145.9000000000001</v>
      </c>
      <c r="BL45" s="1069">
        <f>SUM(BL51/BK51)*BK45</f>
        <v>1138.2734604270975</v>
      </c>
      <c r="BM45" s="1107">
        <f>BK45-BL45</f>
        <v>7.6265395729026295</v>
      </c>
      <c r="BN45" s="1110">
        <v>1527.87</v>
      </c>
      <c r="BO45" s="1069">
        <f>SUM(BO51/BN51)*BN45</f>
        <v>1517.7012583844571</v>
      </c>
      <c r="BP45" s="1107">
        <f>BN45-BO45</f>
        <v>10.168741615542785</v>
      </c>
      <c r="BQ45" s="2941">
        <f>SUM(BC45)</f>
        <v>1441.3413519999999</v>
      </c>
      <c r="BR45" s="3431">
        <f t="shared" si="31"/>
        <v>1</v>
      </c>
      <c r="BS45" s="2942">
        <f>SUM(BS51/BQ51)*BQ45</f>
        <v>1431.0556395904437</v>
      </c>
      <c r="BT45" s="2784">
        <f>BQ45-BS45</f>
        <v>10.285712409556254</v>
      </c>
      <c r="BU45" s="2941">
        <f>SUM(BW45:BX45)</f>
        <v>1419.68</v>
      </c>
      <c r="BV45" s="3702">
        <f t="shared" si="21"/>
        <v>0.98497139350789964</v>
      </c>
      <c r="BW45" s="2942">
        <v>1409.39</v>
      </c>
      <c r="BX45" s="2784">
        <v>10.29</v>
      </c>
    </row>
    <row r="46" spans="1:76" ht="21" customHeight="1">
      <c r="A46" s="1345" t="s">
        <v>11</v>
      </c>
      <c r="B46" s="1412">
        <v>6566.2</v>
      </c>
      <c r="C46" s="1413">
        <v>7034.8</v>
      </c>
      <c r="D46" s="1415">
        <f>C46/B46*100</f>
        <v>107.13654777496879</v>
      </c>
      <c r="E46" s="1394">
        <v>7166.7</v>
      </c>
      <c r="F46" s="1394">
        <f>E46/C46*100</f>
        <v>101.87496446238697</v>
      </c>
      <c r="G46" s="1394">
        <v>7614.1</v>
      </c>
      <c r="H46" s="1415">
        <f t="shared" si="2"/>
        <v>106.24276166157367</v>
      </c>
      <c r="I46" s="1394">
        <v>8986</v>
      </c>
      <c r="J46" s="1394">
        <v>4011.7</v>
      </c>
      <c r="K46" s="1394">
        <v>6062.9</v>
      </c>
      <c r="L46" s="1394">
        <v>8448.7000000000007</v>
      </c>
      <c r="M46" s="1394">
        <f t="shared" si="14"/>
        <v>110.96124295714529</v>
      </c>
      <c r="N46" s="1394">
        <v>10151.1</v>
      </c>
      <c r="O46" s="1394">
        <f t="shared" si="15"/>
        <v>112.96572446027153</v>
      </c>
      <c r="P46" s="1394">
        <v>8915.7999999999993</v>
      </c>
      <c r="Q46" s="1394">
        <f t="shared" si="16"/>
        <v>99.218784776318714</v>
      </c>
      <c r="R46" s="1394">
        <f>P46/L46*100</f>
        <v>105.52866121415127</v>
      </c>
      <c r="S46" s="1394">
        <f>P46-T46</f>
        <v>8876.5</v>
      </c>
      <c r="T46" s="1394">
        <v>39.299999999999997</v>
      </c>
      <c r="U46" s="1394">
        <v>7513.6</v>
      </c>
      <c r="V46" s="1424"/>
      <c r="W46" s="1358">
        <v>10701.5</v>
      </c>
      <c r="X46" s="1436"/>
      <c r="Y46" s="1330">
        <v>10806.57</v>
      </c>
      <c r="Z46" s="1328">
        <f>Y46-AA46</f>
        <v>10753.369999999999</v>
      </c>
      <c r="AA46" s="1329">
        <v>53.2</v>
      </c>
      <c r="AB46" s="1330">
        <f>SUM('ОХР '!AD57)</f>
        <v>9591.77</v>
      </c>
      <c r="AC46" s="1328">
        <f>SUM(AC51/AB51)*AB46</f>
        <v>9508.4400839997706</v>
      </c>
      <c r="AD46" s="1329">
        <f>AB46-AC46</f>
        <v>83.329916000229787</v>
      </c>
      <c r="AE46" s="1330">
        <v>9051.4500000000007</v>
      </c>
      <c r="AF46" s="1328">
        <f t="shared" si="18"/>
        <v>0.83758768971098152</v>
      </c>
      <c r="AG46" s="1328">
        <v>8995.59</v>
      </c>
      <c r="AH46" s="1329">
        <v>55.86</v>
      </c>
      <c r="AI46" s="1330">
        <f>SUM('ОХР '!AH57)</f>
        <v>8833.3841337506801</v>
      </c>
      <c r="AJ46" s="1328">
        <f t="shared" si="19"/>
        <v>0.8174086813624194</v>
      </c>
      <c r="AK46" s="1328">
        <f>AI46-AL46</f>
        <v>8777.5241337506795</v>
      </c>
      <c r="AL46" s="1329">
        <f>AA46*1.05</f>
        <v>55.860000000000007</v>
      </c>
      <c r="AM46" s="1391" t="e">
        <f>#REF!*Z46/Y46</f>
        <v>#REF!</v>
      </c>
      <c r="AN46" s="1394" t="e">
        <f>#REF!-AM46</f>
        <v>#REF!</v>
      </c>
      <c r="AO46" s="1424" t="e">
        <f t="shared" si="20"/>
        <v>#REF!</v>
      </c>
      <c r="AP46" s="1330">
        <v>0</v>
      </c>
      <c r="AQ46" s="1328">
        <f>SUM(AQ51/AP51)*AP46</f>
        <v>0</v>
      </c>
      <c r="AR46" s="1329">
        <f>AP46-AQ46</f>
        <v>0</v>
      </c>
      <c r="AS46" s="1330">
        <f>SUM('цех стоки'!AF62)</f>
        <v>0</v>
      </c>
      <c r="AT46" s="1328">
        <f>SUM(AT51/AS51)*AS46</f>
        <v>0</v>
      </c>
      <c r="AU46" s="1329">
        <f>AS46-AT46</f>
        <v>0</v>
      </c>
      <c r="AV46" s="1330">
        <v>8924.7999999999993</v>
      </c>
      <c r="AW46" s="1328">
        <f>SUM(AW51/AV51)*AV46</f>
        <v>8859.7953039766962</v>
      </c>
      <c r="AX46" s="1329">
        <f>AV46-AW46</f>
        <v>65.00469602330304</v>
      </c>
      <c r="AY46" s="1330">
        <v>10189.549999999999</v>
      </c>
      <c r="AZ46" s="2254">
        <f t="shared" ref="AZ46" si="127">SUM(AY46/AI46)</f>
        <v>1.1535273283392791</v>
      </c>
      <c r="BA46" s="1328">
        <v>10189.549999999999</v>
      </c>
      <c r="BB46" s="1329">
        <v>0</v>
      </c>
      <c r="BC46" s="2599">
        <f>SUM('ОХР '!AP57)+2500</f>
        <v>13195.647202096725</v>
      </c>
      <c r="BD46" s="1367">
        <f t="shared" si="27"/>
        <v>1.4938382620176867</v>
      </c>
      <c r="BE46" s="1328">
        <f>SUM(BC46-BF46)</f>
        <v>13195.647202096725</v>
      </c>
      <c r="BF46" s="1329">
        <v>0</v>
      </c>
      <c r="BG46" s="2056" t="str">
        <f>вода!BK48</f>
        <v>Приложение (Сняли 3 миллиона на стоки 500 тыс. потеряли)</v>
      </c>
      <c r="BH46" s="1330">
        <f>SUM('ОХР '!AZ49)</f>
        <v>4545.9300000000076</v>
      </c>
      <c r="BI46" s="1328">
        <f>SUM(BI51/BH51)*BH46</f>
        <v>4516.4538200303041</v>
      </c>
      <c r="BJ46" s="1329">
        <f>BH46-BI46</f>
        <v>29.47617996970348</v>
      </c>
      <c r="BK46" s="1330">
        <f>SUM('ОХР '!BC49)</f>
        <v>6919.8799999999828</v>
      </c>
      <c r="BL46" s="1328">
        <f>SUM(BL51/BK51)*BK46</f>
        <v>6873.8247258401634</v>
      </c>
      <c r="BM46" s="1329">
        <f>BK46-BL46</f>
        <v>46.055274159819419</v>
      </c>
      <c r="BN46" s="1330">
        <v>9226.48</v>
      </c>
      <c r="BO46" s="1328">
        <f>SUM(BO51/BN51)*BN46</f>
        <v>9165.073145266957</v>
      </c>
      <c r="BP46" s="1329">
        <f>BN46-BO46</f>
        <v>61.406854733042564</v>
      </c>
      <c r="BQ46" s="2945">
        <f>SUM('ОХР '!BI49)</f>
        <v>11124.428087978959</v>
      </c>
      <c r="BR46" s="3431">
        <f t="shared" si="31"/>
        <v>0.84303770156960101</v>
      </c>
      <c r="BS46" s="2942">
        <v>11084</v>
      </c>
      <c r="BT46" s="2784">
        <f>BQ46-BS46</f>
        <v>40.428087978958501</v>
      </c>
      <c r="BU46" s="2945">
        <f>SUM(BW46:BX46)</f>
        <v>14681.99</v>
      </c>
      <c r="BV46" s="3702">
        <f t="shared" si="21"/>
        <v>1.1126388706169033</v>
      </c>
      <c r="BW46" s="2946">
        <v>14675.18</v>
      </c>
      <c r="BX46" s="2947">
        <v>6.81</v>
      </c>
    </row>
    <row r="47" spans="1:76" ht="21" customHeight="1">
      <c r="A47" s="1933" t="s">
        <v>908</v>
      </c>
      <c r="B47" s="1934"/>
      <c r="C47" s="1935"/>
      <c r="D47" s="1936"/>
      <c r="E47" s="1929"/>
      <c r="F47" s="1929"/>
      <c r="G47" s="1929"/>
      <c r="H47" s="1936"/>
      <c r="I47" s="1929"/>
      <c r="J47" s="1929"/>
      <c r="K47" s="1929"/>
      <c r="L47" s="1929"/>
      <c r="M47" s="1929"/>
      <c r="N47" s="1929"/>
      <c r="O47" s="1929"/>
      <c r="P47" s="1929"/>
      <c r="Q47" s="1929"/>
      <c r="R47" s="1929"/>
      <c r="S47" s="1929"/>
      <c r="T47" s="1929"/>
      <c r="U47" s="1929"/>
      <c r="V47" s="1937"/>
      <c r="W47" s="1925"/>
      <c r="X47" s="1938"/>
      <c r="Y47" s="1927"/>
      <c r="Z47" s="1929"/>
      <c r="AA47" s="1930"/>
      <c r="AB47" s="1927"/>
      <c r="AC47" s="1929"/>
      <c r="AD47" s="1930"/>
      <c r="AE47" s="1927"/>
      <c r="AF47" s="1929"/>
      <c r="AG47" s="1929"/>
      <c r="AH47" s="1930"/>
      <c r="AI47" s="1927"/>
      <c r="AJ47" s="1929"/>
      <c r="AK47" s="1929"/>
      <c r="AL47" s="1930"/>
      <c r="AM47" s="1939"/>
      <c r="AN47" s="1929"/>
      <c r="AO47" s="1937"/>
      <c r="AP47" s="1927"/>
      <c r="AQ47" s="1929"/>
      <c r="AR47" s="1930"/>
      <c r="AS47" s="1927"/>
      <c r="AT47" s="1929"/>
      <c r="AU47" s="1930"/>
      <c r="AV47" s="1927"/>
      <c r="AW47" s="1929"/>
      <c r="AX47" s="1930"/>
      <c r="AY47" s="1927">
        <v>828.88</v>
      </c>
      <c r="AZ47" s="2255"/>
      <c r="BA47" s="2007">
        <v>828.88</v>
      </c>
      <c r="BB47" s="1930"/>
      <c r="BC47" s="1927">
        <f>BE47+BF47</f>
        <v>286.40476017160813</v>
      </c>
      <c r="BD47" s="1928"/>
      <c r="BE47" s="1929">
        <f>'Резерв ДЗ'!F12</f>
        <v>286.40476017160813</v>
      </c>
      <c r="BF47" s="1930"/>
      <c r="BG47" s="2062" t="s">
        <v>981</v>
      </c>
      <c r="BH47" s="1927"/>
      <c r="BI47" s="1929"/>
      <c r="BJ47" s="1930"/>
      <c r="BK47" s="1927"/>
      <c r="BL47" s="1929"/>
      <c r="BM47" s="1930"/>
      <c r="BN47" s="1927"/>
      <c r="BO47" s="1929"/>
      <c r="BP47" s="1930"/>
      <c r="BQ47" s="2952">
        <f>SUM('Резерв ДЗ'!F22:F25)</f>
        <v>353.60175784252925</v>
      </c>
      <c r="BR47" s="3431">
        <f t="shared" si="31"/>
        <v>1.2346224889232218</v>
      </c>
      <c r="BS47" s="2953">
        <f>SUM(BQ47)</f>
        <v>353.60175784252925</v>
      </c>
      <c r="BT47" s="2954">
        <v>0</v>
      </c>
      <c r="BU47" s="2952">
        <f>BW47+BX47</f>
        <v>265.39999999999998</v>
      </c>
      <c r="BV47" s="3702">
        <f t="shared" si="21"/>
        <v>0.9266605758960762</v>
      </c>
      <c r="BW47" s="2953">
        <v>265.39999999999998</v>
      </c>
      <c r="BX47" s="2954">
        <v>0</v>
      </c>
    </row>
    <row r="48" spans="1:76" ht="21" customHeight="1">
      <c r="A48" s="1345" t="str">
        <f>вода!A50</f>
        <v>Выпадающие расходы прошлых периодов</v>
      </c>
      <c r="B48" s="1412"/>
      <c r="C48" s="1413"/>
      <c r="D48" s="1415"/>
      <c r="E48" s="1394"/>
      <c r="F48" s="1394"/>
      <c r="G48" s="1394"/>
      <c r="H48" s="1415"/>
      <c r="I48" s="1394"/>
      <c r="J48" s="1394"/>
      <c r="K48" s="1394"/>
      <c r="L48" s="1394"/>
      <c r="M48" s="1394"/>
      <c r="N48" s="1394"/>
      <c r="O48" s="1394"/>
      <c r="P48" s="1394"/>
      <c r="Q48" s="1394"/>
      <c r="R48" s="1394"/>
      <c r="S48" s="1394"/>
      <c r="T48" s="1394"/>
      <c r="U48" s="1394"/>
      <c r="V48" s="1424"/>
      <c r="W48" s="1358"/>
      <c r="X48" s="1436"/>
      <c r="Y48" s="1330"/>
      <c r="Z48" s="1328"/>
      <c r="AA48" s="1329"/>
      <c r="AB48" s="1330"/>
      <c r="AC48" s="1328"/>
      <c r="AD48" s="1329"/>
      <c r="AE48" s="1330">
        <v>885.62</v>
      </c>
      <c r="AF48" s="1328"/>
      <c r="AG48" s="1328">
        <v>885.62</v>
      </c>
      <c r="AH48" s="1329">
        <v>0</v>
      </c>
      <c r="AI48" s="1330">
        <f>SUM(AK48+AL48)</f>
        <v>1458.3999999999999</v>
      </c>
      <c r="AJ48" s="1328"/>
      <c r="AK48" s="1328">
        <v>1450.3</v>
      </c>
      <c r="AL48" s="1329">
        <v>8.1</v>
      </c>
      <c r="AM48" s="1391"/>
      <c r="AN48" s="1394"/>
      <c r="AO48" s="1424"/>
      <c r="AP48" s="1330">
        <f>SUM(AQ48:AR48)</f>
        <v>0</v>
      </c>
      <c r="AQ48" s="1328">
        <v>0</v>
      </c>
      <c r="AR48" s="1329">
        <v>0</v>
      </c>
      <c r="AS48" s="1330">
        <f>SUM(AT48:AU48)</f>
        <v>0</v>
      </c>
      <c r="AT48" s="1328">
        <v>0</v>
      </c>
      <c r="AU48" s="1329">
        <v>0</v>
      </c>
      <c r="AV48" s="1330">
        <f>SUM(AW48:AX48)</f>
        <v>0</v>
      </c>
      <c r="AW48" s="1328">
        <v>0</v>
      </c>
      <c r="AX48" s="1329">
        <v>0</v>
      </c>
      <c r="AY48" s="1330">
        <v>26.1</v>
      </c>
      <c r="AZ48" s="2254">
        <f t="shared" si="32"/>
        <v>1.7896324739440486E-2</v>
      </c>
      <c r="BA48" s="1328">
        <v>26.1</v>
      </c>
      <c r="BB48" s="1329">
        <v>0</v>
      </c>
      <c r="BC48" s="1330">
        <f>SUM(BE48:BF48)</f>
        <v>26.100000000000009</v>
      </c>
      <c r="BD48" s="1367">
        <f t="shared" si="27"/>
        <v>1.789632473944049E-2</v>
      </c>
      <c r="BE48" s="1328">
        <f>'Выпадающ15-16'!G25</f>
        <v>26.100000000000009</v>
      </c>
      <c r="BF48" s="1329">
        <v>0</v>
      </c>
      <c r="BG48" s="2056" t="s">
        <v>981</v>
      </c>
      <c r="BH48" s="1330">
        <f>SUM(BI48:BJ48)</f>
        <v>0</v>
      </c>
      <c r="BI48" s="1328">
        <v>0</v>
      </c>
      <c r="BJ48" s="1329">
        <v>0</v>
      </c>
      <c r="BK48" s="1330">
        <f>SUM(BL48:BM48)</f>
        <v>0</v>
      </c>
      <c r="BL48" s="1328">
        <v>0</v>
      </c>
      <c r="BM48" s="1329">
        <v>0</v>
      </c>
      <c r="BN48" s="1330">
        <f>SUM(BO48:BP48)</f>
        <v>0</v>
      </c>
      <c r="BO48" s="1328">
        <v>0</v>
      </c>
      <c r="BP48" s="1329">
        <v>0</v>
      </c>
      <c r="BQ48" s="2945">
        <f>SUM('Выпадающ15-16'!J25)</f>
        <v>361.57999999999993</v>
      </c>
      <c r="BR48" s="3431">
        <f t="shared" si="31"/>
        <v>13.853639846743288</v>
      </c>
      <c r="BS48" s="2946">
        <f>SUM(BQ48)</f>
        <v>361.57999999999993</v>
      </c>
      <c r="BT48" s="2947">
        <v>0</v>
      </c>
      <c r="BU48" s="2945">
        <f>SUM(BW48:BX48)</f>
        <v>361.57999999999993</v>
      </c>
      <c r="BV48" s="3702">
        <f t="shared" si="21"/>
        <v>13.853639846743288</v>
      </c>
      <c r="BW48" s="2946">
        <f>SUM('Выпадающ15-16'!K25)</f>
        <v>361.57999999999993</v>
      </c>
      <c r="BX48" s="2947">
        <v>0</v>
      </c>
    </row>
    <row r="49" spans="1:76" ht="21" customHeight="1">
      <c r="A49" s="1345" t="s">
        <v>12</v>
      </c>
      <c r="B49" s="1412">
        <f>B8+B17+B27+B34+B42+B46</f>
        <v>48804.800000000003</v>
      </c>
      <c r="C49" s="1413">
        <f>C8+C17+C27+C34+C42+C46</f>
        <v>53462.30000000001</v>
      </c>
      <c r="D49" s="1415">
        <f>C49/B49*100</f>
        <v>109.54311870963514</v>
      </c>
      <c r="E49" s="1394">
        <f>E8+E17+E27+E34+E42+E46</f>
        <v>60125.35753296347</v>
      </c>
      <c r="F49" s="1394">
        <f>F8+F17+F27+F34+F42+F46</f>
        <v>3129.1316842549895</v>
      </c>
      <c r="G49" s="1394">
        <f>G8+G17+G27+G34+G42+G46</f>
        <v>67514.555567248346</v>
      </c>
      <c r="H49" s="1415">
        <f t="shared" si="2"/>
        <v>112.28965337999659</v>
      </c>
      <c r="I49" s="1394">
        <f>I8+I17+I27+I34+I42+I46</f>
        <v>71839.299339999998</v>
      </c>
      <c r="J49" s="1394" t="e">
        <f>J8+J17+J27+J34+J42+J46+#REF!</f>
        <v>#REF!</v>
      </c>
      <c r="K49" s="1394">
        <f>K8+K17+K27+K34+K42+K46</f>
        <v>48024.894049536379</v>
      </c>
      <c r="L49" s="1394">
        <f>L8+L17+L27+L34+L42+L46</f>
        <v>69413.700222854182</v>
      </c>
      <c r="M49" s="1394">
        <f t="shared" si="14"/>
        <v>102.81294106085639</v>
      </c>
      <c r="N49" s="1394">
        <f>N8+N17+N27+N34+N42+N46</f>
        <v>89172.253990794445</v>
      </c>
      <c r="O49" s="1394">
        <f t="shared" si="15"/>
        <v>124.12739936223667</v>
      </c>
      <c r="P49" s="1394" t="e">
        <f>P8+P17+P27+P34+P42+P46</f>
        <v>#REF!</v>
      </c>
      <c r="Q49" s="1394" t="e">
        <f t="shared" ref="Q49:AA49" si="128">Q8+Q17+Q27+Q34+Q42+Q46</f>
        <v>#REF!</v>
      </c>
      <c r="R49" s="1394" t="e">
        <f t="shared" si="128"/>
        <v>#REF!</v>
      </c>
      <c r="S49" s="1394" t="e">
        <f t="shared" si="128"/>
        <v>#REF!</v>
      </c>
      <c r="T49" s="1394" t="e">
        <f t="shared" si="128"/>
        <v>#REF!</v>
      </c>
      <c r="U49" s="1394">
        <f>U8+U17+U27+U34+U42+U46</f>
        <v>56869.5</v>
      </c>
      <c r="V49" s="1424">
        <f>V8+V17+V27+V34+V42+V46</f>
        <v>0</v>
      </c>
      <c r="W49" s="1358">
        <f>W8+W17+W27+W34+W42+W46</f>
        <v>96034.68</v>
      </c>
      <c r="X49" s="1436"/>
      <c r="Y49" s="1330">
        <f t="shared" si="128"/>
        <v>77174.362445693521</v>
      </c>
      <c r="Z49" s="1328">
        <f t="shared" si="128"/>
        <v>76845.211738577535</v>
      </c>
      <c r="AA49" s="1329">
        <f t="shared" si="128"/>
        <v>329.45070711599271</v>
      </c>
      <c r="AB49" s="1330">
        <f t="shared" ref="AB49:AD49" si="129">AB8+AB17+AB27+AB34+AB42+AB46</f>
        <v>70897.669500000004</v>
      </c>
      <c r="AC49" s="1328">
        <f t="shared" si="129"/>
        <v>70520.933541510851</v>
      </c>
      <c r="AD49" s="1329">
        <f t="shared" si="129"/>
        <v>376.73595848915204</v>
      </c>
      <c r="AE49" s="1330">
        <v>85498.66</v>
      </c>
      <c r="AF49" s="1328">
        <f t="shared" si="18"/>
        <v>1.1078635092083096</v>
      </c>
      <c r="AG49" s="1328">
        <v>85304.62</v>
      </c>
      <c r="AH49" s="1329">
        <v>343.42</v>
      </c>
      <c r="AI49" s="1330">
        <f>AI8+AI17+AI27+AI34+AI42+AI46+AI48</f>
        <v>81206.130865212966</v>
      </c>
      <c r="AJ49" s="1328">
        <f t="shared" si="19"/>
        <v>1.052242328822043</v>
      </c>
      <c r="AK49" s="1328">
        <f>AK8+AK17+AK27+AK34+AK42+AK46+AK48</f>
        <v>80856.743168717745</v>
      </c>
      <c r="AL49" s="1329">
        <f>AL8+AL17+AL27+AL34+AL42+AL46+AL48</f>
        <v>349.08569512807247</v>
      </c>
      <c r="AM49" s="1391" t="e">
        <f>AM46+AM42+AM34+AM27+AM17+AM8</f>
        <v>#REF!</v>
      </c>
      <c r="AN49" s="1394" t="e">
        <f>#REF!-AM49</f>
        <v>#REF!</v>
      </c>
      <c r="AO49" s="1424" t="e">
        <f t="shared" si="20"/>
        <v>#REF!</v>
      </c>
      <c r="AP49" s="1330">
        <f t="shared" ref="AP49:BF49" si="130">AP8+AP17+AP27+AP34+AP42+AP46</f>
        <v>25525.760000000002</v>
      </c>
      <c r="AQ49" s="1328">
        <f t="shared" si="130"/>
        <v>25440.449918838356</v>
      </c>
      <c r="AR49" s="1329">
        <f t="shared" si="130"/>
        <v>83.252151621438273</v>
      </c>
      <c r="AS49" s="1330">
        <f t="shared" si="130"/>
        <v>40253.669999999991</v>
      </c>
      <c r="AT49" s="1328">
        <f t="shared" si="130"/>
        <v>40114.792459398101</v>
      </c>
      <c r="AU49" s="1329">
        <f t="shared" si="130"/>
        <v>135.63874041761906</v>
      </c>
      <c r="AV49" s="1330">
        <f t="shared" ref="AV49:AX49" si="131">AV8+AV17+AV27+AV34+AV42+AV46</f>
        <v>73344.06</v>
      </c>
      <c r="AW49" s="1328">
        <f t="shared" si="131"/>
        <v>73012.944878892187</v>
      </c>
      <c r="AX49" s="1329">
        <f t="shared" si="131"/>
        <v>331.11512110780814</v>
      </c>
      <c r="AY49" s="1330">
        <f>AY8+AY17+AY27+AY34+AY42+AY46+AY47+AY48</f>
        <v>92986.85384440083</v>
      </c>
      <c r="AZ49" s="2254">
        <f t="shared" si="32"/>
        <v>1.1450718419123018</v>
      </c>
      <c r="BA49" s="1328">
        <f>BA8+BA17+BA27+BA34+BA42+BA46+BA47+BA48</f>
        <v>92737.838488540467</v>
      </c>
      <c r="BB49" s="1329">
        <f>BB8+BB17+BB27+BB34+BB42+BB46+BB48</f>
        <v>249.01535586037718</v>
      </c>
      <c r="BC49" s="1330">
        <f>BC8+BC17+BC27+BC34+BC42+BC46+BC47+BC48</f>
        <v>81331.238474047481</v>
      </c>
      <c r="BD49" s="3706">
        <f t="shared" si="27"/>
        <v>1.0015406177772732</v>
      </c>
      <c r="BE49" s="3707">
        <f>BE8+BE17+BE27+BE34+BE42+BE46+BE47+BE48</f>
        <v>81065.48104192235</v>
      </c>
      <c r="BF49" s="1329">
        <f t="shared" si="130"/>
        <v>265.7574321251206</v>
      </c>
      <c r="BG49" s="2057"/>
      <c r="BH49" s="1330">
        <f t="shared" ref="BH49:BJ49" si="132">BH8+BH17+BH27+BH34+BH42+BH46</f>
        <v>38669.27635</v>
      </c>
      <c r="BI49" s="1328">
        <f t="shared" si="132"/>
        <v>38508.235329938972</v>
      </c>
      <c r="BJ49" s="1329">
        <f t="shared" si="132"/>
        <v>158.16331991335733</v>
      </c>
      <c r="BK49" s="1330">
        <f t="shared" ref="BK49:BM49" si="133">BK8+BK17+BK27+BK34+BK42+BK46</f>
        <v>59688.815588999983</v>
      </c>
      <c r="BL49" s="1328">
        <f t="shared" si="133"/>
        <v>59435.119734529311</v>
      </c>
      <c r="BM49" s="1329">
        <f t="shared" si="133"/>
        <v>249.26987918366871</v>
      </c>
      <c r="BN49" s="1330">
        <f t="shared" ref="BN49:BP49" si="134">BN8+BN17+BN27+BN34+BN42+BN46</f>
        <v>80610.787328299863</v>
      </c>
      <c r="BO49" s="1328">
        <f t="shared" si="134"/>
        <v>80269.528576826284</v>
      </c>
      <c r="BP49" s="1329">
        <f t="shared" si="134"/>
        <v>335.24959968315505</v>
      </c>
      <c r="BQ49" s="2945">
        <f>BQ8+BQ17+BQ27+BQ34+BQ42+BQ46+BQ47+BQ48</f>
        <v>85750.930779269518</v>
      </c>
      <c r="BR49" s="3431">
        <f t="shared" si="31"/>
        <v>1.0543418788173544</v>
      </c>
      <c r="BS49" s="2946">
        <f>BS8+BS17+BS27+BS34+BS42+BS46+BS47+BS48</f>
        <v>85412.573168429793</v>
      </c>
      <c r="BT49" s="2947">
        <f>BT8+BT17+BT27+BT34+BT42+BT46+BT48</f>
        <v>338.35761083972818</v>
      </c>
      <c r="BU49" s="2945">
        <f>BU8+BU17+BU27+BU34+BU42+BU46+BU47+BU48</f>
        <v>85973.202221013722</v>
      </c>
      <c r="BV49" s="3704">
        <f t="shared" si="21"/>
        <v>1.0570747948028294</v>
      </c>
      <c r="BW49" s="3743">
        <f>BW8+BW17+BW27+BW34+BW42+BW46+BW47+BW48</f>
        <v>85653.917552547806</v>
      </c>
      <c r="BX49" s="2947">
        <f t="shared" ref="BX49" si="135">BX8+BX17+BX27+BX34+BX42+BX46</f>
        <v>319.28466846594</v>
      </c>
    </row>
    <row r="50" spans="1:76" ht="21" customHeight="1">
      <c r="A50" s="3712" t="s">
        <v>1719</v>
      </c>
      <c r="B50" s="3713"/>
      <c r="C50" s="3714"/>
      <c r="D50" s="3715"/>
      <c r="E50" s="3716"/>
      <c r="F50" s="3716"/>
      <c r="G50" s="3716"/>
      <c r="H50" s="3715"/>
      <c r="I50" s="3716"/>
      <c r="J50" s="3716"/>
      <c r="K50" s="3716"/>
      <c r="L50" s="3716"/>
      <c r="M50" s="3716"/>
      <c r="N50" s="3716"/>
      <c r="O50" s="3716"/>
      <c r="P50" s="3716"/>
      <c r="Q50" s="3716"/>
      <c r="R50" s="3716"/>
      <c r="S50" s="3716"/>
      <c r="T50" s="3716"/>
      <c r="U50" s="3716"/>
      <c r="V50" s="3717"/>
      <c r="W50" s="3718"/>
      <c r="X50" s="3719"/>
      <c r="Y50" s="3720"/>
      <c r="Z50" s="3716"/>
      <c r="AA50" s="3721"/>
      <c r="AB50" s="3720"/>
      <c r="AC50" s="3716"/>
      <c r="AD50" s="3721"/>
      <c r="AE50" s="3720"/>
      <c r="AF50" s="3716"/>
      <c r="AG50" s="3716"/>
      <c r="AH50" s="3721"/>
      <c r="AI50" s="3720"/>
      <c r="AJ50" s="3716"/>
      <c r="AK50" s="3716"/>
      <c r="AL50" s="3721"/>
      <c r="AM50" s="3722"/>
      <c r="AN50" s="3716"/>
      <c r="AO50" s="3717"/>
      <c r="AP50" s="3720"/>
      <c r="AQ50" s="3716"/>
      <c r="AR50" s="3721"/>
      <c r="AS50" s="3720"/>
      <c r="AT50" s="3716"/>
      <c r="AU50" s="3721"/>
      <c r="AV50" s="3720"/>
      <c r="AW50" s="3716"/>
      <c r="AX50" s="3721"/>
      <c r="AY50" s="3720"/>
      <c r="AZ50" s="3723"/>
      <c r="BA50" s="3716"/>
      <c r="BB50" s="3721"/>
      <c r="BC50" s="3720"/>
      <c r="BD50" s="3724"/>
      <c r="BE50" s="3716"/>
      <c r="BF50" s="3721"/>
      <c r="BG50" s="3725"/>
      <c r="BH50" s="3720"/>
      <c r="BI50" s="3716"/>
      <c r="BJ50" s="3721"/>
      <c r="BK50" s="3720"/>
      <c r="BL50" s="3716"/>
      <c r="BM50" s="3721"/>
      <c r="BN50" s="3720"/>
      <c r="BO50" s="3716"/>
      <c r="BP50" s="3721"/>
      <c r="BQ50" s="3726"/>
      <c r="BR50" s="3727"/>
      <c r="BS50" s="3728"/>
      <c r="BT50" s="3729"/>
      <c r="BU50" s="3726">
        <f>SUM(BW50)</f>
        <v>-5234.7</v>
      </c>
      <c r="BV50" s="3730"/>
      <c r="BW50" s="3728">
        <v>-5234.7</v>
      </c>
      <c r="BX50" s="3729">
        <v>0</v>
      </c>
    </row>
    <row r="51" spans="1:76" ht="21" customHeight="1">
      <c r="A51" s="1345" t="s">
        <v>13</v>
      </c>
      <c r="B51" s="1412">
        <f>объемы!B21</f>
        <v>4738.2</v>
      </c>
      <c r="C51" s="1413">
        <f>объемы!C21</f>
        <v>4585.8</v>
      </c>
      <c r="D51" s="1415">
        <f>C51/B51*100</f>
        <v>96.783588704571372</v>
      </c>
      <c r="E51" s="1394">
        <f>объемы!E21</f>
        <v>4415.2</v>
      </c>
      <c r="F51" s="1394">
        <f>E51/C51*100</f>
        <v>96.279820314885072</v>
      </c>
      <c r="G51" s="1394">
        <f>объемы!F21</f>
        <v>4093.2000000000003</v>
      </c>
      <c r="H51" s="1415">
        <f t="shared" si="2"/>
        <v>92.707012139880419</v>
      </c>
      <c r="I51" s="1394">
        <v>4224.5</v>
      </c>
      <c r="J51" s="1394" t="e">
        <f>объемы!#REF!</f>
        <v>#REF!</v>
      </c>
      <c r="K51" s="1394">
        <f>объемы!J21</f>
        <v>2958.3</v>
      </c>
      <c r="L51" s="1394">
        <v>4006.6</v>
      </c>
      <c r="M51" s="1394">
        <f t="shared" si="14"/>
        <v>97.884295905404073</v>
      </c>
      <c r="N51" s="1394">
        <f>объемы!K21</f>
        <v>3695</v>
      </c>
      <c r="O51" s="1394">
        <f t="shared" si="15"/>
        <v>87.46597230441472</v>
      </c>
      <c r="P51" s="1394" t="e">
        <f>объемы!#REF!</f>
        <v>#REF!</v>
      </c>
      <c r="Q51" s="1394" t="e">
        <f t="shared" si="16"/>
        <v>#REF!</v>
      </c>
      <c r="R51" s="1394" t="e">
        <f>P51/L51*100</f>
        <v>#REF!</v>
      </c>
      <c r="S51" s="1394" t="e">
        <f>P51-T51</f>
        <v>#REF!</v>
      </c>
      <c r="T51" s="1394">
        <v>28</v>
      </c>
      <c r="U51" s="1394" t="e">
        <f>объемы!#REF!</f>
        <v>#REF!</v>
      </c>
      <c r="V51" s="1424">
        <f>объемы!AB21</f>
        <v>3805.3</v>
      </c>
      <c r="W51" s="1358">
        <f>объемы!E57</f>
        <v>3600</v>
      </c>
      <c r="X51" s="1436"/>
      <c r="Y51" s="1330">
        <f>объемы!F57</f>
        <v>3672.7</v>
      </c>
      <c r="Z51" s="1328">
        <f>Y51-AA51</f>
        <v>3644.7</v>
      </c>
      <c r="AA51" s="1329">
        <f>объемы!F60</f>
        <v>28</v>
      </c>
      <c r="AB51" s="1330">
        <f>SUM(объемы!I57)</f>
        <v>3476.2</v>
      </c>
      <c r="AC51" s="1328">
        <f>AB51-AD51</f>
        <v>3446</v>
      </c>
      <c r="AD51" s="1329">
        <f>SUM(объемы!I60)</f>
        <v>30.2</v>
      </c>
      <c r="AE51" s="1330">
        <v>3672.7</v>
      </c>
      <c r="AF51" s="1328">
        <f t="shared" si="18"/>
        <v>1</v>
      </c>
      <c r="AG51" s="1328">
        <v>3644.7</v>
      </c>
      <c r="AH51" s="1329">
        <v>28</v>
      </c>
      <c r="AI51" s="1330">
        <f>SUM(AK51:AL51)</f>
        <v>3672.7</v>
      </c>
      <c r="AJ51" s="1328">
        <f t="shared" si="19"/>
        <v>1</v>
      </c>
      <c r="AK51" s="1328">
        <f>объемы!K57-объемы!K60</f>
        <v>3644.7</v>
      </c>
      <c r="AL51" s="1329">
        <v>28</v>
      </c>
      <c r="AM51" s="1391" t="e">
        <f>#REF!</f>
        <v>#REF!</v>
      </c>
      <c r="AN51" s="1394" t="e">
        <f>#REF!-AM51</f>
        <v>#REF!</v>
      </c>
      <c r="AO51" s="1424" t="e">
        <f t="shared" si="20"/>
        <v>#REF!</v>
      </c>
      <c r="AP51" s="1330">
        <f>SUM(объемы!N57)</f>
        <v>1670.74</v>
      </c>
      <c r="AQ51" s="1328">
        <f>AP51-AR51</f>
        <v>1661.07</v>
      </c>
      <c r="AR51" s="1329">
        <f>SUM(объемы!N60)</f>
        <v>9.67</v>
      </c>
      <c r="AS51" s="1330">
        <f>объемы!P57+объемы!Q57</f>
        <v>2409.37</v>
      </c>
      <c r="AT51" s="1328">
        <f>AS51-AU51</f>
        <v>2395.17</v>
      </c>
      <c r="AU51" s="1329">
        <f>SUM(объемы!Q60)</f>
        <v>14.2</v>
      </c>
      <c r="AV51" s="1330">
        <f>SUM(объемы!R57+объемы!S57)</f>
        <v>3209.95</v>
      </c>
      <c r="AW51" s="1328">
        <f>AV51-AX51</f>
        <v>3186.5699999999997</v>
      </c>
      <c r="AX51" s="1329">
        <f>SUM(объемы!S57)</f>
        <v>23.38</v>
      </c>
      <c r="AY51" s="1330">
        <f>SUM(объемы!T57)</f>
        <v>3463.9333333333334</v>
      </c>
      <c r="AZ51" s="2254">
        <f t="shared" si="32"/>
        <v>0.94315716865884325</v>
      </c>
      <c r="BA51" s="1328">
        <f>AY51-BB51</f>
        <v>3445</v>
      </c>
      <c r="BB51" s="1329">
        <f>SUM(объемы!T60)</f>
        <v>18.933333333333334</v>
      </c>
      <c r="BC51" s="1330">
        <f>объемы!U57+объемы!V57</f>
        <v>3463.9333333333334</v>
      </c>
      <c r="BD51" s="1367">
        <f t="shared" si="27"/>
        <v>0.94315716865884325</v>
      </c>
      <c r="BE51" s="1328">
        <f>BC51-BF51</f>
        <v>3445</v>
      </c>
      <c r="BF51" s="1329">
        <f>объемы!V57</f>
        <v>18.933333333333334</v>
      </c>
      <c r="BG51" s="2057"/>
      <c r="BH51" s="1330">
        <f>SUM(объемы!AB57)</f>
        <v>1577.71</v>
      </c>
      <c r="BI51" s="1328">
        <f>BH51-BJ51</f>
        <v>1567.48</v>
      </c>
      <c r="BJ51" s="1329">
        <f>SUM(объемы!AB60)</f>
        <v>10.23</v>
      </c>
      <c r="BK51" s="1330">
        <f>SUM(объемы!AC57)</f>
        <v>2304.86</v>
      </c>
      <c r="BL51" s="1328">
        <f>BK51-BM51</f>
        <v>2289.52</v>
      </c>
      <c r="BM51" s="1329">
        <f>SUM(объемы!AC60)</f>
        <v>15.34</v>
      </c>
      <c r="BN51" s="1330">
        <f>SUM(объемы!AD57)</f>
        <v>3073.1466666666661</v>
      </c>
      <c r="BO51" s="1328">
        <f>BN51-BP51</f>
        <v>3052.6933333333327</v>
      </c>
      <c r="BP51" s="1329">
        <f>SUM(объемы!AD60)</f>
        <v>20.453333333333333</v>
      </c>
      <c r="BQ51" s="2945">
        <f>SUM(объемы!AE57)</f>
        <v>3223</v>
      </c>
      <c r="BR51" s="3431">
        <f t="shared" si="31"/>
        <v>0.93044515868280753</v>
      </c>
      <c r="BS51" s="2946">
        <f>BQ51-BT51</f>
        <v>3200</v>
      </c>
      <c r="BT51" s="2947">
        <f>SUM(объемы!AE60)</f>
        <v>23</v>
      </c>
      <c r="BU51" s="2945">
        <f>SUM(BW51:BX51)</f>
        <v>3295.75</v>
      </c>
      <c r="BV51" s="3702">
        <f t="shared" si="21"/>
        <v>0.9514472949825824</v>
      </c>
      <c r="BW51" s="2946">
        <f>SUM(объемы!AF57-объемы!AF60)</f>
        <v>3272.75</v>
      </c>
      <c r="BX51" s="2947">
        <f>SUM(объемы!AF60)</f>
        <v>23</v>
      </c>
    </row>
    <row r="52" spans="1:76" ht="21" hidden="1" customHeight="1">
      <c r="A52" s="1400" t="s">
        <v>114</v>
      </c>
      <c r="B52" s="1412"/>
      <c r="C52" s="1413"/>
      <c r="D52" s="1415"/>
      <c r="E52" s="1394"/>
      <c r="F52" s="1394"/>
      <c r="G52" s="1394"/>
      <c r="H52" s="1415"/>
      <c r="I52" s="1394">
        <v>28</v>
      </c>
      <c r="J52" s="1394"/>
      <c r="K52" s="1394"/>
      <c r="L52" s="1394"/>
      <c r="M52" s="1394" t="e">
        <f t="shared" si="14"/>
        <v>#DIV/0!</v>
      </c>
      <c r="N52" s="1394"/>
      <c r="O52" s="1394"/>
      <c r="P52" s="1394" t="e">
        <f>объемы!#REF!</f>
        <v>#REF!</v>
      </c>
      <c r="Q52" s="1394" t="e">
        <f t="shared" si="16"/>
        <v>#REF!</v>
      </c>
      <c r="R52" s="1394"/>
      <c r="S52" s="1394"/>
      <c r="T52" s="1394"/>
      <c r="U52" s="1394"/>
      <c r="V52" s="1424"/>
      <c r="W52" s="1358"/>
      <c r="X52" s="1436"/>
      <c r="Y52" s="1330"/>
      <c r="Z52" s="1328"/>
      <c r="AA52" s="1329"/>
      <c r="AB52" s="1330"/>
      <c r="AC52" s="1328"/>
      <c r="AD52" s="1329"/>
      <c r="AE52" s="1330"/>
      <c r="AF52" s="1328" t="e">
        <f t="shared" si="18"/>
        <v>#DIV/0!</v>
      </c>
      <c r="AG52" s="1328"/>
      <c r="AH52" s="1329"/>
      <c r="AI52" s="1330"/>
      <c r="AJ52" s="1328" t="e">
        <f t="shared" si="19"/>
        <v>#DIV/0!</v>
      </c>
      <c r="AK52" s="1328"/>
      <c r="AL52" s="1329"/>
      <c r="AM52" s="1391" t="e">
        <f>#REF!*Z52/Y52</f>
        <v>#REF!</v>
      </c>
      <c r="AN52" s="1394" t="e">
        <f>#REF!-AM52</f>
        <v>#REF!</v>
      </c>
      <c r="AO52" s="1424" t="e">
        <f t="shared" si="20"/>
        <v>#REF!</v>
      </c>
      <c r="AP52" s="1330"/>
      <c r="AQ52" s="1328"/>
      <c r="AR52" s="1329"/>
      <c r="AS52" s="1330"/>
      <c r="AT52" s="1328"/>
      <c r="AU52" s="1329"/>
      <c r="AV52" s="1330"/>
      <c r="AW52" s="1328"/>
      <c r="AX52" s="1329"/>
      <c r="AY52" s="1330"/>
      <c r="AZ52" s="2254" t="e">
        <f t="shared" si="32"/>
        <v>#DIV/0!</v>
      </c>
      <c r="BA52" s="1328"/>
      <c r="BB52" s="1329"/>
      <c r="BC52" s="1330"/>
      <c r="BD52" s="1367" t="e">
        <f t="shared" si="27"/>
        <v>#DIV/0!</v>
      </c>
      <c r="BE52" s="1328"/>
      <c r="BF52" s="1329"/>
      <c r="BG52" s="2057"/>
      <c r="BH52" s="1330"/>
      <c r="BI52" s="1328"/>
      <c r="BJ52" s="1329"/>
      <c r="BK52" s="1330"/>
      <c r="BL52" s="1328"/>
      <c r="BM52" s="1329"/>
      <c r="BN52" s="1330"/>
      <c r="BO52" s="1328"/>
      <c r="BP52" s="1329"/>
      <c r="BQ52" s="2945"/>
      <c r="BR52" s="3431" t="e">
        <f t="shared" si="31"/>
        <v>#DIV/0!</v>
      </c>
      <c r="BS52" s="2946"/>
      <c r="BT52" s="2947"/>
      <c r="BU52" s="1330"/>
      <c r="BV52" s="3702" t="e">
        <f t="shared" si="21"/>
        <v>#DIV/0!</v>
      </c>
      <c r="BW52" s="1328"/>
      <c r="BX52" s="1329"/>
    </row>
    <row r="53" spans="1:76" ht="21" hidden="1" customHeight="1">
      <c r="A53" s="1400" t="s">
        <v>119</v>
      </c>
      <c r="B53" s="1412"/>
      <c r="C53" s="1413"/>
      <c r="D53" s="1415"/>
      <c r="E53" s="1394"/>
      <c r="F53" s="1394"/>
      <c r="G53" s="1394"/>
      <c r="H53" s="1415"/>
      <c r="I53" s="1394">
        <f>I51-I52</f>
        <v>4196.5</v>
      </c>
      <c r="J53" s="1394"/>
      <c r="K53" s="1394"/>
      <c r="L53" s="1394"/>
      <c r="M53" s="1394" t="e">
        <f t="shared" si="14"/>
        <v>#DIV/0!</v>
      </c>
      <c r="N53" s="1394"/>
      <c r="O53" s="1394"/>
      <c r="P53" s="1394" t="e">
        <f>P51-P52</f>
        <v>#REF!</v>
      </c>
      <c r="Q53" s="1394" t="e">
        <f t="shared" si="16"/>
        <v>#REF!</v>
      </c>
      <c r="R53" s="1394"/>
      <c r="S53" s="1394"/>
      <c r="T53" s="1394"/>
      <c r="U53" s="1394"/>
      <c r="V53" s="1424"/>
      <c r="W53" s="1358"/>
      <c r="X53" s="1436"/>
      <c r="Y53" s="1330"/>
      <c r="Z53" s="1328"/>
      <c r="AA53" s="1329"/>
      <c r="AB53" s="1330"/>
      <c r="AC53" s="1328"/>
      <c r="AD53" s="1329"/>
      <c r="AE53" s="1330"/>
      <c r="AF53" s="1328" t="e">
        <f t="shared" si="18"/>
        <v>#DIV/0!</v>
      </c>
      <c r="AG53" s="1328"/>
      <c r="AH53" s="1329"/>
      <c r="AI53" s="1330"/>
      <c r="AJ53" s="1328" t="e">
        <f t="shared" si="19"/>
        <v>#DIV/0!</v>
      </c>
      <c r="AK53" s="1328"/>
      <c r="AL53" s="1329"/>
      <c r="AM53" s="1391" t="e">
        <f>#REF!*Z53/Y53</f>
        <v>#REF!</v>
      </c>
      <c r="AN53" s="1394" t="e">
        <f>#REF!-AM53</f>
        <v>#REF!</v>
      </c>
      <c r="AO53" s="1424" t="e">
        <f t="shared" si="20"/>
        <v>#REF!</v>
      </c>
      <c r="AP53" s="1330"/>
      <c r="AQ53" s="1328"/>
      <c r="AR53" s="1329"/>
      <c r="AS53" s="1330"/>
      <c r="AT53" s="1328"/>
      <c r="AU53" s="1329"/>
      <c r="AV53" s="1330"/>
      <c r="AW53" s="1328"/>
      <c r="AX53" s="1329"/>
      <c r="AY53" s="1330"/>
      <c r="AZ53" s="2254" t="e">
        <f t="shared" si="32"/>
        <v>#DIV/0!</v>
      </c>
      <c r="BA53" s="1328"/>
      <c r="BB53" s="1329"/>
      <c r="BC53" s="1330"/>
      <c r="BD53" s="1367" t="e">
        <f t="shared" si="27"/>
        <v>#DIV/0!</v>
      </c>
      <c r="BE53" s="1328"/>
      <c r="BF53" s="1329"/>
      <c r="BG53" s="2057"/>
      <c r="BH53" s="1330"/>
      <c r="BI53" s="1328"/>
      <c r="BJ53" s="1329"/>
      <c r="BK53" s="1330"/>
      <c r="BL53" s="1328"/>
      <c r="BM53" s="1329"/>
      <c r="BN53" s="1330"/>
      <c r="BO53" s="1328"/>
      <c r="BP53" s="1329"/>
      <c r="BQ53" s="2945"/>
      <c r="BR53" s="3431" t="e">
        <f t="shared" si="31"/>
        <v>#DIV/0!</v>
      </c>
      <c r="BS53" s="2946"/>
      <c r="BT53" s="2947"/>
      <c r="BU53" s="1330"/>
      <c r="BV53" s="3702" t="e">
        <f t="shared" si="21"/>
        <v>#DIV/0!</v>
      </c>
      <c r="BW53" s="1328"/>
      <c r="BX53" s="1329"/>
    </row>
    <row r="54" spans="1:76" ht="21" hidden="1" customHeight="1">
      <c r="A54" s="1400" t="s">
        <v>115</v>
      </c>
      <c r="B54" s="1412"/>
      <c r="C54" s="1413"/>
      <c r="D54" s="1415"/>
      <c r="E54" s="1394"/>
      <c r="F54" s="1394"/>
      <c r="G54" s="1394"/>
      <c r="H54" s="1415"/>
      <c r="I54" s="1394">
        <v>268.52</v>
      </c>
      <c r="J54" s="1394"/>
      <c r="K54" s="1394"/>
      <c r="L54" s="1394"/>
      <c r="M54" s="1394" t="e">
        <f t="shared" si="14"/>
        <v>#DIV/0!</v>
      </c>
      <c r="N54" s="1394"/>
      <c r="O54" s="1394"/>
      <c r="P54" s="1394">
        <f>10.07*27</f>
        <v>271.89</v>
      </c>
      <c r="Q54" s="1394">
        <f t="shared" si="16"/>
        <v>101.25502755846864</v>
      </c>
      <c r="R54" s="1394"/>
      <c r="S54" s="1394"/>
      <c r="T54" s="1394"/>
      <c r="U54" s="1394"/>
      <c r="V54" s="1424"/>
      <c r="W54" s="1358"/>
      <c r="X54" s="1436"/>
      <c r="Y54" s="1330"/>
      <c r="Z54" s="1328"/>
      <c r="AA54" s="1329"/>
      <c r="AB54" s="1330"/>
      <c r="AC54" s="1328"/>
      <c r="AD54" s="1329"/>
      <c r="AE54" s="1330"/>
      <c r="AF54" s="1328" t="e">
        <f t="shared" si="18"/>
        <v>#DIV/0!</v>
      </c>
      <c r="AG54" s="1328"/>
      <c r="AH54" s="1329"/>
      <c r="AI54" s="1330"/>
      <c r="AJ54" s="1328" t="e">
        <f t="shared" si="19"/>
        <v>#DIV/0!</v>
      </c>
      <c r="AK54" s="1328"/>
      <c r="AL54" s="1329"/>
      <c r="AM54" s="1391" t="e">
        <f>#REF!*Z54/Y54</f>
        <v>#REF!</v>
      </c>
      <c r="AN54" s="1394" t="e">
        <f>#REF!-AM54</f>
        <v>#REF!</v>
      </c>
      <c r="AO54" s="1424" t="e">
        <f t="shared" si="20"/>
        <v>#REF!</v>
      </c>
      <c r="AP54" s="1330"/>
      <c r="AQ54" s="1328"/>
      <c r="AR54" s="1329"/>
      <c r="AS54" s="1330"/>
      <c r="AT54" s="1328"/>
      <c r="AU54" s="1329"/>
      <c r="AV54" s="1330"/>
      <c r="AW54" s="1328"/>
      <c r="AX54" s="1329"/>
      <c r="AY54" s="1330"/>
      <c r="AZ54" s="2254" t="e">
        <f t="shared" si="32"/>
        <v>#DIV/0!</v>
      </c>
      <c r="BA54" s="1328"/>
      <c r="BB54" s="1329"/>
      <c r="BC54" s="1330"/>
      <c r="BD54" s="1367" t="e">
        <f t="shared" si="27"/>
        <v>#DIV/0!</v>
      </c>
      <c r="BE54" s="1328"/>
      <c r="BF54" s="1329"/>
      <c r="BG54" s="2057"/>
      <c r="BH54" s="1330"/>
      <c r="BI54" s="1328"/>
      <c r="BJ54" s="1329"/>
      <c r="BK54" s="1330"/>
      <c r="BL54" s="1328"/>
      <c r="BM54" s="1329"/>
      <c r="BN54" s="1330"/>
      <c r="BO54" s="1328"/>
      <c r="BP54" s="1329"/>
      <c r="BQ54" s="2945"/>
      <c r="BR54" s="3431" t="e">
        <f t="shared" si="31"/>
        <v>#DIV/0!</v>
      </c>
      <c r="BS54" s="2946"/>
      <c r="BT54" s="2947"/>
      <c r="BU54" s="1330"/>
      <c r="BV54" s="3702" t="e">
        <f t="shared" si="21"/>
        <v>#DIV/0!</v>
      </c>
      <c r="BW54" s="1328"/>
      <c r="BX54" s="1329"/>
    </row>
    <row r="55" spans="1:76" ht="21" hidden="1" customHeight="1">
      <c r="A55" s="1400" t="s">
        <v>116</v>
      </c>
      <c r="B55" s="1412"/>
      <c r="C55" s="1413"/>
      <c r="D55" s="1415"/>
      <c r="E55" s="1394"/>
      <c r="F55" s="1394"/>
      <c r="G55" s="1394"/>
      <c r="H55" s="1415"/>
      <c r="I55" s="1394">
        <f>I49-I54</f>
        <v>71570.779339999994</v>
      </c>
      <c r="J55" s="1394"/>
      <c r="K55" s="1394"/>
      <c r="L55" s="1394"/>
      <c r="M55" s="1394" t="e">
        <f t="shared" si="14"/>
        <v>#DIV/0!</v>
      </c>
      <c r="N55" s="1394"/>
      <c r="O55" s="1394"/>
      <c r="P55" s="1394" t="e">
        <f>P49-P54</f>
        <v>#REF!</v>
      </c>
      <c r="Q55" s="1394" t="e">
        <f t="shared" si="16"/>
        <v>#REF!</v>
      </c>
      <c r="R55" s="1394"/>
      <c r="S55" s="1394"/>
      <c r="T55" s="1394"/>
      <c r="U55" s="1394"/>
      <c r="V55" s="1424"/>
      <c r="W55" s="1358"/>
      <c r="X55" s="1436"/>
      <c r="Y55" s="1330"/>
      <c r="Z55" s="1328"/>
      <c r="AA55" s="1329"/>
      <c r="AB55" s="1330"/>
      <c r="AC55" s="1328"/>
      <c r="AD55" s="1329"/>
      <c r="AE55" s="1330"/>
      <c r="AF55" s="1328" t="e">
        <f t="shared" si="18"/>
        <v>#DIV/0!</v>
      </c>
      <c r="AG55" s="1328"/>
      <c r="AH55" s="1329"/>
      <c r="AI55" s="1330"/>
      <c r="AJ55" s="1328" t="e">
        <f t="shared" si="19"/>
        <v>#DIV/0!</v>
      </c>
      <c r="AK55" s="1328"/>
      <c r="AL55" s="1329"/>
      <c r="AM55" s="1391" t="e">
        <f>#REF!*Z55/Y55</f>
        <v>#REF!</v>
      </c>
      <c r="AN55" s="1394" t="e">
        <f>#REF!-AM55</f>
        <v>#REF!</v>
      </c>
      <c r="AO55" s="1424" t="e">
        <f t="shared" si="20"/>
        <v>#REF!</v>
      </c>
      <c r="AP55" s="1330"/>
      <c r="AQ55" s="1328"/>
      <c r="AR55" s="1329"/>
      <c r="AS55" s="1330"/>
      <c r="AT55" s="1328"/>
      <c r="AU55" s="1329"/>
      <c r="AV55" s="1330"/>
      <c r="AW55" s="1328"/>
      <c r="AX55" s="1329"/>
      <c r="AY55" s="1330"/>
      <c r="AZ55" s="2254" t="e">
        <f t="shared" si="32"/>
        <v>#DIV/0!</v>
      </c>
      <c r="BA55" s="1328"/>
      <c r="BB55" s="1329"/>
      <c r="BC55" s="1330"/>
      <c r="BD55" s="1367" t="e">
        <f t="shared" si="27"/>
        <v>#DIV/0!</v>
      </c>
      <c r="BE55" s="1328"/>
      <c r="BF55" s="1329"/>
      <c r="BG55" s="2057"/>
      <c r="BH55" s="1330"/>
      <c r="BI55" s="1328"/>
      <c r="BJ55" s="1329"/>
      <c r="BK55" s="1330"/>
      <c r="BL55" s="1328"/>
      <c r="BM55" s="1329"/>
      <c r="BN55" s="1330"/>
      <c r="BO55" s="1328"/>
      <c r="BP55" s="1329"/>
      <c r="BQ55" s="2945"/>
      <c r="BR55" s="3431" t="e">
        <f t="shared" si="31"/>
        <v>#DIV/0!</v>
      </c>
      <c r="BS55" s="2946"/>
      <c r="BT55" s="2947"/>
      <c r="BU55" s="1330"/>
      <c r="BV55" s="3702" t="e">
        <f t="shared" si="21"/>
        <v>#DIV/0!</v>
      </c>
      <c r="BW55" s="1328"/>
      <c r="BX55" s="1329"/>
    </row>
    <row r="56" spans="1:76" ht="21" customHeight="1">
      <c r="A56" s="1345" t="s">
        <v>14</v>
      </c>
      <c r="B56" s="1438">
        <f>B49/B51</f>
        <v>10.300282807817316</v>
      </c>
      <c r="C56" s="1439">
        <f>C49/C51</f>
        <v>11.658227572070306</v>
      </c>
      <c r="D56" s="1415">
        <f>C56/B56*100</f>
        <v>113.18356776789069</v>
      </c>
      <c r="E56" s="1394">
        <f>E49/E51</f>
        <v>13.617810638920881</v>
      </c>
      <c r="F56" s="1394">
        <f>F49/F51</f>
        <v>32.500389739211208</v>
      </c>
      <c r="G56" s="1394">
        <f>G49/G51</f>
        <v>16.494321207673298</v>
      </c>
      <c r="H56" s="1415">
        <f t="shared" si="2"/>
        <v>121.12315000570723</v>
      </c>
      <c r="I56" s="1394">
        <f>I55/I53</f>
        <v>17.054874142737994</v>
      </c>
      <c r="J56" s="1394" t="e">
        <f>J49/J51</f>
        <v>#REF!</v>
      </c>
      <c r="K56" s="1394">
        <f>K49/K51</f>
        <v>16.233949920405767</v>
      </c>
      <c r="L56" s="1394">
        <f>L49/L51</f>
        <v>17.324839071245989</v>
      </c>
      <c r="M56" s="1394">
        <f t="shared" si="14"/>
        <v>105.03517454956757</v>
      </c>
      <c r="N56" s="1394">
        <f>N49/N51</f>
        <v>24.133221648388211</v>
      </c>
      <c r="O56" s="1394"/>
      <c r="P56" s="1394" t="e">
        <f>P49/P51</f>
        <v>#REF!</v>
      </c>
      <c r="Q56" s="1394" t="e">
        <f t="shared" si="16"/>
        <v>#REF!</v>
      </c>
      <c r="R56" s="1394"/>
      <c r="S56" s="1394" t="e">
        <f>S49/S51</f>
        <v>#REF!</v>
      </c>
      <c r="T56" s="1394" t="e">
        <f>T49/T51</f>
        <v>#REF!</v>
      </c>
      <c r="U56" s="1394" t="e">
        <f>U49/U51</f>
        <v>#REF!</v>
      </c>
      <c r="V56" s="1424">
        <f>V49/V51</f>
        <v>0</v>
      </c>
      <c r="W56" s="1358">
        <f>W49/W51</f>
        <v>26.676299999999998</v>
      </c>
      <c r="X56" s="1436"/>
      <c r="Y56" s="1330">
        <f t="shared" ref="Y56:AL56" si="136">Y49/Y51</f>
        <v>21.012977494947457</v>
      </c>
      <c r="Z56" s="1328">
        <f t="shared" si="136"/>
        <v>21.084097933596055</v>
      </c>
      <c r="AA56" s="1329">
        <f t="shared" si="136"/>
        <v>11.766096682714025</v>
      </c>
      <c r="AB56" s="1330">
        <f t="shared" ref="AB56:AD56" si="137">AB49/AB51</f>
        <v>20.395164115988724</v>
      </c>
      <c r="AC56" s="1328">
        <f t="shared" si="137"/>
        <v>20.464577348087886</v>
      </c>
      <c r="AD56" s="1329">
        <f t="shared" si="137"/>
        <v>12.474700612223577</v>
      </c>
      <c r="AE56" s="1330">
        <f>AE49/AE51</f>
        <v>23.279510986467724</v>
      </c>
      <c r="AF56" s="1328">
        <f t="shared" si="18"/>
        <v>1.1078635092083096</v>
      </c>
      <c r="AG56" s="1328">
        <f>AG49/AG51</f>
        <v>23.405114275523363</v>
      </c>
      <c r="AH56" s="1329">
        <f>AH49/AH51</f>
        <v>12.265000000000001</v>
      </c>
      <c r="AI56" s="1330">
        <f t="shared" si="136"/>
        <v>22.110744374768689</v>
      </c>
      <c r="AJ56" s="1328">
        <f t="shared" si="19"/>
        <v>1.0522423288220428</v>
      </c>
      <c r="AK56" s="1328">
        <f t="shared" si="136"/>
        <v>22.184745841555614</v>
      </c>
      <c r="AL56" s="1329">
        <f t="shared" si="136"/>
        <v>12.467346254574016</v>
      </c>
      <c r="AM56" s="1391" t="e">
        <f>#REF!</f>
        <v>#REF!</v>
      </c>
      <c r="AN56" s="1394" t="e">
        <f>#REF!-AM56</f>
        <v>#REF!</v>
      </c>
      <c r="AO56" s="1424" t="e">
        <f t="shared" si="20"/>
        <v>#REF!</v>
      </c>
      <c r="AP56" s="1330">
        <f t="shared" ref="AP56:AY56" si="138">AP49/AP51</f>
        <v>15.278116283802389</v>
      </c>
      <c r="AQ56" s="1328">
        <f t="shared" si="138"/>
        <v>15.315700072145278</v>
      </c>
      <c r="AR56" s="1329">
        <f t="shared" si="138"/>
        <v>8.6093228150401515</v>
      </c>
      <c r="AS56" s="1330">
        <f t="shared" si="138"/>
        <v>16.707135060202457</v>
      </c>
      <c r="AT56" s="1328">
        <f t="shared" si="138"/>
        <v>16.748202615846932</v>
      </c>
      <c r="AU56" s="1329">
        <f t="shared" si="138"/>
        <v>9.5520239730717655</v>
      </c>
      <c r="AV56" s="1330">
        <f t="shared" ref="AV56:AX56" si="139">AV49/AV51</f>
        <v>22.84897272543186</v>
      </c>
      <c r="AW56" s="1328">
        <f t="shared" si="139"/>
        <v>22.912707042020791</v>
      </c>
      <c r="AX56" s="1329">
        <f t="shared" si="139"/>
        <v>14.16232340067614</v>
      </c>
      <c r="AY56" s="1330">
        <f t="shared" si="138"/>
        <v>26.844296612059747</v>
      </c>
      <c r="AZ56" s="2254">
        <f t="shared" si="32"/>
        <v>1.2140838027458123</v>
      </c>
      <c r="BA56" s="1328">
        <f t="shared" ref="BA56:BF56" si="140">BA49/BA51</f>
        <v>26.919546731071254</v>
      </c>
      <c r="BB56" s="1329">
        <f t="shared" si="140"/>
        <v>13.152219499667808</v>
      </c>
      <c r="BC56" s="1330">
        <f t="shared" si="140"/>
        <v>23.479446815964746</v>
      </c>
      <c r="BD56" s="1367">
        <f t="shared" si="27"/>
        <v>1.0619021421439763</v>
      </c>
      <c r="BE56" s="1328">
        <f t="shared" si="140"/>
        <v>23.531344279222743</v>
      </c>
      <c r="BF56" s="1329">
        <f t="shared" si="140"/>
        <v>14.036484091115524</v>
      </c>
      <c r="BG56" s="2057"/>
      <c r="BH56" s="1330">
        <f t="shared" ref="BH56:BQ56" si="141">BH49/BH51</f>
        <v>24.509749161759764</v>
      </c>
      <c r="BI56" s="1328">
        <f t="shared" si="141"/>
        <v>24.566970761948461</v>
      </c>
      <c r="BJ56" s="1329">
        <f t="shared" si="141"/>
        <v>15.460735084394654</v>
      </c>
      <c r="BK56" s="1330">
        <f t="shared" ref="BK56:BM56" si="142">BK49/BK51</f>
        <v>25.896937596643607</v>
      </c>
      <c r="BL56" s="1328">
        <f t="shared" si="142"/>
        <v>25.959642079793717</v>
      </c>
      <c r="BM56" s="1329">
        <f t="shared" si="142"/>
        <v>16.249666178857151</v>
      </c>
      <c r="BN56" s="1330">
        <f t="shared" ref="BN56:BP56" si="143">BN49/BN51</f>
        <v>26.230699693788303</v>
      </c>
      <c r="BO56" s="1328">
        <f t="shared" si="143"/>
        <v>26.294658457938663</v>
      </c>
      <c r="BP56" s="1329">
        <f t="shared" si="143"/>
        <v>16.390951744613186</v>
      </c>
      <c r="BQ56" s="2945">
        <f t="shared" si="141"/>
        <v>26.605935705637457</v>
      </c>
      <c r="BR56" s="3431">
        <f t="shared" si="31"/>
        <v>1.1331585413480385</v>
      </c>
      <c r="BS56" s="2946">
        <f t="shared" ref="BS56:BU56" si="144">BS49/BS51</f>
        <v>26.691429115134312</v>
      </c>
      <c r="BT56" s="2947">
        <f t="shared" si="144"/>
        <v>14.71120047129253</v>
      </c>
      <c r="BU56" s="2945">
        <f t="shared" si="144"/>
        <v>26.086081232197138</v>
      </c>
      <c r="BV56" s="3702">
        <f t="shared" si="21"/>
        <v>1.1110177099428094</v>
      </c>
      <c r="BW56" s="2946">
        <f t="shared" ref="BW56:BX56" si="145">BW49/BW51</f>
        <v>26.171848614329786</v>
      </c>
      <c r="BX56" s="2947">
        <f t="shared" si="145"/>
        <v>13.881942107214783</v>
      </c>
    </row>
    <row r="57" spans="1:76" ht="21" customHeight="1">
      <c r="A57" s="1345" t="s">
        <v>436</v>
      </c>
      <c r="B57" s="1234"/>
      <c r="C57" s="444"/>
      <c r="D57" s="444"/>
      <c r="E57" s="444"/>
      <c r="F57" s="444"/>
      <c r="G57" s="444"/>
      <c r="H57" s="444"/>
      <c r="I57" s="382">
        <v>0</v>
      </c>
      <c r="J57" s="1440"/>
      <c r="K57" s="1440"/>
      <c r="L57" s="1440"/>
      <c r="M57" s="1440"/>
      <c r="N57" s="382">
        <v>0</v>
      </c>
      <c r="O57" s="1429"/>
      <c r="P57" s="382">
        <f>S57+T57</f>
        <v>184.96</v>
      </c>
      <c r="Q57" s="1422"/>
      <c r="R57" s="1440"/>
      <c r="S57" s="382">
        <v>180.3</v>
      </c>
      <c r="T57" s="382">
        <v>4.66</v>
      </c>
      <c r="U57" s="382"/>
      <c r="V57" s="1196"/>
      <c r="W57" s="1358">
        <v>0</v>
      </c>
      <c r="X57" s="1436"/>
      <c r="Y57" s="1330">
        <f>Z57+AA57</f>
        <v>0</v>
      </c>
      <c r="Z57" s="1328">
        <f>G115</f>
        <v>0</v>
      </c>
      <c r="AA57" s="1329">
        <v>0</v>
      </c>
      <c r="AB57" s="1330">
        <f>AC57+AD57</f>
        <v>0</v>
      </c>
      <c r="AC57" s="1328">
        <f>J115</f>
        <v>0</v>
      </c>
      <c r="AD57" s="1329">
        <v>0</v>
      </c>
      <c r="AE57" s="1330">
        <v>4275.2299999999996</v>
      </c>
      <c r="AF57" s="1328"/>
      <c r="AG57" s="1328">
        <v>4265.2299999999996</v>
      </c>
      <c r="AH57" s="1329">
        <v>10</v>
      </c>
      <c r="AI57" s="1330">
        <f>AK57+AL57</f>
        <v>4058.2871584358877</v>
      </c>
      <c r="AJ57" s="1328"/>
      <c r="AK57" s="1328">
        <f>AK49*0.05+63.63</f>
        <v>4106.4671584358875</v>
      </c>
      <c r="AL57" s="1329">
        <f>12.43-60.61</f>
        <v>-48.18</v>
      </c>
      <c r="AM57" s="1391">
        <v>0</v>
      </c>
      <c r="AN57" s="1394">
        <v>0</v>
      </c>
      <c r="AO57" s="1424">
        <f t="shared" si="20"/>
        <v>0</v>
      </c>
      <c r="AP57" s="1330">
        <f>AQ57+AR57</f>
        <v>0</v>
      </c>
      <c r="AQ57" s="1328">
        <f>X115</f>
        <v>0</v>
      </c>
      <c r="AR57" s="1329">
        <v>0</v>
      </c>
      <c r="AS57" s="1330">
        <f>AT57+AU57</f>
        <v>0</v>
      </c>
      <c r="AT57" s="1328">
        <f>AA115</f>
        <v>0</v>
      </c>
      <c r="AU57" s="1329">
        <v>0</v>
      </c>
      <c r="AV57" s="1330">
        <f>AW57+AX57</f>
        <v>0</v>
      </c>
      <c r="AW57" s="1328">
        <f>AD115</f>
        <v>0</v>
      </c>
      <c r="AX57" s="1329">
        <v>0</v>
      </c>
      <c r="AY57" s="1330">
        <f>SUM(BA57:BB57)</f>
        <v>4649.3426922200424</v>
      </c>
      <c r="AZ57" s="2254">
        <f t="shared" si="32"/>
        <v>1.1456416243378782</v>
      </c>
      <c r="BA57" s="1328">
        <f>BA49*0.05</f>
        <v>4636.8919244270237</v>
      </c>
      <c r="BB57" s="1329">
        <f>BB49*0.05</f>
        <v>12.45076779301886</v>
      </c>
      <c r="BC57" s="1330">
        <f>SUM(BE57:BF57)</f>
        <v>4053.2740520961179</v>
      </c>
      <c r="BD57" s="1367">
        <f t="shared" si="27"/>
        <v>0.99876472360282609</v>
      </c>
      <c r="BE57" s="1328">
        <f>BE49*0.05</f>
        <v>4053.2740520961179</v>
      </c>
      <c r="BF57" s="1329">
        <v>0</v>
      </c>
      <c r="BG57" s="2057"/>
      <c r="BH57" s="1330">
        <f>BI57+BJ57</f>
        <v>0</v>
      </c>
      <c r="BI57" s="1328">
        <f>AP115</f>
        <v>0</v>
      </c>
      <c r="BJ57" s="1329">
        <v>0</v>
      </c>
      <c r="BK57" s="1330">
        <f>BL57+BM57</f>
        <v>0</v>
      </c>
      <c r="BL57" s="1328">
        <f>AS115</f>
        <v>0</v>
      </c>
      <c r="BM57" s="1329">
        <v>0</v>
      </c>
      <c r="BN57" s="1330">
        <f>BO57+BP57</f>
        <v>0</v>
      </c>
      <c r="BO57" s="1328">
        <f>AV115</f>
        <v>0</v>
      </c>
      <c r="BP57" s="1329">
        <v>0</v>
      </c>
      <c r="BQ57" s="2945">
        <f>SUM(BS57:BT57)</f>
        <v>4287.5465389634755</v>
      </c>
      <c r="BR57" s="3431">
        <f t="shared" si="31"/>
        <v>1.0577983338546293</v>
      </c>
      <c r="BS57" s="2946">
        <f>BS49*0.05</f>
        <v>4270.6286584214895</v>
      </c>
      <c r="BT57" s="2947">
        <f>BT49*0.05</f>
        <v>16.91788054198641</v>
      </c>
      <c r="BU57" s="2945">
        <f>SUM(BW57:BX57)</f>
        <v>4298.66</v>
      </c>
      <c r="BV57" s="3702">
        <f t="shared" si="21"/>
        <v>1.060540181776503</v>
      </c>
      <c r="BW57" s="2946">
        <v>4282.7</v>
      </c>
      <c r="BX57" s="2947">
        <v>15.96</v>
      </c>
    </row>
    <row r="58" spans="1:76" ht="21" customHeight="1">
      <c r="A58" s="1345" t="s">
        <v>548</v>
      </c>
      <c r="B58" s="1441"/>
      <c r="C58" s="659"/>
      <c r="D58" s="659"/>
      <c r="E58" s="659"/>
      <c r="F58" s="659"/>
      <c r="G58" s="659"/>
      <c r="H58" s="659"/>
      <c r="I58" s="1394"/>
      <c r="J58" s="683"/>
      <c r="K58" s="683"/>
      <c r="L58" s="683"/>
      <c r="M58" s="683"/>
      <c r="N58" s="1394"/>
      <c r="O58" s="1429"/>
      <c r="P58" s="1394"/>
      <c r="Q58" s="1429"/>
      <c r="R58" s="683"/>
      <c r="S58" s="1394"/>
      <c r="T58" s="1394"/>
      <c r="U58" s="1394"/>
      <c r="V58" s="1424"/>
      <c r="W58" s="1358">
        <f>SUM(W49+W57)</f>
        <v>96034.68</v>
      </c>
      <c r="X58" s="1436"/>
      <c r="Y58" s="1330">
        <f t="shared" ref="Y58:AE58" si="146">SUM(Y49+Y57)</f>
        <v>77174.362445693521</v>
      </c>
      <c r="Z58" s="1328">
        <f t="shared" si="146"/>
        <v>76845.211738577535</v>
      </c>
      <c r="AA58" s="1329">
        <f t="shared" si="146"/>
        <v>329.45070711599271</v>
      </c>
      <c r="AB58" s="1330">
        <f t="shared" si="146"/>
        <v>70897.669500000004</v>
      </c>
      <c r="AC58" s="1328">
        <f t="shared" si="146"/>
        <v>70520.933541510851</v>
      </c>
      <c r="AD58" s="1329">
        <f t="shared" si="146"/>
        <v>376.73595848915204</v>
      </c>
      <c r="AE58" s="1330">
        <f t="shared" si="146"/>
        <v>89773.89</v>
      </c>
      <c r="AF58" s="1328"/>
      <c r="AG58" s="1328">
        <f>SUM(AG49+AG57)</f>
        <v>89569.849999999991</v>
      </c>
      <c r="AH58" s="1329">
        <f>SUM(AH49+AH57)</f>
        <v>353.42</v>
      </c>
      <c r="AI58" s="1330">
        <f>SUM(AI49+AI57)</f>
        <v>85264.418023648861</v>
      </c>
      <c r="AJ58" s="1328"/>
      <c r="AK58" s="1328">
        <f>SUM(AK49+AK57)</f>
        <v>84963.210327153633</v>
      </c>
      <c r="AL58" s="1329">
        <f>SUM(AL49+AL57)</f>
        <v>300.90569512807247</v>
      </c>
      <c r="AM58" s="1391"/>
      <c r="AN58" s="1394"/>
      <c r="AO58" s="1424"/>
      <c r="AP58" s="1330">
        <f t="shared" ref="AP58:BF58" si="147">SUM(AP49+AP57)</f>
        <v>25525.760000000002</v>
      </c>
      <c r="AQ58" s="1328">
        <f t="shared" si="147"/>
        <v>25440.449918838356</v>
      </c>
      <c r="AR58" s="1329">
        <f t="shared" si="147"/>
        <v>83.252151621438273</v>
      </c>
      <c r="AS58" s="1330">
        <f t="shared" si="147"/>
        <v>40253.669999999991</v>
      </c>
      <c r="AT58" s="1328">
        <f t="shared" si="147"/>
        <v>40114.792459398101</v>
      </c>
      <c r="AU58" s="1329">
        <f t="shared" si="147"/>
        <v>135.63874041761906</v>
      </c>
      <c r="AV58" s="1330">
        <f t="shared" ref="AV58:AX58" si="148">SUM(AV49+AV57)</f>
        <v>73344.06</v>
      </c>
      <c r="AW58" s="1328">
        <f t="shared" si="148"/>
        <v>73012.944878892187</v>
      </c>
      <c r="AX58" s="1329">
        <f t="shared" si="148"/>
        <v>331.11512110780814</v>
      </c>
      <c r="AY58" s="1330">
        <f t="shared" si="147"/>
        <v>97636.196536620875</v>
      </c>
      <c r="AZ58" s="2254">
        <f t="shared" si="32"/>
        <v>1.1450989615567491</v>
      </c>
      <c r="BA58" s="1328">
        <f t="shared" si="147"/>
        <v>97374.730412967489</v>
      </c>
      <c r="BB58" s="1329">
        <f t="shared" si="147"/>
        <v>261.46612365339604</v>
      </c>
      <c r="BC58" s="1330">
        <f t="shared" si="147"/>
        <v>85384.512526143604</v>
      </c>
      <c r="BD58" s="1367">
        <f t="shared" si="27"/>
        <v>1.0014084949534452</v>
      </c>
      <c r="BE58" s="1328">
        <f t="shared" si="147"/>
        <v>85118.755094018474</v>
      </c>
      <c r="BF58" s="1329">
        <f t="shared" si="147"/>
        <v>265.7574321251206</v>
      </c>
      <c r="BG58" s="2057"/>
      <c r="BH58" s="1330">
        <f t="shared" ref="BH58:BQ58" si="149">SUM(BH49+BH57)</f>
        <v>38669.27635</v>
      </c>
      <c r="BI58" s="1328">
        <f t="shared" si="149"/>
        <v>38508.235329938972</v>
      </c>
      <c r="BJ58" s="1329">
        <f t="shared" si="149"/>
        <v>158.16331991335733</v>
      </c>
      <c r="BK58" s="1330">
        <f t="shared" ref="BK58:BM58" si="150">SUM(BK49+BK57)</f>
        <v>59688.815588999983</v>
      </c>
      <c r="BL58" s="1328">
        <f t="shared" si="150"/>
        <v>59435.119734529311</v>
      </c>
      <c r="BM58" s="1329">
        <f t="shared" si="150"/>
        <v>249.26987918366871</v>
      </c>
      <c r="BN58" s="1330">
        <f t="shared" ref="BN58:BP58" si="151">SUM(BN49+BN57)</f>
        <v>80610.787328299863</v>
      </c>
      <c r="BO58" s="1328">
        <f t="shared" si="151"/>
        <v>80269.528576826284</v>
      </c>
      <c r="BP58" s="1329">
        <f t="shared" si="151"/>
        <v>335.24959968315505</v>
      </c>
      <c r="BQ58" s="2945">
        <f t="shared" si="149"/>
        <v>90038.477318232995</v>
      </c>
      <c r="BR58" s="3431">
        <f t="shared" si="31"/>
        <v>1.0545059596219444</v>
      </c>
      <c r="BS58" s="2946">
        <f t="shared" ref="BS58:BT58" si="152">SUM(BS49+BS57)</f>
        <v>89683.201826851277</v>
      </c>
      <c r="BT58" s="2947">
        <f t="shared" si="152"/>
        <v>355.27549138171457</v>
      </c>
      <c r="BU58" s="2945">
        <f>SUM(BU49+BU57)</f>
        <v>90271.862221013726</v>
      </c>
      <c r="BV58" s="3702">
        <f t="shared" si="21"/>
        <v>1.0572392996138928</v>
      </c>
      <c r="BW58" s="2946">
        <f>SUM(BW49+BW57)</f>
        <v>89936.617552547803</v>
      </c>
      <c r="BX58" s="2947">
        <f>SUM(BX49+BX57)</f>
        <v>335.24466846593998</v>
      </c>
    </row>
    <row r="59" spans="1:76" ht="21" customHeight="1">
      <c r="A59" s="1345" t="s">
        <v>70</v>
      </c>
      <c r="B59" s="1234"/>
      <c r="C59" s="444"/>
      <c r="D59" s="444"/>
      <c r="E59" s="444"/>
      <c r="F59" s="444"/>
      <c r="G59" s="444"/>
      <c r="H59" s="444"/>
      <c r="I59" s="1394">
        <f>(I55+I57)/I53</f>
        <v>17.054874142737994</v>
      </c>
      <c r="J59" s="1440"/>
      <c r="K59" s="1440"/>
      <c r="L59" s="1440"/>
      <c r="M59" s="1440"/>
      <c r="N59" s="1394">
        <f>(N49+N57)/N51</f>
        <v>24.133221648388211</v>
      </c>
      <c r="O59" s="1442"/>
      <c r="P59" s="1394" t="e">
        <f>(P49+P57)/P51</f>
        <v>#REF!</v>
      </c>
      <c r="Q59" s="1422" t="e">
        <f t="shared" si="16"/>
        <v>#REF!</v>
      </c>
      <c r="R59" s="1440"/>
      <c r="S59" s="382" t="e">
        <f>(S49+S57)/S51</f>
        <v>#REF!</v>
      </c>
      <c r="T59" s="382" t="e">
        <f>(T49+T57)/T51</f>
        <v>#REF!</v>
      </c>
      <c r="U59" s="382" t="e">
        <f>(U49+U57)/U51</f>
        <v>#REF!</v>
      </c>
      <c r="V59" s="1196">
        <f>(V49+V57)/V51</f>
        <v>0</v>
      </c>
      <c r="W59" s="1358">
        <f>(W49+W57)/W51</f>
        <v>26.676299999999998</v>
      </c>
      <c r="X59" s="1436"/>
      <c r="Y59" s="1330">
        <f t="shared" ref="Y59:AL59" si="153">(Y49+Y57)/Y51</f>
        <v>21.012977494947457</v>
      </c>
      <c r="Z59" s="1328">
        <f t="shared" si="153"/>
        <v>21.084097933596055</v>
      </c>
      <c r="AA59" s="1329">
        <f t="shared" si="153"/>
        <v>11.766096682714025</v>
      </c>
      <c r="AB59" s="1330">
        <f t="shared" ref="AB59:AD59" si="154">(AB49+AB57)/AB51</f>
        <v>20.395164115988724</v>
      </c>
      <c r="AC59" s="1328">
        <f t="shared" si="154"/>
        <v>20.464577348087886</v>
      </c>
      <c r="AD59" s="1329">
        <f t="shared" si="154"/>
        <v>12.474700612223577</v>
      </c>
      <c r="AE59" s="1330">
        <f>(AE49+AE57)/AE51</f>
        <v>24.443567402728238</v>
      </c>
      <c r="AF59" s="1328">
        <f t="shared" si="18"/>
        <v>1.1632605330970189</v>
      </c>
      <c r="AG59" s="1328">
        <f>(AG49+AG57)/AG51</f>
        <v>24.575369714928524</v>
      </c>
      <c r="AH59" s="1329">
        <f>(AH49+AH57)/AH51</f>
        <v>12.622142857142858</v>
      </c>
      <c r="AI59" s="1330">
        <f t="shared" si="153"/>
        <v>23.215731756922391</v>
      </c>
      <c r="AJ59" s="1328">
        <f t="shared" si="19"/>
        <v>1.1048282787389168</v>
      </c>
      <c r="AK59" s="1328">
        <f t="shared" si="153"/>
        <v>23.311441360647965</v>
      </c>
      <c r="AL59" s="1329">
        <f t="shared" si="153"/>
        <v>10.746631968859731</v>
      </c>
      <c r="AM59" s="1391" t="e">
        <f>#REF!</f>
        <v>#REF!</v>
      </c>
      <c r="AN59" s="1394" t="e">
        <f>#REF!-AM59</f>
        <v>#REF!</v>
      </c>
      <c r="AO59" s="1424" t="e">
        <f t="shared" si="20"/>
        <v>#REF!</v>
      </c>
      <c r="AP59" s="1330">
        <f t="shared" ref="AP59:BB59" si="155">(AP49+AP57)/AP51</f>
        <v>15.278116283802389</v>
      </c>
      <c r="AQ59" s="1328">
        <f t="shared" si="155"/>
        <v>15.315700072145278</v>
      </c>
      <c r="AR59" s="1329">
        <f t="shared" si="155"/>
        <v>8.6093228150401515</v>
      </c>
      <c r="AS59" s="1330">
        <f t="shared" si="155"/>
        <v>16.707135060202457</v>
      </c>
      <c r="AT59" s="1328">
        <f t="shared" si="155"/>
        <v>16.748202615846932</v>
      </c>
      <c r="AU59" s="1329">
        <f t="shared" si="155"/>
        <v>9.5520239730717655</v>
      </c>
      <c r="AV59" s="1330">
        <f t="shared" ref="AV59:AX59" si="156">(AV49+AV57)/AV51</f>
        <v>22.84897272543186</v>
      </c>
      <c r="AW59" s="1328">
        <f t="shared" si="156"/>
        <v>22.912707042020791</v>
      </c>
      <c r="AX59" s="1329">
        <f t="shared" si="156"/>
        <v>14.16232340067614</v>
      </c>
      <c r="AY59" s="1330">
        <f t="shared" si="155"/>
        <v>28.186511442662734</v>
      </c>
      <c r="AZ59" s="2254">
        <f t="shared" si="32"/>
        <v>1.2141125568552529</v>
      </c>
      <c r="BA59" s="1328">
        <f t="shared" si="155"/>
        <v>28.265524067624817</v>
      </c>
      <c r="BB59" s="1329">
        <f t="shared" si="155"/>
        <v>13.8098304746512</v>
      </c>
      <c r="BC59" s="1330">
        <f t="shared" ref="BC59" si="157">(BC49+BC57)/BC51</f>
        <v>24.649583092287266</v>
      </c>
      <c r="BD59" s="1367">
        <f t="shared" si="27"/>
        <v>1.0617620564528332</v>
      </c>
      <c r="BE59" s="1328">
        <f t="shared" ref="BE59:BF59" si="158">(BE49+BE57)/BE51</f>
        <v>24.707911493183882</v>
      </c>
      <c r="BF59" s="1329">
        <f t="shared" si="158"/>
        <v>14.036484091115524</v>
      </c>
      <c r="BG59" s="2057"/>
      <c r="BH59" s="1330">
        <f t="shared" ref="BH59:BQ59" si="159">(BH49+BH57)/BH51</f>
        <v>24.509749161759764</v>
      </c>
      <c r="BI59" s="1328">
        <f t="shared" si="159"/>
        <v>24.566970761948461</v>
      </c>
      <c r="BJ59" s="1329">
        <f t="shared" si="159"/>
        <v>15.460735084394654</v>
      </c>
      <c r="BK59" s="1330">
        <f t="shared" ref="BK59:BM59" si="160">(BK49+BK57)/BK51</f>
        <v>25.896937596643607</v>
      </c>
      <c r="BL59" s="1328">
        <f t="shared" si="160"/>
        <v>25.959642079793717</v>
      </c>
      <c r="BM59" s="1329">
        <f t="shared" si="160"/>
        <v>16.249666178857151</v>
      </c>
      <c r="BN59" s="1330">
        <f t="shared" ref="BN59:BP59" si="161">(BN49+BN57)/BN51</f>
        <v>26.230699693788303</v>
      </c>
      <c r="BO59" s="1328">
        <f t="shared" si="161"/>
        <v>26.294658457938663</v>
      </c>
      <c r="BP59" s="1329">
        <f t="shared" si="161"/>
        <v>16.390951744613186</v>
      </c>
      <c r="BQ59" s="2945">
        <f t="shared" si="159"/>
        <v>27.936232490919327</v>
      </c>
      <c r="BR59" s="3431">
        <f t="shared" si="31"/>
        <v>1.1333348879097447</v>
      </c>
      <c r="BS59" s="2946">
        <f t="shared" ref="BS59:BU59" si="162">(BS49+BS57)/BS51</f>
        <v>28.026000570891025</v>
      </c>
      <c r="BT59" s="2947">
        <f t="shared" si="162"/>
        <v>15.446760494857156</v>
      </c>
      <c r="BU59" s="2945">
        <f t="shared" si="162"/>
        <v>27.390385260111881</v>
      </c>
      <c r="BV59" s="3702">
        <f t="shared" si="21"/>
        <v>1.1111906094948194</v>
      </c>
      <c r="BW59" s="2946">
        <f t="shared" ref="BW59:BX59" si="163">(BW49+BW57)/BW51</f>
        <v>27.48044230465138</v>
      </c>
      <c r="BX59" s="2947">
        <f t="shared" si="163"/>
        <v>14.575855150693043</v>
      </c>
    </row>
    <row r="60" spans="1:76" ht="21" hidden="1" customHeight="1">
      <c r="A60" s="1345" t="s">
        <v>153</v>
      </c>
      <c r="B60" s="1234"/>
      <c r="C60" s="444"/>
      <c r="D60" s="444"/>
      <c r="E60" s="444"/>
      <c r="F60" s="444"/>
      <c r="G60" s="444"/>
      <c r="H60" s="444"/>
      <c r="I60" s="1430"/>
      <c r="J60" s="444"/>
      <c r="K60" s="444"/>
      <c r="L60" s="444"/>
      <c r="M60" s="444"/>
      <c r="N60" s="1421">
        <f>N59/I59*100</f>
        <v>141.5033699246863</v>
      </c>
      <c r="O60" s="1414"/>
      <c r="P60" s="1421" t="e">
        <f>P59/I59*100</f>
        <v>#REF!</v>
      </c>
      <c r="Q60" s="1421"/>
      <c r="R60" s="444"/>
      <c r="S60" s="1430"/>
      <c r="T60" s="1430"/>
      <c r="U60" s="1430"/>
      <c r="V60" s="1425"/>
      <c r="W60" s="1358"/>
      <c r="X60" s="1436"/>
      <c r="Y60" s="1330"/>
      <c r="Z60" s="1328"/>
      <c r="AA60" s="1329"/>
      <c r="AB60" s="1330"/>
      <c r="AC60" s="1328"/>
      <c r="AD60" s="1329"/>
      <c r="AE60" s="1330"/>
      <c r="AF60" s="1328" t="e">
        <f t="shared" si="18"/>
        <v>#DIV/0!</v>
      </c>
      <c r="AG60" s="1328"/>
      <c r="AH60" s="1329"/>
      <c r="AI60" s="1330"/>
      <c r="AJ60" s="1328" t="e">
        <f t="shared" si="19"/>
        <v>#DIV/0!</v>
      </c>
      <c r="AK60" s="1328"/>
      <c r="AL60" s="1329"/>
      <c r="AM60" s="1391"/>
      <c r="AN60" s="1394"/>
      <c r="AO60" s="1424"/>
      <c r="AP60" s="1330"/>
      <c r="AQ60" s="1328"/>
      <c r="AR60" s="1329"/>
      <c r="AS60" s="1330"/>
      <c r="AT60" s="1328"/>
      <c r="AU60" s="1329"/>
      <c r="AV60" s="1330"/>
      <c r="AW60" s="1328"/>
      <c r="AX60" s="1329"/>
      <c r="AY60" s="1330"/>
      <c r="AZ60" s="2254" t="e">
        <f t="shared" si="32"/>
        <v>#DIV/0!</v>
      </c>
      <c r="BA60" s="1328"/>
      <c r="BB60" s="1329"/>
      <c r="BC60" s="1330"/>
      <c r="BD60" s="1367" t="e">
        <f t="shared" si="27"/>
        <v>#DIV/0!</v>
      </c>
      <c r="BE60" s="1328"/>
      <c r="BF60" s="1329"/>
      <c r="BG60" s="2057"/>
      <c r="BH60" s="1330"/>
      <c r="BI60" s="1328"/>
      <c r="BJ60" s="1329"/>
      <c r="BK60" s="1330"/>
      <c r="BL60" s="1328"/>
      <c r="BM60" s="1329"/>
      <c r="BN60" s="1330"/>
      <c r="BO60" s="1328"/>
      <c r="BP60" s="1329"/>
      <c r="BQ60" s="2945"/>
      <c r="BR60" s="3431" t="e">
        <f t="shared" si="31"/>
        <v>#DIV/0!</v>
      </c>
      <c r="BS60" s="2946"/>
      <c r="BT60" s="2947"/>
      <c r="BU60" s="2945"/>
      <c r="BV60" s="3702" t="e">
        <f t="shared" si="21"/>
        <v>#DIV/0!</v>
      </c>
      <c r="BW60" s="2946"/>
      <c r="BX60" s="2947"/>
    </row>
    <row r="61" spans="1:76" ht="21" customHeight="1">
      <c r="A61" s="1345" t="s">
        <v>327</v>
      </c>
      <c r="B61" s="1234"/>
      <c r="C61" s="444"/>
      <c r="D61" s="444"/>
      <c r="E61" s="444"/>
      <c r="F61" s="444"/>
      <c r="G61" s="444"/>
      <c r="H61" s="444"/>
      <c r="I61" s="1430"/>
      <c r="J61" s="444"/>
      <c r="K61" s="444"/>
      <c r="L61" s="444"/>
      <c r="M61" s="444"/>
      <c r="N61" s="1421"/>
      <c r="O61" s="1414"/>
      <c r="P61" s="1421"/>
      <c r="Q61" s="1421"/>
      <c r="R61" s="444"/>
      <c r="S61" s="1430"/>
      <c r="T61" s="1430"/>
      <c r="U61" s="1430"/>
      <c r="V61" s="1425"/>
      <c r="W61" s="1358">
        <v>4947</v>
      </c>
      <c r="X61" s="1857"/>
      <c r="Y61" s="1330">
        <f>Z61</f>
        <v>4947</v>
      </c>
      <c r="Z61" s="1328">
        <f>4947</f>
        <v>4947</v>
      </c>
      <c r="AA61" s="1329"/>
      <c r="AB61" s="1330">
        <f>'кап влож'!O16</f>
        <v>1044.8800000000001</v>
      </c>
      <c r="AC61" s="1328">
        <f>AB61</f>
        <v>1044.8800000000001</v>
      </c>
      <c r="AD61" s="1329">
        <v>0</v>
      </c>
      <c r="AE61" s="1330">
        <v>5656.1</v>
      </c>
      <c r="AF61" s="1328">
        <f t="shared" si="18"/>
        <v>1.1433393976147161</v>
      </c>
      <c r="AG61" s="1328">
        <f>AE61</f>
        <v>5656.1</v>
      </c>
      <c r="AH61" s="1329">
        <v>0</v>
      </c>
      <c r="AI61" s="1330">
        <f>AK61</f>
        <v>3568.1</v>
      </c>
      <c r="AJ61" s="1328">
        <f t="shared" si="19"/>
        <v>0.72126541338184758</v>
      </c>
      <c r="AK61" s="1328">
        <v>3568.1</v>
      </c>
      <c r="AL61" s="1329">
        <v>0</v>
      </c>
      <c r="AM61" s="1391" t="e">
        <f>#REF!*Z61/Y61</f>
        <v>#REF!</v>
      </c>
      <c r="AN61" s="1394" t="e">
        <f>#REF!-AM61</f>
        <v>#REF!</v>
      </c>
      <c r="AO61" s="1424" t="e">
        <f t="shared" si="20"/>
        <v>#REF!</v>
      </c>
      <c r="AP61" s="1330">
        <v>0</v>
      </c>
      <c r="AQ61" s="1328">
        <v>0</v>
      </c>
      <c r="AR61" s="1329">
        <v>0</v>
      </c>
      <c r="AS61" s="1330">
        <v>0</v>
      </c>
      <c r="AT61" s="1328">
        <v>0</v>
      </c>
      <c r="AU61" s="1329">
        <v>0</v>
      </c>
      <c r="AV61" s="1330">
        <v>0</v>
      </c>
      <c r="AW61" s="1328">
        <v>0</v>
      </c>
      <c r="AX61" s="1329">
        <v>0</v>
      </c>
      <c r="AY61" s="1330">
        <f>SUM(BA61:BB61)</f>
        <v>0.9</v>
      </c>
      <c r="AZ61" s="2254">
        <f t="shared" si="32"/>
        <v>2.5223508309744685E-4</v>
      </c>
      <c r="BA61" s="1328">
        <v>0.9</v>
      </c>
      <c r="BB61" s="1329">
        <v>0</v>
      </c>
      <c r="BC61" s="1330">
        <f>SUM(BE61:BF61)</f>
        <v>0.9</v>
      </c>
      <c r="BD61" s="1367">
        <f t="shared" si="27"/>
        <v>2.5223508309744685E-4</v>
      </c>
      <c r="BE61" s="1328">
        <v>0.9</v>
      </c>
      <c r="BF61" s="1329">
        <v>0</v>
      </c>
      <c r="BG61" s="2057" t="s">
        <v>250</v>
      </c>
      <c r="BH61" s="1330">
        <v>0</v>
      </c>
      <c r="BI61" s="1328">
        <v>0</v>
      </c>
      <c r="BJ61" s="1329">
        <v>0</v>
      </c>
      <c r="BK61" s="1330">
        <v>0</v>
      </c>
      <c r="BL61" s="1328">
        <v>0</v>
      </c>
      <c r="BM61" s="1329">
        <v>0</v>
      </c>
      <c r="BN61" s="1330">
        <v>0</v>
      </c>
      <c r="BO61" s="1328">
        <v>0</v>
      </c>
      <c r="BP61" s="1329">
        <v>0</v>
      </c>
      <c r="BQ61" s="2945">
        <f>SUM(BS61:BT61)</f>
        <v>0</v>
      </c>
      <c r="BR61" s="3431">
        <f t="shared" si="31"/>
        <v>0</v>
      </c>
      <c r="BS61" s="2946">
        <v>0</v>
      </c>
      <c r="BT61" s="2947">
        <v>0</v>
      </c>
      <c r="BU61" s="2945">
        <f>SUM(BW61:BX61)</f>
        <v>0</v>
      </c>
      <c r="BV61" s="3702">
        <f t="shared" si="21"/>
        <v>0</v>
      </c>
      <c r="BW61" s="2946">
        <v>0</v>
      </c>
      <c r="BX61" s="2947">
        <v>0</v>
      </c>
    </row>
    <row r="62" spans="1:76" ht="20.25" customHeight="1">
      <c r="A62" s="1345" t="s">
        <v>1720</v>
      </c>
      <c r="B62" s="1234"/>
      <c r="C62" s="444"/>
      <c r="D62" s="444"/>
      <c r="E62" s="444"/>
      <c r="F62" s="444"/>
      <c r="G62" s="444"/>
      <c r="H62" s="444"/>
      <c r="I62" s="1430"/>
      <c r="J62" s="444"/>
      <c r="K62" s="444"/>
      <c r="L62" s="444"/>
      <c r="M62" s="444"/>
      <c r="N62" s="1421"/>
      <c r="O62" s="1414"/>
      <c r="P62" s="1421"/>
      <c r="Q62" s="1421"/>
      <c r="R62" s="444"/>
      <c r="S62" s="1430"/>
      <c r="T62" s="1430"/>
      <c r="U62" s="1430"/>
      <c r="V62" s="1425"/>
      <c r="W62" s="1358">
        <f>W49+W57+W61</f>
        <v>100981.68</v>
      </c>
      <c r="X62" s="1436"/>
      <c r="Y62" s="1330">
        <f t="shared" ref="Y62:AL62" si="164">Y49+Y57+Y61</f>
        <v>82121.362445693521</v>
      </c>
      <c r="Z62" s="1328">
        <f t="shared" si="164"/>
        <v>81792.211738577535</v>
      </c>
      <c r="AA62" s="1329">
        <f t="shared" si="164"/>
        <v>329.45070711599271</v>
      </c>
      <c r="AB62" s="1330">
        <f t="shared" ref="AB62:AD62" si="165">AB49+AB57+AB61</f>
        <v>71942.549500000008</v>
      </c>
      <c r="AC62" s="1328">
        <f t="shared" si="165"/>
        <v>71565.813541510855</v>
      </c>
      <c r="AD62" s="1329">
        <f t="shared" si="165"/>
        <v>376.73595848915204</v>
      </c>
      <c r="AE62" s="1330">
        <f>AE49+AE57+AE61</f>
        <v>95429.99</v>
      </c>
      <c r="AF62" s="1328">
        <f t="shared" si="18"/>
        <v>1.1620604816816991</v>
      </c>
      <c r="AG62" s="1328">
        <f>AG49+AG57+AG61</f>
        <v>95225.95</v>
      </c>
      <c r="AH62" s="1329">
        <f>AH49+AH57+AH61</f>
        <v>353.42</v>
      </c>
      <c r="AI62" s="1330">
        <f t="shared" si="164"/>
        <v>88832.518023648867</v>
      </c>
      <c r="AJ62" s="1328">
        <f t="shared" si="19"/>
        <v>1.0817224091038846</v>
      </c>
      <c r="AK62" s="1328">
        <f t="shared" si="164"/>
        <v>88531.310327153638</v>
      </c>
      <c r="AL62" s="1329">
        <f t="shared" si="164"/>
        <v>300.90569512807247</v>
      </c>
      <c r="AM62" s="1391" t="e">
        <f>AM49+AM57+AM61</f>
        <v>#REF!</v>
      </c>
      <c r="AN62" s="1394" t="e">
        <f>#REF!-AM62</f>
        <v>#REF!</v>
      </c>
      <c r="AO62" s="1424" t="e">
        <f t="shared" si="20"/>
        <v>#REF!</v>
      </c>
      <c r="AP62" s="1330">
        <f t="shared" ref="AP62:AR62" si="166">AP49+AP57+AP61</f>
        <v>25525.760000000002</v>
      </c>
      <c r="AQ62" s="1328">
        <f t="shared" si="166"/>
        <v>25440.449918838356</v>
      </c>
      <c r="AR62" s="1329">
        <f t="shared" si="166"/>
        <v>83.252151621438273</v>
      </c>
      <c r="AS62" s="1330">
        <f t="shared" ref="AS62:BB62" si="167">AS49+AS57+AS61</f>
        <v>40253.669999999991</v>
      </c>
      <c r="AT62" s="1328">
        <f t="shared" si="167"/>
        <v>40114.792459398101</v>
      </c>
      <c r="AU62" s="1329">
        <f t="shared" si="167"/>
        <v>135.63874041761906</v>
      </c>
      <c r="AV62" s="1330">
        <f t="shared" ref="AV62:AX62" si="168">AV49+AV57+AV61</f>
        <v>73344.06</v>
      </c>
      <c r="AW62" s="1328">
        <f t="shared" si="168"/>
        <v>73012.944878892187</v>
      </c>
      <c r="AX62" s="1329">
        <f t="shared" si="168"/>
        <v>331.11512110780814</v>
      </c>
      <c r="AY62" s="1330">
        <f t="shared" si="167"/>
        <v>97637.096536620869</v>
      </c>
      <c r="AZ62" s="2254">
        <f t="shared" si="32"/>
        <v>1.0991143638484733</v>
      </c>
      <c r="BA62" s="1328">
        <f t="shared" si="167"/>
        <v>97375.630412967483</v>
      </c>
      <c r="BB62" s="1329">
        <f t="shared" si="167"/>
        <v>261.46612365339604</v>
      </c>
      <c r="BC62" s="1330">
        <f t="shared" ref="BC62" si="169">BC49+BC57+BC61</f>
        <v>85385.412526143598</v>
      </c>
      <c r="BD62" s="1367">
        <f t="shared" si="27"/>
        <v>0.96119545438768739</v>
      </c>
      <c r="BE62" s="1328">
        <f t="shared" ref="BE62:BF62" si="170">BE49+BE57+BE61</f>
        <v>85119.655094018468</v>
      </c>
      <c r="BF62" s="1329">
        <f t="shared" si="170"/>
        <v>265.7574321251206</v>
      </c>
      <c r="BG62" s="2057"/>
      <c r="BH62" s="1330">
        <f t="shared" ref="BH62:BQ62" si="171">BH49+BH57+BH61</f>
        <v>38669.27635</v>
      </c>
      <c r="BI62" s="1328">
        <f t="shared" si="171"/>
        <v>38508.235329938972</v>
      </c>
      <c r="BJ62" s="1329">
        <f t="shared" si="171"/>
        <v>158.16331991335733</v>
      </c>
      <c r="BK62" s="1330">
        <f t="shared" ref="BK62:BM62" si="172">BK49+BK57+BK61</f>
        <v>59688.815588999983</v>
      </c>
      <c r="BL62" s="1328">
        <f t="shared" si="172"/>
        <v>59435.119734529311</v>
      </c>
      <c r="BM62" s="1329">
        <f t="shared" si="172"/>
        <v>249.26987918366871</v>
      </c>
      <c r="BN62" s="1330">
        <f t="shared" ref="BN62:BP62" si="173">BN49+BN57+BN61</f>
        <v>80610.787328299863</v>
      </c>
      <c r="BO62" s="1328">
        <f t="shared" si="173"/>
        <v>80269.528576826284</v>
      </c>
      <c r="BP62" s="1329">
        <f t="shared" si="173"/>
        <v>335.24959968315505</v>
      </c>
      <c r="BQ62" s="2945">
        <f t="shared" si="171"/>
        <v>90038.477318232995</v>
      </c>
      <c r="BR62" s="3431">
        <f t="shared" si="31"/>
        <v>1.054494844662895</v>
      </c>
      <c r="BS62" s="2946">
        <f t="shared" ref="BS62:BT62" si="174">BS49+BS57+BS61</f>
        <v>89683.201826851277</v>
      </c>
      <c r="BT62" s="2947">
        <f t="shared" si="174"/>
        <v>355.27549138171457</v>
      </c>
      <c r="BU62" s="2945">
        <f>BU49+BU57+BU61+BU50</f>
        <v>85037.162221013728</v>
      </c>
      <c r="BV62" s="3702">
        <f t="shared" si="21"/>
        <v>0.99592143089988305</v>
      </c>
      <c r="BW62" s="2946">
        <f>BW49+BW57+BW61+BW50</f>
        <v>84701.917552547806</v>
      </c>
      <c r="BX62" s="2947">
        <f>BX49+BX57+BX61+BX50</f>
        <v>335.24466846593998</v>
      </c>
    </row>
    <row r="63" spans="1:76" ht="21" customHeight="1" thickBot="1">
      <c r="A63" s="1347" t="s">
        <v>1721</v>
      </c>
      <c r="B63" s="1265"/>
      <c r="C63" s="1443"/>
      <c r="D63" s="1443"/>
      <c r="E63" s="1443"/>
      <c r="F63" s="1443"/>
      <c r="G63" s="1443"/>
      <c r="H63" s="1443"/>
      <c r="I63" s="1063"/>
      <c r="J63" s="1443"/>
      <c r="K63" s="1443"/>
      <c r="L63" s="1443"/>
      <c r="M63" s="1443"/>
      <c r="N63" s="1444"/>
      <c r="O63" s="1445"/>
      <c r="P63" s="1444"/>
      <c r="Q63" s="1444"/>
      <c r="R63" s="1443"/>
      <c r="S63" s="1063"/>
      <c r="T63" s="1063"/>
      <c r="U63" s="1063"/>
      <c r="V63" s="1446"/>
      <c r="W63" s="1359">
        <f>W62/W51</f>
        <v>28.050466666666665</v>
      </c>
      <c r="X63" s="1858"/>
      <c r="Y63" s="404">
        <f t="shared" ref="Y63:AL63" si="175">Y62/Y51</f>
        <v>22.359942942710681</v>
      </c>
      <c r="Z63" s="1331">
        <f t="shared" si="175"/>
        <v>22.441411292720261</v>
      </c>
      <c r="AA63" s="1332">
        <f t="shared" si="175"/>
        <v>11.766096682714025</v>
      </c>
      <c r="AB63" s="404">
        <f t="shared" ref="AB63:AD63" si="176">AB62/AB51</f>
        <v>20.6957452102871</v>
      </c>
      <c r="AC63" s="1331">
        <f t="shared" si="176"/>
        <v>20.767792670200482</v>
      </c>
      <c r="AD63" s="1332">
        <f t="shared" si="176"/>
        <v>12.474700612223577</v>
      </c>
      <c r="AE63" s="404">
        <f>AE62/AE51</f>
        <v>25.983606066381682</v>
      </c>
      <c r="AF63" s="1331">
        <f t="shared" si="18"/>
        <v>1.1620604816816991</v>
      </c>
      <c r="AG63" s="1331">
        <f>AG62/AG51</f>
        <v>26.127239553324006</v>
      </c>
      <c r="AH63" s="1332">
        <f>AH62/AH51</f>
        <v>12.622142857142858</v>
      </c>
      <c r="AI63" s="404">
        <f t="shared" si="175"/>
        <v>24.187251347414403</v>
      </c>
      <c r="AJ63" s="1331">
        <f t="shared" si="19"/>
        <v>1.0817224091038846</v>
      </c>
      <c r="AK63" s="1331">
        <f t="shared" si="175"/>
        <v>24.290424541705391</v>
      </c>
      <c r="AL63" s="1332">
        <f t="shared" si="175"/>
        <v>10.746631968859731</v>
      </c>
      <c r="AM63" s="1395" t="e">
        <f>#REF!*Z63/Y63</f>
        <v>#REF!</v>
      </c>
      <c r="AN63" s="1396" t="e">
        <f>#REF!-AM63</f>
        <v>#REF!</v>
      </c>
      <c r="AO63" s="1448" t="e">
        <f t="shared" si="20"/>
        <v>#REF!</v>
      </c>
      <c r="AP63" s="404">
        <f t="shared" ref="AP63:AR63" si="177">AP62/AP51</f>
        <v>15.278116283802389</v>
      </c>
      <c r="AQ63" s="1331">
        <f t="shared" si="177"/>
        <v>15.315700072145278</v>
      </c>
      <c r="AR63" s="1332">
        <f t="shared" si="177"/>
        <v>8.6093228150401515</v>
      </c>
      <c r="AS63" s="404">
        <f t="shared" ref="AS63:BB63" si="178">AS62/AS51</f>
        <v>16.707135060202457</v>
      </c>
      <c r="AT63" s="1331">
        <f t="shared" si="178"/>
        <v>16.748202615846932</v>
      </c>
      <c r="AU63" s="1332">
        <f t="shared" si="178"/>
        <v>9.5520239730717655</v>
      </c>
      <c r="AV63" s="404">
        <f t="shared" ref="AV63:AX63" si="179">AV62/AV51</f>
        <v>22.84897272543186</v>
      </c>
      <c r="AW63" s="1331">
        <f t="shared" si="179"/>
        <v>22.912707042020791</v>
      </c>
      <c r="AX63" s="1332">
        <f t="shared" si="179"/>
        <v>14.16232340067614</v>
      </c>
      <c r="AY63" s="404">
        <f t="shared" si="178"/>
        <v>28.186771262905619</v>
      </c>
      <c r="AZ63" s="2256">
        <f t="shared" si="32"/>
        <v>1.1653565284473204</v>
      </c>
      <c r="BA63" s="2957">
        <f t="shared" si="178"/>
        <v>28.265785315810589</v>
      </c>
      <c r="BB63" s="2958">
        <f t="shared" si="178"/>
        <v>13.8098304746512</v>
      </c>
      <c r="BC63" s="2959">
        <f t="shared" ref="BC63" si="180">BC62/BC51</f>
        <v>24.649842912530147</v>
      </c>
      <c r="BD63" s="2960">
        <f t="shared" si="27"/>
        <v>1.0191254292797183</v>
      </c>
      <c r="BE63" s="2957">
        <f t="shared" ref="BE63:BF63" si="181">BE62/BE51</f>
        <v>24.708172741369658</v>
      </c>
      <c r="BF63" s="2958">
        <f t="shared" si="181"/>
        <v>14.036484091115524</v>
      </c>
      <c r="BG63" s="1449"/>
      <c r="BH63" s="404">
        <f t="shared" ref="BH63:BQ63" si="182">BH62/BH51</f>
        <v>24.509749161759764</v>
      </c>
      <c r="BI63" s="1331">
        <f t="shared" si="182"/>
        <v>24.566970761948461</v>
      </c>
      <c r="BJ63" s="1332">
        <f t="shared" si="182"/>
        <v>15.460735084394654</v>
      </c>
      <c r="BK63" s="404">
        <f t="shared" ref="BK63:BM63" si="183">BK62/BK51</f>
        <v>25.896937596643607</v>
      </c>
      <c r="BL63" s="1331">
        <f t="shared" si="183"/>
        <v>25.959642079793717</v>
      </c>
      <c r="BM63" s="1332">
        <f t="shared" si="183"/>
        <v>16.249666178857151</v>
      </c>
      <c r="BN63" s="404">
        <f t="shared" ref="BN63:BP63" si="184">BN62/BN51</f>
        <v>26.230699693788303</v>
      </c>
      <c r="BO63" s="1331">
        <f t="shared" si="184"/>
        <v>26.294658457938663</v>
      </c>
      <c r="BP63" s="1332">
        <f t="shared" si="184"/>
        <v>16.390951744613186</v>
      </c>
      <c r="BQ63" s="2797">
        <f t="shared" si="182"/>
        <v>27.936232490919327</v>
      </c>
      <c r="BR63" s="3432">
        <f t="shared" si="31"/>
        <v>1.1333229420589379</v>
      </c>
      <c r="BS63" s="3433">
        <f t="shared" ref="BS63:BU63" si="185">BS62/BS51</f>
        <v>28.026000570891025</v>
      </c>
      <c r="BT63" s="3434">
        <f t="shared" si="185"/>
        <v>15.446760494857156</v>
      </c>
      <c r="BU63" s="3291">
        <f t="shared" si="185"/>
        <v>25.802066971406731</v>
      </c>
      <c r="BV63" s="3703">
        <f t="shared" si="21"/>
        <v>1.0467436674126178</v>
      </c>
      <c r="BW63" s="3433">
        <f t="shared" ref="BW63:BX63" si="186">BW62/BW51</f>
        <v>25.880961745488598</v>
      </c>
      <c r="BX63" s="3434">
        <f t="shared" si="186"/>
        <v>14.575855150693043</v>
      </c>
    </row>
    <row r="64" spans="1:76" ht="20.25" customHeight="1">
      <c r="A64" s="398"/>
      <c r="B64" s="1450"/>
      <c r="C64" s="1450"/>
      <c r="D64" s="1450"/>
      <c r="E64" s="1450"/>
      <c r="F64" s="1450"/>
      <c r="G64" s="1450"/>
      <c r="H64" s="1450"/>
      <c r="I64" s="1451"/>
      <c r="J64" s="105"/>
      <c r="K64" s="105"/>
      <c r="L64" s="105"/>
      <c r="M64" s="105"/>
      <c r="N64" s="1452"/>
      <c r="O64" s="1453"/>
      <c r="P64" s="1454"/>
      <c r="Q64" s="1452"/>
      <c r="R64" s="105"/>
      <c r="S64" s="1451"/>
      <c r="T64" s="1451"/>
      <c r="U64" s="1451"/>
      <c r="V64" s="1451"/>
      <c r="W64" s="1455"/>
      <c r="X64" s="1451"/>
      <c r="Y64" s="1455"/>
      <c r="Z64" s="1455"/>
      <c r="AA64" s="1455"/>
      <c r="AB64" s="1455"/>
      <c r="AC64" s="1455"/>
      <c r="AD64" s="1455"/>
      <c r="AE64" s="1455"/>
      <c r="AF64" s="1455"/>
      <c r="AG64" s="1455"/>
      <c r="AH64" s="1455"/>
      <c r="AI64" s="1455"/>
      <c r="AJ64" s="1455"/>
      <c r="AK64" s="1456"/>
      <c r="AL64" s="1456"/>
      <c r="AM64" s="1457"/>
      <c r="AN64" s="1458"/>
      <c r="AO64" s="1457"/>
      <c r="AP64" s="1457"/>
      <c r="AQ64" s="1457"/>
      <c r="AR64" s="1457"/>
      <c r="AS64" s="1457"/>
      <c r="AT64" s="1457"/>
      <c r="AU64" s="1457"/>
      <c r="AV64" s="1457"/>
      <c r="AW64" s="1457"/>
      <c r="AX64" s="1457"/>
      <c r="AY64" s="1457"/>
      <c r="AZ64" s="2247"/>
      <c r="BA64" s="1457"/>
      <c r="BB64" s="1457"/>
      <c r="BC64" s="1457">
        <f>BE51</f>
        <v>3445</v>
      </c>
      <c r="BD64" s="2247"/>
      <c r="BE64" s="1457">
        <f>BC64/2</f>
        <v>1722.5</v>
      </c>
      <c r="BF64" s="1457">
        <f>BE64</f>
        <v>1722.5</v>
      </c>
      <c r="BG64" s="1459"/>
    </row>
    <row r="65" spans="1:76" ht="20.25" customHeight="1">
      <c r="A65" s="398"/>
      <c r="B65" s="1450"/>
      <c r="C65" s="1450"/>
      <c r="D65" s="1450"/>
      <c r="E65" s="1450"/>
      <c r="F65" s="1450"/>
      <c r="G65" s="1450"/>
      <c r="H65" s="1450"/>
      <c r="I65" s="1451"/>
      <c r="J65" s="105"/>
      <c r="K65" s="105"/>
      <c r="L65" s="105"/>
      <c r="M65" s="105"/>
      <c r="N65" s="1452"/>
      <c r="O65" s="1453"/>
      <c r="P65" s="1454"/>
      <c r="Q65" s="1452"/>
      <c r="R65" s="105"/>
      <c r="S65" s="1451"/>
      <c r="T65" s="1451"/>
      <c r="U65" s="1451"/>
      <c r="V65" s="1451"/>
      <c r="W65" s="1455"/>
      <c r="X65" s="1451"/>
      <c r="Y65" s="1455"/>
      <c r="Z65" s="1455"/>
      <c r="AA65" s="1455"/>
      <c r="AB65" s="1455"/>
      <c r="AC65" s="1455"/>
      <c r="AD65" s="1455"/>
      <c r="AE65" s="1455"/>
      <c r="AF65" s="1455"/>
      <c r="AG65" s="1455"/>
      <c r="AH65" s="1455"/>
      <c r="AI65" s="1455"/>
      <c r="AJ65" s="1455"/>
      <c r="AK65" s="1456"/>
      <c r="AL65" s="1456"/>
      <c r="AM65" s="1457"/>
      <c r="AN65" s="1458"/>
      <c r="AO65" s="1457"/>
      <c r="AP65" s="1457"/>
      <c r="AQ65" s="1457"/>
      <c r="AR65" s="1457"/>
      <c r="AS65" s="1457"/>
      <c r="AT65" s="1457"/>
      <c r="AU65" s="1457"/>
      <c r="AV65" s="1457"/>
      <c r="AW65" s="1457"/>
      <c r="AX65" s="1457"/>
      <c r="AY65" s="1457"/>
      <c r="AZ65" s="2247"/>
      <c r="BA65" s="1457"/>
      <c r="BB65" s="1457"/>
      <c r="BC65" s="1457">
        <f>BE63</f>
        <v>24.708172741369658</v>
      </c>
      <c r="BD65" s="2247"/>
      <c r="BE65" s="1457">
        <v>24.29</v>
      </c>
      <c r="BF65" s="1457">
        <f>BF66/BF64</f>
        <v>25.126345482739314</v>
      </c>
      <c r="BG65" s="2468">
        <f>BF65/BE65</f>
        <v>1.0344316789929731</v>
      </c>
    </row>
    <row r="66" spans="1:76" ht="20.25" customHeight="1">
      <c r="A66" s="398"/>
      <c r="B66" s="1450"/>
      <c r="C66" s="1450"/>
      <c r="D66" s="1450"/>
      <c r="E66" s="1450"/>
      <c r="F66" s="1450"/>
      <c r="G66" s="1450"/>
      <c r="H66" s="1450"/>
      <c r="I66" s="1451"/>
      <c r="J66" s="105"/>
      <c r="K66" s="105"/>
      <c r="L66" s="105"/>
      <c r="M66" s="105"/>
      <c r="N66" s="1452"/>
      <c r="O66" s="1453"/>
      <c r="P66" s="1454"/>
      <c r="Q66" s="1452"/>
      <c r="R66" s="105"/>
      <c r="S66" s="1451"/>
      <c r="T66" s="1451"/>
      <c r="U66" s="1451"/>
      <c r="V66" s="1451"/>
      <c r="W66" s="1455"/>
      <c r="X66" s="1451"/>
      <c r="Y66" s="1455"/>
      <c r="Z66" s="1455"/>
      <c r="AA66" s="1455"/>
      <c r="AB66" s="1455"/>
      <c r="AC66" s="1455"/>
      <c r="AD66" s="1455"/>
      <c r="AE66" s="1455"/>
      <c r="AF66" s="1455"/>
      <c r="AG66" s="1455"/>
      <c r="AH66" s="1455"/>
      <c r="AI66" s="1455"/>
      <c r="AJ66" s="1455"/>
      <c r="AK66" s="1456"/>
      <c r="AL66" s="1456"/>
      <c r="AM66" s="1457"/>
      <c r="AN66" s="1458"/>
      <c r="AO66" s="1457"/>
      <c r="AP66" s="1457"/>
      <c r="AQ66" s="1457"/>
      <c r="AR66" s="1457"/>
      <c r="AS66" s="1457"/>
      <c r="AT66" s="1457"/>
      <c r="AU66" s="1457"/>
      <c r="AV66" s="1457"/>
      <c r="AW66" s="1457"/>
      <c r="AX66" s="1457"/>
      <c r="AY66" s="1457"/>
      <c r="AZ66" s="2247"/>
      <c r="BA66" s="1457"/>
      <c r="BB66" s="1457"/>
      <c r="BC66" s="1457">
        <f>BE62</f>
        <v>85119.655094018468</v>
      </c>
      <c r="BD66" s="2247"/>
      <c r="BE66" s="1457">
        <f>BE64*BE65</f>
        <v>41839.525000000001</v>
      </c>
      <c r="BF66" s="1457">
        <f>BC66-BE66</f>
        <v>43280.130094018466</v>
      </c>
      <c r="BG66" s="1459"/>
    </row>
    <row r="67" spans="1:76" ht="20.25" customHeight="1">
      <c r="A67" s="398"/>
      <c r="B67" s="1450"/>
      <c r="C67" s="1450"/>
      <c r="D67" s="1450"/>
      <c r="E67" s="1450"/>
      <c r="F67" s="1450"/>
      <c r="G67" s="1450"/>
      <c r="H67" s="1450"/>
      <c r="I67" s="1451"/>
      <c r="J67" s="105"/>
      <c r="K67" s="105"/>
      <c r="L67" s="105"/>
      <c r="M67" s="105"/>
      <c r="N67" s="1452"/>
      <c r="O67" s="1453"/>
      <c r="P67" s="1454"/>
      <c r="Q67" s="1452"/>
      <c r="R67" s="105"/>
      <c r="S67" s="1451"/>
      <c r="T67" s="1451"/>
      <c r="U67" s="1451"/>
      <c r="V67" s="1451"/>
      <c r="W67" s="1455"/>
      <c r="X67" s="1451"/>
      <c r="Y67" s="1455"/>
      <c r="Z67" s="1455"/>
      <c r="AA67" s="1455"/>
      <c r="AB67" s="1455"/>
      <c r="AC67" s="1455"/>
      <c r="AD67" s="1455"/>
      <c r="AE67" s="1455"/>
      <c r="AF67" s="1455"/>
      <c r="AG67" s="1455"/>
      <c r="AH67" s="1455"/>
      <c r="AI67" s="1455"/>
      <c r="AJ67" s="1455"/>
      <c r="AK67" s="1456"/>
      <c r="AL67" s="1456"/>
      <c r="AM67" s="1457"/>
      <c r="AN67" s="1458"/>
      <c r="AO67" s="1457"/>
      <c r="AP67" s="1457"/>
      <c r="AQ67" s="1457"/>
      <c r="AR67" s="1457"/>
      <c r="AS67" s="1457"/>
      <c r="AT67" s="1457"/>
      <c r="AU67" s="1457"/>
      <c r="AV67" s="1457"/>
      <c r="AW67" s="1457"/>
      <c r="AX67" s="1457"/>
      <c r="AY67" s="1457"/>
      <c r="AZ67" s="2247"/>
      <c r="BA67" s="1457"/>
      <c r="BB67" s="1457"/>
      <c r="BC67" s="1457"/>
      <c r="BD67" s="2247"/>
      <c r="BE67" s="1457"/>
      <c r="BF67" s="1457"/>
      <c r="BG67" s="1459"/>
    </row>
    <row r="68" spans="1:76" ht="20.25" customHeight="1">
      <c r="A68" s="4485" t="s">
        <v>1690</v>
      </c>
      <c r="B68" s="4485"/>
      <c r="C68" s="4485"/>
      <c r="D68" s="4485"/>
      <c r="E68" s="4485"/>
      <c r="F68" s="4485"/>
      <c r="G68" s="4485"/>
      <c r="H68" s="4485"/>
      <c r="I68" s="4485"/>
      <c r="J68" s="4485"/>
      <c r="K68" s="4485"/>
      <c r="L68" s="4485"/>
      <c r="M68" s="4485"/>
      <c r="N68" s="4485"/>
      <c r="O68" s="4485"/>
      <c r="P68" s="4485"/>
      <c r="Q68" s="4485"/>
      <c r="R68" s="4485"/>
      <c r="S68" s="4485"/>
      <c r="T68" s="4485"/>
      <c r="U68" s="4485"/>
      <c r="V68" s="4485"/>
      <c r="W68" s="4485"/>
      <c r="X68" s="4485"/>
      <c r="Y68" s="4485"/>
      <c r="Z68" s="4485"/>
      <c r="AA68" s="4485"/>
      <c r="AB68" s="4485"/>
      <c r="AC68" s="4485"/>
      <c r="AD68" s="4485"/>
      <c r="AE68" s="4485"/>
      <c r="AF68" s="4485"/>
      <c r="AG68" s="4485"/>
      <c r="AH68" s="4485"/>
      <c r="AI68" s="4485"/>
      <c r="AJ68" s="4485"/>
      <c r="AK68" s="4485"/>
      <c r="AL68" s="4485"/>
      <c r="AM68" s="4485"/>
      <c r="AN68" s="4485"/>
      <c r="AO68" s="4485"/>
      <c r="AP68" s="4485"/>
      <c r="AQ68" s="4485"/>
      <c r="AR68" s="4485"/>
      <c r="AS68" s="4485"/>
      <c r="AT68" s="4485"/>
      <c r="AU68" s="4485"/>
      <c r="AV68" s="4485"/>
      <c r="AW68" s="4485"/>
      <c r="AX68" s="4485"/>
      <c r="AY68" s="4485"/>
      <c r="AZ68" s="4485"/>
      <c r="BA68" s="4485"/>
      <c r="BB68" s="4485"/>
      <c r="BC68" s="4485"/>
      <c r="BD68" s="4485"/>
      <c r="BE68" s="4485"/>
      <c r="BF68" s="4485"/>
      <c r="BG68" s="4485"/>
      <c r="BH68" s="4356"/>
      <c r="BI68" s="4356"/>
      <c r="BJ68" s="4356"/>
      <c r="BK68" s="4356"/>
      <c r="BL68" s="4356"/>
      <c r="BM68" s="4356"/>
      <c r="BN68" s="4356"/>
      <c r="BO68" s="4356"/>
      <c r="BP68" s="4356"/>
      <c r="BQ68" s="4356"/>
      <c r="BR68" s="4356"/>
      <c r="BS68" s="4356"/>
      <c r="BT68" s="4356"/>
      <c r="BU68" s="4356"/>
      <c r="BV68" s="4356"/>
      <c r="BW68" s="4356"/>
      <c r="BX68" s="4356"/>
    </row>
    <row r="69" spans="1:76" ht="20.25" customHeight="1" thickBot="1">
      <c r="A69" s="411"/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  <c r="AU69" s="411"/>
      <c r="AV69" s="411"/>
      <c r="AW69" s="411"/>
      <c r="AX69" s="411"/>
      <c r="AY69" s="411"/>
      <c r="AZ69" s="2245"/>
      <c r="BA69" s="411"/>
      <c r="BB69" s="411"/>
      <c r="BC69" s="411"/>
      <c r="BD69" s="2245"/>
      <c r="BE69" s="411"/>
      <c r="BF69" s="411"/>
      <c r="BG69" s="411"/>
    </row>
    <row r="70" spans="1:76" ht="20.25" customHeight="1" thickBot="1">
      <c r="A70" s="4760" t="s">
        <v>546</v>
      </c>
      <c r="B70" s="4716" t="s">
        <v>58</v>
      </c>
      <c r="C70" s="4662" t="s">
        <v>59</v>
      </c>
      <c r="D70" s="4662"/>
      <c r="E70" s="4719" t="s">
        <v>67</v>
      </c>
      <c r="F70" s="4719"/>
      <c r="G70" s="4719" t="s">
        <v>95</v>
      </c>
      <c r="H70" s="4719"/>
      <c r="I70" s="4719" t="s">
        <v>124</v>
      </c>
      <c r="J70" s="4719"/>
      <c r="K70" s="4719"/>
      <c r="L70" s="4719"/>
      <c r="M70" s="4719"/>
      <c r="N70" s="4720" t="s">
        <v>162</v>
      </c>
      <c r="O70" s="4720"/>
      <c r="P70" s="4720"/>
      <c r="Q70" s="4720"/>
      <c r="R70" s="4720"/>
      <c r="S70" s="4720"/>
      <c r="T70" s="4720"/>
      <c r="U70" s="4720"/>
      <c r="V70" s="4721"/>
      <c r="W70" s="4697" t="s">
        <v>238</v>
      </c>
      <c r="X70" s="4722"/>
      <c r="Y70" s="4722"/>
      <c r="Z70" s="4722"/>
      <c r="AA70" s="4722"/>
      <c r="AB70" s="4723"/>
      <c r="AC70" s="4723"/>
      <c r="AD70" s="4724"/>
      <c r="AE70" s="4697" t="s">
        <v>380</v>
      </c>
      <c r="AF70" s="4698"/>
      <c r="AG70" s="4698"/>
      <c r="AH70" s="4698"/>
      <c r="AI70" s="4698"/>
      <c r="AJ70" s="4698"/>
      <c r="AK70" s="4698"/>
      <c r="AL70" s="4698"/>
      <c r="AM70" s="4698"/>
      <c r="AN70" s="4698"/>
      <c r="AO70" s="4698"/>
      <c r="AP70" s="4698"/>
      <c r="AQ70" s="4698"/>
      <c r="AR70" s="4698"/>
      <c r="AS70" s="4698"/>
      <c r="AT70" s="4698"/>
      <c r="AU70" s="4698"/>
      <c r="AV70" s="4468"/>
      <c r="AW70" s="4468"/>
      <c r="AX70" s="4469"/>
      <c r="AY70" s="4697" t="s">
        <v>833</v>
      </c>
      <c r="AZ70" s="4722"/>
      <c r="BA70" s="4722"/>
      <c r="BB70" s="4722"/>
      <c r="BC70" s="4722"/>
      <c r="BD70" s="4722"/>
      <c r="BE70" s="4722"/>
      <c r="BF70" s="4725"/>
      <c r="BG70" s="4702" t="s">
        <v>160</v>
      </c>
      <c r="BH70" s="4664" t="s">
        <v>1596</v>
      </c>
      <c r="BI70" s="4665"/>
      <c r="BJ70" s="4665"/>
      <c r="BK70" s="4665"/>
      <c r="BL70" s="4665"/>
      <c r="BM70" s="4665"/>
      <c r="BN70" s="4665"/>
      <c r="BO70" s="4665"/>
      <c r="BP70" s="4666"/>
      <c r="BQ70" s="4681" t="s">
        <v>912</v>
      </c>
      <c r="BR70" s="4682"/>
      <c r="BS70" s="4682"/>
      <c r="BT70" s="4682"/>
      <c r="BU70" s="4682"/>
      <c r="BV70" s="4682"/>
      <c r="BW70" s="4682"/>
      <c r="BX70" s="4683"/>
    </row>
    <row r="71" spans="1:76" ht="20.25" customHeight="1" thickBot="1">
      <c r="A71" s="4761"/>
      <c r="B71" s="4717"/>
      <c r="C71" s="4705" t="s">
        <v>61</v>
      </c>
      <c r="D71" s="4705" t="s">
        <v>62</v>
      </c>
      <c r="E71" s="4705" t="s">
        <v>61</v>
      </c>
      <c r="F71" s="4705" t="s">
        <v>66</v>
      </c>
      <c r="G71" s="4707" t="s">
        <v>61</v>
      </c>
      <c r="H71" s="4707" t="s">
        <v>112</v>
      </c>
      <c r="I71" s="4707" t="s">
        <v>60</v>
      </c>
      <c r="J71" s="4707" t="s">
        <v>63</v>
      </c>
      <c r="K71" s="4707" t="s">
        <v>110</v>
      </c>
      <c r="L71" s="4705" t="s">
        <v>61</v>
      </c>
      <c r="M71" s="4705" t="s">
        <v>123</v>
      </c>
      <c r="N71" s="4705" t="s">
        <v>126</v>
      </c>
      <c r="O71" s="4705" t="s">
        <v>97</v>
      </c>
      <c r="P71" s="4705" t="s">
        <v>127</v>
      </c>
      <c r="Q71" s="4705" t="s">
        <v>97</v>
      </c>
      <c r="R71" s="4705" t="s">
        <v>161</v>
      </c>
      <c r="S71" s="4740" t="s">
        <v>23</v>
      </c>
      <c r="T71" s="4740"/>
      <c r="U71" s="4707" t="s">
        <v>110</v>
      </c>
      <c r="V71" s="4742" t="s">
        <v>409</v>
      </c>
      <c r="W71" s="4620" t="s">
        <v>126</v>
      </c>
      <c r="X71" s="4710" t="s">
        <v>97</v>
      </c>
      <c r="Y71" s="4711" t="s">
        <v>127</v>
      </c>
      <c r="Z71" s="4712"/>
      <c r="AA71" s="4713"/>
      <c r="AB71" s="4711" t="s">
        <v>832</v>
      </c>
      <c r="AC71" s="4714"/>
      <c r="AD71" s="4715"/>
      <c r="AE71" s="4726" t="s">
        <v>126</v>
      </c>
      <c r="AF71" s="4727"/>
      <c r="AG71" s="4727"/>
      <c r="AH71" s="4728"/>
      <c r="AI71" s="4726" t="s">
        <v>127</v>
      </c>
      <c r="AJ71" s="4729"/>
      <c r="AK71" s="4729"/>
      <c r="AL71" s="4730"/>
      <c r="AM71" s="1406"/>
      <c r="AN71" s="1407"/>
      <c r="AO71" s="1408"/>
      <c r="AP71" s="4726" t="s">
        <v>863</v>
      </c>
      <c r="AQ71" s="4731"/>
      <c r="AR71" s="4732"/>
      <c r="AS71" s="4657" t="s">
        <v>864</v>
      </c>
      <c r="AT71" s="4658"/>
      <c r="AU71" s="4659"/>
      <c r="AV71" s="4657" t="s">
        <v>1640</v>
      </c>
      <c r="AW71" s="4658"/>
      <c r="AX71" s="4659"/>
      <c r="AY71" s="4733" t="s">
        <v>126</v>
      </c>
      <c r="AZ71" s="4734"/>
      <c r="BA71" s="4734"/>
      <c r="BB71" s="4734"/>
      <c r="BC71" s="4735" t="s">
        <v>127</v>
      </c>
      <c r="BD71" s="4720"/>
      <c r="BE71" s="4720"/>
      <c r="BF71" s="4736"/>
      <c r="BG71" s="4703"/>
      <c r="BH71" s="4657" t="s">
        <v>1662</v>
      </c>
      <c r="BI71" s="4658"/>
      <c r="BJ71" s="4659"/>
      <c r="BK71" s="4657" t="s">
        <v>1663</v>
      </c>
      <c r="BL71" s="4658"/>
      <c r="BM71" s="4659"/>
      <c r="BN71" s="4657" t="s">
        <v>1671</v>
      </c>
      <c r="BO71" s="4658"/>
      <c r="BP71" s="4659"/>
      <c r="BQ71" s="4667" t="s">
        <v>126</v>
      </c>
      <c r="BR71" s="4668"/>
      <c r="BS71" s="4668"/>
      <c r="BT71" s="4668"/>
      <c r="BU71" s="4674" t="s">
        <v>127</v>
      </c>
      <c r="BV71" s="4675"/>
      <c r="BW71" s="4675"/>
      <c r="BX71" s="4676"/>
    </row>
    <row r="72" spans="1:76" ht="20.25" customHeight="1">
      <c r="A72" s="4761"/>
      <c r="B72" s="4717"/>
      <c r="C72" s="4705"/>
      <c r="D72" s="4705"/>
      <c r="E72" s="4705"/>
      <c r="F72" s="4705"/>
      <c r="G72" s="4708"/>
      <c r="H72" s="4708"/>
      <c r="I72" s="4708"/>
      <c r="J72" s="4708"/>
      <c r="K72" s="4708"/>
      <c r="L72" s="4705"/>
      <c r="M72" s="4705"/>
      <c r="N72" s="4705"/>
      <c r="O72" s="4705"/>
      <c r="P72" s="4705"/>
      <c r="Q72" s="4705"/>
      <c r="R72" s="4705"/>
      <c r="S72" s="4707" t="s">
        <v>47</v>
      </c>
      <c r="T72" s="4707" t="s">
        <v>211</v>
      </c>
      <c r="U72" s="4708"/>
      <c r="V72" s="4743"/>
      <c r="W72" s="4621"/>
      <c r="X72" s="4628"/>
      <c r="Y72" s="4660" t="s">
        <v>301</v>
      </c>
      <c r="Z72" s="4662" t="s">
        <v>50</v>
      </c>
      <c r="AA72" s="4749"/>
      <c r="AB72" s="4660" t="s">
        <v>301</v>
      </c>
      <c r="AC72" s="4662" t="s">
        <v>50</v>
      </c>
      <c r="AD72" s="4663"/>
      <c r="AE72" s="4660" t="s">
        <v>301</v>
      </c>
      <c r="AF72" s="4699" t="s">
        <v>97</v>
      </c>
      <c r="AG72" s="4662" t="s">
        <v>50</v>
      </c>
      <c r="AH72" s="4663"/>
      <c r="AI72" s="4660" t="s">
        <v>301</v>
      </c>
      <c r="AJ72" s="4699" t="s">
        <v>97</v>
      </c>
      <c r="AK72" s="4662" t="s">
        <v>50</v>
      </c>
      <c r="AL72" s="4663"/>
      <c r="AM72" s="1409"/>
      <c r="AN72" s="1410"/>
      <c r="AO72" s="1411"/>
      <c r="AP72" s="4660" t="s">
        <v>301</v>
      </c>
      <c r="AQ72" s="4662" t="s">
        <v>50</v>
      </c>
      <c r="AR72" s="4663"/>
      <c r="AS72" s="4660" t="s">
        <v>301</v>
      </c>
      <c r="AT72" s="4662" t="s">
        <v>50</v>
      </c>
      <c r="AU72" s="4663"/>
      <c r="AV72" s="4660" t="s">
        <v>301</v>
      </c>
      <c r="AW72" s="4662" t="s">
        <v>50</v>
      </c>
      <c r="AX72" s="4663"/>
      <c r="AY72" s="4660" t="s">
        <v>301</v>
      </c>
      <c r="AZ72" s="4700" t="s">
        <v>97</v>
      </c>
      <c r="BA72" s="4662" t="s">
        <v>50</v>
      </c>
      <c r="BB72" s="4737"/>
      <c r="BC72" s="4738" t="s">
        <v>301</v>
      </c>
      <c r="BD72" s="4739" t="s">
        <v>97</v>
      </c>
      <c r="BE72" s="4740" t="s">
        <v>50</v>
      </c>
      <c r="BF72" s="4741"/>
      <c r="BG72" s="4703"/>
      <c r="BH72" s="4660" t="s">
        <v>301</v>
      </c>
      <c r="BI72" s="4662" t="s">
        <v>50</v>
      </c>
      <c r="BJ72" s="4663"/>
      <c r="BK72" s="4660" t="s">
        <v>301</v>
      </c>
      <c r="BL72" s="4662" t="s">
        <v>50</v>
      </c>
      <c r="BM72" s="4663"/>
      <c r="BN72" s="4660" t="s">
        <v>301</v>
      </c>
      <c r="BO72" s="4662" t="s">
        <v>50</v>
      </c>
      <c r="BP72" s="4663"/>
      <c r="BQ72" s="4669" t="s">
        <v>301</v>
      </c>
      <c r="BR72" s="4655" t="s">
        <v>97</v>
      </c>
      <c r="BS72" s="4672" t="s">
        <v>50</v>
      </c>
      <c r="BT72" s="4673"/>
      <c r="BU72" s="4677" t="s">
        <v>301</v>
      </c>
      <c r="BV72" s="4678" t="s">
        <v>97</v>
      </c>
      <c r="BW72" s="4679" t="s">
        <v>50</v>
      </c>
      <c r="BX72" s="4680"/>
    </row>
    <row r="73" spans="1:76" ht="20.25" customHeight="1" thickBot="1">
      <c r="A73" s="4762"/>
      <c r="B73" s="4718"/>
      <c r="C73" s="4706"/>
      <c r="D73" s="4706"/>
      <c r="E73" s="4706"/>
      <c r="F73" s="4706"/>
      <c r="G73" s="4709"/>
      <c r="H73" s="4709"/>
      <c r="I73" s="4709"/>
      <c r="J73" s="4709"/>
      <c r="K73" s="4709"/>
      <c r="L73" s="4706"/>
      <c r="M73" s="4706"/>
      <c r="N73" s="4706"/>
      <c r="O73" s="4706"/>
      <c r="P73" s="4706"/>
      <c r="Q73" s="4706"/>
      <c r="R73" s="4706"/>
      <c r="S73" s="4709"/>
      <c r="T73" s="4709"/>
      <c r="U73" s="4709"/>
      <c r="V73" s="4744"/>
      <c r="W73" s="4622"/>
      <c r="X73" s="4629"/>
      <c r="Y73" s="4661"/>
      <c r="Z73" s="1310" t="s">
        <v>47</v>
      </c>
      <c r="AA73" s="620" t="s">
        <v>547</v>
      </c>
      <c r="AB73" s="4661"/>
      <c r="AC73" s="1310" t="s">
        <v>47</v>
      </c>
      <c r="AD73" s="620" t="s">
        <v>547</v>
      </c>
      <c r="AE73" s="4696"/>
      <c r="AF73" s="4590"/>
      <c r="AG73" s="1310" t="s">
        <v>47</v>
      </c>
      <c r="AH73" s="620" t="s">
        <v>547</v>
      </c>
      <c r="AI73" s="4696"/>
      <c r="AJ73" s="4590"/>
      <c r="AK73" s="1310" t="s">
        <v>47</v>
      </c>
      <c r="AL73" s="620" t="s">
        <v>547</v>
      </c>
      <c r="AM73" s="1478" t="s">
        <v>257</v>
      </c>
      <c r="AN73" s="1479" t="s">
        <v>373</v>
      </c>
      <c r="AO73" s="1480"/>
      <c r="AP73" s="4661"/>
      <c r="AQ73" s="1310" t="s">
        <v>47</v>
      </c>
      <c r="AR73" s="620" t="s">
        <v>547</v>
      </c>
      <c r="AS73" s="4661"/>
      <c r="AT73" s="1310" t="s">
        <v>47</v>
      </c>
      <c r="AU73" s="620" t="s">
        <v>547</v>
      </c>
      <c r="AV73" s="4661"/>
      <c r="AW73" s="2771" t="s">
        <v>47</v>
      </c>
      <c r="AX73" s="620" t="s">
        <v>547</v>
      </c>
      <c r="AY73" s="4661"/>
      <c r="AZ73" s="4701"/>
      <c r="BA73" s="1310" t="s">
        <v>47</v>
      </c>
      <c r="BB73" s="1311" t="s">
        <v>547</v>
      </c>
      <c r="BC73" s="4661"/>
      <c r="BD73" s="4701"/>
      <c r="BE73" s="1310" t="s">
        <v>47</v>
      </c>
      <c r="BF73" s="620" t="s">
        <v>547</v>
      </c>
      <c r="BG73" s="4704"/>
      <c r="BH73" s="4661"/>
      <c r="BI73" s="2803" t="s">
        <v>47</v>
      </c>
      <c r="BJ73" s="620" t="s">
        <v>547</v>
      </c>
      <c r="BK73" s="4661"/>
      <c r="BL73" s="2803" t="s">
        <v>47</v>
      </c>
      <c r="BM73" s="620" t="s">
        <v>547</v>
      </c>
      <c r="BN73" s="4661"/>
      <c r="BO73" s="2803" t="s">
        <v>47</v>
      </c>
      <c r="BP73" s="620" t="s">
        <v>547</v>
      </c>
      <c r="BQ73" s="4670"/>
      <c r="BR73" s="4671"/>
      <c r="BS73" s="2937" t="s">
        <v>47</v>
      </c>
      <c r="BT73" s="3429" t="s">
        <v>547</v>
      </c>
      <c r="BU73" s="4670"/>
      <c r="BV73" s="4671"/>
      <c r="BW73" s="2937" t="s">
        <v>47</v>
      </c>
      <c r="BX73" s="3708" t="s">
        <v>547</v>
      </c>
    </row>
    <row r="74" spans="1:76" ht="20.25" customHeight="1">
      <c r="A74" s="1339" t="s">
        <v>1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  <c r="V74" s="435"/>
      <c r="W74" s="1511">
        <f>SUM(W9+W18)</f>
        <v>11950.3</v>
      </c>
      <c r="X74" s="435"/>
      <c r="Y74" s="1500">
        <f t="shared" ref="Y74:AE74" si="187">SUM(Y9+Y18)</f>
        <v>8235.3261012666553</v>
      </c>
      <c r="Z74" s="1501">
        <f t="shared" si="187"/>
        <v>8188.1478257572307</v>
      </c>
      <c r="AA74" s="1502">
        <f t="shared" si="187"/>
        <v>47.178275509425475</v>
      </c>
      <c r="AB74" s="1500">
        <f t="shared" si="187"/>
        <v>8646.5</v>
      </c>
      <c r="AC74" s="1501">
        <f t="shared" si="187"/>
        <v>8584.7838214141884</v>
      </c>
      <c r="AD74" s="1502">
        <f t="shared" si="187"/>
        <v>61.716178585811576</v>
      </c>
      <c r="AE74" s="1500">
        <f t="shared" si="187"/>
        <v>8729.4500000000007</v>
      </c>
      <c r="AF74" s="1498">
        <f t="shared" ref="AF74:AF94" si="188">SUM(AE74/Y74)</f>
        <v>1.0600005261063488</v>
      </c>
      <c r="AG74" s="1501">
        <f t="shared" ref="AG74:AI74" si="189">SUM(AG9+AG18)</f>
        <v>8678.7799999999988</v>
      </c>
      <c r="AH74" s="1502">
        <f t="shared" si="189"/>
        <v>50.67</v>
      </c>
      <c r="AI74" s="1500">
        <f t="shared" si="189"/>
        <v>7646.5854110996133</v>
      </c>
      <c r="AJ74" s="1498">
        <f t="shared" ref="AJ74:AJ94" si="190">SUM(AI74/Y74)</f>
        <v>0.92851033669735439</v>
      </c>
      <c r="AK74" s="1501">
        <f t="shared" ref="AK74:AY74" si="191">SUM(AK9+AK18)</f>
        <v>7595.9159432024917</v>
      </c>
      <c r="AL74" s="1502">
        <f t="shared" si="191"/>
        <v>50.669467897122964</v>
      </c>
      <c r="AM74" s="1511" t="e">
        <f t="shared" si="191"/>
        <v>#REF!</v>
      </c>
      <c r="AN74" s="1511" t="e">
        <f t="shared" si="191"/>
        <v>#REF!</v>
      </c>
      <c r="AO74" s="1511" t="e">
        <f t="shared" si="191"/>
        <v>#REF!</v>
      </c>
      <c r="AP74" s="1500">
        <f t="shared" si="191"/>
        <v>4209.3</v>
      </c>
      <c r="AQ74" s="1501">
        <f t="shared" si="191"/>
        <v>4189.1750511749278</v>
      </c>
      <c r="AR74" s="1502">
        <f t="shared" si="191"/>
        <v>20.124948825071897</v>
      </c>
      <c r="AS74" s="1500">
        <f t="shared" si="191"/>
        <v>6232.7999999999993</v>
      </c>
      <c r="AT74" s="1501">
        <f t="shared" si="191"/>
        <v>6201.7999543449114</v>
      </c>
      <c r="AU74" s="1502">
        <f t="shared" si="191"/>
        <v>31.000045655087888</v>
      </c>
      <c r="AV74" s="1500">
        <f t="shared" ref="AV74:AX74" si="192">SUM(AV9+AV18)</f>
        <v>8798</v>
      </c>
      <c r="AW74" s="1501">
        <f t="shared" si="192"/>
        <v>8744.0051247527226</v>
      </c>
      <c r="AX74" s="1502">
        <f t="shared" si="192"/>
        <v>53.994875247278287</v>
      </c>
      <c r="AY74" s="1500">
        <f t="shared" si="191"/>
        <v>7986.29</v>
      </c>
      <c r="AZ74" s="2248">
        <f t="shared" ref="AZ74:AZ94" si="193">SUM(AY74/AI74)</f>
        <v>1.0444256580731157</v>
      </c>
      <c r="BA74" s="1501">
        <f t="shared" ref="BA74:BC74" si="194">SUM(BA9+BA18)</f>
        <v>7953.5690831232314</v>
      </c>
      <c r="BB74" s="1502">
        <f t="shared" si="194"/>
        <v>32.72091687676857</v>
      </c>
      <c r="BC74" s="1500">
        <f t="shared" si="194"/>
        <v>7602.7711160850849</v>
      </c>
      <c r="BD74" s="2248">
        <f t="shared" ref="BD74:BD94" si="195">SUM(BC74/AI74)</f>
        <v>0.99427008361785529</v>
      </c>
      <c r="BE74" s="1501">
        <f t="shared" ref="BE74:BF74" si="196">SUM(BE9+BE18)</f>
        <v>7570.0147556202828</v>
      </c>
      <c r="BF74" s="1502">
        <f t="shared" si="196"/>
        <v>32.756360464803038</v>
      </c>
      <c r="BG74" s="1513"/>
      <c r="BH74" s="1500">
        <f t="shared" ref="BH74:BJ74" si="197">SUM(BH9+BH18)</f>
        <v>5105.21</v>
      </c>
      <c r="BI74" s="1501">
        <f t="shared" si="197"/>
        <v>5074.692930449829</v>
      </c>
      <c r="BJ74" s="1502">
        <f t="shared" si="197"/>
        <v>30.517069550171072</v>
      </c>
      <c r="BK74" s="1500">
        <f t="shared" ref="BK74:BM74" si="198">SUM(BK9+BK18)</f>
        <v>7248.59</v>
      </c>
      <c r="BL74" s="1501">
        <f t="shared" si="198"/>
        <v>7203.7664595680426</v>
      </c>
      <c r="BM74" s="1502">
        <f t="shared" si="198"/>
        <v>44.823540431957554</v>
      </c>
      <c r="BN74" s="1500">
        <f t="shared" ref="BN74:BQ74" si="199">SUM(BN9+BN18)</f>
        <v>9493.0295132764822</v>
      </c>
      <c r="BO74" s="1501">
        <f t="shared" si="199"/>
        <v>9434.3288525721146</v>
      </c>
      <c r="BP74" s="1502">
        <f t="shared" si="199"/>
        <v>58.700660704367692</v>
      </c>
      <c r="BQ74" s="2798">
        <f t="shared" si="199"/>
        <v>7781.3577352883385</v>
      </c>
      <c r="BR74" s="3431">
        <f t="shared" ref="BR74:BR94" si="200">SUM(BQ74/BC74)</f>
        <v>1.0234896745510884</v>
      </c>
      <c r="BS74" s="2799">
        <f t="shared" ref="BS74:BU74" si="201">SUM(BS9+BS18)</f>
        <v>7737.5864719207584</v>
      </c>
      <c r="BT74" s="2800">
        <f t="shared" si="201"/>
        <v>43.771263367580104</v>
      </c>
      <c r="BU74" s="2798">
        <f t="shared" si="201"/>
        <v>7536.43</v>
      </c>
      <c r="BV74" s="3702">
        <f t="shared" ref="BV74:BV94" si="202">SUM(BU74/BC74)</f>
        <v>0.99127408742521161</v>
      </c>
      <c r="BW74" s="2799">
        <f t="shared" ref="BW74:BX74" si="203">SUM(BW9+BW18)</f>
        <v>7465.7000000000007</v>
      </c>
      <c r="BX74" s="2800">
        <f t="shared" si="203"/>
        <v>70.73</v>
      </c>
    </row>
    <row r="75" spans="1:76" ht="20.25" customHeight="1">
      <c r="A75" s="1339" t="s">
        <v>2</v>
      </c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1512">
        <f>SUM(W10+W20+W32+W35+W11+W21+W36)</f>
        <v>5225.95</v>
      </c>
      <c r="X75" s="435"/>
      <c r="Y75" s="1503">
        <f t="shared" ref="Y75:AE75" si="204">SUM(Y10+Y20+Y32+Y35+Y11+Y21+Y36)</f>
        <v>4787.7299999999996</v>
      </c>
      <c r="Z75" s="1504">
        <f t="shared" si="204"/>
        <v>4780.4040436191353</v>
      </c>
      <c r="AA75" s="1505">
        <f t="shared" si="204"/>
        <v>7.325956380864227</v>
      </c>
      <c r="AB75" s="1503">
        <f t="shared" si="204"/>
        <v>4702.5</v>
      </c>
      <c r="AC75" s="1504">
        <f t="shared" si="204"/>
        <v>4695.2553708072028</v>
      </c>
      <c r="AD75" s="1505">
        <f t="shared" si="204"/>
        <v>7.2446291927966513</v>
      </c>
      <c r="AE75" s="1503">
        <f t="shared" si="204"/>
        <v>4822.1000000000004</v>
      </c>
      <c r="AF75" s="1419">
        <f t="shared" si="188"/>
        <v>1.0071787673908097</v>
      </c>
      <c r="AG75" s="1504">
        <f t="shared" ref="AG75:AI75" si="205">SUM(AG10+AG20+AG32+AG35+AG11+AG21+AG36)</f>
        <v>5112.1000000000004</v>
      </c>
      <c r="AH75" s="1505">
        <f t="shared" si="205"/>
        <v>0</v>
      </c>
      <c r="AI75" s="1503">
        <f t="shared" si="205"/>
        <v>4822.1000000000004</v>
      </c>
      <c r="AJ75" s="1419">
        <f t="shared" si="190"/>
        <v>1.0071787673908097</v>
      </c>
      <c r="AK75" s="1504">
        <f t="shared" ref="AK75:AY75" si="206">SUM(AK10+AK20+AK32+AK35+AK11+AK21+AK36)</f>
        <v>4822.1000000000004</v>
      </c>
      <c r="AL75" s="1505">
        <f t="shared" si="206"/>
        <v>0</v>
      </c>
      <c r="AM75" s="1512" t="e">
        <f t="shared" si="206"/>
        <v>#REF!</v>
      </c>
      <c r="AN75" s="1512" t="e">
        <f t="shared" si="206"/>
        <v>#REF!</v>
      </c>
      <c r="AO75" s="1512" t="e">
        <f t="shared" si="206"/>
        <v>#REF!</v>
      </c>
      <c r="AP75" s="1503">
        <f t="shared" si="206"/>
        <v>2400.7200000000003</v>
      </c>
      <c r="AQ75" s="1504">
        <f t="shared" si="206"/>
        <v>2398.3597129415707</v>
      </c>
      <c r="AR75" s="1505">
        <f t="shared" si="206"/>
        <v>2.3602870584292077</v>
      </c>
      <c r="AS75" s="1503">
        <f t="shared" si="206"/>
        <v>3628.3500000000004</v>
      </c>
      <c r="AT75" s="1504">
        <f t="shared" si="206"/>
        <v>3624.8802274038444</v>
      </c>
      <c r="AU75" s="1505">
        <f t="shared" si="206"/>
        <v>3.469772596155849</v>
      </c>
      <c r="AV75" s="1503">
        <f t="shared" ref="AV75:AX75" si="207">SUM(AV10+AV20+AV32+AV35+AV11+AV21+AV36)</f>
        <v>5183.68</v>
      </c>
      <c r="AW75" s="1504">
        <f t="shared" si="207"/>
        <v>5178.4575841368242</v>
      </c>
      <c r="AX75" s="1505">
        <f t="shared" si="207"/>
        <v>5.2224158631754563</v>
      </c>
      <c r="AY75" s="1503">
        <f t="shared" si="206"/>
        <v>4822.1000000000004</v>
      </c>
      <c r="AZ75" s="2249">
        <f t="shared" si="193"/>
        <v>1</v>
      </c>
      <c r="BA75" s="1504">
        <f t="shared" ref="BA75:BC75" si="208">SUM(BA10+BA20+BA32+BA35+BA11+BA21+BA36)</f>
        <v>4816.8478665871171</v>
      </c>
      <c r="BB75" s="1505">
        <f t="shared" si="208"/>
        <v>5.2521334128832677</v>
      </c>
      <c r="BC75" s="1503">
        <f t="shared" si="208"/>
        <v>4822.1000000000004</v>
      </c>
      <c r="BD75" s="2249">
        <f t="shared" si="195"/>
        <v>1</v>
      </c>
      <c r="BE75" s="1504">
        <f t="shared" ref="BE75:BF75" si="209">SUM(BE10+BE20+BE32+BE35+BE11+BE21+BE36)</f>
        <v>4816.8478665871171</v>
      </c>
      <c r="BF75" s="1505">
        <f t="shared" si="209"/>
        <v>5.2521334128832677</v>
      </c>
      <c r="BG75" s="1514"/>
      <c r="BH75" s="1503">
        <f t="shared" ref="BH75:BJ75" si="210">SUM(BH10+BH20+BH32+BH35+BH11+BH21+BH36)</f>
        <v>2504.7599999999998</v>
      </c>
      <c r="BI75" s="1504">
        <f t="shared" si="210"/>
        <v>2502.8754017531737</v>
      </c>
      <c r="BJ75" s="1505">
        <f t="shared" si="210"/>
        <v>1.8845982468261013</v>
      </c>
      <c r="BK75" s="1503">
        <f t="shared" ref="BK75:BM75" si="211">SUM(BK10+BK20+BK32+BK35+BK11+BK21+BK36)</f>
        <v>3759.56</v>
      </c>
      <c r="BL75" s="1504">
        <f t="shared" si="211"/>
        <v>3756.6350400458164</v>
      </c>
      <c r="BM75" s="1505">
        <f t="shared" si="211"/>
        <v>2.9249599541838052</v>
      </c>
      <c r="BN75" s="1503">
        <f t="shared" ref="BN75:BQ75" si="212">SUM(BN10+BN20+BN32+BN35+BN11+BN21+BN36)</f>
        <v>5012.746666666666</v>
      </c>
      <c r="BO75" s="1504">
        <f t="shared" si="212"/>
        <v>5008.8467200610885</v>
      </c>
      <c r="BP75" s="1505">
        <f t="shared" si="212"/>
        <v>3.8999466055784069</v>
      </c>
      <c r="BQ75" s="3384">
        <f t="shared" si="212"/>
        <v>5183.68</v>
      </c>
      <c r="BR75" s="3431">
        <f t="shared" si="200"/>
        <v>1.0749839281640778</v>
      </c>
      <c r="BS75" s="3385">
        <f t="shared" ref="BS75:BU75" si="213">SUM(BS10+BS20+BS32+BS35+BS11+BS21+BS36)</f>
        <v>5178.5632671424137</v>
      </c>
      <c r="BT75" s="3386">
        <f t="shared" si="213"/>
        <v>5.1167328575860438</v>
      </c>
      <c r="BU75" s="3384">
        <f t="shared" si="213"/>
        <v>5180.71</v>
      </c>
      <c r="BV75" s="3702">
        <f t="shared" si="202"/>
        <v>1.0743680139358369</v>
      </c>
      <c r="BW75" s="3385">
        <f t="shared" ref="BW75:BX75" si="214">SUM(BW10+BW20+BW32+BW35+BW11+BW21+BW36)</f>
        <v>5175.59</v>
      </c>
      <c r="BX75" s="3386">
        <f t="shared" si="214"/>
        <v>5.12</v>
      </c>
    </row>
    <row r="76" spans="1:76" ht="20.25" customHeight="1">
      <c r="A76" s="1339" t="s">
        <v>3</v>
      </c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1512">
        <f>SUM(W12+W22+W28+W37)</f>
        <v>2541</v>
      </c>
      <c r="X76" s="435"/>
      <c r="Y76" s="1503">
        <f t="shared" ref="Y76:AE76" si="215">SUM(Y12+Y22+Y28+Y37)</f>
        <v>699.72213333333343</v>
      </c>
      <c r="Z76" s="1504">
        <f t="shared" si="215"/>
        <v>699.72213333333343</v>
      </c>
      <c r="AA76" s="1505">
        <f t="shared" si="215"/>
        <v>0.3</v>
      </c>
      <c r="AB76" s="1503">
        <f t="shared" si="215"/>
        <v>658.1</v>
      </c>
      <c r="AC76" s="1504">
        <f t="shared" si="215"/>
        <v>658.1</v>
      </c>
      <c r="AD76" s="1505">
        <f t="shared" si="215"/>
        <v>0</v>
      </c>
      <c r="AE76" s="1503">
        <f t="shared" si="215"/>
        <v>1570</v>
      </c>
      <c r="AF76" s="1419">
        <f t="shared" si="188"/>
        <v>2.2437478038901535</v>
      </c>
      <c r="AG76" s="1504">
        <f t="shared" ref="AG76:AI76" si="216">SUM(AG12+AG22+AG28+AG37)</f>
        <v>1570</v>
      </c>
      <c r="AH76" s="1505">
        <f t="shared" si="216"/>
        <v>0</v>
      </c>
      <c r="AI76" s="1503">
        <f t="shared" si="216"/>
        <v>361.53</v>
      </c>
      <c r="AJ76" s="1419">
        <f t="shared" si="190"/>
        <v>0.51667652454803004</v>
      </c>
      <c r="AK76" s="1504">
        <f t="shared" ref="AK76:AY76" si="217">SUM(AK12+AK22+AK28+AK37)</f>
        <v>361.53</v>
      </c>
      <c r="AL76" s="1505">
        <f t="shared" si="217"/>
        <v>0</v>
      </c>
      <c r="AM76" s="1512" t="e">
        <f t="shared" si="217"/>
        <v>#REF!</v>
      </c>
      <c r="AN76" s="1512" t="e">
        <f t="shared" si="217"/>
        <v>#REF!</v>
      </c>
      <c r="AO76" s="1512" t="e">
        <f t="shared" si="217"/>
        <v>#REF!</v>
      </c>
      <c r="AP76" s="1503">
        <f t="shared" si="217"/>
        <v>0</v>
      </c>
      <c r="AQ76" s="1504">
        <f t="shared" si="217"/>
        <v>0</v>
      </c>
      <c r="AR76" s="1505">
        <f t="shared" si="217"/>
        <v>0</v>
      </c>
      <c r="AS76" s="1503">
        <f t="shared" si="217"/>
        <v>0</v>
      </c>
      <c r="AT76" s="1504">
        <f t="shared" si="217"/>
        <v>0</v>
      </c>
      <c r="AU76" s="1505">
        <f t="shared" si="217"/>
        <v>0</v>
      </c>
      <c r="AV76" s="1503">
        <f t="shared" ref="AV76:AX76" si="218">SUM(AV12+AV22+AV28+AV37)</f>
        <v>1188.7399999999998</v>
      </c>
      <c r="AW76" s="1504">
        <f t="shared" si="218"/>
        <v>1188.7399999999998</v>
      </c>
      <c r="AX76" s="1505">
        <f t="shared" si="218"/>
        <v>0</v>
      </c>
      <c r="AY76" s="1503">
        <f t="shared" si="217"/>
        <v>1598.377</v>
      </c>
      <c r="AZ76" s="2249">
        <f t="shared" si="193"/>
        <v>4.4211462395928418</v>
      </c>
      <c r="BA76" s="1504">
        <f t="shared" ref="BA76:BC76" si="219">SUM(BA12+BA22+BA28+BA37)</f>
        <v>1598.377</v>
      </c>
      <c r="BB76" s="1505">
        <f t="shared" si="219"/>
        <v>0</v>
      </c>
      <c r="BC76" s="1503">
        <f t="shared" si="219"/>
        <v>301.27555932203393</v>
      </c>
      <c r="BD76" s="2249">
        <f t="shared" si="195"/>
        <v>0.83333488043048698</v>
      </c>
      <c r="BE76" s="1504">
        <f t="shared" ref="BE76:BF76" si="220">SUM(BE12+BE22+BE28+BE37)</f>
        <v>301.27555932203393</v>
      </c>
      <c r="BF76" s="1505">
        <f t="shared" si="220"/>
        <v>0</v>
      </c>
      <c r="BG76" s="1514"/>
      <c r="BH76" s="1503">
        <f t="shared" ref="BH76:BJ76" si="221">SUM(BH12+BH22+BH28+BH37)</f>
        <v>776.3599999999999</v>
      </c>
      <c r="BI76" s="1504">
        <f t="shared" si="221"/>
        <v>776.3599999999999</v>
      </c>
      <c r="BJ76" s="1505">
        <f t="shared" si="221"/>
        <v>0</v>
      </c>
      <c r="BK76" s="1503">
        <f t="shared" ref="BK76:BM76" si="222">SUM(BK12+BK22+BK28+BK37)</f>
        <v>1105.21</v>
      </c>
      <c r="BL76" s="1504">
        <f t="shared" si="222"/>
        <v>1105.21</v>
      </c>
      <c r="BM76" s="1505">
        <f t="shared" si="222"/>
        <v>0</v>
      </c>
      <c r="BN76" s="1503">
        <f t="shared" ref="BN76:BQ76" si="223">SUM(BN12+BN22+BN28+BN37)</f>
        <v>1473.61</v>
      </c>
      <c r="BO76" s="1504">
        <f t="shared" si="223"/>
        <v>1473.61</v>
      </c>
      <c r="BP76" s="1505">
        <f t="shared" si="223"/>
        <v>0</v>
      </c>
      <c r="BQ76" s="3384">
        <f t="shared" si="223"/>
        <v>594.36999999999989</v>
      </c>
      <c r="BR76" s="3431">
        <f t="shared" si="200"/>
        <v>1.9728450636272052</v>
      </c>
      <c r="BS76" s="3385">
        <f t="shared" ref="BS76:BU76" si="224">SUM(BS12+BS22+BS28+BS37)</f>
        <v>591.93187868445546</v>
      </c>
      <c r="BT76" s="3386">
        <f t="shared" si="224"/>
        <v>2.4381213155444925</v>
      </c>
      <c r="BU76" s="3384">
        <f t="shared" si="224"/>
        <v>319.4394627935593</v>
      </c>
      <c r="BV76" s="3702">
        <f t="shared" si="202"/>
        <v>1.0602899999999997</v>
      </c>
      <c r="BW76" s="3385">
        <f t="shared" ref="BW76:BX76" si="225">SUM(BW12+BW22+BW28+BW37)</f>
        <v>319.4394627935593</v>
      </c>
      <c r="BX76" s="3386">
        <f t="shared" si="225"/>
        <v>0</v>
      </c>
    </row>
    <row r="77" spans="1:76" ht="20.25" customHeight="1">
      <c r="A77" s="1339" t="s">
        <v>4</v>
      </c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1512">
        <f>SUM(W13+W23+W29+W38)</f>
        <v>36122.5</v>
      </c>
      <c r="X77" s="435"/>
      <c r="Y77" s="1503">
        <f t="shared" ref="Y77:AE77" si="226">SUM(Y13+Y23+Y29+Y38)</f>
        <v>29058.489073151999</v>
      </c>
      <c r="Z77" s="1504">
        <f t="shared" si="226"/>
        <v>28936.810380981115</v>
      </c>
      <c r="AA77" s="1505">
        <f t="shared" si="226"/>
        <v>121.67869217088264</v>
      </c>
      <c r="AB77" s="1503">
        <f t="shared" si="226"/>
        <v>27156.3</v>
      </c>
      <c r="AC77" s="1504">
        <f t="shared" si="226"/>
        <v>27031.316897761924</v>
      </c>
      <c r="AD77" s="1505">
        <f t="shared" si="226"/>
        <v>124.98310223807493</v>
      </c>
      <c r="AE77" s="1503">
        <f t="shared" si="226"/>
        <v>35777.909999999996</v>
      </c>
      <c r="AF77" s="1419">
        <f t="shared" si="188"/>
        <v>1.2312377945712349</v>
      </c>
      <c r="AG77" s="1504">
        <f t="shared" ref="AG77:AI77" si="227">SUM(AG13+AG23+AG29+AG38)</f>
        <v>35648.080000000002</v>
      </c>
      <c r="AH77" s="1505">
        <f t="shared" si="227"/>
        <v>129.83000000000001</v>
      </c>
      <c r="AI77" s="1503">
        <f t="shared" si="227"/>
        <v>33825.43102756892</v>
      </c>
      <c r="AJ77" s="1419">
        <f t="shared" si="190"/>
        <v>1.1640464492980553</v>
      </c>
      <c r="AK77" s="1504">
        <f t="shared" ref="AK77:AY77" si="228">SUM(AK13+AK23+AK29+AK38)</f>
        <v>33695.599863022588</v>
      </c>
      <c r="AL77" s="1505">
        <f t="shared" si="228"/>
        <v>129.83116454633176</v>
      </c>
      <c r="AM77" s="1512" t="e">
        <f t="shared" si="228"/>
        <v>#REF!</v>
      </c>
      <c r="AN77" s="1512" t="e">
        <f t="shared" si="228"/>
        <v>#REF!</v>
      </c>
      <c r="AO77" s="1512" t="e">
        <f t="shared" si="228"/>
        <v>#REF!</v>
      </c>
      <c r="AP77" s="1503">
        <f t="shared" si="228"/>
        <v>13487.5</v>
      </c>
      <c r="AQ77" s="1504">
        <f t="shared" si="228"/>
        <v>13445.730211762451</v>
      </c>
      <c r="AR77" s="1505">
        <f t="shared" si="228"/>
        <v>41.7697882375478</v>
      </c>
      <c r="AS77" s="1503">
        <f t="shared" si="228"/>
        <v>21008.800000000003</v>
      </c>
      <c r="AT77" s="1504">
        <f t="shared" si="228"/>
        <v>20942.186943474851</v>
      </c>
      <c r="AU77" s="1505">
        <f t="shared" si="228"/>
        <v>66.613056525149659</v>
      </c>
      <c r="AV77" s="1503">
        <f t="shared" ref="AV77:AX77" si="229">SUM(AV13+AV23+AV29+AV38)</f>
        <v>28330.609999999997</v>
      </c>
      <c r="AW77" s="1504">
        <f t="shared" si="229"/>
        <v>28219.359162136479</v>
      </c>
      <c r="AX77" s="1505">
        <f t="shared" si="229"/>
        <v>111.25083786351934</v>
      </c>
      <c r="AY77" s="1503">
        <f t="shared" si="228"/>
        <v>38721.19</v>
      </c>
      <c r="AZ77" s="2249">
        <f t="shared" si="193"/>
        <v>1.144736041011299</v>
      </c>
      <c r="BA77" s="1504">
        <f t="shared" ref="BA77:BC77" si="230">SUM(BA13+BA23+BA29+BA38)</f>
        <v>38612.870501164376</v>
      </c>
      <c r="BB77" s="1505">
        <f t="shared" si="230"/>
        <v>108.31949883561902</v>
      </c>
      <c r="BC77" s="1503">
        <f t="shared" si="230"/>
        <v>32268.319991397846</v>
      </c>
      <c r="BD77" s="2249">
        <f t="shared" si="195"/>
        <v>0.95396626180751476</v>
      </c>
      <c r="BE77" s="1504">
        <f t="shared" ref="BE77:BF77" si="231">SUM(BE13+BE23+BE29+BE38)</f>
        <v>32172.3825121392</v>
      </c>
      <c r="BF77" s="1505">
        <f t="shared" si="231"/>
        <v>95.937479258645908</v>
      </c>
      <c r="BG77" s="1514"/>
      <c r="BH77" s="1503">
        <f t="shared" ref="BH77:BJ77" si="232">SUM(BH13+BH23+BH29+BH38)</f>
        <v>14329.34</v>
      </c>
      <c r="BI77" s="1504">
        <f t="shared" si="232"/>
        <v>14278.675722534559</v>
      </c>
      <c r="BJ77" s="1505">
        <f t="shared" si="232"/>
        <v>50.664277465441046</v>
      </c>
      <c r="BK77" s="1503">
        <f t="shared" ref="BK77:BM77" si="233">SUM(BK13+BK23+BK29+BK38)</f>
        <v>22603.96</v>
      </c>
      <c r="BL77" s="1504">
        <f t="shared" si="233"/>
        <v>22522.575924351153</v>
      </c>
      <c r="BM77" s="1505">
        <f t="shared" si="233"/>
        <v>81.384075648848011</v>
      </c>
      <c r="BN77" s="1503">
        <f t="shared" ref="BN77:BQ77" si="234">SUM(BN13+BN23+BN29+BN38)</f>
        <v>30878.58</v>
      </c>
      <c r="BO77" s="1504">
        <f t="shared" si="234"/>
        <v>30767.815544197911</v>
      </c>
      <c r="BP77" s="1505">
        <f t="shared" si="234"/>
        <v>110.76445580208747</v>
      </c>
      <c r="BQ77" s="3384">
        <f t="shared" si="234"/>
        <v>35495.151990537634</v>
      </c>
      <c r="BR77" s="3431">
        <f t="shared" si="200"/>
        <v>1.1000000000000001</v>
      </c>
      <c r="BS77" s="3385">
        <f t="shared" ref="BS77:BU77" si="235">SUM(BS13+BS23+BS29+BS38)</f>
        <v>35357.370473268005</v>
      </c>
      <c r="BT77" s="3386">
        <f t="shared" si="235"/>
        <v>137.7815172696246</v>
      </c>
      <c r="BU77" s="3384">
        <f t="shared" si="235"/>
        <v>34213.777003679221</v>
      </c>
      <c r="BV77" s="3702">
        <f t="shared" si="202"/>
        <v>1.06029</v>
      </c>
      <c r="BW77" s="3385">
        <f t="shared" ref="BW77:BX77" si="236">SUM(BW13+BW23+BW29+BW38)</f>
        <v>34083.900978710328</v>
      </c>
      <c r="BX77" s="3386">
        <f t="shared" si="236"/>
        <v>129.87602496889303</v>
      </c>
    </row>
    <row r="78" spans="1:76" ht="20.25" customHeight="1">
      <c r="A78" s="1339" t="s">
        <v>5</v>
      </c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1512">
        <f>SUM(W14+W24+W30+W39)</f>
        <v>10909</v>
      </c>
      <c r="X78" s="435"/>
      <c r="Y78" s="1503">
        <f t="shared" ref="Y78:AE78" si="237">SUM(Y14+Y24+Y30+Y39)</f>
        <v>8727.1974454428309</v>
      </c>
      <c r="Z78" s="1504">
        <f t="shared" si="237"/>
        <v>8690.5429262659345</v>
      </c>
      <c r="AA78" s="1505">
        <f t="shared" si="237"/>
        <v>36.654519176896429</v>
      </c>
      <c r="AB78" s="1503">
        <f t="shared" si="237"/>
        <v>8173.8</v>
      </c>
      <c r="AC78" s="1504">
        <f t="shared" si="237"/>
        <v>8135.9036131407865</v>
      </c>
      <c r="AD78" s="1505">
        <f t="shared" si="237"/>
        <v>37.896386859213635</v>
      </c>
      <c r="AE78" s="1503">
        <f t="shared" si="237"/>
        <v>10789.099999999999</v>
      </c>
      <c r="AF78" s="1419">
        <f t="shared" si="188"/>
        <v>1.2362617057133103</v>
      </c>
      <c r="AG78" s="1504">
        <f t="shared" ref="AG78:AI78" si="238">SUM(AG14+AG24+AG30+AG39)</f>
        <v>10749.89</v>
      </c>
      <c r="AH78" s="1505">
        <f t="shared" si="238"/>
        <v>39.21</v>
      </c>
      <c r="AI78" s="1503">
        <f t="shared" si="238"/>
        <v>10168.746925188269</v>
      </c>
      <c r="AJ78" s="1419">
        <f t="shared" si="190"/>
        <v>1.1651789693950589</v>
      </c>
      <c r="AK78" s="1504">
        <f t="shared" ref="AK78:AY78" si="239">SUM(AK14+AK24+AK30+AK39)</f>
        <v>10129.537913495275</v>
      </c>
      <c r="AL78" s="1505">
        <f t="shared" si="239"/>
        <v>39.209011692992192</v>
      </c>
      <c r="AM78" s="1512" t="e">
        <f t="shared" si="239"/>
        <v>#REF!</v>
      </c>
      <c r="AN78" s="1512" t="e">
        <f t="shared" si="239"/>
        <v>#REF!</v>
      </c>
      <c r="AO78" s="1512" t="e">
        <f t="shared" si="239"/>
        <v>#REF!</v>
      </c>
      <c r="AP78" s="1503">
        <f t="shared" si="239"/>
        <v>0</v>
      </c>
      <c r="AQ78" s="1504">
        <f t="shared" si="239"/>
        <v>0</v>
      </c>
      <c r="AR78" s="1505">
        <f t="shared" si="239"/>
        <v>0</v>
      </c>
      <c r="AS78" s="1503">
        <f t="shared" si="239"/>
        <v>0</v>
      </c>
      <c r="AT78" s="1504">
        <f t="shared" si="239"/>
        <v>0</v>
      </c>
      <c r="AU78" s="1505">
        <f t="shared" si="239"/>
        <v>0</v>
      </c>
      <c r="AV78" s="1503">
        <f t="shared" ref="AV78:AX78" si="240">SUM(AV14+AV24+AV30+AV39)</f>
        <v>8556.83</v>
      </c>
      <c r="AW78" s="1504">
        <f t="shared" si="240"/>
        <v>8523.2275366594495</v>
      </c>
      <c r="AX78" s="1505">
        <f t="shared" si="240"/>
        <v>33.602463340550457</v>
      </c>
      <c r="AY78" s="1503">
        <f t="shared" si="239"/>
        <v>11677.376844400829</v>
      </c>
      <c r="AZ78" s="2249">
        <f t="shared" si="193"/>
        <v>1.1483594714581442</v>
      </c>
      <c r="BA78" s="1504">
        <f t="shared" ref="BA78:BC78" si="241">SUM(BA14+BA24+BA30+BA39)</f>
        <v>11644.664363114634</v>
      </c>
      <c r="BB78" s="1505">
        <f t="shared" si="241"/>
        <v>32.712481286194311</v>
      </c>
      <c r="BC78" s="1503">
        <f t="shared" si="241"/>
        <v>9686.319944566636</v>
      </c>
      <c r="BD78" s="2249">
        <f t="shared" si="195"/>
        <v>0.9525578732393617</v>
      </c>
      <c r="BE78" s="1504">
        <f t="shared" ref="BE78:BF78" si="242">SUM(BE14+BE24+BE30+BE39)</f>
        <v>9657.4197147028026</v>
      </c>
      <c r="BF78" s="1505">
        <f t="shared" si="242"/>
        <v>28.900229863833449</v>
      </c>
      <c r="BG78" s="1514"/>
      <c r="BH78" s="1503">
        <f t="shared" ref="BH78:BJ78" si="243">SUM(BH14+BH24+BH30+BH39)</f>
        <v>4328.75</v>
      </c>
      <c r="BI78" s="1504">
        <f t="shared" si="243"/>
        <v>4313.4470492676091</v>
      </c>
      <c r="BJ78" s="1505">
        <f t="shared" si="243"/>
        <v>15.302950732390855</v>
      </c>
      <c r="BK78" s="1503">
        <f t="shared" ref="BK78:BM78" si="244">SUM(BK14+BK24+BK30+BK39)</f>
        <v>6833.39</v>
      </c>
      <c r="BL78" s="1504">
        <f t="shared" si="244"/>
        <v>6808.810366443081</v>
      </c>
      <c r="BM78" s="1505">
        <f t="shared" si="244"/>
        <v>24.579633556919362</v>
      </c>
      <c r="BN78" s="1503">
        <f t="shared" ref="BN78:BQ78" si="245">SUM(BN14+BN24+BN30+BN39)</f>
        <v>9335.2900000000009</v>
      </c>
      <c r="BO78" s="1504">
        <f t="shared" si="245"/>
        <v>9301.8391149137042</v>
      </c>
      <c r="BP78" s="1505">
        <f t="shared" si="245"/>
        <v>33.450885086295784</v>
      </c>
      <c r="BQ78" s="3384">
        <f t="shared" si="245"/>
        <v>10722.253612333763</v>
      </c>
      <c r="BR78" s="3431">
        <f t="shared" si="200"/>
        <v>1.1069481158681131</v>
      </c>
      <c r="BS78" s="3385">
        <f t="shared" ref="BS78:BU78" si="246">SUM(BS14+BS24+BS30+BS39)</f>
        <v>10680.643594118335</v>
      </c>
      <c r="BT78" s="3386">
        <f t="shared" si="246"/>
        <v>41.610018215426628</v>
      </c>
      <c r="BU78" s="3384">
        <f t="shared" si="246"/>
        <v>10270.30817402456</v>
      </c>
      <c r="BV78" s="3702">
        <f t="shared" si="202"/>
        <v>1.0602900000000002</v>
      </c>
      <c r="BW78" s="3385">
        <f t="shared" ref="BW78:BX78" si="247">SUM(BW14+BW24+BW30+BW39)</f>
        <v>10231.184288298076</v>
      </c>
      <c r="BX78" s="3386">
        <f t="shared" si="247"/>
        <v>39.123885726482513</v>
      </c>
    </row>
    <row r="79" spans="1:76" ht="20.25" customHeight="1">
      <c r="A79" s="1339" t="s">
        <v>8</v>
      </c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1512">
        <f>SUM(W19)</f>
        <v>598.5</v>
      </c>
      <c r="X79" s="435"/>
      <c r="Y79" s="1503">
        <f t="shared" ref="Y79:AE79" si="248">SUM(Y19)</f>
        <v>489.28469176470583</v>
      </c>
      <c r="Z79" s="1504">
        <f t="shared" si="248"/>
        <v>485.55447384072301</v>
      </c>
      <c r="AA79" s="1505">
        <f t="shared" si="248"/>
        <v>3.7302179239828206</v>
      </c>
      <c r="AB79" s="1503">
        <f t="shared" si="248"/>
        <v>368.69950000000006</v>
      </c>
      <c r="AC79" s="1504">
        <f t="shared" si="248"/>
        <v>365.49636873597615</v>
      </c>
      <c r="AD79" s="1505">
        <f t="shared" si="248"/>
        <v>3.2031312640239094</v>
      </c>
      <c r="AE79" s="1503">
        <f t="shared" si="248"/>
        <v>473.71</v>
      </c>
      <c r="AF79" s="1419">
        <f t="shared" si="188"/>
        <v>0.96816844665928026</v>
      </c>
      <c r="AG79" s="1504">
        <f t="shared" ref="AG79:AI79" si="249">SUM(AG19)</f>
        <v>469.69</v>
      </c>
      <c r="AH79" s="1505">
        <f t="shared" si="249"/>
        <v>4.01</v>
      </c>
      <c r="AI79" s="1503">
        <f t="shared" si="249"/>
        <v>406.01364163361512</v>
      </c>
      <c r="AJ79" s="1419">
        <f t="shared" si="190"/>
        <v>0.82981063676699851</v>
      </c>
      <c r="AK79" s="1504">
        <f t="shared" ref="AK79:AY79" si="250">SUM(AK19)</f>
        <v>401.99992714740961</v>
      </c>
      <c r="AL79" s="1505">
        <f t="shared" si="250"/>
        <v>4.0137144862055152</v>
      </c>
      <c r="AM79" s="1512" t="e">
        <f t="shared" si="250"/>
        <v>#REF!</v>
      </c>
      <c r="AN79" s="1512" t="e">
        <f t="shared" si="250"/>
        <v>#REF!</v>
      </c>
      <c r="AO79" s="1512" t="e">
        <f t="shared" si="250"/>
        <v>#REF!</v>
      </c>
      <c r="AP79" s="1503">
        <f t="shared" si="250"/>
        <v>0</v>
      </c>
      <c r="AQ79" s="1504">
        <f t="shared" si="250"/>
        <v>0</v>
      </c>
      <c r="AR79" s="1505">
        <f t="shared" si="250"/>
        <v>0</v>
      </c>
      <c r="AS79" s="1503">
        <f t="shared" si="250"/>
        <v>0</v>
      </c>
      <c r="AT79" s="1504">
        <f t="shared" si="250"/>
        <v>0</v>
      </c>
      <c r="AU79" s="1505">
        <f t="shared" si="250"/>
        <v>0</v>
      </c>
      <c r="AV79" s="1503">
        <f t="shared" ref="AV79:AX79" si="251">SUM(AV19)</f>
        <v>356.78</v>
      </c>
      <c r="AW79" s="1504">
        <f t="shared" si="251"/>
        <v>354.18135628280811</v>
      </c>
      <c r="AX79" s="1505">
        <f t="shared" si="251"/>
        <v>2.5986437171918624</v>
      </c>
      <c r="AY79" s="1503">
        <f t="shared" si="250"/>
        <v>347.67</v>
      </c>
      <c r="AZ79" s="2249">
        <f t="shared" si="193"/>
        <v>0.8563012774672627</v>
      </c>
      <c r="BA79" s="1504">
        <f t="shared" ref="BA79:BC79" si="252">SUM(BA19)</f>
        <v>345.76968860062743</v>
      </c>
      <c r="BB79" s="1505">
        <f t="shared" si="252"/>
        <v>1.9003113993725833</v>
      </c>
      <c r="BC79" s="1503">
        <f t="shared" si="252"/>
        <v>229.75931518119856</v>
      </c>
      <c r="BD79" s="2249">
        <f t="shared" si="195"/>
        <v>0.56589062933144574</v>
      </c>
      <c r="BE79" s="1504">
        <f t="shared" ref="BE79:BF79" si="253">SUM(BE19)</f>
        <v>176.75931518119856</v>
      </c>
      <c r="BF79" s="1505">
        <f t="shared" si="253"/>
        <v>53</v>
      </c>
      <c r="BG79" s="1514"/>
      <c r="BH79" s="1503">
        <f t="shared" ref="BH79:BJ79" si="254">SUM(BH19)</f>
        <v>268.25635</v>
      </c>
      <c r="BI79" s="1504">
        <f t="shared" si="254"/>
        <v>266.51695400168597</v>
      </c>
      <c r="BJ79" s="1505">
        <f t="shared" si="254"/>
        <v>1.7393959983140235</v>
      </c>
      <c r="BK79" s="1503">
        <f t="shared" ref="BK79:BM79" si="255">SUM(BK19)</f>
        <v>443.16558899999995</v>
      </c>
      <c r="BL79" s="1504">
        <f t="shared" si="255"/>
        <v>440.2160996013987</v>
      </c>
      <c r="BM79" s="1505">
        <f t="shared" si="255"/>
        <v>2.9494893986012585</v>
      </c>
      <c r="BN79" s="1503">
        <f t="shared" ref="BN79:BQ79" si="256">SUM(BN19)</f>
        <v>602.7244816900585</v>
      </c>
      <c r="BO79" s="1504">
        <f t="shared" si="256"/>
        <v>598.71304778555862</v>
      </c>
      <c r="BP79" s="1505">
        <f t="shared" si="256"/>
        <v>4.0114339044998815</v>
      </c>
      <c r="BQ79" s="3384">
        <f t="shared" si="256"/>
        <v>409.83814715477445</v>
      </c>
      <c r="BR79" s="3431">
        <f t="shared" si="200"/>
        <v>1.7837716256751444</v>
      </c>
      <c r="BS79" s="3385">
        <f t="shared" ref="BS79:BU79" si="257">SUM(BS19)</f>
        <v>406.91345668485206</v>
      </c>
      <c r="BT79" s="3386">
        <f t="shared" si="257"/>
        <v>2.9246904699223819</v>
      </c>
      <c r="BU79" s="3384">
        <f t="shared" si="257"/>
        <v>310.00924898576147</v>
      </c>
      <c r="BV79" s="3702">
        <f t="shared" si="202"/>
        <v>1.3492782599098287</v>
      </c>
      <c r="BW79" s="3385">
        <f t="shared" ref="BW79:BX79" si="258">SUM(BW19)</f>
        <v>307.84579219241471</v>
      </c>
      <c r="BX79" s="3386">
        <f t="shared" si="258"/>
        <v>2.1634567933467679</v>
      </c>
    </row>
    <row r="80" spans="1:76" ht="20.25" customHeight="1">
      <c r="A80" s="1339" t="s">
        <v>6</v>
      </c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1512">
        <f>SUM(W16+W26+W33+W41)</f>
        <v>15828.930000000002</v>
      </c>
      <c r="X80" s="435"/>
      <c r="Y80" s="1503">
        <f t="shared" ref="Y80:AE80" si="259">SUM(Y16+Y26+Y33+Y41)</f>
        <v>12442.203000734</v>
      </c>
      <c r="Z80" s="1504">
        <f t="shared" si="259"/>
        <v>12383.619954780057</v>
      </c>
      <c r="AA80" s="1505">
        <f t="shared" si="259"/>
        <v>58.583045953941109</v>
      </c>
      <c r="AB80" s="1503">
        <f t="shared" si="259"/>
        <v>9629.5999999999985</v>
      </c>
      <c r="AC80" s="1504">
        <f t="shared" si="259"/>
        <v>9572.4743743167819</v>
      </c>
      <c r="AD80" s="1505">
        <f t="shared" si="259"/>
        <v>57.125625683217095</v>
      </c>
      <c r="AE80" s="1503">
        <f t="shared" si="259"/>
        <v>11471.480000000001</v>
      </c>
      <c r="AF80" s="1419">
        <f t="shared" si="188"/>
        <v>0.92198142075991418</v>
      </c>
      <c r="AG80" s="1504">
        <f t="shared" ref="AG80:AI80" si="260">SUM(AG16+AG26+AG33+AG41)</f>
        <v>11557.82</v>
      </c>
      <c r="AH80" s="1505">
        <f t="shared" si="260"/>
        <v>63.04</v>
      </c>
      <c r="AI80" s="1503">
        <f t="shared" si="260"/>
        <v>11755.79772460473</v>
      </c>
      <c r="AJ80" s="1419">
        <f t="shared" si="190"/>
        <v>0.94483249661745783</v>
      </c>
      <c r="AK80" s="1504">
        <f t="shared" ref="AK80:AY80" si="261">SUM(AK16+AK26+AK33+AK41)</f>
        <v>11695.19538809931</v>
      </c>
      <c r="AL80" s="1505">
        <f t="shared" si="261"/>
        <v>60.602336505419999</v>
      </c>
      <c r="AM80" s="1512" t="e">
        <f t="shared" si="261"/>
        <v>#REF!</v>
      </c>
      <c r="AN80" s="1512" t="e">
        <f t="shared" si="261"/>
        <v>#REF!</v>
      </c>
      <c r="AO80" s="1512" t="e">
        <f t="shared" si="261"/>
        <v>#REF!</v>
      </c>
      <c r="AP80" s="1503">
        <f t="shared" si="261"/>
        <v>5218.3</v>
      </c>
      <c r="AQ80" s="1504">
        <f t="shared" si="261"/>
        <v>5197.2958760788633</v>
      </c>
      <c r="AR80" s="1505">
        <f t="shared" si="261"/>
        <v>21.004123921137079</v>
      </c>
      <c r="AS80" s="1503">
        <f t="shared" si="261"/>
        <v>7835.48</v>
      </c>
      <c r="AT80" s="1504">
        <f t="shared" si="261"/>
        <v>7805.0370817267585</v>
      </c>
      <c r="AU80" s="1505">
        <f t="shared" si="261"/>
        <v>30.442918273241503</v>
      </c>
      <c r="AV80" s="1503">
        <f t="shared" ref="AV80:AX80" si="262">SUM(AV16+AV26+AV33+AV41)</f>
        <v>10210.52</v>
      </c>
      <c r="AW80" s="1504">
        <f t="shared" si="262"/>
        <v>10161.609370675556</v>
      </c>
      <c r="AX80" s="1505">
        <f t="shared" si="262"/>
        <v>48.91062932444504</v>
      </c>
      <c r="AY80" s="1503">
        <f t="shared" si="261"/>
        <v>14672.54</v>
      </c>
      <c r="AZ80" s="2249">
        <f t="shared" si="193"/>
        <v>1.2481109613931658</v>
      </c>
      <c r="BA80" s="1504">
        <f t="shared" ref="BA80:BC80" si="263">SUM(BA16+BA26+BA33+BA41)</f>
        <v>14617.777504185993</v>
      </c>
      <c r="BB80" s="1505">
        <f t="shared" si="263"/>
        <v>54.762495814007593</v>
      </c>
      <c r="BC80" s="1503">
        <f t="shared" si="263"/>
        <v>11227.765899893006</v>
      </c>
      <c r="BD80" s="2249">
        <f t="shared" si="195"/>
        <v>0.95508328425840805</v>
      </c>
      <c r="BE80" s="1504">
        <f t="shared" ref="BE80:BF80" si="264">SUM(BE16+BE26+BE33+BE41)</f>
        <v>11185.860360073748</v>
      </c>
      <c r="BF80" s="1505">
        <f t="shared" si="264"/>
        <v>41.90553981925882</v>
      </c>
      <c r="BG80" s="1514"/>
      <c r="BH80" s="1503">
        <f t="shared" ref="BH80:BJ80" si="265">SUM(BH16+BH26+BH33+BH41)</f>
        <v>5715.15</v>
      </c>
      <c r="BI80" s="1504">
        <f t="shared" si="265"/>
        <v>5688.7754803480984</v>
      </c>
      <c r="BJ80" s="1505">
        <f t="shared" si="265"/>
        <v>26.374519651900812</v>
      </c>
      <c r="BK80" s="1503">
        <f t="shared" ref="BK80:BM80" si="266">SUM(BK16+BK26+BK33+BK41)</f>
        <v>9093</v>
      </c>
      <c r="BL80" s="1504">
        <f t="shared" si="266"/>
        <v>9049.8025317806714</v>
      </c>
      <c r="BM80" s="1505">
        <f t="shared" si="266"/>
        <v>43.197468219328812</v>
      </c>
      <c r="BN80" s="1503">
        <f t="shared" ref="BN80:BQ80" si="267">SUM(BN16+BN26+BN33+BN41)</f>
        <v>12345.576666666666</v>
      </c>
      <c r="BO80" s="1504">
        <f t="shared" si="267"/>
        <v>12286.927413866973</v>
      </c>
      <c r="BP80" s="1505">
        <f t="shared" si="267"/>
        <v>58.649252799692704</v>
      </c>
      <c r="BQ80" s="3384">
        <f t="shared" si="267"/>
        <v>11908.958096133521</v>
      </c>
      <c r="BR80" s="3431">
        <f t="shared" si="200"/>
        <v>1.0606703241155935</v>
      </c>
      <c r="BS80" s="3385">
        <f t="shared" ref="BS80:BU80" si="268">SUM(BS16+BS26+BS33+BS41)</f>
        <v>11855.142598771539</v>
      </c>
      <c r="BT80" s="3386">
        <f t="shared" si="268"/>
        <v>53.815497361982807</v>
      </c>
      <c r="BU80" s="3384">
        <f t="shared" si="268"/>
        <v>11039.518331530622</v>
      </c>
      <c r="BV80" s="3702">
        <f t="shared" si="202"/>
        <v>0.9832337465849571</v>
      </c>
      <c r="BW80" s="3385">
        <f t="shared" ref="BW80:BX80" si="269">SUM(BW16+BW26+BW33+BW41)</f>
        <v>10984.527030553405</v>
      </c>
      <c r="BX80" s="3386">
        <f t="shared" si="269"/>
        <v>54.991300977217634</v>
      </c>
    </row>
    <row r="81" spans="1:76" ht="20.25" customHeight="1">
      <c r="A81" s="1339" t="s">
        <v>10</v>
      </c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1512">
        <f>SUM(W42)</f>
        <v>2157</v>
      </c>
      <c r="X81" s="435"/>
      <c r="Y81" s="1503">
        <f t="shared" ref="Y81:AE81" si="270">SUM(Y42)</f>
        <v>1927.84</v>
      </c>
      <c r="Z81" s="1504">
        <f t="shared" si="270"/>
        <v>1927.04</v>
      </c>
      <c r="AA81" s="1505">
        <f t="shared" si="270"/>
        <v>0.8</v>
      </c>
      <c r="AB81" s="1503">
        <f t="shared" si="270"/>
        <v>1970.4</v>
      </c>
      <c r="AC81" s="1504">
        <f t="shared" si="270"/>
        <v>1969.1630113342155</v>
      </c>
      <c r="AD81" s="1505">
        <f t="shared" si="270"/>
        <v>1.2369886657844305</v>
      </c>
      <c r="AE81" s="1503">
        <f t="shared" si="270"/>
        <v>1927.84</v>
      </c>
      <c r="AF81" s="1419">
        <f t="shared" si="188"/>
        <v>1</v>
      </c>
      <c r="AG81" s="1504">
        <f t="shared" ref="AG81:AI81" si="271">SUM(AG42)</f>
        <v>1927.04</v>
      </c>
      <c r="AH81" s="1505">
        <f t="shared" si="271"/>
        <v>0.8</v>
      </c>
      <c r="AI81" s="1503">
        <f t="shared" si="271"/>
        <v>1927.84</v>
      </c>
      <c r="AJ81" s="1419">
        <f t="shared" si="190"/>
        <v>1</v>
      </c>
      <c r="AK81" s="1504">
        <f t="shared" ref="AK81:AY81" si="272">SUM(AK42)</f>
        <v>1927.04</v>
      </c>
      <c r="AL81" s="1505">
        <f t="shared" si="272"/>
        <v>0.8</v>
      </c>
      <c r="AM81" s="1512" t="e">
        <f t="shared" si="272"/>
        <v>#REF!</v>
      </c>
      <c r="AN81" s="1512" t="e">
        <f t="shared" si="272"/>
        <v>#REF!</v>
      </c>
      <c r="AO81" s="1512" t="e">
        <f t="shared" si="272"/>
        <v>#REF!</v>
      </c>
      <c r="AP81" s="1503">
        <f t="shared" si="272"/>
        <v>209.94</v>
      </c>
      <c r="AQ81" s="1504">
        <f t="shared" si="272"/>
        <v>209.88906688054394</v>
      </c>
      <c r="AR81" s="1505">
        <f t="shared" si="272"/>
        <v>5.0933119456050946E-2</v>
      </c>
      <c r="AS81" s="1503">
        <f t="shared" si="272"/>
        <v>1548.24</v>
      </c>
      <c r="AT81" s="1504">
        <f t="shared" si="272"/>
        <v>1540.8882524477353</v>
      </c>
      <c r="AU81" s="1505">
        <f t="shared" si="272"/>
        <v>7.3517475522646976</v>
      </c>
      <c r="AV81" s="1503">
        <f t="shared" ref="AV81:AX81" si="273">SUM(AV42)</f>
        <v>1794.1</v>
      </c>
      <c r="AW81" s="1504">
        <f t="shared" si="273"/>
        <v>1783.5694402716554</v>
      </c>
      <c r="AX81" s="1505">
        <f t="shared" si="273"/>
        <v>10.530559728344741</v>
      </c>
      <c r="AY81" s="1503">
        <f t="shared" si="272"/>
        <v>2116.7799999999997</v>
      </c>
      <c r="AZ81" s="2249">
        <f t="shared" si="193"/>
        <v>1.0980060585940741</v>
      </c>
      <c r="BA81" s="1504">
        <f t="shared" ref="BA81:BC81" si="274">SUM(BA42)</f>
        <v>2103.4324817644683</v>
      </c>
      <c r="BB81" s="1505">
        <f t="shared" si="274"/>
        <v>13.347518235531863</v>
      </c>
      <c r="BC81" s="1503">
        <f t="shared" si="274"/>
        <v>1684.7746853333333</v>
      </c>
      <c r="BD81" s="2249">
        <f t="shared" si="195"/>
        <v>0.87391831548952892</v>
      </c>
      <c r="BE81" s="1504">
        <f t="shared" ref="BE81:BF81" si="275">SUM(BE42)</f>
        <v>1676.7689960276371</v>
      </c>
      <c r="BF81" s="1505">
        <f t="shared" si="275"/>
        <v>8.0056893056960661</v>
      </c>
      <c r="BG81" s="1514"/>
      <c r="BH81" s="1503">
        <f t="shared" ref="BH81:BJ81" si="276">SUM(BH42)</f>
        <v>1095.52</v>
      </c>
      <c r="BI81" s="1504">
        <f t="shared" si="276"/>
        <v>1090.4379715537075</v>
      </c>
      <c r="BJ81" s="1505">
        <f t="shared" si="276"/>
        <v>5.0820284462923979</v>
      </c>
      <c r="BK81" s="1503">
        <f t="shared" ref="BK81:BM81" si="277">SUM(BK42)</f>
        <v>1682.06</v>
      </c>
      <c r="BL81" s="1504">
        <f t="shared" si="277"/>
        <v>1674.2785868989872</v>
      </c>
      <c r="BM81" s="1505">
        <f t="shared" si="277"/>
        <v>7.7814131010127987</v>
      </c>
      <c r="BN81" s="1503">
        <f t="shared" ref="BN81:BQ81" si="278">SUM(BN42)</f>
        <v>2242.75</v>
      </c>
      <c r="BO81" s="1504">
        <f t="shared" si="278"/>
        <v>2232.3747381619705</v>
      </c>
      <c r="BP81" s="1505">
        <f t="shared" si="278"/>
        <v>10.375261838029182</v>
      </c>
      <c r="BQ81" s="3384">
        <f t="shared" si="278"/>
        <v>1815.7113519999998</v>
      </c>
      <c r="BR81" s="3431">
        <f t="shared" si="200"/>
        <v>1.0777176128099055</v>
      </c>
      <c r="BS81" s="3385">
        <f t="shared" ref="BS81:BU81" si="279">SUM(BS42)</f>
        <v>1805.2396699968972</v>
      </c>
      <c r="BT81" s="3386">
        <f t="shared" si="279"/>
        <v>10.471682003102639</v>
      </c>
      <c r="BU81" s="3384">
        <f t="shared" si="279"/>
        <v>1794.04</v>
      </c>
      <c r="BV81" s="3702">
        <f t="shared" si="202"/>
        <v>1.0648545562904446</v>
      </c>
      <c r="BW81" s="3385">
        <f t="shared" ref="BW81:BX81" si="280">SUM(BW42)</f>
        <v>1783.5700000000002</v>
      </c>
      <c r="BX81" s="3386">
        <f t="shared" si="280"/>
        <v>10.469999999999999</v>
      </c>
    </row>
    <row r="82" spans="1:76" ht="20.25" customHeight="1">
      <c r="A82" s="1339" t="s">
        <v>11</v>
      </c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1512">
        <f>SUM(W46)</f>
        <v>10701.5</v>
      </c>
      <c r="X82" s="435"/>
      <c r="Y82" s="1503">
        <f t="shared" ref="Y82:AE82" si="281">SUM(Y46)</f>
        <v>10806.57</v>
      </c>
      <c r="Z82" s="1504">
        <f t="shared" si="281"/>
        <v>10753.369999999999</v>
      </c>
      <c r="AA82" s="1505">
        <f t="shared" si="281"/>
        <v>53.2</v>
      </c>
      <c r="AB82" s="1503">
        <f t="shared" si="281"/>
        <v>9591.77</v>
      </c>
      <c r="AC82" s="1504">
        <f t="shared" si="281"/>
        <v>9508.4400839997706</v>
      </c>
      <c r="AD82" s="1505">
        <f t="shared" si="281"/>
        <v>83.329916000229787</v>
      </c>
      <c r="AE82" s="1503">
        <f t="shared" si="281"/>
        <v>9051.4500000000007</v>
      </c>
      <c r="AF82" s="1419">
        <f t="shared" si="188"/>
        <v>0.83758768971098152</v>
      </c>
      <c r="AG82" s="1504">
        <f t="shared" ref="AG82:AI82" si="282">SUM(AG46)</f>
        <v>8995.59</v>
      </c>
      <c r="AH82" s="1505">
        <f t="shared" si="282"/>
        <v>55.86</v>
      </c>
      <c r="AI82" s="1503">
        <f t="shared" si="282"/>
        <v>8833.3841337506801</v>
      </c>
      <c r="AJ82" s="1419">
        <f t="shared" si="190"/>
        <v>0.8174086813624194</v>
      </c>
      <c r="AK82" s="1504">
        <f t="shared" ref="AK82:AY82" si="283">SUM(AK46)</f>
        <v>8777.5241337506795</v>
      </c>
      <c r="AL82" s="1505">
        <f t="shared" si="283"/>
        <v>55.860000000000007</v>
      </c>
      <c r="AM82" s="1512" t="e">
        <f t="shared" si="283"/>
        <v>#REF!</v>
      </c>
      <c r="AN82" s="1512" t="e">
        <f t="shared" si="283"/>
        <v>#REF!</v>
      </c>
      <c r="AO82" s="1512" t="e">
        <f t="shared" si="283"/>
        <v>#REF!</v>
      </c>
      <c r="AP82" s="1503">
        <f t="shared" si="283"/>
        <v>0</v>
      </c>
      <c r="AQ82" s="1504">
        <f t="shared" si="283"/>
        <v>0</v>
      </c>
      <c r="AR82" s="1505">
        <f t="shared" si="283"/>
        <v>0</v>
      </c>
      <c r="AS82" s="1503">
        <f t="shared" si="283"/>
        <v>0</v>
      </c>
      <c r="AT82" s="1504">
        <f t="shared" si="283"/>
        <v>0</v>
      </c>
      <c r="AU82" s="1505">
        <f t="shared" si="283"/>
        <v>0</v>
      </c>
      <c r="AV82" s="1503">
        <f t="shared" ref="AV82:AX82" si="284">SUM(AV46)</f>
        <v>8924.7999999999993</v>
      </c>
      <c r="AW82" s="1504">
        <f t="shared" si="284"/>
        <v>8859.7953039766962</v>
      </c>
      <c r="AX82" s="1505">
        <f t="shared" si="284"/>
        <v>65.00469602330304</v>
      </c>
      <c r="AY82" s="1503">
        <f t="shared" si="283"/>
        <v>10189.549999999999</v>
      </c>
      <c r="AZ82" s="2249">
        <f t="shared" si="193"/>
        <v>1.1535273283392791</v>
      </c>
      <c r="BA82" s="1504">
        <f t="shared" ref="BA82:BC82" si="285">SUM(BA46)</f>
        <v>10189.549999999999</v>
      </c>
      <c r="BB82" s="1505">
        <f t="shared" si="285"/>
        <v>0</v>
      </c>
      <c r="BC82" s="1503">
        <f t="shared" si="285"/>
        <v>13195.647202096725</v>
      </c>
      <c r="BD82" s="2249">
        <f t="shared" si="195"/>
        <v>1.4938382620176867</v>
      </c>
      <c r="BE82" s="1504">
        <f t="shared" ref="BE82:BF82" si="286">SUM(BE46)</f>
        <v>13195.647202096725</v>
      </c>
      <c r="BF82" s="1505">
        <f t="shared" si="286"/>
        <v>0</v>
      </c>
      <c r="BG82" s="1514"/>
      <c r="BH82" s="1503">
        <f t="shared" ref="BH82:BJ82" si="287">SUM(BH46)</f>
        <v>4545.9300000000076</v>
      </c>
      <c r="BI82" s="1504">
        <f t="shared" si="287"/>
        <v>4516.4538200303041</v>
      </c>
      <c r="BJ82" s="1505">
        <f t="shared" si="287"/>
        <v>29.47617996970348</v>
      </c>
      <c r="BK82" s="1503">
        <f t="shared" ref="BK82:BM82" si="288">SUM(BK46)</f>
        <v>6919.8799999999828</v>
      </c>
      <c r="BL82" s="1504">
        <f t="shared" si="288"/>
        <v>6873.8247258401634</v>
      </c>
      <c r="BM82" s="1505">
        <f t="shared" si="288"/>
        <v>46.055274159819419</v>
      </c>
      <c r="BN82" s="1503">
        <f t="shared" ref="BN82:BQ83" si="289">SUM(BN46)</f>
        <v>9226.48</v>
      </c>
      <c r="BO82" s="1504">
        <f t="shared" si="289"/>
        <v>9165.073145266957</v>
      </c>
      <c r="BP82" s="1505">
        <f t="shared" si="289"/>
        <v>61.406854733042564</v>
      </c>
      <c r="BQ82" s="3384">
        <f t="shared" si="289"/>
        <v>11124.428087978959</v>
      </c>
      <c r="BR82" s="3431">
        <f t="shared" si="200"/>
        <v>0.84303770156960101</v>
      </c>
      <c r="BS82" s="3385">
        <f t="shared" ref="BS82:BU83" si="290">SUM(BS46)</f>
        <v>11084</v>
      </c>
      <c r="BT82" s="3386">
        <f t="shared" si="290"/>
        <v>40.428087978958501</v>
      </c>
      <c r="BU82" s="3384">
        <f t="shared" si="290"/>
        <v>14681.99</v>
      </c>
      <c r="BV82" s="3702">
        <f t="shared" si="202"/>
        <v>1.1126388706169033</v>
      </c>
      <c r="BW82" s="3385">
        <f t="shared" ref="BW82:BX82" si="291">SUM(BW46)</f>
        <v>14675.18</v>
      </c>
      <c r="BX82" s="3386">
        <f t="shared" si="291"/>
        <v>6.81</v>
      </c>
    </row>
    <row r="83" spans="1:76" ht="20.25" customHeight="1">
      <c r="A83" s="2008" t="s">
        <v>908</v>
      </c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2009"/>
      <c r="X83" s="435"/>
      <c r="Y83" s="2010"/>
      <c r="Z83" s="2011"/>
      <c r="AA83" s="2012"/>
      <c r="AB83" s="2010"/>
      <c r="AC83" s="2011"/>
      <c r="AD83" s="2012"/>
      <c r="AE83" s="2010"/>
      <c r="AF83" s="2013"/>
      <c r="AG83" s="2011"/>
      <c r="AH83" s="2012"/>
      <c r="AI83" s="2010"/>
      <c r="AJ83" s="2013"/>
      <c r="AK83" s="2011"/>
      <c r="AL83" s="2012"/>
      <c r="AM83" s="2009"/>
      <c r="AN83" s="2009"/>
      <c r="AO83" s="2009"/>
      <c r="AP83" s="2010"/>
      <c r="AQ83" s="2011"/>
      <c r="AR83" s="2012"/>
      <c r="AS83" s="2010"/>
      <c r="AT83" s="2011"/>
      <c r="AU83" s="2012"/>
      <c r="AV83" s="2010"/>
      <c r="AW83" s="2011"/>
      <c r="AX83" s="2012"/>
      <c r="AY83" s="2010"/>
      <c r="AZ83" s="2250"/>
      <c r="BA83" s="2011"/>
      <c r="BB83" s="2012"/>
      <c r="BC83" s="2011">
        <f>BC47</f>
        <v>286.40476017160813</v>
      </c>
      <c r="BD83" s="2250"/>
      <c r="BE83" s="2011">
        <f>BE47</f>
        <v>286.40476017160813</v>
      </c>
      <c r="BF83" s="2011">
        <f>BF47</f>
        <v>0</v>
      </c>
      <c r="BG83" s="2014"/>
      <c r="BH83" s="2010"/>
      <c r="BI83" s="2011"/>
      <c r="BJ83" s="2012"/>
      <c r="BK83" s="2010"/>
      <c r="BL83" s="2011"/>
      <c r="BM83" s="2012"/>
      <c r="BN83" s="2010"/>
      <c r="BO83" s="2011"/>
      <c r="BP83" s="2012"/>
      <c r="BQ83" s="3384">
        <f t="shared" si="289"/>
        <v>353.60175784252925</v>
      </c>
      <c r="BR83" s="3431">
        <f t="shared" si="200"/>
        <v>1.2346224889232218</v>
      </c>
      <c r="BS83" s="3385">
        <f t="shared" si="290"/>
        <v>353.60175784252925</v>
      </c>
      <c r="BT83" s="3386">
        <f t="shared" si="290"/>
        <v>0</v>
      </c>
      <c r="BU83" s="3742">
        <f>BU47</f>
        <v>265.39999999999998</v>
      </c>
      <c r="BV83" s="3702">
        <f t="shared" si="202"/>
        <v>0.9266605758960762</v>
      </c>
      <c r="BW83" s="3742">
        <f>BW47</f>
        <v>265.39999999999998</v>
      </c>
      <c r="BX83" s="3742">
        <f>BX47</f>
        <v>0</v>
      </c>
    </row>
    <row r="84" spans="1:76" ht="20.25" customHeight="1">
      <c r="A84" s="1344" t="s">
        <v>525</v>
      </c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1512">
        <f>SUM(W48)</f>
        <v>0</v>
      </c>
      <c r="X84" s="435"/>
      <c r="Y84" s="1503">
        <f t="shared" ref="Y84:AE84" si="292">SUM(Y48)</f>
        <v>0</v>
      </c>
      <c r="Z84" s="1504">
        <f t="shared" si="292"/>
        <v>0</v>
      </c>
      <c r="AA84" s="1505">
        <f t="shared" si="292"/>
        <v>0</v>
      </c>
      <c r="AB84" s="1503">
        <f t="shared" si="292"/>
        <v>0</v>
      </c>
      <c r="AC84" s="1504">
        <f t="shared" si="292"/>
        <v>0</v>
      </c>
      <c r="AD84" s="1505">
        <f t="shared" si="292"/>
        <v>0</v>
      </c>
      <c r="AE84" s="1503">
        <f t="shared" si="292"/>
        <v>885.62</v>
      </c>
      <c r="AF84" s="1419" t="e">
        <f t="shared" si="188"/>
        <v>#DIV/0!</v>
      </c>
      <c r="AG84" s="1504">
        <f t="shared" ref="AG84:AI84" si="293">SUM(AG48)</f>
        <v>885.62</v>
      </c>
      <c r="AH84" s="1505">
        <f t="shared" si="293"/>
        <v>0</v>
      </c>
      <c r="AI84" s="1503">
        <f t="shared" si="293"/>
        <v>1458.3999999999999</v>
      </c>
      <c r="AJ84" s="1419" t="e">
        <f t="shared" si="190"/>
        <v>#DIV/0!</v>
      </c>
      <c r="AK84" s="1504">
        <f t="shared" ref="AK84:AY84" si="294">SUM(AK48)</f>
        <v>1450.3</v>
      </c>
      <c r="AL84" s="1505">
        <f t="shared" si="294"/>
        <v>8.1</v>
      </c>
      <c r="AM84" s="1512">
        <f t="shared" si="294"/>
        <v>0</v>
      </c>
      <c r="AN84" s="1512">
        <f t="shared" si="294"/>
        <v>0</v>
      </c>
      <c r="AO84" s="1512">
        <f t="shared" si="294"/>
        <v>0</v>
      </c>
      <c r="AP84" s="1503">
        <f t="shared" si="294"/>
        <v>0</v>
      </c>
      <c r="AQ84" s="1504">
        <f t="shared" si="294"/>
        <v>0</v>
      </c>
      <c r="AR84" s="1505">
        <f t="shared" si="294"/>
        <v>0</v>
      </c>
      <c r="AS84" s="1503">
        <f t="shared" si="294"/>
        <v>0</v>
      </c>
      <c r="AT84" s="1504">
        <f t="shared" si="294"/>
        <v>0</v>
      </c>
      <c r="AU84" s="1505">
        <f t="shared" si="294"/>
        <v>0</v>
      </c>
      <c r="AV84" s="1503">
        <f t="shared" ref="AV84:AX84" si="295">SUM(AV48)</f>
        <v>0</v>
      </c>
      <c r="AW84" s="1504">
        <f t="shared" si="295"/>
        <v>0</v>
      </c>
      <c r="AX84" s="1505">
        <f t="shared" si="295"/>
        <v>0</v>
      </c>
      <c r="AY84" s="1503">
        <f t="shared" si="294"/>
        <v>26.1</v>
      </c>
      <c r="AZ84" s="2249">
        <f t="shared" si="193"/>
        <v>1.7896324739440486E-2</v>
      </c>
      <c r="BA84" s="1504">
        <f t="shared" ref="BA84:BC84" si="296">SUM(BA48)</f>
        <v>26.1</v>
      </c>
      <c r="BB84" s="1505">
        <f t="shared" si="296"/>
        <v>0</v>
      </c>
      <c r="BC84" s="1503">
        <f t="shared" si="296"/>
        <v>26.100000000000009</v>
      </c>
      <c r="BD84" s="2249">
        <f t="shared" si="195"/>
        <v>1.789632473944049E-2</v>
      </c>
      <c r="BE84" s="1504">
        <f t="shared" ref="BE84:BF84" si="297">SUM(BE48)</f>
        <v>26.100000000000009</v>
      </c>
      <c r="BF84" s="1505">
        <f t="shared" si="297"/>
        <v>0</v>
      </c>
      <c r="BG84" s="1514"/>
      <c r="BH84" s="1503">
        <f t="shared" ref="BH84:BJ84" si="298">SUM(BH48)</f>
        <v>0</v>
      </c>
      <c r="BI84" s="1504">
        <f t="shared" si="298"/>
        <v>0</v>
      </c>
      <c r="BJ84" s="1505">
        <f t="shared" si="298"/>
        <v>0</v>
      </c>
      <c r="BK84" s="1503">
        <f t="shared" ref="BK84:BM84" si="299">SUM(BK48)</f>
        <v>0</v>
      </c>
      <c r="BL84" s="1504">
        <f t="shared" si="299"/>
        <v>0</v>
      </c>
      <c r="BM84" s="1505">
        <f t="shared" si="299"/>
        <v>0</v>
      </c>
      <c r="BN84" s="1503">
        <f t="shared" ref="BN84:BQ84" si="300">SUM(BN48)</f>
        <v>0</v>
      </c>
      <c r="BO84" s="1504">
        <f t="shared" si="300"/>
        <v>0</v>
      </c>
      <c r="BP84" s="1505">
        <f t="shared" si="300"/>
        <v>0</v>
      </c>
      <c r="BQ84" s="3384">
        <f t="shared" si="300"/>
        <v>361.57999999999993</v>
      </c>
      <c r="BR84" s="3431">
        <f t="shared" si="200"/>
        <v>13.853639846743288</v>
      </c>
      <c r="BS84" s="3385">
        <f t="shared" ref="BS84:BU84" si="301">SUM(BS48)</f>
        <v>361.57999999999993</v>
      </c>
      <c r="BT84" s="3386">
        <f t="shared" si="301"/>
        <v>0</v>
      </c>
      <c r="BU84" s="3384">
        <f t="shared" si="301"/>
        <v>361.57999999999993</v>
      </c>
      <c r="BV84" s="3702">
        <f t="shared" si="202"/>
        <v>13.853639846743288</v>
      </c>
      <c r="BW84" s="3385">
        <f t="shared" ref="BW84:BX84" si="302">SUM(BW48)</f>
        <v>361.57999999999993</v>
      </c>
      <c r="BX84" s="3386">
        <f t="shared" si="302"/>
        <v>0</v>
      </c>
    </row>
    <row r="85" spans="1:76" ht="20.25" customHeight="1">
      <c r="A85" s="1341" t="s">
        <v>12</v>
      </c>
      <c r="B85" s="1516"/>
      <c r="C85" s="1516"/>
      <c r="D85" s="1516"/>
      <c r="E85" s="1516"/>
      <c r="F85" s="1516"/>
      <c r="G85" s="1516"/>
      <c r="H85" s="1516"/>
      <c r="I85" s="1516"/>
      <c r="J85" s="1516"/>
      <c r="K85" s="1516"/>
      <c r="L85" s="1516"/>
      <c r="M85" s="1516"/>
      <c r="N85" s="1516"/>
      <c r="O85" s="1516"/>
      <c r="P85" s="1516"/>
      <c r="Q85" s="1516"/>
      <c r="R85" s="1516"/>
      <c r="S85" s="1516"/>
      <c r="T85" s="1516"/>
      <c r="U85" s="1516"/>
      <c r="V85" s="1516"/>
      <c r="W85" s="1517">
        <f>SUM(W74:W84)</f>
        <v>96034.680000000008</v>
      </c>
      <c r="X85" s="1516"/>
      <c r="Y85" s="1521">
        <f t="shared" ref="Y85:AE85" si="303">SUM(Y74:Y84)</f>
        <v>77174.362445693521</v>
      </c>
      <c r="Z85" s="1519">
        <f t="shared" si="303"/>
        <v>76845.21173857752</v>
      </c>
      <c r="AA85" s="1520">
        <f t="shared" si="303"/>
        <v>329.45070711599271</v>
      </c>
      <c r="AB85" s="1521">
        <f t="shared" si="303"/>
        <v>70897.669500000004</v>
      </c>
      <c r="AC85" s="1519">
        <f t="shared" si="303"/>
        <v>70520.933541510851</v>
      </c>
      <c r="AD85" s="1520">
        <f t="shared" si="303"/>
        <v>376.73595848915204</v>
      </c>
      <c r="AE85" s="1521">
        <f t="shared" si="303"/>
        <v>85498.659999999989</v>
      </c>
      <c r="AF85" s="1437">
        <f t="shared" si="188"/>
        <v>1.1078635092083093</v>
      </c>
      <c r="AG85" s="1519">
        <f t="shared" ref="AG85" si="304">SUM(AG74:AG84)</f>
        <v>85594.609999999986</v>
      </c>
      <c r="AH85" s="1520">
        <f t="shared" ref="AH85" si="305">SUM(AH74:AH84)</f>
        <v>343.42</v>
      </c>
      <c r="AI85" s="1521">
        <f t="shared" ref="AI85:AK85" si="306">SUM(AI74:AI84)</f>
        <v>81205.828863845803</v>
      </c>
      <c r="AJ85" s="1437">
        <f t="shared" si="190"/>
        <v>1.0522384155876787</v>
      </c>
      <c r="AK85" s="1519">
        <f t="shared" si="306"/>
        <v>80856.743168717745</v>
      </c>
      <c r="AL85" s="1520">
        <f t="shared" ref="AL85" si="307">SUM(AL74:AL84)</f>
        <v>349.08569512807247</v>
      </c>
      <c r="AM85" s="1517" t="e">
        <f t="shared" ref="AM85" si="308">SUM(AM74:AM84)</f>
        <v>#REF!</v>
      </c>
      <c r="AN85" s="1517" t="e">
        <f t="shared" ref="AN85" si="309">SUM(AN74:AN84)</f>
        <v>#REF!</v>
      </c>
      <c r="AO85" s="1517" t="e">
        <f t="shared" ref="AO85" si="310">SUM(AO74:AO84)</f>
        <v>#REF!</v>
      </c>
      <c r="AP85" s="1521">
        <f t="shared" ref="AP85" si="311">SUM(AP74:AP84)</f>
        <v>25525.759999999998</v>
      </c>
      <c r="AQ85" s="1519">
        <f t="shared" ref="AQ85" si="312">SUM(AQ74:AQ84)</f>
        <v>25440.449918838356</v>
      </c>
      <c r="AR85" s="1520">
        <f t="shared" ref="AR85" si="313">SUM(AR74:AR84)</f>
        <v>85.310081161642032</v>
      </c>
      <c r="AS85" s="1521">
        <f t="shared" ref="AS85" si="314">SUM(AS74:AS84)</f>
        <v>40253.670000000006</v>
      </c>
      <c r="AT85" s="1519">
        <f t="shared" ref="AT85" si="315">SUM(AT74:AT84)</f>
        <v>40114.792459398108</v>
      </c>
      <c r="AU85" s="1520">
        <f t="shared" ref="AU85:AW85" si="316">SUM(AU74:AU84)</f>
        <v>138.8775406018996</v>
      </c>
      <c r="AV85" s="1521">
        <f t="shared" si="316"/>
        <v>73344.06</v>
      </c>
      <c r="AW85" s="1519">
        <f t="shared" si="316"/>
        <v>73012.944878892187</v>
      </c>
      <c r="AX85" s="1520">
        <f t="shared" ref="AX85" si="317">SUM(AX74:AX84)</f>
        <v>331.11512110780825</v>
      </c>
      <c r="AY85" s="1521">
        <f t="shared" ref="AY85" si="318">SUM(AY74:AY84)</f>
        <v>92157.97384440084</v>
      </c>
      <c r="AZ85" s="2251">
        <f t="shared" si="193"/>
        <v>1.1348689513275951</v>
      </c>
      <c r="BA85" s="1519">
        <f t="shared" ref="BA85" si="319">SUM(BA74:BA84)</f>
        <v>91908.958488540462</v>
      </c>
      <c r="BB85" s="1520">
        <f t="shared" ref="BB85" si="320">SUM(BB74:BB84)</f>
        <v>249.01535586037718</v>
      </c>
      <c r="BC85" s="1521">
        <f t="shared" ref="BC85" si="321">SUM(BC74:BC84)</f>
        <v>81331.238474047466</v>
      </c>
      <c r="BD85" s="2251">
        <f t="shared" si="195"/>
        <v>1.0015443424684689</v>
      </c>
      <c r="BE85" s="1519">
        <f t="shared" ref="BE85" si="322">SUM(BE74:BE84)</f>
        <v>81065.481041922336</v>
      </c>
      <c r="BF85" s="1520">
        <f t="shared" ref="BF85" si="323">SUM(BF74:BF84)</f>
        <v>265.7574321251206</v>
      </c>
      <c r="BG85" s="1514"/>
      <c r="BH85" s="1521">
        <f t="shared" ref="BH85:BJ85" si="324">SUM(BH74:BH84)</f>
        <v>38669.27635</v>
      </c>
      <c r="BI85" s="1519">
        <f t="shared" si="324"/>
        <v>38508.235329938965</v>
      </c>
      <c r="BJ85" s="1520">
        <f t="shared" si="324"/>
        <v>161.04102006103977</v>
      </c>
      <c r="BK85" s="1521">
        <f t="shared" ref="BK85:BM85" si="325">SUM(BK74:BK84)</f>
        <v>59688.815588999976</v>
      </c>
      <c r="BL85" s="1519">
        <f t="shared" si="325"/>
        <v>59435.119734529311</v>
      </c>
      <c r="BM85" s="1520">
        <f t="shared" si="325"/>
        <v>253.69585447067101</v>
      </c>
      <c r="BN85" s="1521">
        <f t="shared" ref="BN85:BQ85" si="326">SUM(BN74:BN84)</f>
        <v>80610.787328299863</v>
      </c>
      <c r="BO85" s="1519">
        <f t="shared" si="326"/>
        <v>80269.528576826284</v>
      </c>
      <c r="BP85" s="1520">
        <f t="shared" si="326"/>
        <v>341.25875147359369</v>
      </c>
      <c r="BQ85" s="3387">
        <f t="shared" si="326"/>
        <v>85750.930779269518</v>
      </c>
      <c r="BR85" s="3431">
        <f t="shared" si="200"/>
        <v>1.0543418788173546</v>
      </c>
      <c r="BS85" s="3388">
        <f t="shared" ref="BS85:BU85" si="327">SUM(BS74:BS84)</f>
        <v>85412.573168429779</v>
      </c>
      <c r="BT85" s="3389">
        <f t="shared" si="327"/>
        <v>338.35761083972818</v>
      </c>
      <c r="BU85" s="3387">
        <f t="shared" si="327"/>
        <v>85973.202221013722</v>
      </c>
      <c r="BV85" s="3702">
        <f t="shared" si="202"/>
        <v>1.0570747948028296</v>
      </c>
      <c r="BW85" s="3388">
        <f t="shared" ref="BW85:BX85" si="328">SUM(BW74:BW84)</f>
        <v>85653.917552547777</v>
      </c>
      <c r="BX85" s="3389">
        <f t="shared" si="328"/>
        <v>319.28466846594</v>
      </c>
    </row>
    <row r="86" spans="1:76" ht="20.25" customHeight="1">
      <c r="A86" s="3712" t="s">
        <v>1719</v>
      </c>
      <c r="B86" s="1516"/>
      <c r="C86" s="1516"/>
      <c r="D86" s="1516"/>
      <c r="E86" s="1516"/>
      <c r="F86" s="1516"/>
      <c r="G86" s="1516"/>
      <c r="H86" s="1516"/>
      <c r="I86" s="1516"/>
      <c r="J86" s="1516"/>
      <c r="K86" s="1516"/>
      <c r="L86" s="1516"/>
      <c r="M86" s="1516"/>
      <c r="N86" s="1516"/>
      <c r="O86" s="1516"/>
      <c r="P86" s="1516"/>
      <c r="Q86" s="1516"/>
      <c r="R86" s="1516"/>
      <c r="S86" s="1516"/>
      <c r="T86" s="1516"/>
      <c r="U86" s="1516"/>
      <c r="V86" s="1516"/>
      <c r="W86" s="3731"/>
      <c r="X86" s="1516"/>
      <c r="Y86" s="3732"/>
      <c r="Z86" s="3733"/>
      <c r="AA86" s="3734"/>
      <c r="AB86" s="3732"/>
      <c r="AC86" s="3733"/>
      <c r="AD86" s="3734"/>
      <c r="AE86" s="3732"/>
      <c r="AF86" s="3735"/>
      <c r="AG86" s="3733"/>
      <c r="AH86" s="3734"/>
      <c r="AI86" s="3732"/>
      <c r="AJ86" s="3735"/>
      <c r="AK86" s="3733"/>
      <c r="AL86" s="3734"/>
      <c r="AM86" s="3731"/>
      <c r="AN86" s="3731"/>
      <c r="AO86" s="3731"/>
      <c r="AP86" s="3732"/>
      <c r="AQ86" s="3733"/>
      <c r="AR86" s="3734"/>
      <c r="AS86" s="3732"/>
      <c r="AT86" s="3733"/>
      <c r="AU86" s="3734"/>
      <c r="AV86" s="3732"/>
      <c r="AW86" s="3733"/>
      <c r="AX86" s="3734"/>
      <c r="AY86" s="3732"/>
      <c r="AZ86" s="3736"/>
      <c r="BA86" s="3733"/>
      <c r="BB86" s="3734"/>
      <c r="BC86" s="3732"/>
      <c r="BD86" s="3736"/>
      <c r="BE86" s="3733"/>
      <c r="BF86" s="3734"/>
      <c r="BG86" s="3737"/>
      <c r="BH86" s="3732"/>
      <c r="BI86" s="3733"/>
      <c r="BJ86" s="3734"/>
      <c r="BK86" s="3732"/>
      <c r="BL86" s="3733"/>
      <c r="BM86" s="3734"/>
      <c r="BN86" s="3732"/>
      <c r="BO86" s="3733"/>
      <c r="BP86" s="3734"/>
      <c r="BQ86" s="3738"/>
      <c r="BR86" s="3739"/>
      <c r="BS86" s="3740"/>
      <c r="BT86" s="3741"/>
      <c r="BU86" s="3738">
        <f>SUM(BU50)</f>
        <v>-5234.7</v>
      </c>
      <c r="BV86" s="3702"/>
      <c r="BW86" s="3740">
        <f>SUM(BW50)</f>
        <v>-5234.7</v>
      </c>
      <c r="BX86" s="3741">
        <f>SUM(BX50)</f>
        <v>0</v>
      </c>
    </row>
    <row r="87" spans="1:76" ht="20.25" customHeight="1">
      <c r="A87" s="1341" t="s">
        <v>13</v>
      </c>
      <c r="B87" s="1516"/>
      <c r="C87" s="1516"/>
      <c r="D87" s="1516"/>
      <c r="E87" s="1516"/>
      <c r="F87" s="1516"/>
      <c r="G87" s="1516"/>
      <c r="H87" s="1516"/>
      <c r="I87" s="1516"/>
      <c r="J87" s="1516"/>
      <c r="K87" s="1516"/>
      <c r="L87" s="1516"/>
      <c r="M87" s="1516"/>
      <c r="N87" s="1516"/>
      <c r="O87" s="1516"/>
      <c r="P87" s="1516"/>
      <c r="Q87" s="1516"/>
      <c r="R87" s="1516"/>
      <c r="S87" s="1516"/>
      <c r="T87" s="1516"/>
      <c r="U87" s="1516"/>
      <c r="V87" s="1516"/>
      <c r="W87" s="1517">
        <f>SUM(W51)</f>
        <v>3600</v>
      </c>
      <c r="X87" s="1516"/>
      <c r="Y87" s="1521">
        <f t="shared" ref="Y87:AE87" si="329">SUM(Y51)</f>
        <v>3672.7</v>
      </c>
      <c r="Z87" s="1519">
        <f t="shared" si="329"/>
        <v>3644.7</v>
      </c>
      <c r="AA87" s="1520">
        <f t="shared" si="329"/>
        <v>28</v>
      </c>
      <c r="AB87" s="1521">
        <f t="shared" si="329"/>
        <v>3476.2</v>
      </c>
      <c r="AC87" s="1519">
        <f t="shared" si="329"/>
        <v>3446</v>
      </c>
      <c r="AD87" s="1520">
        <f t="shared" si="329"/>
        <v>30.2</v>
      </c>
      <c r="AE87" s="1521">
        <f t="shared" si="329"/>
        <v>3672.7</v>
      </c>
      <c r="AF87" s="1437">
        <f t="shared" si="188"/>
        <v>1</v>
      </c>
      <c r="AG87" s="1519">
        <f t="shared" ref="AG87:AI87" si="330">SUM(AG51)</f>
        <v>3644.7</v>
      </c>
      <c r="AH87" s="1520">
        <f t="shared" si="330"/>
        <v>28</v>
      </c>
      <c r="AI87" s="1521">
        <f t="shared" si="330"/>
        <v>3672.7</v>
      </c>
      <c r="AJ87" s="1437">
        <f t="shared" si="190"/>
        <v>1</v>
      </c>
      <c r="AK87" s="1519">
        <f t="shared" ref="AK87:AY87" si="331">SUM(AK51)</f>
        <v>3644.7</v>
      </c>
      <c r="AL87" s="1520">
        <f t="shared" si="331"/>
        <v>28</v>
      </c>
      <c r="AM87" s="1517" t="e">
        <f t="shared" si="331"/>
        <v>#REF!</v>
      </c>
      <c r="AN87" s="1517" t="e">
        <f t="shared" si="331"/>
        <v>#REF!</v>
      </c>
      <c r="AO87" s="1517" t="e">
        <f t="shared" si="331"/>
        <v>#REF!</v>
      </c>
      <c r="AP87" s="1521">
        <f t="shared" si="331"/>
        <v>1670.74</v>
      </c>
      <c r="AQ87" s="1519">
        <f t="shared" si="331"/>
        <v>1661.07</v>
      </c>
      <c r="AR87" s="1520">
        <f t="shared" si="331"/>
        <v>9.67</v>
      </c>
      <c r="AS87" s="1521">
        <f t="shared" si="331"/>
        <v>2409.37</v>
      </c>
      <c r="AT87" s="1519">
        <f t="shared" si="331"/>
        <v>2395.17</v>
      </c>
      <c r="AU87" s="1520">
        <f t="shared" si="331"/>
        <v>14.2</v>
      </c>
      <c r="AV87" s="1521">
        <f t="shared" ref="AV87:AX87" si="332">SUM(AV51)</f>
        <v>3209.95</v>
      </c>
      <c r="AW87" s="1519">
        <f t="shared" si="332"/>
        <v>3186.5699999999997</v>
      </c>
      <c r="AX87" s="1520">
        <f t="shared" si="332"/>
        <v>23.38</v>
      </c>
      <c r="AY87" s="1521">
        <f t="shared" si="331"/>
        <v>3463.9333333333334</v>
      </c>
      <c r="AZ87" s="2251">
        <f t="shared" si="193"/>
        <v>0.94315716865884325</v>
      </c>
      <c r="BA87" s="1519">
        <f t="shared" ref="BA87:BC87" si="333">SUM(BA51)</f>
        <v>3445</v>
      </c>
      <c r="BB87" s="1520">
        <f t="shared" si="333"/>
        <v>18.933333333333334</v>
      </c>
      <c r="BC87" s="1521">
        <f t="shared" si="333"/>
        <v>3463.9333333333334</v>
      </c>
      <c r="BD87" s="2251">
        <f t="shared" si="195"/>
        <v>0.94315716865884325</v>
      </c>
      <c r="BE87" s="1519">
        <f t="shared" ref="BE87:BF87" si="334">SUM(BE51)</f>
        <v>3445</v>
      </c>
      <c r="BF87" s="1520">
        <f t="shared" si="334"/>
        <v>18.933333333333334</v>
      </c>
      <c r="BG87" s="1514"/>
      <c r="BH87" s="1521">
        <f t="shared" ref="BH87:BJ87" si="335">SUM(BH51)</f>
        <v>1577.71</v>
      </c>
      <c r="BI87" s="1519">
        <f t="shared" si="335"/>
        <v>1567.48</v>
      </c>
      <c r="BJ87" s="1520">
        <f t="shared" si="335"/>
        <v>10.23</v>
      </c>
      <c r="BK87" s="1521">
        <f t="shared" ref="BK87:BM87" si="336">SUM(BK51)</f>
        <v>2304.86</v>
      </c>
      <c r="BL87" s="1519">
        <f t="shared" si="336"/>
        <v>2289.52</v>
      </c>
      <c r="BM87" s="1520">
        <f t="shared" si="336"/>
        <v>15.34</v>
      </c>
      <c r="BN87" s="1521">
        <f t="shared" ref="BN87:BQ87" si="337">SUM(BN51)</f>
        <v>3073.1466666666661</v>
      </c>
      <c r="BO87" s="1519">
        <f t="shared" si="337"/>
        <v>3052.6933333333327</v>
      </c>
      <c r="BP87" s="1520">
        <f t="shared" si="337"/>
        <v>20.453333333333333</v>
      </c>
      <c r="BQ87" s="3387">
        <f t="shared" si="337"/>
        <v>3223</v>
      </c>
      <c r="BR87" s="3431">
        <f t="shared" si="200"/>
        <v>0.93044515868280753</v>
      </c>
      <c r="BS87" s="3388">
        <f t="shared" ref="BS87:BU87" si="338">SUM(BS51)</f>
        <v>3200</v>
      </c>
      <c r="BT87" s="3389">
        <f t="shared" si="338"/>
        <v>23</v>
      </c>
      <c r="BU87" s="3387">
        <f t="shared" si="338"/>
        <v>3295.75</v>
      </c>
      <c r="BV87" s="3702">
        <f t="shared" si="202"/>
        <v>0.9514472949825824</v>
      </c>
      <c r="BW87" s="3388">
        <f t="shared" ref="BW87:BX87" si="339">SUM(BW51)</f>
        <v>3272.75</v>
      </c>
      <c r="BX87" s="3389">
        <f t="shared" si="339"/>
        <v>23</v>
      </c>
    </row>
    <row r="88" spans="1:76" ht="20.25" customHeight="1">
      <c r="A88" s="1341" t="s">
        <v>14</v>
      </c>
      <c r="B88" s="1516"/>
      <c r="C88" s="1516"/>
      <c r="D88" s="1516"/>
      <c r="E88" s="1516"/>
      <c r="F88" s="1516"/>
      <c r="G88" s="1516"/>
      <c r="H88" s="1516"/>
      <c r="I88" s="1516"/>
      <c r="J88" s="1516"/>
      <c r="K88" s="1516"/>
      <c r="L88" s="1516"/>
      <c r="M88" s="1516"/>
      <c r="N88" s="1516"/>
      <c r="O88" s="1516"/>
      <c r="P88" s="1516"/>
      <c r="Q88" s="1516"/>
      <c r="R88" s="1516"/>
      <c r="S88" s="1516"/>
      <c r="T88" s="1516"/>
      <c r="U88" s="1516"/>
      <c r="V88" s="1516"/>
      <c r="W88" s="1522">
        <f>SUM(W85/W87)</f>
        <v>26.676300000000001</v>
      </c>
      <c r="X88" s="1516"/>
      <c r="Y88" s="1525">
        <f t="shared" ref="Y88:AE88" si="340">SUM(Y85/Y87)</f>
        <v>21.012977494947457</v>
      </c>
      <c r="Z88" s="1523">
        <f t="shared" si="340"/>
        <v>21.084097933596048</v>
      </c>
      <c r="AA88" s="1524">
        <f t="shared" si="340"/>
        <v>11.766096682714025</v>
      </c>
      <c r="AB88" s="1525">
        <f t="shared" si="340"/>
        <v>20.395164115988724</v>
      </c>
      <c r="AC88" s="1523">
        <f t="shared" si="340"/>
        <v>20.464577348087886</v>
      </c>
      <c r="AD88" s="1524">
        <f t="shared" si="340"/>
        <v>12.474700612223577</v>
      </c>
      <c r="AE88" s="1525">
        <f t="shared" si="340"/>
        <v>23.27951098646772</v>
      </c>
      <c r="AF88" s="1437">
        <f t="shared" si="188"/>
        <v>1.1078635092083093</v>
      </c>
      <c r="AG88" s="1523">
        <f t="shared" ref="AG88" si="341">SUM(AG85/AG87)</f>
        <v>23.484679123110269</v>
      </c>
      <c r="AH88" s="1524">
        <f t="shared" ref="AH88" si="342">SUM(AH85/AH87)</f>
        <v>12.265000000000001</v>
      </c>
      <c r="AI88" s="1525">
        <f t="shared" ref="AI88:AK88" si="343">SUM(AI85/AI87)</f>
        <v>22.110662146063063</v>
      </c>
      <c r="AJ88" s="1437">
        <f t="shared" si="190"/>
        <v>1.0522384155876787</v>
      </c>
      <c r="AK88" s="1523">
        <f t="shared" si="343"/>
        <v>22.184745841555614</v>
      </c>
      <c r="AL88" s="1524">
        <f t="shared" ref="AL88" si="344">SUM(AL85/AL87)</f>
        <v>12.467346254574016</v>
      </c>
      <c r="AM88" s="1522" t="e">
        <f t="shared" ref="AM88" si="345">SUM(AM85/AM87)</f>
        <v>#REF!</v>
      </c>
      <c r="AN88" s="1522" t="e">
        <f t="shared" ref="AN88" si="346">SUM(AN85/AN87)</f>
        <v>#REF!</v>
      </c>
      <c r="AO88" s="1522" t="e">
        <f t="shared" ref="AO88" si="347">SUM(AO85/AO87)</f>
        <v>#REF!</v>
      </c>
      <c r="AP88" s="1525">
        <f t="shared" ref="AP88" si="348">SUM(AP85/AP87)</f>
        <v>15.278116283802387</v>
      </c>
      <c r="AQ88" s="1523">
        <f t="shared" ref="AQ88" si="349">SUM(AQ85/AQ87)</f>
        <v>15.315700072145278</v>
      </c>
      <c r="AR88" s="1524">
        <f t="shared" ref="AR88" si="350">SUM(AR85/AR87)</f>
        <v>8.8221386930343364</v>
      </c>
      <c r="AS88" s="1525">
        <f t="shared" ref="AS88" si="351">SUM(AS85/AS87)</f>
        <v>16.707135060202461</v>
      </c>
      <c r="AT88" s="1523">
        <f t="shared" ref="AT88" si="352">SUM(AT85/AT87)</f>
        <v>16.748202615846935</v>
      </c>
      <c r="AU88" s="1524">
        <f t="shared" ref="AU88:AW88" si="353">SUM(AU85/AU87)</f>
        <v>9.7801084930915216</v>
      </c>
      <c r="AV88" s="1525">
        <f t="shared" si="353"/>
        <v>22.84897272543186</v>
      </c>
      <c r="AW88" s="1523">
        <f t="shared" si="353"/>
        <v>22.912707042020791</v>
      </c>
      <c r="AX88" s="1524">
        <f t="shared" ref="AX88" si="354">SUM(AX85/AX87)</f>
        <v>14.162323400676145</v>
      </c>
      <c r="AY88" s="1525">
        <f t="shared" ref="AY88" si="355">SUM(AY85/AY87)</f>
        <v>26.605007942146933</v>
      </c>
      <c r="AZ88" s="2251">
        <f t="shared" si="193"/>
        <v>1.2032659974809536</v>
      </c>
      <c r="BA88" s="1523">
        <f t="shared" ref="BA88" si="356">SUM(BA85/BA87)</f>
        <v>26.678942957486345</v>
      </c>
      <c r="BB88" s="1524">
        <f t="shared" ref="BB88" si="357">SUM(BB85/BB87)</f>
        <v>13.152219499667808</v>
      </c>
      <c r="BC88" s="1525">
        <f t="shared" ref="BC88" si="358">SUM(BC85/BC87)</f>
        <v>23.479446815964742</v>
      </c>
      <c r="BD88" s="2251">
        <f t="shared" si="195"/>
        <v>1.0619060913173692</v>
      </c>
      <c r="BE88" s="1523">
        <f t="shared" ref="BE88" si="359">SUM(BE85/BE87)</f>
        <v>23.53134427922274</v>
      </c>
      <c r="BF88" s="1524">
        <f t="shared" ref="BF88" si="360">SUM(BF85/BF87)</f>
        <v>14.036484091115524</v>
      </c>
      <c r="BG88" s="1514"/>
      <c r="BH88" s="1525">
        <f t="shared" ref="BH88:BJ88" si="361">SUM(BH85/BH87)</f>
        <v>24.509749161759764</v>
      </c>
      <c r="BI88" s="1523">
        <f t="shared" si="361"/>
        <v>24.566970761948454</v>
      </c>
      <c r="BJ88" s="1524">
        <f t="shared" si="361"/>
        <v>15.742035196582577</v>
      </c>
      <c r="BK88" s="1525">
        <f t="shared" ref="BK88:BM88" si="362">SUM(BK85/BK87)</f>
        <v>25.896937596643603</v>
      </c>
      <c r="BL88" s="1523">
        <f t="shared" si="362"/>
        <v>25.959642079793717</v>
      </c>
      <c r="BM88" s="1524">
        <f t="shared" si="362"/>
        <v>16.538191295350131</v>
      </c>
      <c r="BN88" s="1525">
        <f t="shared" ref="BN88:BQ88" si="363">SUM(BN85/BN87)</f>
        <v>26.230699693788303</v>
      </c>
      <c r="BO88" s="1523">
        <f t="shared" si="363"/>
        <v>26.294658457938663</v>
      </c>
      <c r="BP88" s="1524">
        <f t="shared" si="363"/>
        <v>16.684749909074007</v>
      </c>
      <c r="BQ88" s="3390">
        <f t="shared" si="363"/>
        <v>26.605935705637457</v>
      </c>
      <c r="BR88" s="3431">
        <f t="shared" si="200"/>
        <v>1.1331585413480385</v>
      </c>
      <c r="BS88" s="3391">
        <f t="shared" ref="BS88:BU88" si="364">SUM(BS85/BS87)</f>
        <v>26.691429115134305</v>
      </c>
      <c r="BT88" s="3392">
        <f t="shared" si="364"/>
        <v>14.71120047129253</v>
      </c>
      <c r="BU88" s="3390">
        <f t="shared" si="364"/>
        <v>26.086081232197138</v>
      </c>
      <c r="BV88" s="3702">
        <f t="shared" si="202"/>
        <v>1.1110177099428096</v>
      </c>
      <c r="BW88" s="3391">
        <f t="shared" ref="BW88:BX88" si="365">SUM(BW85/BW87)</f>
        <v>26.171848614329775</v>
      </c>
      <c r="BX88" s="3392">
        <f t="shared" si="365"/>
        <v>13.881942107214783</v>
      </c>
    </row>
    <row r="89" spans="1:76" ht="20.25" customHeight="1">
      <c r="A89" s="1345" t="s">
        <v>437</v>
      </c>
      <c r="B89" s="1516"/>
      <c r="C89" s="1516"/>
      <c r="D89" s="1516"/>
      <c r="E89" s="1516"/>
      <c r="F89" s="1516"/>
      <c r="G89" s="1516"/>
      <c r="H89" s="1516"/>
      <c r="I89" s="1516"/>
      <c r="J89" s="1516"/>
      <c r="K89" s="1516"/>
      <c r="L89" s="1516"/>
      <c r="M89" s="1516"/>
      <c r="N89" s="1516"/>
      <c r="O89" s="1516"/>
      <c r="P89" s="1516"/>
      <c r="Q89" s="1516"/>
      <c r="R89" s="1516"/>
      <c r="S89" s="1516"/>
      <c r="T89" s="1516"/>
      <c r="U89" s="1516"/>
      <c r="V89" s="1516"/>
      <c r="W89" s="1517">
        <f>SUM(W57)</f>
        <v>0</v>
      </c>
      <c r="X89" s="1516"/>
      <c r="Y89" s="1521">
        <f t="shared" ref="Y89:AE89" si="366">SUM(Y57)</f>
        <v>0</v>
      </c>
      <c r="Z89" s="1519">
        <f t="shared" si="366"/>
        <v>0</v>
      </c>
      <c r="AA89" s="1520">
        <f t="shared" si="366"/>
        <v>0</v>
      </c>
      <c r="AB89" s="1521">
        <f t="shared" si="366"/>
        <v>0</v>
      </c>
      <c r="AC89" s="1519">
        <f t="shared" si="366"/>
        <v>0</v>
      </c>
      <c r="AD89" s="1520">
        <f t="shared" si="366"/>
        <v>0</v>
      </c>
      <c r="AE89" s="1521">
        <f t="shared" si="366"/>
        <v>4275.2299999999996</v>
      </c>
      <c r="AF89" s="1437" t="e">
        <f t="shared" si="188"/>
        <v>#DIV/0!</v>
      </c>
      <c r="AG89" s="1519">
        <f t="shared" ref="AG89:AI89" si="367">SUM(AG57)</f>
        <v>4265.2299999999996</v>
      </c>
      <c r="AH89" s="1520">
        <f t="shared" si="367"/>
        <v>10</v>
      </c>
      <c r="AI89" s="1521">
        <f t="shared" si="367"/>
        <v>4058.2871584358877</v>
      </c>
      <c r="AJ89" s="1437" t="e">
        <f t="shared" si="190"/>
        <v>#DIV/0!</v>
      </c>
      <c r="AK89" s="1519">
        <f t="shared" ref="AK89:AY89" si="368">SUM(AK57)</f>
        <v>4106.4671584358875</v>
      </c>
      <c r="AL89" s="1520">
        <f t="shared" si="368"/>
        <v>-48.18</v>
      </c>
      <c r="AM89" s="1517">
        <f t="shared" si="368"/>
        <v>0</v>
      </c>
      <c r="AN89" s="1517">
        <f t="shared" si="368"/>
        <v>0</v>
      </c>
      <c r="AO89" s="1517">
        <f t="shared" si="368"/>
        <v>0</v>
      </c>
      <c r="AP89" s="1521">
        <f t="shared" si="368"/>
        <v>0</v>
      </c>
      <c r="AQ89" s="1519">
        <f t="shared" si="368"/>
        <v>0</v>
      </c>
      <c r="AR89" s="1520">
        <f t="shared" si="368"/>
        <v>0</v>
      </c>
      <c r="AS89" s="1521">
        <f t="shared" si="368"/>
        <v>0</v>
      </c>
      <c r="AT89" s="1519">
        <f t="shared" si="368"/>
        <v>0</v>
      </c>
      <c r="AU89" s="1520">
        <f t="shared" si="368"/>
        <v>0</v>
      </c>
      <c r="AV89" s="1521">
        <f t="shared" ref="AV89:AX89" si="369">SUM(AV57)</f>
        <v>0</v>
      </c>
      <c r="AW89" s="1519">
        <f t="shared" si="369"/>
        <v>0</v>
      </c>
      <c r="AX89" s="1520">
        <f t="shared" si="369"/>
        <v>0</v>
      </c>
      <c r="AY89" s="1521">
        <f t="shared" si="368"/>
        <v>4649.3426922200424</v>
      </c>
      <c r="AZ89" s="2251">
        <f t="shared" si="193"/>
        <v>1.1456416243378782</v>
      </c>
      <c r="BA89" s="1519">
        <f t="shared" ref="BA89:BC89" si="370">SUM(BA57)</f>
        <v>4636.8919244270237</v>
      </c>
      <c r="BB89" s="1520">
        <f t="shared" si="370"/>
        <v>12.45076779301886</v>
      </c>
      <c r="BC89" s="1521">
        <f t="shared" si="370"/>
        <v>4053.2740520961179</v>
      </c>
      <c r="BD89" s="2251">
        <f t="shared" si="195"/>
        <v>0.99876472360282609</v>
      </c>
      <c r="BE89" s="1519">
        <f t="shared" ref="BE89:BF89" si="371">SUM(BE57)</f>
        <v>4053.2740520961179</v>
      </c>
      <c r="BF89" s="1520">
        <f t="shared" si="371"/>
        <v>0</v>
      </c>
      <c r="BG89" s="1514"/>
      <c r="BH89" s="1521">
        <f t="shared" ref="BH89:BJ89" si="372">SUM(BH57)</f>
        <v>0</v>
      </c>
      <c r="BI89" s="1519">
        <f t="shared" si="372"/>
        <v>0</v>
      </c>
      <c r="BJ89" s="1520">
        <f t="shared" si="372"/>
        <v>0</v>
      </c>
      <c r="BK89" s="1521">
        <f t="shared" ref="BK89:BM89" si="373">SUM(BK57)</f>
        <v>0</v>
      </c>
      <c r="BL89" s="1519">
        <f t="shared" si="373"/>
        <v>0</v>
      </c>
      <c r="BM89" s="1520">
        <f t="shared" si="373"/>
        <v>0</v>
      </c>
      <c r="BN89" s="1521">
        <f t="shared" ref="BN89:BQ89" si="374">SUM(BN57)</f>
        <v>0</v>
      </c>
      <c r="BO89" s="1519">
        <f t="shared" si="374"/>
        <v>0</v>
      </c>
      <c r="BP89" s="1520">
        <f t="shared" si="374"/>
        <v>0</v>
      </c>
      <c r="BQ89" s="3387">
        <f t="shared" si="374"/>
        <v>4287.5465389634755</v>
      </c>
      <c r="BR89" s="3431">
        <f t="shared" si="200"/>
        <v>1.0577983338546293</v>
      </c>
      <c r="BS89" s="3388">
        <f t="shared" ref="BS89:BU89" si="375">SUM(BS57)</f>
        <v>4270.6286584214895</v>
      </c>
      <c r="BT89" s="3389">
        <f t="shared" si="375"/>
        <v>16.91788054198641</v>
      </c>
      <c r="BU89" s="3387">
        <f t="shared" si="375"/>
        <v>4298.66</v>
      </c>
      <c r="BV89" s="3702">
        <f t="shared" si="202"/>
        <v>1.060540181776503</v>
      </c>
      <c r="BW89" s="3388">
        <f t="shared" ref="BW89:BX89" si="376">SUM(BW57)</f>
        <v>4282.7</v>
      </c>
      <c r="BX89" s="3389">
        <f t="shared" si="376"/>
        <v>15.96</v>
      </c>
    </row>
    <row r="90" spans="1:76" ht="20.25" customHeight="1">
      <c r="A90" s="1345" t="s">
        <v>548</v>
      </c>
      <c r="B90" s="1516"/>
      <c r="C90" s="1516"/>
      <c r="D90" s="1516"/>
      <c r="E90" s="1516"/>
      <c r="F90" s="1516"/>
      <c r="G90" s="1516"/>
      <c r="H90" s="1516"/>
      <c r="I90" s="1516"/>
      <c r="J90" s="1516"/>
      <c r="K90" s="1516"/>
      <c r="L90" s="1516"/>
      <c r="M90" s="1516"/>
      <c r="N90" s="1516"/>
      <c r="O90" s="1516"/>
      <c r="P90" s="1516"/>
      <c r="Q90" s="1516"/>
      <c r="R90" s="1516"/>
      <c r="S90" s="1516"/>
      <c r="T90" s="1516"/>
      <c r="U90" s="1516"/>
      <c r="V90" s="1516"/>
      <c r="W90" s="1517">
        <f>SUM(W85+W89)</f>
        <v>96034.680000000008</v>
      </c>
      <c r="X90" s="1516"/>
      <c r="Y90" s="1521">
        <f t="shared" ref="Y90:AE90" si="377">SUM(Y85+Y89)</f>
        <v>77174.362445693521</v>
      </c>
      <c r="Z90" s="1519">
        <f t="shared" si="377"/>
        <v>76845.21173857752</v>
      </c>
      <c r="AA90" s="1520">
        <f t="shared" si="377"/>
        <v>329.45070711599271</v>
      </c>
      <c r="AB90" s="1521">
        <f t="shared" si="377"/>
        <v>70897.669500000004</v>
      </c>
      <c r="AC90" s="1519">
        <f t="shared" si="377"/>
        <v>70520.933541510851</v>
      </c>
      <c r="AD90" s="1520">
        <f t="shared" si="377"/>
        <v>376.73595848915204</v>
      </c>
      <c r="AE90" s="1521">
        <f t="shared" si="377"/>
        <v>89773.889999999985</v>
      </c>
      <c r="AF90" s="1437">
        <f t="shared" si="188"/>
        <v>1.1632605330970187</v>
      </c>
      <c r="AG90" s="1519">
        <f t="shared" ref="AG90" si="378">SUM(AG85+AG89)</f>
        <v>89859.839999999982</v>
      </c>
      <c r="AH90" s="1520">
        <f t="shared" ref="AH90" si="379">SUM(AH85+AH89)</f>
        <v>353.42</v>
      </c>
      <c r="AI90" s="1521">
        <f t="shared" ref="AI90:AK90" si="380">SUM(AI85+AI89)</f>
        <v>85264.116022281698</v>
      </c>
      <c r="AJ90" s="1437">
        <f t="shared" si="190"/>
        <v>1.1048243655045524</v>
      </c>
      <c r="AK90" s="1519">
        <f t="shared" si="380"/>
        <v>84963.210327153633</v>
      </c>
      <c r="AL90" s="1520">
        <f t="shared" ref="AL90" si="381">SUM(AL85+AL89)</f>
        <v>300.90569512807247</v>
      </c>
      <c r="AM90" s="1517" t="e">
        <f t="shared" ref="AM90" si="382">SUM(AM85+AM89)</f>
        <v>#REF!</v>
      </c>
      <c r="AN90" s="1517" t="e">
        <f t="shared" ref="AN90" si="383">SUM(AN85+AN89)</f>
        <v>#REF!</v>
      </c>
      <c r="AO90" s="1517" t="e">
        <f t="shared" ref="AO90" si="384">SUM(AO85+AO89)</f>
        <v>#REF!</v>
      </c>
      <c r="AP90" s="1521">
        <f t="shared" ref="AP90" si="385">SUM(AP85+AP89)</f>
        <v>25525.759999999998</v>
      </c>
      <c r="AQ90" s="1519">
        <f t="shared" ref="AQ90" si="386">SUM(AQ85+AQ89)</f>
        <v>25440.449918838356</v>
      </c>
      <c r="AR90" s="1520">
        <f t="shared" ref="AR90" si="387">SUM(AR85+AR89)</f>
        <v>85.310081161642032</v>
      </c>
      <c r="AS90" s="1521">
        <f t="shared" ref="AS90" si="388">SUM(AS85+AS89)</f>
        <v>40253.670000000006</v>
      </c>
      <c r="AT90" s="1519">
        <f t="shared" ref="AT90" si="389">SUM(AT85+AT89)</f>
        <v>40114.792459398108</v>
      </c>
      <c r="AU90" s="1520">
        <f t="shared" ref="AU90:AW90" si="390">SUM(AU85+AU89)</f>
        <v>138.8775406018996</v>
      </c>
      <c r="AV90" s="1521">
        <f t="shared" si="390"/>
        <v>73344.06</v>
      </c>
      <c r="AW90" s="1519">
        <f t="shared" si="390"/>
        <v>73012.944878892187</v>
      </c>
      <c r="AX90" s="1520">
        <f t="shared" ref="AX90" si="391">SUM(AX85+AX89)</f>
        <v>331.11512110780825</v>
      </c>
      <c r="AY90" s="1521">
        <f t="shared" ref="AY90" si="392">SUM(AY85+AY89)</f>
        <v>96807.316536620885</v>
      </c>
      <c r="AZ90" s="2251">
        <f t="shared" si="193"/>
        <v>1.1353816945844211</v>
      </c>
      <c r="BA90" s="1519">
        <f t="shared" ref="BA90" si="393">SUM(BA85+BA89)</f>
        <v>96545.850412967484</v>
      </c>
      <c r="BB90" s="1520">
        <f t="shared" ref="BB90" si="394">SUM(BB85+BB89)</f>
        <v>261.46612365339604</v>
      </c>
      <c r="BC90" s="1521">
        <f t="shared" ref="BC90" si="395">SUM(BC85+BC89)</f>
        <v>85384.51252614359</v>
      </c>
      <c r="BD90" s="2251">
        <f t="shared" si="195"/>
        <v>1.0014120418938071</v>
      </c>
      <c r="BE90" s="1519">
        <f t="shared" ref="BE90" si="396">SUM(BE85+BE89)</f>
        <v>85118.755094018459</v>
      </c>
      <c r="BF90" s="1520">
        <f t="shared" ref="BF90" si="397">SUM(BF85+BF89)</f>
        <v>265.7574321251206</v>
      </c>
      <c r="BG90" s="1514"/>
      <c r="BH90" s="1521">
        <f t="shared" ref="BH90:BJ90" si="398">SUM(BH85+BH89)</f>
        <v>38669.27635</v>
      </c>
      <c r="BI90" s="1519">
        <f t="shared" si="398"/>
        <v>38508.235329938965</v>
      </c>
      <c r="BJ90" s="1520">
        <f t="shared" si="398"/>
        <v>161.04102006103977</v>
      </c>
      <c r="BK90" s="1521">
        <f t="shared" ref="BK90:BM90" si="399">SUM(BK85+BK89)</f>
        <v>59688.815588999976</v>
      </c>
      <c r="BL90" s="1519">
        <f t="shared" si="399"/>
        <v>59435.119734529311</v>
      </c>
      <c r="BM90" s="1520">
        <f t="shared" si="399"/>
        <v>253.69585447067101</v>
      </c>
      <c r="BN90" s="1521">
        <f t="shared" ref="BN90:BQ90" si="400">SUM(BN85+BN89)</f>
        <v>80610.787328299863</v>
      </c>
      <c r="BO90" s="1519">
        <f t="shared" si="400"/>
        <v>80269.528576826284</v>
      </c>
      <c r="BP90" s="1520">
        <f t="shared" si="400"/>
        <v>341.25875147359369</v>
      </c>
      <c r="BQ90" s="3387">
        <f t="shared" si="400"/>
        <v>90038.477318232995</v>
      </c>
      <c r="BR90" s="3431">
        <f t="shared" si="200"/>
        <v>1.0545059596219446</v>
      </c>
      <c r="BS90" s="3388">
        <f t="shared" ref="BS90:BU90" si="401">SUM(BS85+BS89)</f>
        <v>89683.201826851262</v>
      </c>
      <c r="BT90" s="3389">
        <f t="shared" si="401"/>
        <v>355.27549138171457</v>
      </c>
      <c r="BU90" s="3387">
        <f t="shared" si="401"/>
        <v>90271.862221013726</v>
      </c>
      <c r="BV90" s="3702">
        <f t="shared" si="202"/>
        <v>1.0572392996138931</v>
      </c>
      <c r="BW90" s="3388">
        <f t="shared" ref="BW90:BX90" si="402">SUM(BW85+BW89)</f>
        <v>89936.617552547774</v>
      </c>
      <c r="BX90" s="3389">
        <f t="shared" si="402"/>
        <v>335.24466846593998</v>
      </c>
    </row>
    <row r="91" spans="1:76" ht="20.25" customHeight="1">
      <c r="A91" s="1346" t="s">
        <v>70</v>
      </c>
      <c r="B91" s="1516"/>
      <c r="C91" s="1516"/>
      <c r="D91" s="1516"/>
      <c r="E91" s="1516"/>
      <c r="F91" s="1516"/>
      <c r="G91" s="1516"/>
      <c r="H91" s="1516"/>
      <c r="I91" s="1516"/>
      <c r="J91" s="1516"/>
      <c r="K91" s="1516"/>
      <c r="L91" s="1516"/>
      <c r="M91" s="1516"/>
      <c r="N91" s="1516"/>
      <c r="O91" s="1516"/>
      <c r="P91" s="1516"/>
      <c r="Q91" s="1516"/>
      <c r="R91" s="1516"/>
      <c r="S91" s="1516"/>
      <c r="T91" s="1516"/>
      <c r="U91" s="1516"/>
      <c r="V91" s="1516"/>
      <c r="W91" s="1522">
        <f>SUM(W90/W87)</f>
        <v>26.676300000000001</v>
      </c>
      <c r="X91" s="1516"/>
      <c r="Y91" s="1525">
        <f t="shared" ref="Y91:AE91" si="403">SUM(Y90/Y87)</f>
        <v>21.012977494947457</v>
      </c>
      <c r="Z91" s="1523">
        <f t="shared" si="403"/>
        <v>21.084097933596048</v>
      </c>
      <c r="AA91" s="1524">
        <f t="shared" si="403"/>
        <v>11.766096682714025</v>
      </c>
      <c r="AB91" s="1525">
        <f t="shared" si="403"/>
        <v>20.395164115988724</v>
      </c>
      <c r="AC91" s="1523">
        <f t="shared" si="403"/>
        <v>20.464577348087886</v>
      </c>
      <c r="AD91" s="1524">
        <f t="shared" si="403"/>
        <v>12.474700612223577</v>
      </c>
      <c r="AE91" s="1525">
        <f t="shared" si="403"/>
        <v>24.443567402728235</v>
      </c>
      <c r="AF91" s="1437">
        <f t="shared" si="188"/>
        <v>1.1632605330970187</v>
      </c>
      <c r="AG91" s="1523">
        <f t="shared" ref="AG91" si="404">SUM(AG90/AG87)</f>
        <v>24.654934562515429</v>
      </c>
      <c r="AH91" s="1524">
        <f t="shared" ref="AH91" si="405">SUM(AH90/AH87)</f>
        <v>12.622142857142858</v>
      </c>
      <c r="AI91" s="1525">
        <f t="shared" ref="AI91:AK91" si="406">SUM(AI90/AI87)</f>
        <v>23.215649528216762</v>
      </c>
      <c r="AJ91" s="1437">
        <f t="shared" si="190"/>
        <v>1.1048243655045524</v>
      </c>
      <c r="AK91" s="1523">
        <f t="shared" si="406"/>
        <v>23.311441360647965</v>
      </c>
      <c r="AL91" s="1524">
        <f t="shared" ref="AL91" si="407">SUM(AL90/AL87)</f>
        <v>10.746631968859731</v>
      </c>
      <c r="AM91" s="1522" t="e">
        <f t="shared" ref="AM91" si="408">SUM(AM90/AM87)</f>
        <v>#REF!</v>
      </c>
      <c r="AN91" s="1522" t="e">
        <f t="shared" ref="AN91" si="409">SUM(AN90/AN87)</f>
        <v>#REF!</v>
      </c>
      <c r="AO91" s="1522" t="e">
        <f t="shared" ref="AO91" si="410">SUM(AO90/AO87)</f>
        <v>#REF!</v>
      </c>
      <c r="AP91" s="1525">
        <f t="shared" ref="AP91" si="411">SUM(AP90/AP87)</f>
        <v>15.278116283802387</v>
      </c>
      <c r="AQ91" s="1523">
        <f t="shared" ref="AQ91" si="412">SUM(AQ90/AQ87)</f>
        <v>15.315700072145278</v>
      </c>
      <c r="AR91" s="1524">
        <f t="shared" ref="AR91" si="413">SUM(AR90/AR87)</f>
        <v>8.8221386930343364</v>
      </c>
      <c r="AS91" s="1525">
        <f t="shared" ref="AS91" si="414">SUM(AS90/AS87)</f>
        <v>16.707135060202461</v>
      </c>
      <c r="AT91" s="1523">
        <f t="shared" ref="AT91" si="415">SUM(AT90/AT87)</f>
        <v>16.748202615846935</v>
      </c>
      <c r="AU91" s="1524">
        <f t="shared" ref="AU91:AW91" si="416">SUM(AU90/AU87)</f>
        <v>9.7801084930915216</v>
      </c>
      <c r="AV91" s="1525">
        <f t="shared" si="416"/>
        <v>22.84897272543186</v>
      </c>
      <c r="AW91" s="1523">
        <f t="shared" si="416"/>
        <v>22.912707042020791</v>
      </c>
      <c r="AX91" s="1524">
        <f t="shared" ref="AX91" si="417">SUM(AX90/AX87)</f>
        <v>14.162323400676145</v>
      </c>
      <c r="AY91" s="1525">
        <f t="shared" ref="AY91" si="418">SUM(AY90/AY87)</f>
        <v>27.947222772749925</v>
      </c>
      <c r="AZ91" s="2251">
        <f t="shared" si="193"/>
        <v>1.2038096430936518</v>
      </c>
      <c r="BA91" s="1523">
        <f t="shared" ref="BA91" si="419">SUM(BA90/BA87)</f>
        <v>28.024920294039909</v>
      </c>
      <c r="BB91" s="1524">
        <f t="shared" ref="BB91" si="420">SUM(BB90/BB87)</f>
        <v>13.8098304746512</v>
      </c>
      <c r="BC91" s="1525">
        <f t="shared" ref="BC91" si="421">SUM(BC90/BC87)</f>
        <v>24.649583092287262</v>
      </c>
      <c r="BD91" s="2251">
        <f t="shared" si="195"/>
        <v>1.0617658171625854</v>
      </c>
      <c r="BE91" s="1523">
        <f t="shared" ref="BE91" si="422">SUM(BE90/BE87)</f>
        <v>24.707911493183879</v>
      </c>
      <c r="BF91" s="1524">
        <f t="shared" ref="BF91" si="423">SUM(BF90/BF87)</f>
        <v>14.036484091115524</v>
      </c>
      <c r="BG91" s="1514"/>
      <c r="BH91" s="1525">
        <f t="shared" ref="BH91:BJ91" si="424">SUM(BH90/BH87)</f>
        <v>24.509749161759764</v>
      </c>
      <c r="BI91" s="1523">
        <f t="shared" si="424"/>
        <v>24.566970761948454</v>
      </c>
      <c r="BJ91" s="1524">
        <f t="shared" si="424"/>
        <v>15.742035196582577</v>
      </c>
      <c r="BK91" s="1525">
        <f t="shared" ref="BK91:BM91" si="425">SUM(BK90/BK87)</f>
        <v>25.896937596643603</v>
      </c>
      <c r="BL91" s="1523">
        <f t="shared" si="425"/>
        <v>25.959642079793717</v>
      </c>
      <c r="BM91" s="1524">
        <f t="shared" si="425"/>
        <v>16.538191295350131</v>
      </c>
      <c r="BN91" s="1525">
        <f t="shared" ref="BN91:BQ91" si="426">SUM(BN90/BN87)</f>
        <v>26.230699693788303</v>
      </c>
      <c r="BO91" s="1523">
        <f t="shared" si="426"/>
        <v>26.294658457938663</v>
      </c>
      <c r="BP91" s="1524">
        <f t="shared" si="426"/>
        <v>16.684749909074007</v>
      </c>
      <c r="BQ91" s="3390">
        <f t="shared" si="426"/>
        <v>27.936232490919327</v>
      </c>
      <c r="BR91" s="3431">
        <f t="shared" si="200"/>
        <v>1.1333348879097449</v>
      </c>
      <c r="BS91" s="3391">
        <f t="shared" ref="BS91:BU91" si="427">SUM(BS90/BS87)</f>
        <v>28.026000570891018</v>
      </c>
      <c r="BT91" s="3392">
        <f t="shared" si="427"/>
        <v>15.446760494857156</v>
      </c>
      <c r="BU91" s="3390">
        <f t="shared" si="427"/>
        <v>27.390385260111881</v>
      </c>
      <c r="BV91" s="3702">
        <f t="shared" si="202"/>
        <v>1.1111906094948194</v>
      </c>
      <c r="BW91" s="3391">
        <f t="shared" ref="BW91:BX91" si="428">SUM(BW90/BW87)</f>
        <v>27.480442304651369</v>
      </c>
      <c r="BX91" s="3392">
        <f t="shared" si="428"/>
        <v>14.575855150693043</v>
      </c>
    </row>
    <row r="92" spans="1:76" ht="20.25" customHeight="1">
      <c r="A92" s="1346" t="s">
        <v>327</v>
      </c>
      <c r="B92" s="1516"/>
      <c r="C92" s="1516"/>
      <c r="D92" s="1516"/>
      <c r="E92" s="1516"/>
      <c r="F92" s="1516"/>
      <c r="G92" s="1516"/>
      <c r="H92" s="1516"/>
      <c r="I92" s="1516"/>
      <c r="J92" s="1516"/>
      <c r="K92" s="1516"/>
      <c r="L92" s="1516"/>
      <c r="M92" s="1516"/>
      <c r="N92" s="1516"/>
      <c r="O92" s="1516"/>
      <c r="P92" s="1516"/>
      <c r="Q92" s="1516"/>
      <c r="R92" s="1516"/>
      <c r="S92" s="1516"/>
      <c r="T92" s="1516"/>
      <c r="U92" s="1516"/>
      <c r="V92" s="1516"/>
      <c r="W92" s="1517">
        <f>SUM(W61)</f>
        <v>4947</v>
      </c>
      <c r="X92" s="1516"/>
      <c r="Y92" s="1521">
        <f t="shared" ref="Y92:AE92" si="429">SUM(Y61)</f>
        <v>4947</v>
      </c>
      <c r="Z92" s="1519">
        <f t="shared" si="429"/>
        <v>4947</v>
      </c>
      <c r="AA92" s="1520">
        <f t="shared" si="429"/>
        <v>0</v>
      </c>
      <c r="AB92" s="1521">
        <f t="shared" si="429"/>
        <v>1044.8800000000001</v>
      </c>
      <c r="AC92" s="1519">
        <f t="shared" si="429"/>
        <v>1044.8800000000001</v>
      </c>
      <c r="AD92" s="1520">
        <f t="shared" si="429"/>
        <v>0</v>
      </c>
      <c r="AE92" s="1521">
        <f t="shared" si="429"/>
        <v>5656.1</v>
      </c>
      <c r="AF92" s="1437">
        <f t="shared" si="188"/>
        <v>1.1433393976147161</v>
      </c>
      <c r="AG92" s="1519">
        <f t="shared" ref="AG92:AI92" si="430">SUM(AG61)</f>
        <v>5656.1</v>
      </c>
      <c r="AH92" s="1520">
        <f t="shared" si="430"/>
        <v>0</v>
      </c>
      <c r="AI92" s="1521">
        <f t="shared" si="430"/>
        <v>3568.1</v>
      </c>
      <c r="AJ92" s="1437">
        <f t="shared" si="190"/>
        <v>0.72126541338184758</v>
      </c>
      <c r="AK92" s="1519">
        <f t="shared" ref="AK92:AY92" si="431">SUM(AK61)</f>
        <v>3568.1</v>
      </c>
      <c r="AL92" s="1520">
        <f t="shared" si="431"/>
        <v>0</v>
      </c>
      <c r="AM92" s="1517" t="e">
        <f t="shared" si="431"/>
        <v>#REF!</v>
      </c>
      <c r="AN92" s="1517" t="e">
        <f t="shared" si="431"/>
        <v>#REF!</v>
      </c>
      <c r="AO92" s="1517" t="e">
        <f t="shared" si="431"/>
        <v>#REF!</v>
      </c>
      <c r="AP92" s="1521">
        <f t="shared" si="431"/>
        <v>0</v>
      </c>
      <c r="AQ92" s="1519">
        <f t="shared" si="431"/>
        <v>0</v>
      </c>
      <c r="AR92" s="1520">
        <f t="shared" si="431"/>
        <v>0</v>
      </c>
      <c r="AS92" s="1521">
        <f t="shared" si="431"/>
        <v>0</v>
      </c>
      <c r="AT92" s="1519">
        <f t="shared" si="431"/>
        <v>0</v>
      </c>
      <c r="AU92" s="1520">
        <f t="shared" si="431"/>
        <v>0</v>
      </c>
      <c r="AV92" s="1521">
        <f t="shared" ref="AV92:AX92" si="432">SUM(AV61)</f>
        <v>0</v>
      </c>
      <c r="AW92" s="1519">
        <f t="shared" si="432"/>
        <v>0</v>
      </c>
      <c r="AX92" s="1520">
        <f t="shared" si="432"/>
        <v>0</v>
      </c>
      <c r="AY92" s="1521">
        <f t="shared" si="431"/>
        <v>0.9</v>
      </c>
      <c r="AZ92" s="2251">
        <f t="shared" si="193"/>
        <v>2.5223508309744685E-4</v>
      </c>
      <c r="BA92" s="1519">
        <f t="shared" ref="BA92:BC92" si="433">SUM(BA61)</f>
        <v>0.9</v>
      </c>
      <c r="BB92" s="1520">
        <f t="shared" si="433"/>
        <v>0</v>
      </c>
      <c r="BC92" s="1521">
        <f t="shared" si="433"/>
        <v>0.9</v>
      </c>
      <c r="BD92" s="2251">
        <f t="shared" si="195"/>
        <v>2.5223508309744685E-4</v>
      </c>
      <c r="BE92" s="1519">
        <f t="shared" ref="BE92:BF92" si="434">SUM(BE61)</f>
        <v>0.9</v>
      </c>
      <c r="BF92" s="1520">
        <f t="shared" si="434"/>
        <v>0</v>
      </c>
      <c r="BG92" s="1514"/>
      <c r="BH92" s="1521">
        <f t="shared" ref="BH92:BJ92" si="435">SUM(BH61)</f>
        <v>0</v>
      </c>
      <c r="BI92" s="1519">
        <f t="shared" si="435"/>
        <v>0</v>
      </c>
      <c r="BJ92" s="1520">
        <f t="shared" si="435"/>
        <v>0</v>
      </c>
      <c r="BK92" s="1521">
        <f t="shared" ref="BK92:BM92" si="436">SUM(BK61)</f>
        <v>0</v>
      </c>
      <c r="BL92" s="1519">
        <f t="shared" si="436"/>
        <v>0</v>
      </c>
      <c r="BM92" s="1520">
        <f t="shared" si="436"/>
        <v>0</v>
      </c>
      <c r="BN92" s="1521">
        <f t="shared" ref="BN92:BQ92" si="437">SUM(BN61)</f>
        <v>0</v>
      </c>
      <c r="BO92" s="1519">
        <f t="shared" si="437"/>
        <v>0</v>
      </c>
      <c r="BP92" s="1520">
        <f t="shared" si="437"/>
        <v>0</v>
      </c>
      <c r="BQ92" s="3387">
        <f t="shared" si="437"/>
        <v>0</v>
      </c>
      <c r="BR92" s="3431">
        <f t="shared" si="200"/>
        <v>0</v>
      </c>
      <c r="BS92" s="3388">
        <f t="shared" ref="BS92:BU92" si="438">SUM(BS61)</f>
        <v>0</v>
      </c>
      <c r="BT92" s="3389">
        <f t="shared" si="438"/>
        <v>0</v>
      </c>
      <c r="BU92" s="3387">
        <f t="shared" si="438"/>
        <v>0</v>
      </c>
      <c r="BV92" s="3702">
        <f t="shared" si="202"/>
        <v>0</v>
      </c>
      <c r="BW92" s="3388">
        <f t="shared" ref="BW92:BX92" si="439">SUM(BW61)</f>
        <v>0</v>
      </c>
      <c r="BX92" s="3389">
        <f t="shared" si="439"/>
        <v>0</v>
      </c>
    </row>
    <row r="93" spans="1:76" ht="20.25" customHeight="1">
      <c r="A93" s="1345" t="s">
        <v>1720</v>
      </c>
      <c r="B93" s="1516"/>
      <c r="C93" s="1516"/>
      <c r="D93" s="1516"/>
      <c r="E93" s="1516"/>
      <c r="F93" s="1516"/>
      <c r="G93" s="1516"/>
      <c r="H93" s="1516"/>
      <c r="I93" s="1516"/>
      <c r="J93" s="1516"/>
      <c r="K93" s="1516"/>
      <c r="L93" s="1516"/>
      <c r="M93" s="1516"/>
      <c r="N93" s="1516"/>
      <c r="O93" s="1516"/>
      <c r="P93" s="1516"/>
      <c r="Q93" s="1516"/>
      <c r="R93" s="1516"/>
      <c r="S93" s="1516"/>
      <c r="T93" s="1516"/>
      <c r="U93" s="1516"/>
      <c r="V93" s="1516"/>
      <c r="W93" s="1517">
        <f>SUM(W90+W92)</f>
        <v>100981.68000000001</v>
      </c>
      <c r="X93" s="1516"/>
      <c r="Y93" s="1521">
        <f t="shared" ref="Y93:AE93" si="440">SUM(Y90+Y92)</f>
        <v>82121.362445693521</v>
      </c>
      <c r="Z93" s="1519">
        <f t="shared" si="440"/>
        <v>81792.21173857752</v>
      </c>
      <c r="AA93" s="1520">
        <f t="shared" si="440"/>
        <v>329.45070711599271</v>
      </c>
      <c r="AB93" s="1521">
        <f t="shared" si="440"/>
        <v>71942.549500000008</v>
      </c>
      <c r="AC93" s="1519">
        <f t="shared" si="440"/>
        <v>71565.813541510855</v>
      </c>
      <c r="AD93" s="1520">
        <f t="shared" si="440"/>
        <v>376.73595848915204</v>
      </c>
      <c r="AE93" s="1521">
        <f t="shared" si="440"/>
        <v>95429.989999999991</v>
      </c>
      <c r="AF93" s="1437">
        <f t="shared" si="188"/>
        <v>1.1620604816816988</v>
      </c>
      <c r="AG93" s="1519">
        <f t="shared" ref="AG93" si="441">SUM(AG90+AG92)</f>
        <v>95515.939999999988</v>
      </c>
      <c r="AH93" s="1520">
        <f t="shared" ref="AH93" si="442">SUM(AH90+AH92)</f>
        <v>353.42</v>
      </c>
      <c r="AI93" s="1521">
        <f t="shared" ref="AI93:AK93" si="443">SUM(AI90+AI92)</f>
        <v>88832.216022281704</v>
      </c>
      <c r="AJ93" s="1437">
        <f t="shared" si="190"/>
        <v>1.0817187316031933</v>
      </c>
      <c r="AK93" s="1519">
        <f t="shared" si="443"/>
        <v>88531.310327153638</v>
      </c>
      <c r="AL93" s="1520">
        <f t="shared" ref="AL93" si="444">SUM(AL90+AL92)</f>
        <v>300.90569512807247</v>
      </c>
      <c r="AM93" s="1517" t="e">
        <f t="shared" ref="AM93" si="445">SUM(AM90+AM92)</f>
        <v>#REF!</v>
      </c>
      <c r="AN93" s="1517" t="e">
        <f t="shared" ref="AN93" si="446">SUM(AN90+AN92)</f>
        <v>#REF!</v>
      </c>
      <c r="AO93" s="1517" t="e">
        <f t="shared" ref="AO93" si="447">SUM(AO90+AO92)</f>
        <v>#REF!</v>
      </c>
      <c r="AP93" s="1521">
        <f t="shared" ref="AP93" si="448">SUM(AP90+AP92)</f>
        <v>25525.759999999998</v>
      </c>
      <c r="AQ93" s="1519">
        <f t="shared" ref="AQ93" si="449">SUM(AQ90+AQ92)</f>
        <v>25440.449918838356</v>
      </c>
      <c r="AR93" s="1520">
        <f t="shared" ref="AR93" si="450">SUM(AR90+AR92)</f>
        <v>85.310081161642032</v>
      </c>
      <c r="AS93" s="1521">
        <f t="shared" ref="AS93" si="451">SUM(AS90+AS92)</f>
        <v>40253.670000000006</v>
      </c>
      <c r="AT93" s="1519">
        <f t="shared" ref="AT93" si="452">SUM(AT90+AT92)</f>
        <v>40114.792459398108</v>
      </c>
      <c r="AU93" s="1520">
        <f t="shared" ref="AU93:AW93" si="453">SUM(AU90+AU92)</f>
        <v>138.8775406018996</v>
      </c>
      <c r="AV93" s="1521">
        <f t="shared" si="453"/>
        <v>73344.06</v>
      </c>
      <c r="AW93" s="1519">
        <f t="shared" si="453"/>
        <v>73012.944878892187</v>
      </c>
      <c r="AX93" s="1520">
        <f t="shared" ref="AX93" si="454">SUM(AX90+AX92)</f>
        <v>331.11512110780825</v>
      </c>
      <c r="AY93" s="1521">
        <f t="shared" ref="AY93" si="455">SUM(AY90+AY92)</f>
        <v>96808.216536620879</v>
      </c>
      <c r="AZ93" s="2251">
        <f t="shared" si="193"/>
        <v>1.0897872514216977</v>
      </c>
      <c r="BA93" s="1519">
        <f t="shared" ref="BA93" si="456">SUM(BA90+BA92)</f>
        <v>96546.750412967478</v>
      </c>
      <c r="BB93" s="1520">
        <f t="shared" ref="BB93" si="457">SUM(BB90+BB92)</f>
        <v>261.46612365339604</v>
      </c>
      <c r="BC93" s="1521">
        <f t="shared" ref="BC93" si="458">SUM(BC90+BC92)</f>
        <v>85385.412526143584</v>
      </c>
      <c r="BD93" s="2251">
        <f t="shared" si="195"/>
        <v>0.96119872214745194</v>
      </c>
      <c r="BE93" s="1519">
        <f t="shared" ref="BE93" si="459">SUM(BE90+BE92)</f>
        <v>85119.655094018453</v>
      </c>
      <c r="BF93" s="1520">
        <f t="shared" ref="BF93" si="460">SUM(BF90+BF92)</f>
        <v>265.7574321251206</v>
      </c>
      <c r="BG93" s="1514"/>
      <c r="BH93" s="1521">
        <f t="shared" ref="BH93:BJ93" si="461">SUM(BH90+BH92)</f>
        <v>38669.27635</v>
      </c>
      <c r="BI93" s="1519">
        <f t="shared" si="461"/>
        <v>38508.235329938965</v>
      </c>
      <c r="BJ93" s="1520">
        <f t="shared" si="461"/>
        <v>161.04102006103977</v>
      </c>
      <c r="BK93" s="1521">
        <f t="shared" ref="BK93:BM93" si="462">SUM(BK90+BK92)</f>
        <v>59688.815588999976</v>
      </c>
      <c r="BL93" s="1519">
        <f t="shared" si="462"/>
        <v>59435.119734529311</v>
      </c>
      <c r="BM93" s="1520">
        <f t="shared" si="462"/>
        <v>253.69585447067101</v>
      </c>
      <c r="BN93" s="1521">
        <f t="shared" ref="BN93:BQ93" si="463">SUM(BN90+BN92)</f>
        <v>80610.787328299863</v>
      </c>
      <c r="BO93" s="1519">
        <f t="shared" si="463"/>
        <v>80269.528576826284</v>
      </c>
      <c r="BP93" s="1520">
        <f t="shared" si="463"/>
        <v>341.25875147359369</v>
      </c>
      <c r="BQ93" s="3387">
        <f t="shared" si="463"/>
        <v>90038.477318232995</v>
      </c>
      <c r="BR93" s="3431">
        <f t="shared" si="200"/>
        <v>1.054494844662895</v>
      </c>
      <c r="BS93" s="3388">
        <f t="shared" ref="BS93:BT93" si="464">SUM(BS90+BS92)</f>
        <v>89683.201826851262</v>
      </c>
      <c r="BT93" s="3389">
        <f t="shared" si="464"/>
        <v>355.27549138171457</v>
      </c>
      <c r="BU93" s="3387">
        <f>SUM(BU90+BU92)+BU86</f>
        <v>85037.162221013728</v>
      </c>
      <c r="BV93" s="3702">
        <f t="shared" si="202"/>
        <v>0.99592143089988316</v>
      </c>
      <c r="BW93" s="3388">
        <f>SUM(BW90+BW92)+BW86</f>
        <v>84701.917552547777</v>
      </c>
      <c r="BX93" s="3389">
        <f>SUM(BX90+BX92)+BX86</f>
        <v>335.24466846593998</v>
      </c>
    </row>
    <row r="94" spans="1:76" ht="20.25" customHeight="1" thickBot="1">
      <c r="A94" s="1347" t="s">
        <v>1721</v>
      </c>
      <c r="B94" s="1516"/>
      <c r="C94" s="1516"/>
      <c r="D94" s="1516"/>
      <c r="E94" s="1516"/>
      <c r="F94" s="1516"/>
      <c r="G94" s="1516"/>
      <c r="H94" s="1516"/>
      <c r="I94" s="1516"/>
      <c r="J94" s="1516"/>
      <c r="K94" s="1516"/>
      <c r="L94" s="1516"/>
      <c r="M94" s="1516"/>
      <c r="N94" s="1516"/>
      <c r="O94" s="1516"/>
      <c r="P94" s="1516"/>
      <c r="Q94" s="1516"/>
      <c r="R94" s="1516"/>
      <c r="S94" s="1516"/>
      <c r="T94" s="1516"/>
      <c r="U94" s="1516"/>
      <c r="V94" s="1516"/>
      <c r="W94" s="1526">
        <f>SUM(W93/W87)</f>
        <v>28.050466666666669</v>
      </c>
      <c r="X94" s="1516"/>
      <c r="Y94" s="1529">
        <f t="shared" ref="Y94:AE94" si="465">SUM(Y93/Y87)</f>
        <v>22.359942942710681</v>
      </c>
      <c r="Z94" s="1527">
        <f t="shared" si="465"/>
        <v>22.441411292720257</v>
      </c>
      <c r="AA94" s="1528">
        <f t="shared" si="465"/>
        <v>11.766096682714025</v>
      </c>
      <c r="AB94" s="1529">
        <f t="shared" si="465"/>
        <v>20.6957452102871</v>
      </c>
      <c r="AC94" s="1527">
        <f t="shared" si="465"/>
        <v>20.767792670200482</v>
      </c>
      <c r="AD94" s="1528">
        <f t="shared" si="465"/>
        <v>12.474700612223577</v>
      </c>
      <c r="AE94" s="1529">
        <f t="shared" si="465"/>
        <v>25.983606066381679</v>
      </c>
      <c r="AF94" s="1447">
        <f t="shared" si="188"/>
        <v>1.1620604816816988</v>
      </c>
      <c r="AG94" s="1527">
        <f t="shared" ref="AG94" si="466">SUM(AG93/AG87)</f>
        <v>26.206804400910908</v>
      </c>
      <c r="AH94" s="1528">
        <f t="shared" ref="AH94" si="467">SUM(AH93/AH87)</f>
        <v>12.622142857142858</v>
      </c>
      <c r="AI94" s="1529">
        <f t="shared" ref="AI94:AK94" si="468">SUM(AI93/AI87)</f>
        <v>24.187169118708773</v>
      </c>
      <c r="AJ94" s="1447">
        <f t="shared" si="190"/>
        <v>1.0817187316031933</v>
      </c>
      <c r="AK94" s="1527">
        <f t="shared" si="468"/>
        <v>24.290424541705391</v>
      </c>
      <c r="AL94" s="1528">
        <f t="shared" ref="AL94" si="469">SUM(AL93/AL87)</f>
        <v>10.746631968859731</v>
      </c>
      <c r="AM94" s="1526" t="e">
        <f t="shared" ref="AM94" si="470">SUM(AM93/AM87)</f>
        <v>#REF!</v>
      </c>
      <c r="AN94" s="1526" t="e">
        <f t="shared" ref="AN94" si="471">SUM(AN93/AN87)</f>
        <v>#REF!</v>
      </c>
      <c r="AO94" s="1526" t="e">
        <f t="shared" ref="AO94" si="472">SUM(AO93/AO87)</f>
        <v>#REF!</v>
      </c>
      <c r="AP94" s="1529">
        <f t="shared" ref="AP94" si="473">SUM(AP93/AP87)</f>
        <v>15.278116283802387</v>
      </c>
      <c r="AQ94" s="1527">
        <f t="shared" ref="AQ94" si="474">SUM(AQ93/AQ87)</f>
        <v>15.315700072145278</v>
      </c>
      <c r="AR94" s="1528">
        <f t="shared" ref="AR94" si="475">SUM(AR93/AR87)</f>
        <v>8.8221386930343364</v>
      </c>
      <c r="AS94" s="1529">
        <f t="shared" ref="AS94" si="476">SUM(AS93/AS87)</f>
        <v>16.707135060202461</v>
      </c>
      <c r="AT94" s="1527">
        <f t="shared" ref="AT94" si="477">SUM(AT93/AT87)</f>
        <v>16.748202615846935</v>
      </c>
      <c r="AU94" s="1528">
        <f t="shared" ref="AU94:AW94" si="478">SUM(AU93/AU87)</f>
        <v>9.7801084930915216</v>
      </c>
      <c r="AV94" s="1529">
        <f t="shared" si="478"/>
        <v>22.84897272543186</v>
      </c>
      <c r="AW94" s="1527">
        <f t="shared" si="478"/>
        <v>22.912707042020791</v>
      </c>
      <c r="AX94" s="1528">
        <f t="shared" ref="AX94" si="479">SUM(AX93/AX87)</f>
        <v>14.162323400676145</v>
      </c>
      <c r="AY94" s="1529">
        <f t="shared" ref="AY94" si="480">SUM(AY93/AY87)</f>
        <v>27.947482592992806</v>
      </c>
      <c r="AZ94" s="2252">
        <f t="shared" si="193"/>
        <v>1.1554672833281441</v>
      </c>
      <c r="BA94" s="1527">
        <f t="shared" ref="BA94" si="481">SUM(BA93/BA87)</f>
        <v>28.025181542225685</v>
      </c>
      <c r="BB94" s="1528">
        <f t="shared" ref="BB94" si="482">SUM(BB93/BB87)</f>
        <v>13.8098304746512</v>
      </c>
      <c r="BC94" s="1529">
        <f t="shared" ref="BC94" si="483">SUM(BC93/BC87)</f>
        <v>24.649842912530143</v>
      </c>
      <c r="BD94" s="2252">
        <f t="shared" si="195"/>
        <v>1.019128893983029</v>
      </c>
      <c r="BE94" s="1527">
        <f t="shared" ref="BE94" si="484">SUM(BE93/BE87)</f>
        <v>24.708172741369651</v>
      </c>
      <c r="BF94" s="1528">
        <f t="shared" ref="BF94" si="485">SUM(BF93/BF87)</f>
        <v>14.036484091115524</v>
      </c>
      <c r="BG94" s="1515"/>
      <c r="BH94" s="1529">
        <f t="shared" ref="BH94:BJ94" si="486">SUM(BH93/BH87)</f>
        <v>24.509749161759764</v>
      </c>
      <c r="BI94" s="1527">
        <f t="shared" si="486"/>
        <v>24.566970761948454</v>
      </c>
      <c r="BJ94" s="1528">
        <f t="shared" si="486"/>
        <v>15.742035196582577</v>
      </c>
      <c r="BK94" s="1529">
        <f t="shared" ref="BK94:BM94" si="487">SUM(BK93/BK87)</f>
        <v>25.896937596643603</v>
      </c>
      <c r="BL94" s="1527">
        <f t="shared" si="487"/>
        <v>25.959642079793717</v>
      </c>
      <c r="BM94" s="1528">
        <f t="shared" si="487"/>
        <v>16.538191295350131</v>
      </c>
      <c r="BN94" s="1529">
        <f t="shared" ref="BN94:BQ94" si="488">SUM(BN93/BN87)</f>
        <v>26.230699693788303</v>
      </c>
      <c r="BO94" s="1527">
        <f t="shared" si="488"/>
        <v>26.294658457938663</v>
      </c>
      <c r="BP94" s="1528">
        <f t="shared" si="488"/>
        <v>16.684749909074007</v>
      </c>
      <c r="BQ94" s="2801">
        <f t="shared" si="488"/>
        <v>27.936232490919327</v>
      </c>
      <c r="BR94" s="3432">
        <f t="shared" si="200"/>
        <v>1.1333229420589381</v>
      </c>
      <c r="BS94" s="3393">
        <f t="shared" ref="BS94:BU94" si="489">SUM(BS93/BS87)</f>
        <v>28.026000570891018</v>
      </c>
      <c r="BT94" s="3394">
        <f t="shared" si="489"/>
        <v>15.446760494857156</v>
      </c>
      <c r="BU94" s="2801">
        <f t="shared" si="489"/>
        <v>25.802066971406731</v>
      </c>
      <c r="BV94" s="3703">
        <f t="shared" si="202"/>
        <v>1.046743667412618</v>
      </c>
      <c r="BW94" s="3393">
        <f t="shared" ref="BW94:BX94" si="490">SUM(BW93/BW87)</f>
        <v>25.880961745488587</v>
      </c>
      <c r="BX94" s="3394">
        <f t="shared" si="490"/>
        <v>14.575855150693043</v>
      </c>
    </row>
    <row r="95" spans="1:76" ht="20.25" customHeight="1">
      <c r="A95" s="398"/>
      <c r="B95" s="1450"/>
      <c r="C95" s="1450"/>
      <c r="D95" s="1450"/>
      <c r="E95" s="1450"/>
      <c r="F95" s="1450"/>
      <c r="G95" s="1450"/>
      <c r="H95" s="1450"/>
      <c r="I95" s="1451"/>
      <c r="J95" s="105"/>
      <c r="K95" s="105"/>
      <c r="L95" s="105"/>
      <c r="M95" s="105"/>
      <c r="N95" s="1452"/>
      <c r="O95" s="1453"/>
      <c r="P95" s="1454"/>
      <c r="Q95" s="1452"/>
      <c r="R95" s="105"/>
      <c r="S95" s="1451"/>
      <c r="T95" s="1451"/>
      <c r="U95" s="1451"/>
      <c r="V95" s="1451"/>
      <c r="W95" s="1455"/>
      <c r="X95" s="1451"/>
      <c r="Y95" s="1455"/>
      <c r="Z95" s="1455"/>
      <c r="AA95" s="1455"/>
      <c r="AB95" s="1455"/>
      <c r="AC95" s="1455"/>
      <c r="AD95" s="1455"/>
      <c r="AE95" s="1455"/>
      <c r="AF95" s="1455"/>
      <c r="AG95" s="1455"/>
      <c r="AH95" s="1455"/>
      <c r="AI95" s="1455"/>
      <c r="AJ95" s="1455"/>
      <c r="AK95" s="1456"/>
      <c r="AL95" s="1456"/>
      <c r="AM95" s="1457"/>
      <c r="AN95" s="1458"/>
      <c r="AO95" s="1457"/>
      <c r="AP95" s="1457"/>
      <c r="AQ95" s="1457"/>
      <c r="AR95" s="1457"/>
      <c r="AS95" s="1457"/>
      <c r="AT95" s="1457"/>
      <c r="AU95" s="1457"/>
      <c r="AV95" s="1457"/>
      <c r="AW95" s="1457"/>
      <c r="AX95" s="1457"/>
      <c r="AY95" s="1457"/>
      <c r="AZ95" s="2247"/>
      <c r="BA95" s="1457"/>
      <c r="BB95" s="1457"/>
      <c r="BC95" s="1457"/>
      <c r="BD95" s="2247"/>
      <c r="BE95" s="1457"/>
      <c r="BF95" s="1457"/>
      <c r="BG95" s="1459"/>
    </row>
    <row r="96" spans="1:76" ht="20.25" customHeight="1">
      <c r="A96" s="398"/>
      <c r="B96" s="1450"/>
      <c r="C96" s="1450"/>
      <c r="D96" s="1450"/>
      <c r="E96" s="1450"/>
      <c r="F96" s="1450"/>
      <c r="G96" s="1450"/>
      <c r="H96" s="1450"/>
      <c r="I96" s="1451"/>
      <c r="J96" s="105"/>
      <c r="K96" s="105"/>
      <c r="L96" s="105"/>
      <c r="M96" s="105"/>
      <c r="N96" s="1452"/>
      <c r="O96" s="1453"/>
      <c r="P96" s="1454"/>
      <c r="Q96" s="1452"/>
      <c r="R96" s="105"/>
      <c r="S96" s="1451"/>
      <c r="T96" s="1451"/>
      <c r="U96" s="1451"/>
      <c r="V96" s="1451"/>
      <c r="W96" s="1455"/>
      <c r="X96" s="1451"/>
      <c r="Y96" s="1455"/>
      <c r="Z96" s="1455"/>
      <c r="AA96" s="1455"/>
      <c r="AB96" s="1455"/>
      <c r="AC96" s="1455"/>
      <c r="AD96" s="1455"/>
      <c r="AE96" s="1455"/>
      <c r="AF96" s="1455"/>
      <c r="AG96" s="1455"/>
      <c r="AH96" s="1455"/>
      <c r="AI96" s="1455"/>
      <c r="AJ96" s="1455"/>
      <c r="AK96" s="1456"/>
      <c r="AL96" s="1456"/>
      <c r="AM96" s="1457"/>
      <c r="AN96" s="1458"/>
      <c r="AO96" s="1457"/>
      <c r="AP96" s="1457"/>
      <c r="AQ96" s="1457"/>
      <c r="AR96" s="1457"/>
      <c r="AS96" s="1457"/>
      <c r="AT96" s="1457"/>
      <c r="AU96" s="1457"/>
      <c r="AV96" s="1457"/>
      <c r="AW96" s="1457"/>
      <c r="AX96" s="1457"/>
      <c r="AY96" s="1457"/>
      <c r="AZ96" s="2247"/>
      <c r="BA96" s="1457">
        <f>BE96</f>
        <v>24.29</v>
      </c>
      <c r="BB96" s="1457"/>
      <c r="BC96" s="1457"/>
      <c r="BD96" s="2247"/>
      <c r="BE96" s="1457">
        <f>BE65</f>
        <v>24.29</v>
      </c>
      <c r="BF96" s="1457"/>
      <c r="BG96" s="1459"/>
      <c r="BS96" s="1457">
        <f>SUM(BE97)</f>
        <v>25.126345482739303</v>
      </c>
      <c r="BW96" s="1457">
        <v>25.126000000000001</v>
      </c>
      <c r="BX96" s="1457">
        <v>14.28</v>
      </c>
    </row>
    <row r="97" spans="1:76" ht="20.25" customHeight="1">
      <c r="A97" s="398"/>
      <c r="B97" s="1450"/>
      <c r="C97" s="1450"/>
      <c r="D97" s="1450"/>
      <c r="E97" s="1450"/>
      <c r="F97" s="1450"/>
      <c r="G97" s="1450"/>
      <c r="H97" s="1450"/>
      <c r="I97" s="1451"/>
      <c r="J97" s="105"/>
      <c r="K97" s="105"/>
      <c r="L97" s="105"/>
      <c r="M97" s="105"/>
      <c r="N97" s="1452"/>
      <c r="O97" s="1453"/>
      <c r="P97" s="1454"/>
      <c r="Q97" s="1452"/>
      <c r="R97" s="105"/>
      <c r="S97" s="1451"/>
      <c r="T97" s="1451"/>
      <c r="U97" s="1451"/>
      <c r="V97" s="1451"/>
      <c r="W97" s="1455"/>
      <c r="X97" s="1451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6"/>
      <c r="AL97" s="1456"/>
      <c r="AM97" s="1457"/>
      <c r="AN97" s="1458"/>
      <c r="AO97" s="1457"/>
      <c r="AP97" s="1457"/>
      <c r="AQ97" s="1457"/>
      <c r="AR97" s="1457"/>
      <c r="AS97" s="1457"/>
      <c r="AT97" s="1457"/>
      <c r="AU97" s="1457"/>
      <c r="AV97" s="1457"/>
      <c r="AW97" s="1457"/>
      <c r="AX97" s="1457"/>
      <c r="AY97" s="1457"/>
      <c r="AZ97" s="2247"/>
      <c r="BA97" s="1457">
        <f>BA94*2-BA96</f>
        <v>31.76036308445137</v>
      </c>
      <c r="BB97" s="1457"/>
      <c r="BC97" s="1457"/>
      <c r="BD97" s="2247"/>
      <c r="BE97" s="1457">
        <f>BE94*2-BE96</f>
        <v>25.126345482739303</v>
      </c>
      <c r="BF97" s="1457"/>
      <c r="BG97" s="1459"/>
      <c r="BS97" s="1457">
        <f>BS94*2-BS96</f>
        <v>30.925655659042732</v>
      </c>
      <c r="BW97" s="1457">
        <f>BW94*2-BW96</f>
        <v>26.635923490977174</v>
      </c>
      <c r="BX97" s="1457">
        <f>BX94*2-BX96</f>
        <v>14.871710301386086</v>
      </c>
    </row>
    <row r="98" spans="1:76" ht="20.25" customHeight="1">
      <c r="A98" s="398"/>
      <c r="B98" s="1450"/>
      <c r="C98" s="1450"/>
      <c r="D98" s="1450"/>
      <c r="E98" s="1450"/>
      <c r="F98" s="1450"/>
      <c r="G98" s="1450"/>
      <c r="H98" s="1450"/>
      <c r="I98" s="1451"/>
      <c r="J98" s="105"/>
      <c r="K98" s="105"/>
      <c r="L98" s="105"/>
      <c r="M98" s="105"/>
      <c r="N98" s="1452"/>
      <c r="O98" s="1453"/>
      <c r="P98" s="1454"/>
      <c r="Q98" s="1452"/>
      <c r="R98" s="105"/>
      <c r="S98" s="1451"/>
      <c r="T98" s="1451"/>
      <c r="U98" s="1451"/>
      <c r="V98" s="1451"/>
      <c r="W98" s="1455"/>
      <c r="X98" s="1451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6"/>
      <c r="AL98" s="1456"/>
      <c r="AM98" s="1457"/>
      <c r="AN98" s="1458"/>
      <c r="AO98" s="1457"/>
      <c r="AP98" s="1457"/>
      <c r="AQ98" s="1457"/>
      <c r="AR98" s="1457"/>
      <c r="AS98" s="1457"/>
      <c r="AT98" s="1457"/>
      <c r="AU98" s="1457"/>
      <c r="AV98" s="1457"/>
      <c r="AW98" s="1457"/>
      <c r="AX98" s="1457"/>
      <c r="AY98" s="1457"/>
      <c r="AZ98" s="2247"/>
      <c r="BA98" s="2220">
        <f>BA97/BA96</f>
        <v>1.3075489124928519</v>
      </c>
      <c r="BB98" s="1457"/>
      <c r="BC98" s="1457"/>
      <c r="BD98" s="2247"/>
      <c r="BE98" s="2220">
        <f>BE97/BE96</f>
        <v>1.0344316789929726</v>
      </c>
      <c r="BF98" s="1457"/>
      <c r="BG98" s="1459"/>
      <c r="BS98" s="2220">
        <f>BS97/BS96</f>
        <v>1.2308059554576809</v>
      </c>
      <c r="BW98" s="2220">
        <f>BW97/BW96</f>
        <v>1.0600940655487214</v>
      </c>
      <c r="BX98" s="2220">
        <f>BX97/BX96</f>
        <v>1.0414362956152723</v>
      </c>
    </row>
    <row r="99" spans="1:76" ht="24" customHeight="1">
      <c r="A99" s="398"/>
      <c r="B99" s="1460"/>
      <c r="C99" s="1460"/>
      <c r="D99" s="1460"/>
      <c r="E99" s="1460"/>
      <c r="F99" s="1460"/>
      <c r="G99" s="1460"/>
      <c r="H99" s="1460"/>
      <c r="I99" s="1451"/>
      <c r="J99" s="105"/>
      <c r="K99" s="105"/>
      <c r="L99" s="105"/>
      <c r="M99" s="105"/>
      <c r="N99" s="1452"/>
      <c r="O99" s="1453"/>
      <c r="P99" s="1454"/>
      <c r="Q99" s="1452"/>
      <c r="R99" s="105"/>
      <c r="S99" s="1451"/>
      <c r="T99" s="1451"/>
      <c r="U99" s="1451"/>
      <c r="V99" s="1451"/>
      <c r="W99" s="1455"/>
      <c r="X99" s="1451"/>
      <c r="Y99" s="1455"/>
      <c r="Z99" s="1461"/>
      <c r="AA99" s="645"/>
      <c r="AB99" s="645"/>
      <c r="AC99" s="645"/>
      <c r="AD99" s="645"/>
      <c r="AE99" s="645"/>
      <c r="AF99" s="645"/>
      <c r="AG99" s="645"/>
      <c r="AH99" s="645"/>
      <c r="AI99" s="645"/>
      <c r="AJ99" s="645"/>
      <c r="AK99" s="645"/>
      <c r="AL99" s="1461"/>
      <c r="AM99" s="1457"/>
      <c r="AN99" s="1458"/>
      <c r="AO99" s="1457"/>
      <c r="AP99" s="1457"/>
      <c r="AQ99" s="1457"/>
      <c r="AR99" s="1457"/>
      <c r="AS99" s="1457"/>
      <c r="AT99" s="1457"/>
      <c r="AU99" s="1457"/>
      <c r="AV99" s="1457"/>
      <c r="AW99" s="1457"/>
      <c r="AX99" s="1457"/>
      <c r="AY99" s="1457"/>
      <c r="AZ99" s="2247"/>
      <c r="BA99" s="1457"/>
      <c r="BB99" s="1457"/>
      <c r="BC99" s="1457"/>
      <c r="BD99" s="2247"/>
      <c r="BE99" s="1457"/>
      <c r="BF99" s="1457"/>
      <c r="BG99" s="1462"/>
    </row>
    <row r="100" spans="1:76" ht="18" hidden="1">
      <c r="A100" s="4754" t="s">
        <v>443</v>
      </c>
      <c r="B100" s="4754"/>
      <c r="C100" s="4754"/>
      <c r="D100" s="4754"/>
      <c r="E100" s="4754"/>
      <c r="F100" s="4754"/>
      <c r="G100" s="4754"/>
      <c r="H100" s="4754"/>
      <c r="I100" s="645"/>
      <c r="J100" s="645"/>
      <c r="K100" s="4759" t="s">
        <v>444</v>
      </c>
      <c r="L100" s="4759"/>
      <c r="M100" s="4759"/>
      <c r="N100" s="4759"/>
      <c r="O100" s="4759"/>
      <c r="P100" s="4759"/>
      <c r="Q100" s="4759"/>
      <c r="R100" s="4759"/>
      <c r="S100" s="4759"/>
      <c r="T100" s="645"/>
      <c r="U100" s="645"/>
      <c r="V100" s="645"/>
      <c r="W100" s="645"/>
      <c r="X100" s="645"/>
      <c r="Y100" s="645"/>
      <c r="Z100" s="1463">
        <f>Z63-Z59</f>
        <v>1.3573133591242055</v>
      </c>
      <c r="AA100" s="645"/>
      <c r="AB100" s="645"/>
      <c r="AC100" s="645"/>
      <c r="AD100" s="645"/>
      <c r="AE100" s="645"/>
      <c r="AF100" s="645"/>
      <c r="AG100" s="645"/>
      <c r="AH100" s="645"/>
      <c r="AI100" s="645"/>
      <c r="AJ100" s="645"/>
      <c r="AK100" s="645"/>
      <c r="AL100" s="645"/>
      <c r="AM100" s="645"/>
      <c r="AN100" s="645"/>
      <c r="AO100" s="645"/>
      <c r="AP100" s="645"/>
      <c r="AQ100" s="645"/>
      <c r="AR100" s="645"/>
      <c r="AS100" s="645"/>
      <c r="AT100" s="645"/>
      <c r="AU100" s="645"/>
      <c r="AV100" s="645"/>
      <c r="AW100" s="645"/>
      <c r="AX100" s="645"/>
      <c r="AY100" s="645"/>
      <c r="AZ100" s="2253"/>
      <c r="BA100" s="645"/>
      <c r="BB100" s="645"/>
      <c r="BC100" s="645"/>
      <c r="BD100" s="2253"/>
      <c r="BE100" s="645"/>
      <c r="BF100" s="645"/>
      <c r="BG100" s="645"/>
    </row>
    <row r="101" spans="1:76" hidden="1">
      <c r="A101" s="339"/>
      <c r="B101" s="339"/>
      <c r="C101" s="339"/>
      <c r="D101" s="339"/>
      <c r="E101" s="339" t="s">
        <v>261</v>
      </c>
      <c r="F101" s="339"/>
      <c r="G101" s="339" t="s">
        <v>262</v>
      </c>
      <c r="H101" s="339" t="s">
        <v>238</v>
      </c>
      <c r="I101" s="645"/>
      <c r="J101" s="645"/>
      <c r="K101" s="339"/>
      <c r="L101" s="1464" t="s">
        <v>261</v>
      </c>
      <c r="M101" s="1464"/>
      <c r="N101" s="1464"/>
      <c r="O101" s="1464" t="s">
        <v>261</v>
      </c>
      <c r="P101" s="1464" t="s">
        <v>262</v>
      </c>
      <c r="Q101" s="1464" t="s">
        <v>262</v>
      </c>
      <c r="R101" s="1464" t="s">
        <v>238</v>
      </c>
      <c r="S101" s="1464" t="s">
        <v>238</v>
      </c>
      <c r="T101" s="645"/>
      <c r="U101" s="645"/>
      <c r="V101" s="645"/>
      <c r="W101" s="645"/>
      <c r="X101" s="645"/>
      <c r="Y101" s="645"/>
      <c r="Z101" s="645"/>
      <c r="AA101" s="645"/>
      <c r="AB101" s="645"/>
      <c r="AC101" s="645"/>
      <c r="AD101" s="645"/>
      <c r="AE101" s="645"/>
      <c r="AF101" s="645"/>
      <c r="AG101" s="645"/>
      <c r="AH101" s="645"/>
      <c r="AI101" s="645"/>
      <c r="AJ101" s="645"/>
      <c r="AK101" s="645"/>
      <c r="AL101" s="645"/>
      <c r="AM101" s="645"/>
      <c r="AN101" s="645"/>
      <c r="AO101" s="645"/>
      <c r="AP101" s="645"/>
      <c r="AQ101" s="645"/>
      <c r="AR101" s="645"/>
      <c r="AS101" s="645"/>
      <c r="AT101" s="645"/>
      <c r="AU101" s="645"/>
      <c r="AV101" s="645"/>
      <c r="AW101" s="645"/>
      <c r="AX101" s="645"/>
      <c r="AY101" s="645"/>
      <c r="AZ101" s="2253"/>
      <c r="BA101" s="645"/>
      <c r="BB101" s="645"/>
      <c r="BC101" s="645"/>
      <c r="BD101" s="2253"/>
      <c r="BE101" s="645"/>
      <c r="BF101" s="645"/>
      <c r="BG101" s="645"/>
    </row>
    <row r="102" spans="1:76" hidden="1">
      <c r="A102" s="14" t="s">
        <v>259</v>
      </c>
      <c r="B102" s="339"/>
      <c r="C102" s="339"/>
      <c r="D102" s="339"/>
      <c r="E102" s="1465">
        <f>Z51/2</f>
        <v>1822.35</v>
      </c>
      <c r="F102" s="1465"/>
      <c r="G102" s="1465">
        <f>H102-E102</f>
        <v>1822.35</v>
      </c>
      <c r="H102" s="1465">
        <f>AK51</f>
        <v>3644.7</v>
      </c>
      <c r="I102" s="645"/>
      <c r="J102" s="645"/>
      <c r="K102" s="192" t="s">
        <v>259</v>
      </c>
      <c r="L102" s="1466">
        <f>S102/2</f>
        <v>1822.35</v>
      </c>
      <c r="M102" s="339"/>
      <c r="N102" s="339"/>
      <c r="O102" s="1465">
        <f>BM49/2</f>
        <v>124.63493959183435</v>
      </c>
      <c r="P102" s="1465">
        <f>S102/2</f>
        <v>1822.35</v>
      </c>
      <c r="Q102" s="1465">
        <f>S102/2</f>
        <v>1822.35</v>
      </c>
      <c r="R102" s="1465">
        <f>BM49</f>
        <v>249.26987918366871</v>
      </c>
      <c r="S102" s="1465">
        <f>Z51</f>
        <v>3644.7</v>
      </c>
      <c r="T102" s="645"/>
      <c r="U102" s="645"/>
      <c r="V102" s="645"/>
      <c r="W102" s="645"/>
      <c r="X102" s="645"/>
      <c r="Y102" s="645"/>
      <c r="Z102" s="645"/>
      <c r="AA102" s="645"/>
      <c r="AB102" s="645"/>
      <c r="AC102" s="645"/>
      <c r="AD102" s="645"/>
      <c r="AE102" s="645"/>
      <c r="AF102" s="645"/>
      <c r="AG102" s="645"/>
      <c r="AH102" s="645"/>
      <c r="AI102" s="645"/>
      <c r="AJ102" s="645"/>
      <c r="AK102" s="645"/>
      <c r="AL102" s="645"/>
      <c r="AM102" s="645"/>
      <c r="AN102" s="645"/>
      <c r="AO102" s="645"/>
      <c r="AP102" s="645"/>
      <c r="AQ102" s="645"/>
      <c r="AR102" s="645"/>
      <c r="AS102" s="645"/>
      <c r="AT102" s="645"/>
      <c r="AU102" s="645"/>
      <c r="AV102" s="645"/>
      <c r="AW102" s="645"/>
      <c r="AX102" s="645"/>
      <c r="AY102" s="645"/>
      <c r="AZ102" s="2253"/>
      <c r="BA102" s="645"/>
      <c r="BB102" s="645"/>
      <c r="BC102" s="645"/>
      <c r="BD102" s="2253"/>
      <c r="BE102" s="645"/>
      <c r="BF102" s="645"/>
      <c r="BG102" s="645"/>
    </row>
    <row r="103" spans="1:76" ht="25.5" hidden="1">
      <c r="A103" s="14" t="s">
        <v>280</v>
      </c>
      <c r="B103" s="339"/>
      <c r="C103" s="339"/>
      <c r="D103" s="339"/>
      <c r="E103" s="1465" t="e">
        <f>#REF!</f>
        <v>#REF!</v>
      </c>
      <c r="F103" s="1465"/>
      <c r="G103" s="1465" t="e">
        <f>G104/G102</f>
        <v>#REF!</v>
      </c>
      <c r="H103" s="1465">
        <f>AK59</f>
        <v>23.311441360647965</v>
      </c>
      <c r="I103" s="645"/>
      <c r="J103" s="645"/>
      <c r="K103" s="192" t="s">
        <v>294</v>
      </c>
      <c r="L103" s="1465">
        <v>24.29</v>
      </c>
      <c r="M103" s="339"/>
      <c r="N103" s="339"/>
      <c r="O103" s="1465">
        <v>26.38</v>
      </c>
      <c r="P103" s="1465">
        <f>P104/P102</f>
        <v>24.290849083410784</v>
      </c>
      <c r="Q103" s="1465">
        <f>Q104/Q102</f>
        <v>24.290849083410784</v>
      </c>
      <c r="R103" s="1465">
        <f>BM60</f>
        <v>0</v>
      </c>
      <c r="S103" s="1465">
        <f>AK63</f>
        <v>24.290424541705391</v>
      </c>
      <c r="T103" s="645"/>
      <c r="U103" s="645"/>
      <c r="V103" s="645"/>
      <c r="W103" s="645"/>
      <c r="X103" s="645"/>
      <c r="Y103" s="645"/>
      <c r="Z103" s="645"/>
      <c r="AA103" s="645" t="s">
        <v>445</v>
      </c>
      <c r="AB103" s="645"/>
      <c r="AC103" s="645"/>
      <c r="AD103" s="645"/>
      <c r="AE103" s="645"/>
      <c r="AF103" s="645"/>
      <c r="AG103" s="645"/>
      <c r="AH103" s="645"/>
      <c r="AI103" s="645"/>
      <c r="AJ103" s="645"/>
      <c r="AK103" s="697">
        <f>AK49*0.07</f>
        <v>5659.9720218102429</v>
      </c>
      <c r="AL103" s="645"/>
      <c r="AM103" s="645"/>
      <c r="AN103" s="645"/>
      <c r="AO103" s="645"/>
      <c r="AP103" s="645"/>
      <c r="AQ103" s="645"/>
      <c r="AR103" s="645"/>
      <c r="AS103" s="645"/>
      <c r="AT103" s="645"/>
      <c r="AU103" s="645"/>
      <c r="AV103" s="645"/>
      <c r="AW103" s="645"/>
      <c r="AX103" s="645"/>
      <c r="AY103" s="645"/>
      <c r="AZ103" s="2253"/>
      <c r="BA103" s="645"/>
      <c r="BB103" s="645"/>
      <c r="BC103" s="645"/>
      <c r="BD103" s="2253"/>
      <c r="BE103" s="645"/>
      <c r="BF103" s="645"/>
      <c r="BG103" s="645"/>
    </row>
    <row r="104" spans="1:76" hidden="1">
      <c r="A104" s="14" t="s">
        <v>260</v>
      </c>
      <c r="B104" s="339"/>
      <c r="C104" s="339"/>
      <c r="D104" s="339"/>
      <c r="E104" s="1465" t="e">
        <f>E102*E103</f>
        <v>#REF!</v>
      </c>
      <c r="F104" s="1465"/>
      <c r="G104" s="1465" t="e">
        <f>H104-E104</f>
        <v>#REF!</v>
      </c>
      <c r="H104" s="1465">
        <f>AK49+AK57</f>
        <v>84963.210327153633</v>
      </c>
      <c r="I104" s="645"/>
      <c r="J104" s="645"/>
      <c r="K104" s="192" t="s">
        <v>260</v>
      </c>
      <c r="L104" s="1465">
        <f>L102*L103</f>
        <v>44264.881499999996</v>
      </c>
      <c r="M104" s="339"/>
      <c r="N104" s="339"/>
      <c r="O104" s="1465">
        <f>O102*O103</f>
        <v>3287.8697064325902</v>
      </c>
      <c r="P104" s="1465">
        <f>S104-L104</f>
        <v>44266.428827153642</v>
      </c>
      <c r="Q104" s="1465">
        <f>S104-L104</f>
        <v>44266.428827153642</v>
      </c>
      <c r="R104" s="1465">
        <f>BM46+BM57</f>
        <v>46.055274159819419</v>
      </c>
      <c r="S104" s="1465">
        <f>AK62</f>
        <v>88531.310327153638</v>
      </c>
      <c r="T104" s="645"/>
      <c r="U104" s="645"/>
      <c r="V104" s="645"/>
      <c r="W104" s="645"/>
      <c r="X104" s="645"/>
      <c r="Y104" s="645"/>
      <c r="Z104" s="645"/>
      <c r="AA104" s="645"/>
      <c r="AB104" s="645"/>
      <c r="AC104" s="645"/>
      <c r="AD104" s="645"/>
      <c r="AE104" s="645"/>
      <c r="AF104" s="645"/>
      <c r="AG104" s="645"/>
      <c r="AH104" s="645"/>
      <c r="AI104" s="645"/>
      <c r="AJ104" s="645"/>
      <c r="AK104" s="697">
        <f>AK103-AI61</f>
        <v>2091.872021810243</v>
      </c>
      <c r="AL104" s="645"/>
      <c r="AM104" s="645"/>
      <c r="AN104" s="645"/>
      <c r="AO104" s="645"/>
      <c r="AP104" s="645"/>
      <c r="AQ104" s="645"/>
      <c r="AR104" s="645"/>
      <c r="AS104" s="645"/>
      <c r="AT104" s="645"/>
      <c r="AU104" s="645"/>
      <c r="AV104" s="645"/>
      <c r="AW104" s="645"/>
      <c r="AX104" s="645"/>
      <c r="AY104" s="645"/>
      <c r="AZ104" s="2253"/>
      <c r="BA104" s="645"/>
      <c r="BB104" s="645"/>
      <c r="BC104" s="645"/>
      <c r="BD104" s="2253"/>
      <c r="BE104" s="645"/>
      <c r="BF104" s="645"/>
      <c r="BG104" s="645"/>
    </row>
    <row r="105" spans="1:76" ht="20.25" hidden="1">
      <c r="A105" s="339"/>
      <c r="B105" s="339"/>
      <c r="C105" s="339"/>
      <c r="D105" s="339"/>
      <c r="E105" s="339"/>
      <c r="F105" s="339"/>
      <c r="G105" s="1467" t="e">
        <f>G103/E103</f>
        <v>#REF!</v>
      </c>
      <c r="H105" s="339"/>
      <c r="I105" s="645"/>
      <c r="J105" s="645"/>
      <c r="K105" s="339"/>
      <c r="L105" s="339"/>
      <c r="M105" s="339"/>
      <c r="N105" s="339"/>
      <c r="O105" s="339"/>
      <c r="P105" s="1468">
        <f>P103/L103</f>
        <v>1.0000349560893695</v>
      </c>
      <c r="Q105" s="1469">
        <f>Q103/O103</f>
        <v>0.9208054997502193</v>
      </c>
      <c r="R105" s="339"/>
      <c r="S105" s="339"/>
      <c r="T105" s="645"/>
      <c r="U105" s="645"/>
      <c r="V105" s="645"/>
      <c r="W105" s="645" t="s">
        <v>264</v>
      </c>
      <c r="X105" s="645"/>
      <c r="Y105" s="645"/>
      <c r="Z105" s="645"/>
      <c r="AA105" s="645" t="s">
        <v>264</v>
      </c>
      <c r="AB105" s="645"/>
      <c r="AC105" s="645"/>
      <c r="AD105" s="645"/>
      <c r="AE105" s="645"/>
      <c r="AF105" s="645"/>
      <c r="AG105" s="645"/>
      <c r="AH105" s="645"/>
      <c r="AI105" s="645"/>
      <c r="AJ105" s="645"/>
      <c r="AK105" s="645"/>
      <c r="AL105" s="645"/>
      <c r="AM105" s="645"/>
      <c r="AN105" s="645"/>
      <c r="AO105" s="645"/>
      <c r="AP105" s="645"/>
      <c r="AQ105" s="645"/>
      <c r="AR105" s="645"/>
      <c r="AS105" s="645"/>
      <c r="AT105" s="645"/>
      <c r="AU105" s="645"/>
      <c r="AV105" s="645"/>
      <c r="AW105" s="645"/>
      <c r="AX105" s="645"/>
      <c r="AY105" s="645"/>
      <c r="AZ105" s="2253"/>
      <c r="BA105" s="645"/>
      <c r="BB105" s="645"/>
      <c r="BC105" s="645"/>
      <c r="BD105" s="2253"/>
      <c r="BE105" s="645"/>
      <c r="BF105" s="645"/>
      <c r="BG105" s="645"/>
    </row>
    <row r="106" spans="1:76" hidden="1">
      <c r="A106" s="645"/>
      <c r="B106" s="645"/>
      <c r="C106" s="645"/>
      <c r="D106" s="645"/>
      <c r="E106" s="645"/>
      <c r="F106" s="645"/>
      <c r="G106" s="645"/>
      <c r="H106" s="645"/>
      <c r="I106" s="645"/>
      <c r="J106" s="645"/>
      <c r="K106" s="645"/>
      <c r="L106" s="645"/>
      <c r="M106" s="645"/>
      <c r="N106" s="645"/>
      <c r="O106" s="645"/>
      <c r="P106" s="1470" t="e">
        <f>G103/L103</f>
        <v>#REF!</v>
      </c>
      <c r="Q106" s="645"/>
      <c r="R106" s="645"/>
      <c r="S106" s="645"/>
      <c r="T106" s="645"/>
      <c r="U106" s="645"/>
      <c r="V106" s="645"/>
      <c r="W106" s="645" t="s">
        <v>259</v>
      </c>
      <c r="X106" s="697">
        <f>[21]динамика!G45/2</f>
        <v>1491.6933333333334</v>
      </c>
      <c r="Y106" s="697">
        <f>X106</f>
        <v>1491.6933333333334</v>
      </c>
      <c r="Z106" s="645"/>
      <c r="AA106" s="645" t="s">
        <v>259</v>
      </c>
      <c r="AB106" s="645"/>
      <c r="AC106" s="645"/>
      <c r="AD106" s="645"/>
      <c r="AE106" s="645"/>
      <c r="AF106" s="645"/>
      <c r="AG106" s="645"/>
      <c r="AH106" s="645"/>
      <c r="AI106" s="645"/>
      <c r="AJ106" s="645"/>
      <c r="AK106" s="645"/>
      <c r="AL106" s="645"/>
      <c r="AM106" s="645"/>
      <c r="AN106" s="645"/>
      <c r="AO106" s="645"/>
      <c r="AP106" s="645"/>
      <c r="AQ106" s="645"/>
      <c r="AR106" s="645"/>
      <c r="AS106" s="645"/>
      <c r="AT106" s="645"/>
      <c r="AU106" s="645"/>
      <c r="AV106" s="645"/>
      <c r="AW106" s="645"/>
      <c r="AX106" s="645"/>
      <c r="AY106" s="645"/>
      <c r="AZ106" s="2253"/>
      <c r="BA106" s="645"/>
      <c r="BB106" s="645"/>
      <c r="BC106" s="645"/>
      <c r="BD106" s="2253"/>
      <c r="BE106" s="645"/>
      <c r="BF106" s="645"/>
      <c r="BG106" s="697">
        <f>X106</f>
        <v>1491.6933333333334</v>
      </c>
    </row>
    <row r="107" spans="1:76" hidden="1">
      <c r="A107" s="339"/>
      <c r="B107" s="339"/>
      <c r="C107" s="339"/>
      <c r="D107" s="339"/>
      <c r="E107" s="339" t="s">
        <v>261</v>
      </c>
      <c r="F107" s="339"/>
      <c r="G107" s="339" t="s">
        <v>262</v>
      </c>
      <c r="H107" s="339" t="s">
        <v>238</v>
      </c>
      <c r="I107" s="645"/>
      <c r="J107" s="645"/>
      <c r="K107" s="645"/>
      <c r="L107" s="645"/>
      <c r="M107" s="645"/>
      <c r="N107" s="645"/>
      <c r="O107" s="645"/>
      <c r="P107" s="645"/>
      <c r="Q107" s="697">
        <f>S104-H104</f>
        <v>3568.1000000000058</v>
      </c>
      <c r="R107" s="645"/>
      <c r="S107" s="645"/>
      <c r="T107" s="645"/>
      <c r="U107" s="645"/>
      <c r="V107" s="645"/>
      <c r="W107" s="645" t="s">
        <v>118</v>
      </c>
      <c r="X107" s="697">
        <v>19.14</v>
      </c>
      <c r="Y107" s="697">
        <f>X107*1.2</f>
        <v>22.968</v>
      </c>
      <c r="Z107" s="645"/>
      <c r="AA107" s="645" t="s">
        <v>118</v>
      </c>
      <c r="AB107" s="645"/>
      <c r="AC107" s="645"/>
      <c r="AD107" s="645"/>
      <c r="AE107" s="645"/>
      <c r="AF107" s="645"/>
      <c r="AG107" s="645"/>
      <c r="AH107" s="645"/>
      <c r="AI107" s="645"/>
      <c r="AJ107" s="645"/>
      <c r="AK107" s="645"/>
      <c r="AL107" s="645"/>
      <c r="AM107" s="645"/>
      <c r="AN107" s="645"/>
      <c r="AO107" s="645"/>
      <c r="AP107" s="645"/>
      <c r="AQ107" s="645"/>
      <c r="AR107" s="645"/>
      <c r="AS107" s="645"/>
      <c r="AT107" s="645"/>
      <c r="AU107" s="645"/>
      <c r="AV107" s="645"/>
      <c r="AW107" s="645"/>
      <c r="AX107" s="645"/>
      <c r="AY107" s="645"/>
      <c r="AZ107" s="2253"/>
      <c r="BA107" s="645"/>
      <c r="BB107" s="645"/>
      <c r="BC107" s="645"/>
      <c r="BD107" s="2253"/>
      <c r="BE107" s="645"/>
      <c r="BF107" s="645"/>
      <c r="BG107" s="697">
        <f>22.59/1.18</f>
        <v>19.14406779661017</v>
      </c>
    </row>
    <row r="108" spans="1:76" hidden="1">
      <c r="A108" s="14" t="s">
        <v>259</v>
      </c>
      <c r="B108" s="339"/>
      <c r="C108" s="339"/>
      <c r="D108" s="339"/>
      <c r="E108" s="339">
        <f>AA51/2</f>
        <v>14</v>
      </c>
      <c r="F108" s="339"/>
      <c r="G108" s="339">
        <f>H108-E108</f>
        <v>14</v>
      </c>
      <c r="H108" s="1471">
        <f>AA51</f>
        <v>28</v>
      </c>
      <c r="I108" s="645"/>
      <c r="J108" s="645"/>
      <c r="K108" s="645"/>
      <c r="L108" s="645"/>
      <c r="M108" s="645"/>
      <c r="N108" s="645"/>
      <c r="O108" s="645"/>
      <c r="P108" s="645"/>
      <c r="Q108" s="645"/>
      <c r="R108" s="645"/>
      <c r="S108" s="645"/>
      <c r="T108" s="645"/>
      <c r="U108" s="645"/>
      <c r="V108" s="645"/>
      <c r="W108" s="645" t="s">
        <v>323</v>
      </c>
      <c r="X108" s="697">
        <f>X106*X107</f>
        <v>28551.010400000003</v>
      </c>
      <c r="Y108" s="697">
        <f>Y106*Y107</f>
        <v>34261.212480000002</v>
      </c>
      <c r="Z108" s="645"/>
      <c r="AA108" s="645" t="s">
        <v>323</v>
      </c>
      <c r="AB108" s="645"/>
      <c r="AC108" s="645"/>
      <c r="AD108" s="645"/>
      <c r="AE108" s="645"/>
      <c r="AF108" s="645"/>
      <c r="AG108" s="645"/>
      <c r="AH108" s="645"/>
      <c r="AI108" s="645"/>
      <c r="AJ108" s="645"/>
      <c r="AK108" s="645"/>
      <c r="AL108" s="645"/>
      <c r="AM108" s="645"/>
      <c r="AN108" s="645"/>
      <c r="AO108" s="645"/>
      <c r="AP108" s="645"/>
      <c r="AQ108" s="645"/>
      <c r="AR108" s="645"/>
      <c r="AS108" s="645"/>
      <c r="AT108" s="645"/>
      <c r="AU108" s="645"/>
      <c r="AV108" s="645"/>
      <c r="AW108" s="645"/>
      <c r="AX108" s="645"/>
      <c r="AY108" s="645"/>
      <c r="AZ108" s="2253"/>
      <c r="BA108" s="645"/>
      <c r="BB108" s="645"/>
      <c r="BC108" s="645"/>
      <c r="BD108" s="2253"/>
      <c r="BE108" s="645"/>
      <c r="BF108" s="645"/>
      <c r="BG108" s="697">
        <f>BG106*BG107</f>
        <v>28557.078305084746</v>
      </c>
    </row>
    <row r="109" spans="1:76" hidden="1">
      <c r="A109" s="14" t="s">
        <v>281</v>
      </c>
      <c r="B109" s="339"/>
      <c r="C109" s="339"/>
      <c r="D109" s="339"/>
      <c r="E109" s="1465">
        <v>12.04</v>
      </c>
      <c r="F109" s="1465"/>
      <c r="G109" s="1465">
        <f>G110/G108</f>
        <v>9.4532639377194609</v>
      </c>
      <c r="H109" s="1465">
        <f>AL63</f>
        <v>10.746631968859731</v>
      </c>
      <c r="I109" s="645"/>
      <c r="J109" s="645"/>
      <c r="K109" s="645"/>
      <c r="L109" s="645"/>
      <c r="M109" s="645"/>
      <c r="N109" s="645"/>
      <c r="O109" s="645"/>
      <c r="P109" s="645"/>
      <c r="Q109" s="645"/>
      <c r="R109" s="645"/>
      <c r="S109" s="645"/>
      <c r="T109" s="645"/>
      <c r="U109" s="645"/>
      <c r="V109" s="645"/>
      <c r="W109" s="645"/>
      <c r="X109" s="645"/>
      <c r="Y109" s="384">
        <f>Y107/X107</f>
        <v>1.2</v>
      </c>
      <c r="Z109" s="645"/>
      <c r="AA109" s="645"/>
      <c r="AB109" s="645"/>
      <c r="AC109" s="645"/>
      <c r="AD109" s="645"/>
      <c r="AE109" s="645"/>
      <c r="AF109" s="645"/>
      <c r="AG109" s="645"/>
      <c r="AH109" s="645"/>
      <c r="AI109" s="645"/>
      <c r="AJ109" s="645"/>
      <c r="AK109" s="645"/>
      <c r="AL109" s="645"/>
      <c r="AM109" s="645"/>
      <c r="AN109" s="645"/>
      <c r="AO109" s="645"/>
      <c r="AP109" s="645"/>
      <c r="AQ109" s="645"/>
      <c r="AR109" s="645"/>
      <c r="AS109" s="645"/>
      <c r="AT109" s="645"/>
      <c r="AU109" s="645"/>
      <c r="AV109" s="645"/>
      <c r="AW109" s="645"/>
      <c r="AX109" s="645"/>
      <c r="AY109" s="645"/>
      <c r="AZ109" s="2253"/>
      <c r="BA109" s="645"/>
      <c r="BB109" s="645"/>
      <c r="BC109" s="645"/>
      <c r="BD109" s="2253"/>
      <c r="BE109" s="645"/>
      <c r="BF109" s="645"/>
      <c r="BG109" s="645"/>
    </row>
    <row r="110" spans="1:76" hidden="1">
      <c r="A110" s="14" t="s">
        <v>260</v>
      </c>
      <c r="B110" s="339"/>
      <c r="C110" s="339"/>
      <c r="D110" s="339"/>
      <c r="E110" s="1465">
        <f>E108*E109</f>
        <v>168.56</v>
      </c>
      <c r="F110" s="1465"/>
      <c r="G110" s="1465">
        <f>H110-E110</f>
        <v>132.34569512807246</v>
      </c>
      <c r="H110" s="1465">
        <f>H108*H109</f>
        <v>300.90569512807247</v>
      </c>
      <c r="I110" s="645"/>
      <c r="J110" s="645"/>
      <c r="K110" s="645"/>
      <c r="L110" s="645"/>
      <c r="M110" s="645"/>
      <c r="N110" s="645"/>
      <c r="O110" s="645"/>
      <c r="P110" s="645"/>
      <c r="Q110" s="645"/>
      <c r="R110" s="645"/>
      <c r="S110" s="645"/>
      <c r="T110" s="645"/>
      <c r="U110" s="645"/>
      <c r="V110" s="645"/>
      <c r="W110" s="645"/>
      <c r="X110" s="645"/>
      <c r="Y110" s="697">
        <f>Y108-X108</f>
        <v>5710.2020799999991</v>
      </c>
      <c r="Z110" s="645"/>
      <c r="AA110" s="645"/>
      <c r="AB110" s="645"/>
      <c r="AC110" s="645"/>
      <c r="AD110" s="645"/>
      <c r="AE110" s="645"/>
      <c r="AF110" s="645"/>
      <c r="AG110" s="645"/>
      <c r="AH110" s="645"/>
      <c r="AI110" s="645"/>
      <c r="AJ110" s="645"/>
      <c r="AK110" s="645"/>
      <c r="AL110" s="645"/>
      <c r="AM110" s="645"/>
      <c r="AN110" s="645"/>
      <c r="AO110" s="645"/>
      <c r="AP110" s="645"/>
      <c r="AQ110" s="645"/>
      <c r="AR110" s="645"/>
      <c r="AS110" s="645"/>
      <c r="AT110" s="645"/>
      <c r="AU110" s="645"/>
      <c r="AV110" s="645"/>
      <c r="AW110" s="645"/>
      <c r="AX110" s="645"/>
      <c r="AY110" s="645"/>
      <c r="AZ110" s="2253"/>
      <c r="BA110" s="645"/>
      <c r="BB110" s="645"/>
      <c r="BC110" s="645"/>
      <c r="BD110" s="2253"/>
      <c r="BE110" s="645"/>
      <c r="BF110" s="645"/>
      <c r="BG110" s="645"/>
    </row>
    <row r="111" spans="1:76" ht="20.25" hidden="1">
      <c r="A111" s="339"/>
      <c r="B111" s="339"/>
      <c r="C111" s="339"/>
      <c r="D111" s="339"/>
      <c r="E111" s="339"/>
      <c r="F111" s="339"/>
      <c r="G111" s="1468">
        <f>G109/E109</f>
        <v>0.78515481210294535</v>
      </c>
      <c r="H111" s="339"/>
      <c r="I111" s="645"/>
      <c r="J111" s="645"/>
      <c r="K111" s="645"/>
      <c r="L111" s="645"/>
      <c r="M111" s="645"/>
      <c r="N111" s="645"/>
      <c r="O111" s="645"/>
      <c r="P111" s="645"/>
      <c r="Q111" s="645"/>
      <c r="R111" s="645"/>
      <c r="S111" s="645"/>
      <c r="T111" s="645"/>
      <c r="U111" s="645"/>
      <c r="V111" s="645"/>
      <c r="W111" s="645"/>
      <c r="X111" s="645"/>
      <c r="Y111" s="645"/>
      <c r="Z111" s="645"/>
      <c r="AA111" s="645"/>
      <c r="AB111" s="645"/>
      <c r="AC111" s="645"/>
      <c r="AD111" s="645"/>
      <c r="AE111" s="645"/>
      <c r="AF111" s="645"/>
      <c r="AG111" s="645"/>
      <c r="AH111" s="645"/>
      <c r="AI111" s="645"/>
      <c r="AJ111" s="645"/>
      <c r="AK111" s="645"/>
      <c r="AL111" s="645"/>
      <c r="AM111" s="645"/>
      <c r="AN111" s="645"/>
      <c r="AO111" s="645"/>
      <c r="AP111" s="645"/>
      <c r="AQ111" s="645"/>
      <c r="AR111" s="645"/>
      <c r="AS111" s="645"/>
      <c r="AT111" s="645"/>
      <c r="AU111" s="645"/>
      <c r="AV111" s="645"/>
      <c r="AW111" s="645"/>
      <c r="AX111" s="645"/>
      <c r="AY111" s="645"/>
      <c r="AZ111" s="2253"/>
      <c r="BA111" s="645"/>
      <c r="BB111" s="645"/>
      <c r="BC111" s="645"/>
      <c r="BD111" s="2253"/>
      <c r="BE111" s="645"/>
      <c r="BF111" s="645"/>
      <c r="BG111" s="645"/>
    </row>
    <row r="112" spans="1:76" hidden="1">
      <c r="A112" s="645"/>
      <c r="B112" s="645"/>
      <c r="C112" s="645"/>
      <c r="D112" s="645"/>
      <c r="E112" s="645"/>
      <c r="F112" s="645"/>
      <c r="G112" s="645"/>
      <c r="H112" s="645"/>
      <c r="I112" s="645"/>
      <c r="J112" s="645"/>
      <c r="K112" s="645"/>
      <c r="L112" s="645"/>
      <c r="M112" s="645"/>
      <c r="N112" s="645"/>
      <c r="O112" s="645"/>
      <c r="P112" s="645"/>
      <c r="Q112" s="645"/>
      <c r="R112" s="645"/>
      <c r="S112" s="645"/>
      <c r="T112" s="645"/>
      <c r="U112" s="645"/>
      <c r="V112" s="645"/>
      <c r="W112" s="645"/>
      <c r="X112" s="645"/>
      <c r="Y112" s="645"/>
      <c r="Z112" s="645"/>
      <c r="AA112" s="645"/>
      <c r="AB112" s="645"/>
      <c r="AC112" s="645"/>
      <c r="AD112" s="645"/>
      <c r="AE112" s="645"/>
      <c r="AF112" s="645"/>
      <c r="AG112" s="645"/>
      <c r="AH112" s="645"/>
      <c r="AI112" s="645"/>
      <c r="AJ112" s="645"/>
      <c r="AK112" s="645"/>
      <c r="AL112" s="645"/>
      <c r="AM112" s="645"/>
      <c r="AN112" s="645"/>
      <c r="AO112" s="645"/>
      <c r="AP112" s="645"/>
      <c r="AQ112" s="645"/>
      <c r="AR112" s="645"/>
      <c r="AS112" s="645"/>
      <c r="AT112" s="645"/>
      <c r="AU112" s="645"/>
      <c r="AV112" s="645"/>
      <c r="AW112" s="645"/>
      <c r="AX112" s="645"/>
      <c r="AY112" s="645"/>
      <c r="AZ112" s="2253"/>
      <c r="BA112" s="645"/>
      <c r="BB112" s="645"/>
      <c r="BC112" s="645"/>
      <c r="BD112" s="2253"/>
      <c r="BE112" s="645"/>
      <c r="BF112" s="645"/>
      <c r="BG112" s="645"/>
    </row>
    <row r="113" spans="1:59" ht="25.5" hidden="1">
      <c r="A113" s="339" t="s">
        <v>282</v>
      </c>
      <c r="B113" s="339"/>
      <c r="C113" s="339"/>
      <c r="D113" s="339"/>
      <c r="E113" s="343" t="s">
        <v>283</v>
      </c>
      <c r="F113" s="343"/>
      <c r="G113" s="343" t="s">
        <v>284</v>
      </c>
      <c r="H113" s="4753" t="s">
        <v>246</v>
      </c>
      <c r="I113" s="4753"/>
      <c r="J113" s="645"/>
      <c r="K113" s="645"/>
      <c r="L113" s="645"/>
      <c r="M113" s="645"/>
      <c r="N113" s="645"/>
      <c r="O113" s="645"/>
      <c r="P113" s="645"/>
      <c r="Q113" s="645"/>
      <c r="R113" s="645"/>
      <c r="S113" s="645"/>
      <c r="T113" s="645"/>
      <c r="U113" s="645"/>
      <c r="V113" s="645"/>
      <c r="W113" s="645"/>
      <c r="X113" s="645"/>
      <c r="Y113" s="645"/>
      <c r="Z113" s="697" t="e">
        <f>#REF!-#REF!</f>
        <v>#REF!</v>
      </c>
      <c r="AA113" s="645"/>
      <c r="AB113" s="645"/>
      <c r="AC113" s="645"/>
      <c r="AD113" s="645"/>
      <c r="AE113" s="645"/>
      <c r="AF113" s="645"/>
      <c r="AG113" s="645"/>
      <c r="AH113" s="645"/>
      <c r="AI113" s="645"/>
      <c r="AJ113" s="645"/>
      <c r="AK113" s="645"/>
      <c r="AL113" s="645"/>
      <c r="AM113" s="645"/>
      <c r="AN113" s="645"/>
      <c r="AO113" s="645"/>
      <c r="AP113" s="645"/>
      <c r="AQ113" s="645"/>
      <c r="AR113" s="645"/>
      <c r="AS113" s="645"/>
      <c r="AT113" s="645"/>
      <c r="AU113" s="645"/>
      <c r="AV113" s="645"/>
      <c r="AW113" s="645"/>
      <c r="AX113" s="645"/>
      <c r="AY113" s="645"/>
      <c r="AZ113" s="2253"/>
      <c r="BA113" s="645"/>
      <c r="BB113" s="645"/>
      <c r="BC113" s="645"/>
      <c r="BD113" s="2253"/>
      <c r="BE113" s="645"/>
      <c r="BF113" s="645"/>
      <c r="BG113" s="645"/>
    </row>
    <row r="114" spans="1:59" hidden="1">
      <c r="A114" s="339" t="s">
        <v>285</v>
      </c>
      <c r="B114" s="339"/>
      <c r="C114" s="339"/>
      <c r="D114" s="339"/>
      <c r="E114" s="1465">
        <v>0</v>
      </c>
      <c r="F114" s="339"/>
      <c r="G114" s="339"/>
      <c r="H114" s="4753"/>
      <c r="I114" s="4753"/>
      <c r="J114" s="645"/>
      <c r="K114" s="645"/>
      <c r="L114" s="645"/>
      <c r="M114" s="645"/>
      <c r="N114" s="645"/>
      <c r="O114" s="645"/>
      <c r="P114" s="645"/>
      <c r="Q114" s="645"/>
      <c r="R114" s="645"/>
      <c r="S114" s="645"/>
      <c r="T114" s="645"/>
      <c r="U114" s="645"/>
      <c r="V114" s="645"/>
      <c r="W114" s="645"/>
      <c r="X114" s="645"/>
      <c r="Y114" s="645"/>
      <c r="Z114" s="645"/>
      <c r="AA114" s="645"/>
      <c r="AB114" s="645"/>
      <c r="AC114" s="645"/>
      <c r="AD114" s="645"/>
      <c r="AE114" s="645"/>
      <c r="AF114" s="645"/>
      <c r="AG114" s="645"/>
      <c r="AH114" s="645"/>
      <c r="AI114" s="645"/>
      <c r="AJ114" s="645"/>
      <c r="AK114" s="645"/>
      <c r="AL114" s="645"/>
      <c r="AM114" s="645"/>
      <c r="AN114" s="645"/>
      <c r="AO114" s="645"/>
      <c r="AP114" s="645"/>
      <c r="AQ114" s="645"/>
      <c r="AR114" s="645"/>
      <c r="AS114" s="645"/>
      <c r="AT114" s="645"/>
      <c r="AU114" s="645"/>
      <c r="AV114" s="645"/>
      <c r="AW114" s="645"/>
      <c r="AX114" s="645"/>
      <c r="AY114" s="645"/>
      <c r="AZ114" s="2253"/>
      <c r="BA114" s="645"/>
      <c r="BB114" s="645"/>
      <c r="BC114" s="645"/>
      <c r="BD114" s="2253"/>
      <c r="BE114" s="645"/>
      <c r="BF114" s="645"/>
      <c r="BG114" s="645"/>
    </row>
    <row r="115" spans="1:59" ht="31.5" hidden="1" customHeight="1">
      <c r="A115" s="339" t="s">
        <v>286</v>
      </c>
      <c r="B115" s="339"/>
      <c r="C115" s="339"/>
      <c r="D115" s="339"/>
      <c r="E115" s="1465">
        <v>0</v>
      </c>
      <c r="F115" s="339"/>
      <c r="G115" s="1466"/>
      <c r="H115" s="4757"/>
      <c r="I115" s="4758"/>
      <c r="J115" s="645"/>
      <c r="K115" s="645"/>
      <c r="L115" s="645"/>
      <c r="M115" s="645"/>
      <c r="N115" s="645"/>
      <c r="O115" s="645"/>
      <c r="P115" s="645"/>
      <c r="Q115" s="645" t="s">
        <v>324</v>
      </c>
      <c r="R115" s="645"/>
      <c r="S115" s="645"/>
      <c r="T115" s="645"/>
      <c r="U115" s="645"/>
      <c r="V115" s="645"/>
      <c r="W115" s="645"/>
      <c r="X115" s="645"/>
      <c r="Y115" s="645"/>
      <c r="Z115" s="645"/>
      <c r="AA115" s="645"/>
      <c r="AB115" s="645"/>
      <c r="AC115" s="645"/>
      <c r="AD115" s="645"/>
      <c r="AE115" s="645"/>
      <c r="AF115" s="645"/>
      <c r="AG115" s="645"/>
      <c r="AH115" s="645"/>
      <c r="AI115" s="645"/>
      <c r="AJ115" s="645"/>
      <c r="AK115" s="645"/>
      <c r="AL115" s="645"/>
      <c r="AM115" s="645"/>
      <c r="AN115" s="645"/>
      <c r="AO115" s="645"/>
      <c r="AP115" s="645"/>
      <c r="AQ115" s="645"/>
      <c r="AR115" s="645"/>
      <c r="AS115" s="645"/>
      <c r="AT115" s="645"/>
      <c r="AU115" s="645"/>
      <c r="AV115" s="645"/>
      <c r="AW115" s="645"/>
      <c r="AX115" s="645"/>
      <c r="AY115" s="645"/>
      <c r="AZ115" s="2253"/>
      <c r="BA115" s="645"/>
      <c r="BB115" s="645"/>
      <c r="BC115" s="645"/>
      <c r="BD115" s="2253"/>
      <c r="BE115" s="645"/>
      <c r="BF115" s="645"/>
      <c r="BG115" s="645"/>
    </row>
    <row r="116" spans="1:59" hidden="1">
      <c r="A116" s="339" t="s">
        <v>287</v>
      </c>
      <c r="B116" s="339"/>
      <c r="C116" s="339"/>
      <c r="D116" s="339"/>
      <c r="E116" s="1465">
        <v>0</v>
      </c>
      <c r="F116" s="339"/>
      <c r="G116" s="339"/>
      <c r="H116" s="4753"/>
      <c r="I116" s="4753"/>
      <c r="J116" s="645"/>
      <c r="K116" s="645"/>
      <c r="L116" s="645"/>
      <c r="M116" s="645"/>
      <c r="N116" s="645"/>
      <c r="O116" s="645"/>
      <c r="P116" s="645"/>
      <c r="Q116" s="645"/>
      <c r="R116" s="645"/>
      <c r="S116" s="645"/>
      <c r="T116" s="645" t="s">
        <v>261</v>
      </c>
      <c r="U116" s="645" t="s">
        <v>262</v>
      </c>
      <c r="V116" s="645"/>
      <c r="W116" s="645"/>
      <c r="X116" s="645"/>
      <c r="Y116" s="645"/>
      <c r="Z116" s="645"/>
      <c r="AA116" s="645"/>
      <c r="AB116" s="645"/>
      <c r="AC116" s="645"/>
      <c r="AD116" s="645"/>
      <c r="AE116" s="645"/>
      <c r="AF116" s="645"/>
      <c r="AG116" s="645"/>
      <c r="AH116" s="645"/>
      <c r="AI116" s="645"/>
      <c r="AJ116" s="645"/>
      <c r="AK116" s="645"/>
      <c r="AL116" s="645"/>
      <c r="AM116" s="645"/>
      <c r="AN116" s="645"/>
      <c r="AO116" s="645"/>
      <c r="AP116" s="645"/>
      <c r="AQ116" s="645"/>
      <c r="AR116" s="645"/>
      <c r="AS116" s="645"/>
      <c r="AT116" s="645"/>
      <c r="AU116" s="645"/>
      <c r="AV116" s="645"/>
      <c r="AW116" s="645"/>
      <c r="AX116" s="645"/>
      <c r="AY116" s="645"/>
      <c r="AZ116" s="2253"/>
      <c r="BA116" s="645"/>
      <c r="BB116" s="645"/>
      <c r="BC116" s="645"/>
      <c r="BD116" s="2253"/>
      <c r="BE116" s="645"/>
      <c r="BF116" s="645"/>
      <c r="BG116" s="645"/>
    </row>
    <row r="117" spans="1:59" hidden="1">
      <c r="A117" s="339" t="s">
        <v>288</v>
      </c>
      <c r="B117" s="339"/>
      <c r="C117" s="339"/>
      <c r="D117" s="339"/>
      <c r="E117" s="1465">
        <v>0</v>
      </c>
      <c r="F117" s="339"/>
      <c r="G117" s="339"/>
      <c r="H117" s="4753"/>
      <c r="I117" s="4753"/>
      <c r="J117" s="645"/>
      <c r="K117" s="645"/>
      <c r="L117" s="645"/>
      <c r="M117" s="645"/>
      <c r="N117" s="645"/>
      <c r="O117" s="645"/>
      <c r="P117" s="645"/>
      <c r="Q117" s="645" t="s">
        <v>325</v>
      </c>
      <c r="R117" s="645"/>
      <c r="S117" s="645"/>
      <c r="T117" s="697" t="e">
        <f>E103</f>
        <v>#REF!</v>
      </c>
      <c r="U117" s="697" t="e">
        <f>G103</f>
        <v>#REF!</v>
      </c>
      <c r="V117" s="697"/>
      <c r="W117" s="645"/>
      <c r="X117" s="645"/>
      <c r="Y117" s="697" t="e">
        <f>E103</f>
        <v>#REF!</v>
      </c>
      <c r="Z117" s="645"/>
      <c r="AA117" s="645"/>
      <c r="AB117" s="645"/>
      <c r="AC117" s="645"/>
      <c r="AD117" s="645"/>
      <c r="AE117" s="645"/>
      <c r="AF117" s="645"/>
      <c r="AG117" s="645"/>
      <c r="AH117" s="645"/>
      <c r="AI117" s="645"/>
      <c r="AJ117" s="645"/>
      <c r="AK117" s="645"/>
      <c r="AL117" s="645"/>
      <c r="AM117" s="645"/>
      <c r="AN117" s="645"/>
      <c r="AO117" s="645"/>
      <c r="AP117" s="645"/>
      <c r="AQ117" s="645"/>
      <c r="AR117" s="645"/>
      <c r="AS117" s="645"/>
      <c r="AT117" s="645"/>
      <c r="AU117" s="645"/>
      <c r="AV117" s="645"/>
      <c r="AW117" s="645"/>
      <c r="AX117" s="645"/>
      <c r="AY117" s="645"/>
      <c r="AZ117" s="2253"/>
      <c r="BA117" s="645"/>
      <c r="BB117" s="645"/>
      <c r="BC117" s="645"/>
      <c r="BD117" s="2253"/>
      <c r="BE117" s="645"/>
      <c r="BF117" s="645"/>
      <c r="BG117" s="645"/>
    </row>
    <row r="118" spans="1:59" hidden="1">
      <c r="A118" s="339" t="s">
        <v>289</v>
      </c>
      <c r="B118" s="339"/>
      <c r="C118" s="339"/>
      <c r="D118" s="339"/>
      <c r="E118" s="1465">
        <v>0</v>
      </c>
      <c r="F118" s="339"/>
      <c r="G118" s="339"/>
      <c r="H118" s="4753"/>
      <c r="I118" s="4753"/>
      <c r="J118" s="645"/>
      <c r="K118" s="645"/>
      <c r="L118" s="645"/>
      <c r="M118" s="645"/>
      <c r="N118" s="645"/>
      <c r="O118" s="645"/>
      <c r="P118" s="645"/>
      <c r="Q118" s="645" t="s">
        <v>326</v>
      </c>
      <c r="R118" s="645"/>
      <c r="S118" s="645"/>
      <c r="T118" s="697">
        <f>X107</f>
        <v>19.14</v>
      </c>
      <c r="U118" s="645">
        <f>T118*1.042</f>
        <v>19.94388</v>
      </c>
      <c r="V118" s="645"/>
      <c r="W118" s="645"/>
      <c r="X118" s="645"/>
      <c r="Y118" s="697">
        <f>X107</f>
        <v>19.14</v>
      </c>
      <c r="Z118" s="645"/>
      <c r="AA118" s="645"/>
      <c r="AB118" s="645"/>
      <c r="AC118" s="645"/>
      <c r="AD118" s="645"/>
      <c r="AE118" s="645"/>
      <c r="AF118" s="645"/>
      <c r="AG118" s="645"/>
      <c r="AH118" s="645"/>
      <c r="AI118" s="645"/>
      <c r="AJ118" s="645"/>
      <c r="AK118" s="645"/>
      <c r="AL118" s="645"/>
      <c r="AM118" s="645"/>
      <c r="AN118" s="645"/>
      <c r="AO118" s="645"/>
      <c r="AP118" s="645"/>
      <c r="AQ118" s="645"/>
      <c r="AR118" s="645"/>
      <c r="AS118" s="645"/>
      <c r="AT118" s="645"/>
      <c r="AU118" s="645"/>
      <c r="AV118" s="645"/>
      <c r="AW118" s="645"/>
      <c r="AX118" s="645"/>
      <c r="AY118" s="645"/>
      <c r="AZ118" s="2253"/>
      <c r="BA118" s="645"/>
      <c r="BB118" s="645"/>
      <c r="BC118" s="645"/>
      <c r="BD118" s="2253"/>
      <c r="BE118" s="645"/>
      <c r="BF118" s="645"/>
      <c r="BG118" s="645"/>
    </row>
    <row r="119" spans="1:59" hidden="1">
      <c r="A119" s="339" t="s">
        <v>290</v>
      </c>
      <c r="B119" s="339"/>
      <c r="C119" s="339"/>
      <c r="D119" s="339"/>
      <c r="E119" s="1465">
        <v>0</v>
      </c>
      <c r="F119" s="339"/>
      <c r="G119" s="339"/>
      <c r="H119" s="4753"/>
      <c r="I119" s="4753"/>
      <c r="J119" s="645"/>
      <c r="K119" s="645"/>
      <c r="L119" s="645"/>
      <c r="M119" s="645"/>
      <c r="N119" s="645"/>
      <c r="O119" s="645"/>
      <c r="P119" s="645"/>
      <c r="Q119" s="645" t="s">
        <v>259</v>
      </c>
      <c r="R119" s="645"/>
      <c r="S119" s="645"/>
      <c r="T119" s="697">
        <f>X106</f>
        <v>1491.6933333333334</v>
      </c>
      <c r="U119" s="697">
        <f>Y106</f>
        <v>1491.6933333333334</v>
      </c>
      <c r="V119" s="697"/>
      <c r="W119" s="645"/>
      <c r="X119" s="645"/>
      <c r="Y119" s="697">
        <f>X106</f>
        <v>1491.6933333333334</v>
      </c>
      <c r="Z119" s="645"/>
      <c r="AA119" s="645"/>
      <c r="AB119" s="645"/>
      <c r="AC119" s="645"/>
      <c r="AD119" s="645"/>
      <c r="AE119" s="645"/>
      <c r="AF119" s="645"/>
      <c r="AG119" s="645"/>
      <c r="AH119" s="645"/>
      <c r="AI119" s="645"/>
      <c r="AJ119" s="645"/>
      <c r="AK119" s="645"/>
      <c r="AL119" s="645"/>
      <c r="AM119" s="645"/>
      <c r="AN119" s="645"/>
      <c r="AO119" s="645"/>
      <c r="AP119" s="645"/>
      <c r="AQ119" s="645"/>
      <c r="AR119" s="645"/>
      <c r="AS119" s="645"/>
      <c r="AT119" s="645"/>
      <c r="AU119" s="645"/>
      <c r="AV119" s="645"/>
      <c r="AW119" s="645"/>
      <c r="AX119" s="645"/>
      <c r="AY119" s="645"/>
      <c r="AZ119" s="2253"/>
      <c r="BA119" s="645"/>
      <c r="BB119" s="645"/>
      <c r="BC119" s="645"/>
      <c r="BD119" s="2253"/>
      <c r="BE119" s="645"/>
      <c r="BF119" s="645"/>
      <c r="BG119" s="645"/>
    </row>
    <row r="120" spans="1:59" hidden="1">
      <c r="A120" s="339" t="s">
        <v>291</v>
      </c>
      <c r="B120" s="339"/>
      <c r="C120" s="339"/>
      <c r="D120" s="339"/>
      <c r="E120" s="1465">
        <v>0</v>
      </c>
      <c r="F120" s="339"/>
      <c r="G120" s="339"/>
      <c r="H120" s="4753"/>
      <c r="I120" s="4753"/>
      <c r="J120" s="645"/>
      <c r="K120" s="645"/>
      <c r="L120" s="645"/>
      <c r="M120" s="645"/>
      <c r="N120" s="645"/>
      <c r="O120" s="645"/>
      <c r="P120" s="645"/>
      <c r="Q120" s="645"/>
      <c r="R120" s="645"/>
      <c r="S120" s="645"/>
      <c r="T120" s="645" t="e">
        <f>(T117-T118)*T119</f>
        <v>#REF!</v>
      </c>
      <c r="U120" s="645" t="e">
        <f>(U117-U118)*U119</f>
        <v>#REF!</v>
      </c>
      <c r="V120" s="645"/>
      <c r="W120" s="645" t="e">
        <f>T120+U120</f>
        <v>#REF!</v>
      </c>
      <c r="X120" s="645"/>
      <c r="Y120" s="645" t="e">
        <f>(Y117-Y118)*Y119</f>
        <v>#REF!</v>
      </c>
      <c r="Z120" s="645" t="e">
        <f>Y120+#REF!</f>
        <v>#REF!</v>
      </c>
      <c r="AA120" s="645"/>
      <c r="AB120" s="645"/>
      <c r="AC120" s="645"/>
      <c r="AD120" s="645"/>
      <c r="AE120" s="645"/>
      <c r="AF120" s="645"/>
      <c r="AG120" s="645"/>
      <c r="AH120" s="645"/>
      <c r="AI120" s="645"/>
      <c r="AJ120" s="645"/>
      <c r="AK120" s="645"/>
      <c r="AL120" s="645"/>
      <c r="AM120" s="645"/>
      <c r="AN120" s="645"/>
      <c r="AO120" s="645"/>
      <c r="AP120" s="645"/>
      <c r="AQ120" s="645"/>
      <c r="AR120" s="645"/>
      <c r="AS120" s="645"/>
      <c r="AT120" s="645"/>
      <c r="AU120" s="645"/>
      <c r="AV120" s="645"/>
      <c r="AW120" s="645"/>
      <c r="AX120" s="645"/>
      <c r="AY120" s="645"/>
      <c r="AZ120" s="2253"/>
      <c r="BA120" s="645"/>
      <c r="BB120" s="645"/>
      <c r="BC120" s="645"/>
      <c r="BD120" s="2253"/>
      <c r="BE120" s="645"/>
      <c r="BF120" s="645"/>
      <c r="BG120" s="645"/>
    </row>
    <row r="121" spans="1:59" hidden="1">
      <c r="A121" s="339" t="s">
        <v>292</v>
      </c>
      <c r="B121" s="339"/>
      <c r="C121" s="339"/>
      <c r="D121" s="339"/>
      <c r="E121" s="1465">
        <v>0</v>
      </c>
      <c r="F121" s="339"/>
      <c r="G121" s="339"/>
      <c r="H121" s="4753"/>
      <c r="I121" s="4753"/>
      <c r="J121" s="645"/>
      <c r="K121" s="645"/>
      <c r="L121" s="645"/>
      <c r="M121" s="645"/>
      <c r="N121" s="645"/>
      <c r="O121" s="645"/>
      <c r="P121" s="645"/>
      <c r="Q121" s="645"/>
      <c r="R121" s="645"/>
      <c r="S121" s="645"/>
      <c r="T121" s="645"/>
      <c r="U121" s="645"/>
      <c r="V121" s="645"/>
      <c r="W121" s="645"/>
      <c r="X121" s="645"/>
      <c r="Y121" s="645"/>
      <c r="Z121" s="645"/>
      <c r="AA121" s="645"/>
      <c r="AB121" s="645"/>
      <c r="AC121" s="645"/>
      <c r="AD121" s="645"/>
      <c r="AE121" s="645"/>
      <c r="AF121" s="645"/>
      <c r="AG121" s="645"/>
      <c r="AH121" s="645"/>
      <c r="AI121" s="645"/>
      <c r="AJ121" s="645"/>
      <c r="AK121" s="645"/>
      <c r="AL121" s="645"/>
      <c r="AM121" s="645"/>
      <c r="AN121" s="645"/>
      <c r="AO121" s="645"/>
      <c r="AP121" s="645"/>
      <c r="AQ121" s="645"/>
      <c r="AR121" s="645"/>
      <c r="AS121" s="645"/>
      <c r="AT121" s="645"/>
      <c r="AU121" s="645"/>
      <c r="AV121" s="645"/>
      <c r="AW121" s="645"/>
      <c r="AX121" s="645"/>
      <c r="AY121" s="645"/>
      <c r="AZ121" s="2253"/>
      <c r="BA121" s="645"/>
      <c r="BB121" s="645"/>
      <c r="BC121" s="645"/>
      <c r="BD121" s="2253"/>
      <c r="BE121" s="645"/>
      <c r="BF121" s="645"/>
      <c r="BG121" s="645"/>
    </row>
    <row r="122" spans="1:59" hidden="1">
      <c r="A122" s="339" t="s">
        <v>293</v>
      </c>
      <c r="B122" s="339"/>
      <c r="C122" s="339"/>
      <c r="D122" s="339"/>
      <c r="E122" s="1465">
        <f>SUM(E114:E121)</f>
        <v>0</v>
      </c>
      <c r="F122" s="339"/>
      <c r="G122" s="339"/>
      <c r="H122" s="4753"/>
      <c r="I122" s="4753"/>
      <c r="J122" s="645"/>
      <c r="K122" s="645"/>
      <c r="L122" s="645"/>
      <c r="M122" s="645"/>
      <c r="N122" s="645"/>
      <c r="O122" s="645"/>
      <c r="P122" s="645"/>
      <c r="Q122" s="645"/>
      <c r="R122" s="645"/>
      <c r="S122" s="645"/>
      <c r="T122" s="645"/>
      <c r="U122" s="645"/>
      <c r="V122" s="645"/>
      <c r="W122" s="645"/>
      <c r="X122" s="645"/>
      <c r="Y122" s="645"/>
      <c r="Z122" s="645"/>
      <c r="AA122" s="645"/>
      <c r="AB122" s="645"/>
      <c r="AC122" s="645"/>
      <c r="AD122" s="645"/>
      <c r="AE122" s="645"/>
      <c r="AF122" s="645"/>
      <c r="AG122" s="645"/>
      <c r="AH122" s="645"/>
      <c r="AI122" s="645"/>
      <c r="AJ122" s="645"/>
      <c r="AK122" s="645"/>
      <c r="AL122" s="645"/>
      <c r="AM122" s="645"/>
      <c r="AN122" s="645"/>
      <c r="AO122" s="645"/>
      <c r="AP122" s="645"/>
      <c r="AQ122" s="645"/>
      <c r="AR122" s="645"/>
      <c r="AS122" s="645"/>
      <c r="AT122" s="645"/>
      <c r="AU122" s="645"/>
      <c r="AV122" s="645"/>
      <c r="AW122" s="645"/>
      <c r="AX122" s="645"/>
      <c r="AY122" s="645"/>
      <c r="AZ122" s="2253"/>
      <c r="BA122" s="645"/>
      <c r="BB122" s="645"/>
      <c r="BC122" s="645"/>
      <c r="BD122" s="2253"/>
      <c r="BE122" s="645"/>
      <c r="BF122" s="645"/>
      <c r="BG122" s="645"/>
    </row>
    <row r="123" spans="1:59" hidden="1">
      <c r="A123" s="645"/>
      <c r="B123" s="645"/>
      <c r="C123" s="645"/>
      <c r="D123" s="645"/>
      <c r="E123" s="645"/>
      <c r="F123" s="645"/>
      <c r="G123" s="645"/>
      <c r="H123" s="645"/>
      <c r="I123" s="645"/>
      <c r="J123" s="645"/>
      <c r="K123" s="645"/>
      <c r="L123" s="645"/>
      <c r="M123" s="645"/>
      <c r="N123" s="645"/>
      <c r="O123" s="645"/>
      <c r="P123" s="645"/>
      <c r="Q123" s="645"/>
      <c r="R123" s="645"/>
      <c r="S123" s="645"/>
      <c r="T123" s="645"/>
      <c r="U123" s="645"/>
      <c r="V123" s="645"/>
      <c r="W123" s="645"/>
      <c r="X123" s="645"/>
      <c r="Y123" s="645"/>
      <c r="Z123" s="645"/>
      <c r="AA123" s="645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645"/>
      <c r="AL123" s="645"/>
      <c r="AM123" s="645"/>
      <c r="AN123" s="645"/>
      <c r="AO123" s="645"/>
      <c r="AP123" s="645"/>
      <c r="AQ123" s="645"/>
      <c r="AR123" s="645"/>
      <c r="AS123" s="645"/>
      <c r="AT123" s="645"/>
      <c r="AU123" s="645"/>
      <c r="AV123" s="645"/>
      <c r="AW123" s="645"/>
      <c r="AX123" s="645"/>
      <c r="AY123" s="645"/>
      <c r="AZ123" s="2253"/>
      <c r="BA123" s="645"/>
      <c r="BB123" s="645"/>
      <c r="BC123" s="645"/>
      <c r="BD123" s="2253"/>
      <c r="BE123" s="645"/>
      <c r="BF123" s="645"/>
      <c r="BG123" s="645"/>
    </row>
  </sheetData>
  <mergeCells count="183">
    <mergeCell ref="H121:I121"/>
    <mergeCell ref="H122:I122"/>
    <mergeCell ref="A100:H100"/>
    <mergeCell ref="AS6:AS7"/>
    <mergeCell ref="BE6:BF6"/>
    <mergeCell ref="Z72:AA72"/>
    <mergeCell ref="AB72:AB73"/>
    <mergeCell ref="H115:I115"/>
    <mergeCell ref="H116:I116"/>
    <mergeCell ref="H117:I117"/>
    <mergeCell ref="H118:I118"/>
    <mergeCell ref="H113:I113"/>
    <mergeCell ref="H114:I114"/>
    <mergeCell ref="U5:U7"/>
    <mergeCell ref="AP5:AR5"/>
    <mergeCell ref="AS5:AU5"/>
    <mergeCell ref="AY5:BB5"/>
    <mergeCell ref="K100:S100"/>
    <mergeCell ref="R5:R7"/>
    <mergeCell ref="P5:P7"/>
    <mergeCell ref="H119:I119"/>
    <mergeCell ref="H120:I120"/>
    <mergeCell ref="A70:A73"/>
    <mergeCell ref="A4:A7"/>
    <mergeCell ref="BG4:BG7"/>
    <mergeCell ref="I4:M4"/>
    <mergeCell ref="H5:H7"/>
    <mergeCell ref="M5:M7"/>
    <mergeCell ref="J5:J7"/>
    <mergeCell ref="L5:L7"/>
    <mergeCell ref="G4:H4"/>
    <mergeCell ref="W4:AD4"/>
    <mergeCell ref="AG6:AH6"/>
    <mergeCell ref="AI5:AL5"/>
    <mergeCell ref="AI6:AI7"/>
    <mergeCell ref="AJ6:AJ7"/>
    <mergeCell ref="AT6:AU6"/>
    <mergeCell ref="AB5:AD5"/>
    <mergeCell ref="AB6:AB7"/>
    <mergeCell ref="AC6:AD6"/>
    <mergeCell ref="AK6:AL6"/>
    <mergeCell ref="S5:T5"/>
    <mergeCell ref="S6:S7"/>
    <mergeCell ref="T6:T7"/>
    <mergeCell ref="Q5:Q7"/>
    <mergeCell ref="N5:N7"/>
    <mergeCell ref="O5:O7"/>
    <mergeCell ref="N4:V4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V5:V7"/>
    <mergeCell ref="S71:T71"/>
    <mergeCell ref="U71:U73"/>
    <mergeCell ref="V71:V73"/>
    <mergeCell ref="AY4:BF4"/>
    <mergeCell ref="AY6:AY7"/>
    <mergeCell ref="AZ6:AZ7"/>
    <mergeCell ref="BC5:BF5"/>
    <mergeCell ref="BC6:BC7"/>
    <mergeCell ref="BD6:BD7"/>
    <mergeCell ref="AP6:AP7"/>
    <mergeCell ref="AQ6:AR6"/>
    <mergeCell ref="BA6:BB6"/>
    <mergeCell ref="AE5:AH5"/>
    <mergeCell ref="AE6:AE7"/>
    <mergeCell ref="AF6:AF7"/>
    <mergeCell ref="AE4:AX4"/>
    <mergeCell ref="AV5:AX5"/>
    <mergeCell ref="AV6:AV7"/>
    <mergeCell ref="AW6:AX6"/>
    <mergeCell ref="W5:W7"/>
    <mergeCell ref="X5:X7"/>
    <mergeCell ref="Y6:Y7"/>
    <mergeCell ref="Z6:AA6"/>
    <mergeCell ref="Y5:AA5"/>
    <mergeCell ref="B70:B73"/>
    <mergeCell ref="C70:D70"/>
    <mergeCell ref="E70:F70"/>
    <mergeCell ref="G70:H70"/>
    <mergeCell ref="I70:M70"/>
    <mergeCell ref="N70:V70"/>
    <mergeCell ref="W70:AD70"/>
    <mergeCell ref="AY70:BF70"/>
    <mergeCell ref="AE71:AH71"/>
    <mergeCell ref="AI71:AL71"/>
    <mergeCell ref="AP71:AR71"/>
    <mergeCell ref="AS71:AU71"/>
    <mergeCell ref="AY71:BB71"/>
    <mergeCell ref="BC71:BF71"/>
    <mergeCell ref="S72:S73"/>
    <mergeCell ref="T72:T73"/>
    <mergeCell ref="Y72:Y73"/>
    <mergeCell ref="BA72:BB72"/>
    <mergeCell ref="BC72:BC73"/>
    <mergeCell ref="BD72:BD73"/>
    <mergeCell ref="BE72:BF72"/>
    <mergeCell ref="AI72:AI73"/>
    <mergeCell ref="AJ72:AJ73"/>
    <mergeCell ref="AC72:AD72"/>
    <mergeCell ref="AY72:AY73"/>
    <mergeCell ref="AZ72:AZ73"/>
    <mergeCell ref="BG70:BG73"/>
    <mergeCell ref="C71:C73"/>
    <mergeCell ref="D71:D73"/>
    <mergeCell ref="E71:E73"/>
    <mergeCell ref="F71:F73"/>
    <mergeCell ref="G71:G73"/>
    <mergeCell ref="H71:H73"/>
    <mergeCell ref="I71:I73"/>
    <mergeCell ref="J71:J73"/>
    <mergeCell ref="K71:K73"/>
    <mergeCell ref="L71:L73"/>
    <mergeCell ref="M71:M73"/>
    <mergeCell ref="N71:N73"/>
    <mergeCell ref="O71:O73"/>
    <mergeCell ref="P71:P73"/>
    <mergeCell ref="Q71:Q73"/>
    <mergeCell ref="R71:R73"/>
    <mergeCell ref="W71:W73"/>
    <mergeCell ref="X71:X73"/>
    <mergeCell ref="Y71:AA71"/>
    <mergeCell ref="AB71:AD71"/>
    <mergeCell ref="AE72:AE73"/>
    <mergeCell ref="AE70:AX70"/>
    <mergeCell ref="AV71:AX71"/>
    <mergeCell ref="AV72:AV73"/>
    <mergeCell ref="AW72:AX72"/>
    <mergeCell ref="AK72:AL72"/>
    <mergeCell ref="AP72:AP73"/>
    <mergeCell ref="AQ72:AR72"/>
    <mergeCell ref="AS72:AS73"/>
    <mergeCell ref="AT72:AU72"/>
    <mergeCell ref="AF72:AF73"/>
    <mergeCell ref="AG72:AH72"/>
    <mergeCell ref="BQ5:BT5"/>
    <mergeCell ref="BU5:BX5"/>
    <mergeCell ref="BQ6:BQ7"/>
    <mergeCell ref="BR6:BR7"/>
    <mergeCell ref="BS6:BT6"/>
    <mergeCell ref="BU6:BU7"/>
    <mergeCell ref="BV6:BV7"/>
    <mergeCell ref="BW6:BX6"/>
    <mergeCell ref="BH5:BJ5"/>
    <mergeCell ref="BK5:BM5"/>
    <mergeCell ref="BN5:BP5"/>
    <mergeCell ref="BH6:BH7"/>
    <mergeCell ref="BI6:BJ6"/>
    <mergeCell ref="BK6:BK7"/>
    <mergeCell ref="BL6:BM6"/>
    <mergeCell ref="BN6:BN7"/>
    <mergeCell ref="BO6:BP6"/>
    <mergeCell ref="A68:BX68"/>
    <mergeCell ref="A2:BX2"/>
    <mergeCell ref="A1:BX1"/>
    <mergeCell ref="BH71:BJ71"/>
    <mergeCell ref="BH72:BH73"/>
    <mergeCell ref="BI72:BJ72"/>
    <mergeCell ref="BK71:BM71"/>
    <mergeCell ref="BK72:BK73"/>
    <mergeCell ref="BL72:BM72"/>
    <mergeCell ref="BN71:BP71"/>
    <mergeCell ref="BN72:BN73"/>
    <mergeCell ref="BO72:BP72"/>
    <mergeCell ref="BH70:BP70"/>
    <mergeCell ref="BQ71:BT71"/>
    <mergeCell ref="BQ72:BQ73"/>
    <mergeCell ref="BR72:BR73"/>
    <mergeCell ref="BS72:BT72"/>
    <mergeCell ref="BU71:BX71"/>
    <mergeCell ref="BU72:BU73"/>
    <mergeCell ref="BV72:BV73"/>
    <mergeCell ref="BW72:BX72"/>
    <mergeCell ref="BQ70:BX70"/>
    <mergeCell ref="BH4:BP4"/>
    <mergeCell ref="BQ4:BX4"/>
  </mergeCells>
  <phoneticPr fontId="7" type="noConversion"/>
  <printOptions horizontalCentered="1" verticalCentered="1"/>
  <pageMargins left="0.19685039370078741" right="0.15748031496062992" top="0.19685039370078741" bottom="0.19685039370078741" header="0" footer="0"/>
  <pageSetup paperSize="9" scale="24" orientation="landscape" r:id="rId1"/>
  <headerFooter alignWithMargins="0"/>
  <rowBreaks count="1" manualBreakCount="1">
    <brk id="41" max="7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K80"/>
  <sheetViews>
    <sheetView zoomScale="65" zoomScaleNormal="65" zoomScalePageLayoutView="80" workbookViewId="0">
      <pane xSplit="10" topLeftCell="BT1" activePane="topRight" state="frozen"/>
      <selection activeCell="A40" sqref="A40"/>
      <selection pane="topRight" activeCell="CH52" sqref="CH52"/>
    </sheetView>
  </sheetViews>
  <sheetFormatPr defaultRowHeight="12.75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3.5703125" customWidth="1"/>
    <col min="55" max="55" width="12" customWidth="1"/>
    <col min="56" max="56" width="16.7109375" customWidth="1"/>
    <col min="57" max="58" width="11.5703125" hidden="1" customWidth="1"/>
    <col min="59" max="59" width="12" hidden="1" customWidth="1"/>
    <col min="60" max="60" width="13.5703125" customWidth="1"/>
    <col min="61" max="61" width="12" customWidth="1"/>
    <col min="62" max="62" width="16.7109375" customWidth="1"/>
    <col min="63" max="64" width="11.5703125" hidden="1" customWidth="1"/>
    <col min="65" max="65" width="12" hidden="1" customWidth="1"/>
    <col min="66" max="66" width="13.5703125" customWidth="1"/>
    <col min="67" max="67" width="12" customWidth="1"/>
    <col min="68" max="68" width="16.7109375" customWidth="1"/>
    <col min="69" max="69" width="14.42578125" hidden="1" customWidth="1"/>
    <col min="70" max="70" width="11.5703125" hidden="1" customWidth="1"/>
    <col min="71" max="71" width="12" hidden="1" customWidth="1"/>
    <col min="72" max="89" width="13.570312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4810" t="s">
        <v>245</v>
      </c>
      <c r="B3" s="4810"/>
      <c r="C3" s="4810"/>
      <c r="D3" s="4810"/>
      <c r="E3" s="4810"/>
      <c r="F3" s="4810"/>
      <c r="G3" s="4810"/>
      <c r="H3" s="4810"/>
      <c r="I3" s="4810"/>
      <c r="J3" s="4810"/>
      <c r="K3" s="4810"/>
      <c r="L3" s="4810"/>
      <c r="M3" s="4810"/>
      <c r="N3" s="4810"/>
      <c r="O3" s="4810"/>
      <c r="P3" s="4810"/>
      <c r="Q3" s="4810"/>
      <c r="R3" s="4810"/>
      <c r="S3" s="4810"/>
      <c r="T3" s="4810"/>
      <c r="U3" s="4810"/>
      <c r="V3" s="4810"/>
      <c r="W3" s="4810"/>
      <c r="X3" s="4810"/>
      <c r="Y3" s="4810"/>
      <c r="Z3" s="4810"/>
      <c r="AA3" s="4810"/>
      <c r="AB3" s="4810"/>
      <c r="AC3" s="4810"/>
      <c r="AD3" s="4810"/>
      <c r="AE3" s="4810"/>
      <c r="AF3" s="4810"/>
      <c r="AG3" s="4810"/>
      <c r="AH3" s="4810"/>
      <c r="AI3" s="4810"/>
      <c r="AJ3" s="4810"/>
      <c r="AK3" s="4810"/>
      <c r="AL3" s="4810"/>
    </row>
    <row r="4" spans="1:41" ht="15.75" hidden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>
      <c r="A5" s="4811"/>
      <c r="B5" s="90"/>
      <c r="C5" s="90"/>
      <c r="D5" s="90"/>
      <c r="E5" s="90"/>
      <c r="F5" s="90"/>
      <c r="G5" s="90"/>
      <c r="H5" s="4812" t="s">
        <v>59</v>
      </c>
      <c r="I5" s="4812"/>
      <c r="J5" s="4812"/>
      <c r="K5" s="4812" t="s">
        <v>67</v>
      </c>
      <c r="L5" s="4812"/>
      <c r="M5" s="4812"/>
      <c r="N5" s="4812"/>
      <c r="O5" s="4812" t="s">
        <v>95</v>
      </c>
      <c r="P5" s="4812"/>
      <c r="Q5" s="4812"/>
      <c r="R5" s="4813" t="s">
        <v>214</v>
      </c>
      <c r="S5" s="4814"/>
      <c r="T5" s="4814"/>
      <c r="U5" s="4815"/>
      <c r="V5" s="4819" t="s">
        <v>163</v>
      </c>
      <c r="W5" s="4819"/>
      <c r="X5" s="4819"/>
      <c r="Y5" s="4819"/>
      <c r="Z5" s="4819"/>
      <c r="AA5" s="4819"/>
      <c r="AB5" s="4819"/>
      <c r="AC5" s="4819"/>
      <c r="AD5" s="4819"/>
      <c r="AE5" s="4820"/>
      <c r="AF5" s="4820"/>
      <c r="AG5" s="4820"/>
      <c r="AH5" s="4819"/>
      <c r="AI5" s="4819"/>
      <c r="AJ5" s="4819"/>
      <c r="AK5" s="4819"/>
      <c r="AL5" s="4819"/>
      <c r="AM5" s="4819"/>
      <c r="AN5" s="4819"/>
      <c r="AO5" s="4819"/>
    </row>
    <row r="6" spans="1:41" ht="12.75" hidden="1" customHeight="1">
      <c r="A6" s="4811"/>
      <c r="B6" s="2287"/>
      <c r="C6" s="91" t="s">
        <v>134</v>
      </c>
      <c r="D6" s="91"/>
      <c r="E6" s="2287"/>
      <c r="F6" s="91" t="s">
        <v>135</v>
      </c>
      <c r="G6" s="91"/>
      <c r="H6" s="4812"/>
      <c r="I6" s="4812"/>
      <c r="J6" s="4812"/>
      <c r="K6" s="4812"/>
      <c r="L6" s="4812"/>
      <c r="M6" s="4812"/>
      <c r="N6" s="4812"/>
      <c r="O6" s="4812"/>
      <c r="P6" s="4812"/>
      <c r="Q6" s="4812"/>
      <c r="R6" s="4816"/>
      <c r="S6" s="4817"/>
      <c r="T6" s="4817"/>
      <c r="U6" s="4818"/>
      <c r="V6" s="4821" t="s">
        <v>126</v>
      </c>
      <c r="W6" s="4821"/>
      <c r="X6" s="4821"/>
      <c r="Y6" s="4821"/>
      <c r="Z6" s="4821" t="s">
        <v>127</v>
      </c>
      <c r="AA6" s="4821"/>
      <c r="AB6" s="4821"/>
      <c r="AC6" s="4821"/>
      <c r="AD6" s="4812" t="s">
        <v>240</v>
      </c>
      <c r="AE6" s="4822"/>
      <c r="AF6" s="4822"/>
      <c r="AG6" s="4822"/>
      <c r="AH6" s="4812"/>
      <c r="AI6" s="4812"/>
      <c r="AJ6" s="4779" t="s">
        <v>244</v>
      </c>
      <c r="AK6" s="4779"/>
      <c r="AL6" s="4779"/>
      <c r="AM6" s="4779" t="s">
        <v>379</v>
      </c>
      <c r="AN6" s="4779"/>
      <c r="AO6" s="4779"/>
    </row>
    <row r="7" spans="1:41" ht="12.75" hidden="1" customHeight="1">
      <c r="A7" s="4811"/>
      <c r="B7" s="2287" t="s">
        <v>136</v>
      </c>
      <c r="C7" s="2287" t="s">
        <v>137</v>
      </c>
      <c r="D7" s="2287" t="s">
        <v>45</v>
      </c>
      <c r="E7" s="2287" t="s">
        <v>136</v>
      </c>
      <c r="F7" s="2287" t="s">
        <v>137</v>
      </c>
      <c r="G7" s="2287" t="s">
        <v>45</v>
      </c>
      <c r="H7" s="4779" t="s">
        <v>151</v>
      </c>
      <c r="I7" s="4779" t="s">
        <v>138</v>
      </c>
      <c r="J7" s="4779" t="s">
        <v>102</v>
      </c>
      <c r="K7" s="4779" t="s">
        <v>231</v>
      </c>
      <c r="L7" s="4787" t="s">
        <v>152</v>
      </c>
      <c r="M7" s="4775" t="s">
        <v>102</v>
      </c>
      <c r="N7" s="4776"/>
      <c r="O7" s="4779" t="s">
        <v>151</v>
      </c>
      <c r="P7" s="4779" t="s">
        <v>138</v>
      </c>
      <c r="Q7" s="4779" t="s">
        <v>102</v>
      </c>
      <c r="R7" s="4779" t="s">
        <v>151</v>
      </c>
      <c r="S7" s="4779" t="s">
        <v>138</v>
      </c>
      <c r="T7" s="4779" t="s">
        <v>102</v>
      </c>
      <c r="U7" s="2283"/>
      <c r="V7" s="4779" t="s">
        <v>118</v>
      </c>
      <c r="W7" s="4779"/>
      <c r="X7" s="4779" t="s">
        <v>152</v>
      </c>
      <c r="Y7" s="4779" t="s">
        <v>102</v>
      </c>
      <c r="Z7" s="4779" t="s">
        <v>118</v>
      </c>
      <c r="AA7" s="4779"/>
      <c r="AB7" s="4779" t="s">
        <v>152</v>
      </c>
      <c r="AC7" s="4779" t="s">
        <v>102</v>
      </c>
      <c r="AD7" s="4779" t="s">
        <v>151</v>
      </c>
      <c r="AE7" s="1004"/>
      <c r="AF7" s="1004"/>
      <c r="AG7" s="1004"/>
      <c r="AH7" s="4779" t="s">
        <v>138</v>
      </c>
      <c r="AI7" s="4779" t="s">
        <v>102</v>
      </c>
      <c r="AJ7" s="4779" t="s">
        <v>151</v>
      </c>
      <c r="AK7" s="4779" t="s">
        <v>138</v>
      </c>
      <c r="AL7" s="4779" t="s">
        <v>102</v>
      </c>
      <c r="AM7" s="4779" t="s">
        <v>151</v>
      </c>
      <c r="AN7" s="4779" t="s">
        <v>138</v>
      </c>
      <c r="AO7" s="4779" t="s">
        <v>102</v>
      </c>
    </row>
    <row r="8" spans="1:41" ht="32.25" hidden="1" customHeight="1">
      <c r="A8" s="4811"/>
      <c r="B8" s="2287"/>
      <c r="C8" s="2287"/>
      <c r="D8" s="2287"/>
      <c r="E8" s="2287"/>
      <c r="F8" s="2287"/>
      <c r="G8" s="2287"/>
      <c r="H8" s="4779"/>
      <c r="I8" s="4779"/>
      <c r="J8" s="4779"/>
      <c r="K8" s="4779"/>
      <c r="L8" s="4788"/>
      <c r="M8" s="4777"/>
      <c r="N8" s="4778"/>
      <c r="O8" s="4779"/>
      <c r="P8" s="4779"/>
      <c r="Q8" s="4779"/>
      <c r="R8" s="4779"/>
      <c r="S8" s="4779"/>
      <c r="T8" s="4779"/>
      <c r="U8" s="2283"/>
      <c r="V8" s="23" t="s">
        <v>232</v>
      </c>
      <c r="W8" s="2283" t="s">
        <v>167</v>
      </c>
      <c r="X8" s="4779"/>
      <c r="Y8" s="4779"/>
      <c r="Z8" s="2283" t="s">
        <v>232</v>
      </c>
      <c r="AA8" s="2283" t="s">
        <v>167</v>
      </c>
      <c r="AB8" s="4779"/>
      <c r="AC8" s="4779"/>
      <c r="AD8" s="4779"/>
      <c r="AE8" s="1004"/>
      <c r="AF8" s="1004"/>
      <c r="AG8" s="1004"/>
      <c r="AH8" s="4779"/>
      <c r="AI8" s="4779"/>
      <c r="AJ8" s="4779"/>
      <c r="AK8" s="4779"/>
      <c r="AL8" s="4779"/>
      <c r="AM8" s="4779"/>
      <c r="AN8" s="4779"/>
      <c r="AO8" s="4779"/>
    </row>
    <row r="9" spans="1:41" hidden="1">
      <c r="A9" s="81" t="s">
        <v>139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9">
        <v>1010.6</v>
      </c>
      <c r="T9" s="139">
        <v>4416.6000000000004</v>
      </c>
      <c r="U9" s="71"/>
      <c r="V9" s="93">
        <v>5.25</v>
      </c>
      <c r="W9" s="17">
        <f>V9/R9*100</f>
        <v>120.12973780736314</v>
      </c>
      <c r="X9" s="142">
        <v>1140</v>
      </c>
      <c r="Y9" s="142">
        <f>V9*X9</f>
        <v>5985</v>
      </c>
      <c r="Z9" s="93" t="e">
        <f>AC9/AB9</f>
        <v>#REF!</v>
      </c>
      <c r="AA9" s="94" t="e">
        <f>Z9/R9*100</f>
        <v>#REF!</v>
      </c>
      <c r="AB9" s="142" t="e">
        <f>AB19*AB20</f>
        <v>#REF!</v>
      </c>
      <c r="AC9" s="142">
        <v>5549</v>
      </c>
      <c r="AD9" s="70">
        <v>4.9930000000000003</v>
      </c>
      <c r="AE9" s="1005"/>
      <c r="AF9" s="1005"/>
      <c r="AG9" s="1005"/>
      <c r="AH9" s="139">
        <f>862347/1000</f>
        <v>862.34699999999998</v>
      </c>
      <c r="AI9" s="139">
        <v>4305.8999999999996</v>
      </c>
      <c r="AJ9" s="70">
        <v>5.548</v>
      </c>
      <c r="AK9" s="139">
        <f>241902/1000</f>
        <v>241.90199999999999</v>
      </c>
      <c r="AL9" s="139">
        <v>1342.1</v>
      </c>
      <c r="AM9" s="70">
        <v>5.1100000000000003</v>
      </c>
      <c r="AN9" s="139">
        <v>1138.8</v>
      </c>
      <c r="AO9" s="139">
        <v>5819.3</v>
      </c>
    </row>
    <row r="10" spans="1:41" hidden="1">
      <c r="A10" s="81" t="s">
        <v>166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9"/>
      <c r="T10" s="139"/>
      <c r="U10" s="71"/>
      <c r="V10" s="93"/>
      <c r="W10" s="17"/>
      <c r="X10" s="142"/>
      <c r="Y10" s="142"/>
      <c r="Z10" s="93"/>
      <c r="AA10" s="2"/>
      <c r="AB10" s="142"/>
      <c r="AC10" s="142"/>
      <c r="AD10" s="70">
        <v>2.2519999999999998</v>
      </c>
      <c r="AE10" s="1005"/>
      <c r="AF10" s="1005"/>
      <c r="AG10" s="1005"/>
      <c r="AH10" s="139">
        <f>5062/1000</f>
        <v>5.0620000000000003</v>
      </c>
      <c r="AI10" s="139">
        <v>11.4</v>
      </c>
      <c r="AJ10" s="70">
        <v>2.4180000000000001</v>
      </c>
      <c r="AK10" s="139">
        <f>1365/1000</f>
        <v>1.365</v>
      </c>
      <c r="AL10" s="137">
        <v>3.3</v>
      </c>
      <c r="AM10" s="70">
        <v>0</v>
      </c>
      <c r="AN10" s="139">
        <v>0</v>
      </c>
      <c r="AO10" s="137">
        <v>0</v>
      </c>
    </row>
    <row r="11" spans="1:41" hidden="1">
      <c r="A11" s="81" t="s">
        <v>140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1">
        <f>T11/S11</f>
        <v>3.4186351706036748</v>
      </c>
      <c r="S11" s="137">
        <f>1164.3+131.1</f>
        <v>1295.3999999999999</v>
      </c>
      <c r="T11" s="140">
        <f>3776+652.5</f>
        <v>4428.5</v>
      </c>
      <c r="U11" s="71"/>
      <c r="V11" s="93">
        <v>4.2</v>
      </c>
      <c r="W11" s="17">
        <f>V11/R11*100</f>
        <v>122.85604606525911</v>
      </c>
      <c r="X11" s="142">
        <v>1830</v>
      </c>
      <c r="Y11" s="142">
        <f>V11*X11</f>
        <v>7686</v>
      </c>
      <c r="Z11" s="93">
        <v>3.9470000000000001</v>
      </c>
      <c r="AA11" s="17">
        <f>Z11/R11*100</f>
        <v>115.45543186180423</v>
      </c>
      <c r="AB11" s="142" t="e">
        <f>AB22*AB21</f>
        <v>#REF!</v>
      </c>
      <c r="AC11" s="142" t="e">
        <f>Z11*AB11</f>
        <v>#REF!</v>
      </c>
      <c r="AD11" s="57">
        <v>3.9390000000000001</v>
      </c>
      <c r="AE11" s="1006"/>
      <c r="AF11" s="1006"/>
      <c r="AG11" s="1006"/>
      <c r="AH11" s="137">
        <f>1426046/1000</f>
        <v>1426.046</v>
      </c>
      <c r="AI11" s="137">
        <v>5616.5</v>
      </c>
      <c r="AJ11" s="70">
        <v>4.3929999999999998</v>
      </c>
      <c r="AK11" s="139">
        <f>462899/1000</f>
        <v>462.899</v>
      </c>
      <c r="AL11" s="139">
        <v>2033.5</v>
      </c>
      <c r="AM11" s="70">
        <v>4.0129999999999999</v>
      </c>
      <c r="AN11" s="139">
        <v>1930.37</v>
      </c>
      <c r="AO11" s="139">
        <v>7747.1</v>
      </c>
    </row>
    <row r="12" spans="1:41" hidden="1">
      <c r="A12" s="81" t="s">
        <v>166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9"/>
      <c r="T12" s="139"/>
      <c r="U12" s="71"/>
      <c r="V12" s="93"/>
      <c r="W12" s="17"/>
      <c r="X12" s="142"/>
      <c r="Y12" s="142"/>
      <c r="Z12" s="93"/>
      <c r="AA12" s="17"/>
      <c r="AB12" s="142"/>
      <c r="AC12" s="142"/>
      <c r="AD12" s="70">
        <v>2.2759999999999998</v>
      </c>
      <c r="AE12" s="1005"/>
      <c r="AF12" s="1005"/>
      <c r="AG12" s="1005"/>
      <c r="AH12" s="139">
        <f>51221/1000</f>
        <v>51.220999999999997</v>
      </c>
      <c r="AI12" s="139">
        <v>116.6</v>
      </c>
      <c r="AJ12" s="70">
        <v>2.427</v>
      </c>
      <c r="AK12" s="139">
        <f>14584/1000</f>
        <v>14.584</v>
      </c>
      <c r="AL12" s="139">
        <v>35.4</v>
      </c>
      <c r="AM12" s="70">
        <v>0</v>
      </c>
      <c r="AN12" s="139">
        <v>0</v>
      </c>
      <c r="AO12" s="139">
        <v>0</v>
      </c>
    </row>
    <row r="13" spans="1:41" ht="13.5" hidden="1">
      <c r="A13" s="144" t="s">
        <v>141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1"/>
      <c r="T13" s="141"/>
      <c r="U13" s="65"/>
      <c r="V13" s="93"/>
      <c r="W13" s="17"/>
      <c r="X13" s="135">
        <f>SUM(X9:X11)</f>
        <v>2970</v>
      </c>
      <c r="Y13" s="135">
        <f>SUM(Y9:Y11)</f>
        <v>13671</v>
      </c>
      <c r="Z13" s="95"/>
      <c r="AA13" s="18"/>
      <c r="AB13" s="135" t="e">
        <f>SUM(AB9:AB11)</f>
        <v>#REF!</v>
      </c>
      <c r="AC13" s="135" t="e">
        <f>SUM(AC9:AC11)</f>
        <v>#REF!</v>
      </c>
      <c r="AD13" s="135"/>
      <c r="AE13" s="1007"/>
      <c r="AF13" s="1007"/>
      <c r="AG13" s="1007"/>
      <c r="AH13" s="135">
        <f>AH9+AH10+AH11+AH12</f>
        <v>2344.6759999999999</v>
      </c>
      <c r="AI13" s="135">
        <f>AI9+AI10+AI11+AI12</f>
        <v>10050.4</v>
      </c>
      <c r="AJ13" s="70"/>
      <c r="AK13" s="135">
        <f>AK12+AK11+AK10+AK9</f>
        <v>720.75</v>
      </c>
      <c r="AL13" s="135">
        <f>AL12+AL11+AL10+AL9</f>
        <v>3414.3</v>
      </c>
      <c r="AM13" s="70"/>
      <c r="AN13" s="135">
        <f>AN12+AN11+AN10+AN9</f>
        <v>3069.17</v>
      </c>
      <c r="AO13" s="135">
        <f>AO12+AO11+AO10+AO9</f>
        <v>13566.400000000001</v>
      </c>
    </row>
    <row r="14" spans="1:41" hidden="1">
      <c r="A14" s="81" t="s">
        <v>142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9">
        <v>267.60000000000002</v>
      </c>
      <c r="T14" s="139">
        <v>1189.5999999999999</v>
      </c>
      <c r="U14" s="71"/>
      <c r="V14" s="93">
        <v>5.4</v>
      </c>
      <c r="W14" s="17">
        <f>V14/R14*100</f>
        <v>121.47276395427036</v>
      </c>
      <c r="X14" s="142">
        <v>406</v>
      </c>
      <c r="Y14" s="142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2" t="e">
        <f>AB25*AB24</f>
        <v>#REF!</v>
      </c>
      <c r="AC14" s="142" t="e">
        <f>Z14*AB14</f>
        <v>#REF!</v>
      </c>
      <c r="AD14" s="70">
        <v>4.96</v>
      </c>
      <c r="AE14" s="1005"/>
      <c r="AF14" s="1005"/>
      <c r="AG14" s="1005"/>
      <c r="AH14" s="139">
        <f>259401/1000</f>
        <v>259.40100000000001</v>
      </c>
      <c r="AI14" s="139">
        <v>1286.5999999999999</v>
      </c>
      <c r="AJ14" s="70">
        <v>5.577</v>
      </c>
      <c r="AK14" s="139">
        <f>54257/1000</f>
        <v>54.256999999999998</v>
      </c>
      <c r="AL14" s="139">
        <v>302.60000000000002</v>
      </c>
      <c r="AM14" s="70">
        <v>4.9829999999999997</v>
      </c>
      <c r="AN14" s="139">
        <v>363.8</v>
      </c>
      <c r="AO14" s="139">
        <v>0</v>
      </c>
    </row>
    <row r="15" spans="1:41" hidden="1">
      <c r="A15" s="81" t="s">
        <v>143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9">
        <v>1418.4</v>
      </c>
      <c r="T15" s="139">
        <v>4577.8</v>
      </c>
      <c r="U15" s="71"/>
      <c r="V15" s="93">
        <v>4</v>
      </c>
      <c r="W15" s="17">
        <f>V15/R15*100</f>
        <v>123.93726244047359</v>
      </c>
      <c r="X15" s="142">
        <v>2254</v>
      </c>
      <c r="Y15" s="142">
        <f>V15*X15</f>
        <v>9016</v>
      </c>
      <c r="Z15" s="93" t="e">
        <f>AC15/AB15</f>
        <v>#REF!</v>
      </c>
      <c r="AA15" s="94" t="e">
        <f>Z15/R15*100</f>
        <v>#REF!</v>
      </c>
      <c r="AB15" s="142" t="e">
        <f>AB26*AB24</f>
        <v>#REF!</v>
      </c>
      <c r="AC15" s="142">
        <v>8582.7999999999993</v>
      </c>
      <c r="AD15" s="70">
        <v>3.762</v>
      </c>
      <c r="AE15" s="1005"/>
      <c r="AF15" s="1005"/>
      <c r="AG15" s="1005"/>
      <c r="AH15" s="139">
        <f>1540308/1000</f>
        <v>1540.308</v>
      </c>
      <c r="AI15" s="139">
        <v>5794.5</v>
      </c>
      <c r="AJ15" s="70">
        <v>4.1840000000000002</v>
      </c>
      <c r="AK15" s="139">
        <f>483414/1000</f>
        <v>483.41399999999999</v>
      </c>
      <c r="AL15" s="71">
        <v>2022.8</v>
      </c>
      <c r="AM15" s="70">
        <v>3.83</v>
      </c>
      <c r="AN15" s="139">
        <v>2289.4</v>
      </c>
      <c r="AO15" s="71">
        <v>0</v>
      </c>
    </row>
    <row r="16" spans="1:41" hidden="1">
      <c r="A16" s="81" t="s">
        <v>166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2"/>
      <c r="AC16" s="142"/>
      <c r="AD16" s="70"/>
      <c r="AE16" s="1005"/>
      <c r="AF16" s="1005"/>
      <c r="AG16" s="1005"/>
      <c r="AH16" s="139">
        <f>(13283+97372)/1000</f>
        <v>110.655</v>
      </c>
      <c r="AI16" s="71">
        <f>30.3+223.1</f>
        <v>253.4</v>
      </c>
      <c r="AJ16" s="65"/>
      <c r="AK16" s="139">
        <f>(4088+36605)/1000</f>
        <v>40.692999999999998</v>
      </c>
      <c r="AL16" s="71">
        <f>9.9+89</f>
        <v>98.9</v>
      </c>
      <c r="AM16" s="65"/>
      <c r="AN16" s="139">
        <v>0</v>
      </c>
      <c r="AO16" s="71">
        <v>0</v>
      </c>
    </row>
    <row r="17" spans="1:42" ht="13.5" hidden="1">
      <c r="A17" s="144" t="s">
        <v>144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77">
        <f>SUM(X14:X15)</f>
        <v>2660</v>
      </c>
      <c r="Y17" s="18">
        <f>SUM(Y14:Y15)</f>
        <v>11208.4</v>
      </c>
      <c r="Z17" s="95"/>
      <c r="AA17" s="18"/>
      <c r="AB17" s="135" t="e">
        <f>SUM(AB14:AB15)</f>
        <v>#REF!</v>
      </c>
      <c r="AC17" s="135" t="e">
        <f>SUM(AC14:AC15)</f>
        <v>#REF!</v>
      </c>
      <c r="AD17" s="135"/>
      <c r="AE17" s="1007"/>
      <c r="AF17" s="1007"/>
      <c r="AG17" s="1007"/>
      <c r="AH17" s="135">
        <f>SUM(AH14:AH16)</f>
        <v>1910.364</v>
      </c>
      <c r="AI17" s="135">
        <f>SUM(AI14:AI16)</f>
        <v>7334.5</v>
      </c>
      <c r="AJ17" s="2287"/>
      <c r="AK17" s="135">
        <f>AK14+AK15+AK16</f>
        <v>578.36399999999992</v>
      </c>
      <c r="AL17" s="135">
        <f>AL14+AL15+AL16</f>
        <v>2424.3000000000002</v>
      </c>
      <c r="AM17" s="2287"/>
      <c r="AN17" s="135">
        <f>AN14+AN15+AN16</f>
        <v>2653.2000000000003</v>
      </c>
      <c r="AO17" s="135">
        <f>AO14+AO15+AO16</f>
        <v>0</v>
      </c>
    </row>
    <row r="18" spans="1:42" hidden="1">
      <c r="A18" s="81"/>
      <c r="B18" s="57"/>
      <c r="C18" s="19"/>
      <c r="D18" s="2287"/>
      <c r="E18" s="57"/>
      <c r="F18" s="19"/>
      <c r="G18" s="2287"/>
      <c r="H18" s="57"/>
      <c r="I18" s="19"/>
      <c r="J18" s="2287"/>
      <c r="K18" s="76"/>
      <c r="L18" s="77"/>
      <c r="M18" s="78"/>
      <c r="N18" s="79"/>
      <c r="O18" s="57"/>
      <c r="P18" s="19"/>
      <c r="Q18" s="2287"/>
      <c r="R18" s="2287"/>
      <c r="S18" s="2287"/>
      <c r="T18" s="2287"/>
      <c r="U18" s="2287"/>
      <c r="V18" s="2"/>
      <c r="W18" s="2"/>
      <c r="X18" s="2"/>
      <c r="Y18" s="2"/>
      <c r="Z18" s="2"/>
      <c r="AA18" s="2"/>
      <c r="AB18" s="2"/>
      <c r="AC18" s="2"/>
      <c r="AD18" s="57"/>
      <c r="AE18" s="1006"/>
      <c r="AF18" s="1006"/>
      <c r="AG18" s="1006"/>
      <c r="AH18" s="2287"/>
      <c r="AI18" s="2287"/>
      <c r="AJ18" s="62"/>
      <c r="AK18" s="2287"/>
      <c r="AL18" s="62"/>
      <c r="AM18" s="62"/>
      <c r="AN18" s="2287"/>
      <c r="AO18" s="62"/>
    </row>
    <row r="19" spans="1:42" hidden="1">
      <c r="A19" s="81" t="s">
        <v>145</v>
      </c>
      <c r="B19" s="62"/>
      <c r="C19" s="62"/>
      <c r="D19" s="62"/>
      <c r="E19" s="62"/>
      <c r="F19" s="62"/>
      <c r="G19" s="62"/>
      <c r="H19" s="62"/>
      <c r="I19" s="2287">
        <v>8838.9</v>
      </c>
      <c r="J19" s="62"/>
      <c r="K19" s="80"/>
      <c r="L19" s="19">
        <v>8862.9</v>
      </c>
      <c r="M19" s="78"/>
      <c r="N19" s="79"/>
      <c r="O19" s="62"/>
      <c r="P19" s="11">
        <f>объемы!F9</f>
        <v>8372.9</v>
      </c>
      <c r="Q19" s="62"/>
      <c r="R19" s="62"/>
      <c r="S19" s="2287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3"/>
      <c r="AE19" s="1008"/>
      <c r="AF19" s="1008"/>
      <c r="AG19" s="1008"/>
      <c r="AH19" s="2287">
        <f>3309.7+2615.3</f>
        <v>5925</v>
      </c>
      <c r="AI19" s="62"/>
      <c r="AJ19" s="2287"/>
      <c r="AK19" s="93">
        <f>645.46+642.86+630.6</f>
        <v>1918.92</v>
      </c>
      <c r="AL19" s="2287"/>
      <c r="AM19" s="2287"/>
      <c r="AN19" s="93">
        <v>7835.7</v>
      </c>
      <c r="AO19" s="2287"/>
    </row>
    <row r="20" spans="1:42" ht="25.5" hidden="1">
      <c r="A20" s="81" t="s">
        <v>146</v>
      </c>
      <c r="B20" s="57"/>
      <c r="C20" s="19"/>
      <c r="D20" s="2287"/>
      <c r="E20" s="57"/>
      <c r="F20" s="19"/>
      <c r="G20" s="2287"/>
      <c r="H20" s="57"/>
      <c r="I20" s="93">
        <f>(I9/I19)/1000</f>
        <v>0.1666905384154137</v>
      </c>
      <c r="J20" s="2286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2287"/>
      <c r="R20" s="2287"/>
      <c r="S20" s="93">
        <f>S9/S19</f>
        <v>0.15158469453569126</v>
      </c>
      <c r="T20" s="2287"/>
      <c r="U20" s="2287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1006"/>
      <c r="AF20" s="1006"/>
      <c r="AG20" s="1006"/>
      <c r="AH20" s="93">
        <f>AH9/AH19</f>
        <v>0.14554379746835441</v>
      </c>
      <c r="AI20" s="2287"/>
      <c r="AJ20" s="2287"/>
      <c r="AK20" s="93">
        <f>AK9/AK19</f>
        <v>0.12606153461321992</v>
      </c>
      <c r="AL20" s="2287"/>
      <c r="AM20" s="2287"/>
      <c r="AN20" s="93">
        <f>AN9/AN19</f>
        <v>0.14533481373712623</v>
      </c>
      <c r="AO20" s="2287"/>
      <c r="AP20" s="338">
        <f>(L20+P20+S20+AN20)/4</f>
        <v>0.15880621825734828</v>
      </c>
    </row>
    <row r="21" spans="1:42" hidden="1">
      <c r="A21" s="81" t="s">
        <v>159</v>
      </c>
      <c r="B21" s="57"/>
      <c r="C21" s="19"/>
      <c r="D21" s="2287"/>
      <c r="E21" s="57"/>
      <c r="F21" s="19"/>
      <c r="G21" s="2287"/>
      <c r="H21" s="57"/>
      <c r="I21" s="93">
        <f>I19</f>
        <v>8838.9</v>
      </c>
      <c r="J21" s="2286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2287"/>
      <c r="R21" s="2287"/>
      <c r="S21" s="2286">
        <f>S19</f>
        <v>6666.9</v>
      </c>
      <c r="T21" s="2287"/>
      <c r="U21" s="2287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1006"/>
      <c r="AF21" s="1006"/>
      <c r="AG21" s="1006"/>
      <c r="AH21" s="2286">
        <f>3021.8+2363</f>
        <v>5384.8</v>
      </c>
      <c r="AI21" s="2287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>
      <c r="A22" s="81" t="s">
        <v>147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1009"/>
      <c r="AF22" s="1009"/>
      <c r="AG22" s="1009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38">
        <f>(L22+P22+S22+AN22)/4</f>
        <v>0.24172159546971789</v>
      </c>
    </row>
    <row r="23" spans="1:42" hidden="1">
      <c r="A23" s="145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1010"/>
      <c r="AF23" s="1010"/>
      <c r="AG23" s="1010"/>
      <c r="AH23" s="86"/>
      <c r="AI23" s="86"/>
      <c r="AJ23" s="2287"/>
      <c r="AK23" s="2287"/>
      <c r="AL23" s="2287"/>
      <c r="AM23" s="2287"/>
      <c r="AN23" s="2287"/>
      <c r="AO23" s="2287"/>
    </row>
    <row r="24" spans="1:42" hidden="1">
      <c r="A24" s="81" t="s">
        <v>148</v>
      </c>
      <c r="B24" s="84"/>
      <c r="C24" s="85"/>
      <c r="D24" s="86"/>
      <c r="E24" s="84"/>
      <c r="F24" s="85"/>
      <c r="G24" s="86"/>
      <c r="H24" s="84"/>
      <c r="I24" s="2286">
        <v>4585.8</v>
      </c>
      <c r="J24" s="2286"/>
      <c r="K24" s="2286"/>
      <c r="L24" s="2286">
        <v>4415.2</v>
      </c>
      <c r="M24" s="97"/>
      <c r="N24" s="98"/>
      <c r="O24" s="101"/>
      <c r="P24" s="2286">
        <f>объемы!F21</f>
        <v>4093.2000000000003</v>
      </c>
      <c r="Q24" s="2287"/>
      <c r="R24" s="2287"/>
      <c r="S24" s="2287">
        <f>объемы!J21</f>
        <v>2958.3</v>
      </c>
      <c r="T24" s="2287"/>
      <c r="U24" s="2287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1006"/>
      <c r="AF24" s="1006"/>
      <c r="AG24" s="1006"/>
      <c r="AH24" s="2287">
        <v>3930.9</v>
      </c>
      <c r="AI24" s="2287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>
      <c r="A25" s="81" t="s">
        <v>149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1009"/>
      <c r="AF25" s="1009"/>
      <c r="AG25" s="1009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38">
        <f>(L25+P25+S25+AN25)/4</f>
        <v>9.3667728144402856E-2</v>
      </c>
    </row>
    <row r="26" spans="1:42" ht="25.5" hidden="1">
      <c r="A26" s="81" t="s">
        <v>150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1009"/>
      <c r="AF26" s="1009"/>
      <c r="AG26" s="1009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38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89" hidden="1">
      <c r="A33" t="s">
        <v>218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89" hidden="1"/>
    <row r="35" spans="1:89" hidden="1">
      <c r="A35" t="s">
        <v>224</v>
      </c>
      <c r="R35">
        <v>4.2</v>
      </c>
      <c r="S35">
        <v>705.5</v>
      </c>
      <c r="T35">
        <v>2961.4</v>
      </c>
    </row>
    <row r="36" spans="1:89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89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89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89" hidden="1"/>
    <row r="40" spans="1:89">
      <c r="A40" s="4426" t="s">
        <v>1670</v>
      </c>
      <c r="B40" s="4426"/>
      <c r="C40" s="4426"/>
      <c r="D40" s="4426"/>
      <c r="E40" s="4426"/>
      <c r="F40" s="4426"/>
      <c r="G40" s="4426"/>
      <c r="H40" s="4426"/>
      <c r="I40" s="4426"/>
      <c r="J40" s="4426"/>
      <c r="K40" s="4426"/>
      <c r="L40" s="4426"/>
      <c r="M40" s="4426"/>
      <c r="N40" s="4426"/>
      <c r="O40" s="4426"/>
      <c r="P40" s="4426"/>
      <c r="Q40" s="4426"/>
      <c r="R40" s="4426"/>
      <c r="S40" s="4426"/>
      <c r="T40" s="4426"/>
      <c r="U40" s="4426"/>
      <c r="V40" s="4426"/>
      <c r="W40" s="4426"/>
      <c r="X40" s="4426"/>
      <c r="Y40" s="4426"/>
      <c r="Z40" s="4426"/>
      <c r="AA40" s="4426"/>
      <c r="AB40" s="4426"/>
      <c r="AC40" s="4426"/>
      <c r="AD40" s="4426"/>
      <c r="AE40" s="4426"/>
      <c r="AF40" s="4426"/>
      <c r="AG40" s="4426"/>
      <c r="AH40" s="4426"/>
      <c r="AI40" s="4426"/>
      <c r="AJ40" s="4426"/>
      <c r="AK40" s="4426"/>
      <c r="AL40" s="4426"/>
      <c r="AM40" s="4426"/>
      <c r="AN40" s="4426"/>
      <c r="AO40" s="4426"/>
      <c r="AP40" s="4426"/>
      <c r="AQ40" s="4426"/>
      <c r="AR40" s="4426"/>
      <c r="AS40" s="4426"/>
      <c r="AT40" s="4426"/>
      <c r="AU40" s="4426"/>
      <c r="AV40" s="4426"/>
      <c r="AW40" s="4426"/>
      <c r="AX40" s="4426"/>
      <c r="AY40" s="4426"/>
      <c r="AZ40" s="4426"/>
      <c r="BA40" s="4426"/>
      <c r="BB40" s="4426"/>
      <c r="BC40" s="4426"/>
      <c r="BD40" s="4426"/>
      <c r="BE40" s="4426"/>
      <c r="BF40" s="4426"/>
      <c r="BG40" s="4426"/>
      <c r="BH40" s="4426"/>
      <c r="BI40" s="4426"/>
      <c r="BJ40" s="4426"/>
      <c r="BK40" s="4426"/>
      <c r="BL40" s="4426"/>
      <c r="BM40" s="4426"/>
      <c r="BN40" s="4426"/>
      <c r="BO40" s="4426"/>
      <c r="BP40" s="4426"/>
      <c r="BQ40" s="4426"/>
      <c r="BR40" s="4426"/>
      <c r="BS40" s="4426"/>
      <c r="BT40" s="4426"/>
      <c r="BU40" s="4426"/>
      <c r="BV40" s="4426"/>
      <c r="BW40" s="4426"/>
      <c r="BX40" s="4426"/>
      <c r="BY40" s="4426"/>
      <c r="BZ40" s="4426"/>
      <c r="CA40" s="4426"/>
      <c r="CB40" s="4426"/>
      <c r="CC40" s="4426"/>
      <c r="CD40" s="4426"/>
      <c r="CE40" s="4426"/>
      <c r="CF40" s="4356"/>
      <c r="CG40" s="4356"/>
      <c r="CH40" s="4356"/>
      <c r="CI40" s="4356"/>
      <c r="CJ40" s="4356"/>
      <c r="CK40" s="4356"/>
    </row>
    <row r="41" spans="1:89" ht="20.25">
      <c r="A41" s="4800" t="s">
        <v>838</v>
      </c>
      <c r="B41" s="4800"/>
      <c r="C41" s="4800"/>
      <c r="D41" s="4800"/>
      <c r="E41" s="4800"/>
      <c r="F41" s="4800"/>
      <c r="G41" s="4800"/>
      <c r="H41" s="4800"/>
      <c r="I41" s="4800"/>
      <c r="J41" s="4800"/>
      <c r="K41" s="4800"/>
      <c r="L41" s="4800"/>
      <c r="M41" s="4800"/>
      <c r="N41" s="4800"/>
      <c r="O41" s="4800"/>
      <c r="P41" s="4800"/>
      <c r="Q41" s="4800"/>
      <c r="R41" s="4800"/>
      <c r="S41" s="4800"/>
      <c r="T41" s="4800"/>
      <c r="U41" s="4800"/>
      <c r="V41" s="4800"/>
      <c r="W41" s="4800"/>
      <c r="X41" s="4800"/>
      <c r="Y41" s="4800"/>
      <c r="Z41" s="4800"/>
      <c r="AA41" s="4800"/>
      <c r="AB41" s="4800"/>
      <c r="AC41" s="4800"/>
      <c r="AD41" s="4800"/>
      <c r="AE41" s="4800"/>
      <c r="AF41" s="4800"/>
      <c r="AG41" s="4800"/>
      <c r="AH41" s="4800"/>
      <c r="AI41" s="4800"/>
      <c r="AJ41" s="4800"/>
      <c r="AK41" s="4800"/>
      <c r="AL41" s="4800"/>
      <c r="AM41" s="4800"/>
      <c r="AN41" s="4800"/>
      <c r="AO41" s="4800"/>
      <c r="AP41" s="4800"/>
      <c r="AQ41" s="4800"/>
      <c r="AR41" s="4800"/>
      <c r="AS41" s="4800"/>
      <c r="AT41" s="4800"/>
      <c r="AU41" s="4800"/>
      <c r="AV41" s="4800"/>
      <c r="AW41" s="4800"/>
      <c r="AX41" s="4800"/>
      <c r="AY41" s="4800"/>
      <c r="AZ41" s="4800"/>
      <c r="BA41" s="4800"/>
      <c r="BB41" s="4800"/>
      <c r="BC41" s="4800"/>
      <c r="BD41" s="4800"/>
      <c r="BE41" s="4800"/>
      <c r="BF41" s="4800"/>
      <c r="BG41" s="4800"/>
      <c r="BH41" s="4800"/>
      <c r="BI41" s="4800"/>
      <c r="BJ41" s="4800"/>
      <c r="BK41" s="4800"/>
      <c r="BL41" s="4800"/>
      <c r="BM41" s="4800"/>
      <c r="BN41" s="4800"/>
      <c r="BO41" s="4800"/>
      <c r="BP41" s="4800"/>
      <c r="BQ41" s="4800"/>
      <c r="BR41" s="4800"/>
      <c r="BS41" s="4800"/>
      <c r="BT41" s="4356"/>
      <c r="BU41" s="4356"/>
      <c r="BV41" s="4356"/>
      <c r="BW41" s="4356"/>
      <c r="BX41" s="4356"/>
      <c r="BY41" s="4356"/>
      <c r="BZ41" s="4356"/>
      <c r="CA41" s="4356"/>
      <c r="CB41" s="4356"/>
      <c r="CC41" s="4356"/>
      <c r="CD41" s="4356"/>
      <c r="CE41" s="4356"/>
      <c r="CF41" s="4356"/>
      <c r="CG41" s="4356"/>
      <c r="CH41" s="4356"/>
      <c r="CI41" s="4356"/>
      <c r="CJ41" s="4356"/>
      <c r="CK41" s="4356"/>
    </row>
    <row r="43" spans="1:89" ht="13.5" thickBot="1"/>
    <row r="44" spans="1:89" ht="20.25">
      <c r="A44" s="4829" t="s">
        <v>546</v>
      </c>
      <c r="B44" s="801"/>
      <c r="C44" s="381"/>
      <c r="D44" s="381"/>
      <c r="E44" s="381"/>
      <c r="F44" s="381"/>
      <c r="G44" s="381"/>
      <c r="H44" s="381"/>
      <c r="I44" s="381"/>
      <c r="J44" s="812"/>
      <c r="K44" s="4790" t="s">
        <v>298</v>
      </c>
      <c r="L44" s="4791"/>
      <c r="M44" s="4791"/>
      <c r="N44" s="4791"/>
      <c r="O44" s="4791"/>
      <c r="P44" s="4791"/>
      <c r="Q44" s="4791"/>
      <c r="R44" s="4791"/>
      <c r="S44" s="4791"/>
      <c r="T44" s="4791"/>
      <c r="U44" s="4791"/>
      <c r="V44" s="4791"/>
      <c r="W44" s="4791"/>
      <c r="X44" s="4791"/>
      <c r="Y44" s="4791"/>
      <c r="Z44" s="4791"/>
      <c r="AA44" s="4791"/>
      <c r="AB44" s="4791"/>
      <c r="AC44" s="4791"/>
      <c r="AD44" s="4791"/>
      <c r="AE44" s="4802"/>
      <c r="AF44" s="4802"/>
      <c r="AG44" s="4803"/>
      <c r="AH44" s="4790" t="s">
        <v>841</v>
      </c>
      <c r="AI44" s="4791"/>
      <c r="AJ44" s="4791"/>
      <c r="AK44" s="4791"/>
      <c r="AL44" s="4791"/>
      <c r="AM44" s="4791"/>
      <c r="AN44" s="4791"/>
      <c r="AO44" s="4791"/>
      <c r="AP44" s="4791"/>
      <c r="AQ44" s="4791"/>
      <c r="AR44" s="4792"/>
      <c r="AS44" s="4792"/>
      <c r="AT44" s="4792"/>
      <c r="AU44" s="4792"/>
      <c r="AV44" s="4792"/>
      <c r="AW44" s="4793"/>
      <c r="AX44" s="4826" t="s">
        <v>842</v>
      </c>
      <c r="AY44" s="4781"/>
      <c r="AZ44" s="4781"/>
      <c r="BA44" s="4781"/>
      <c r="BB44" s="4781"/>
      <c r="BC44" s="4781"/>
      <c r="BD44" s="4781"/>
      <c r="BE44" s="4781"/>
      <c r="BF44" s="4781"/>
      <c r="BG44" s="4781"/>
      <c r="BH44" s="4781" t="s">
        <v>1551</v>
      </c>
      <c r="BI44" s="4781"/>
      <c r="BJ44" s="4781"/>
      <c r="BK44" s="4781" t="s">
        <v>842</v>
      </c>
      <c r="BL44" s="4781"/>
      <c r="BM44" s="4781"/>
      <c r="BN44" s="4781" t="s">
        <v>1552</v>
      </c>
      <c r="BO44" s="4781"/>
      <c r="BP44" s="4794"/>
      <c r="BQ44" s="2476"/>
      <c r="BT44" s="4836" t="s">
        <v>1655</v>
      </c>
      <c r="BU44" s="4836"/>
      <c r="BV44" s="4836"/>
      <c r="BW44" s="4797" t="s">
        <v>1659</v>
      </c>
      <c r="BX44" s="4798"/>
      <c r="BY44" s="4798"/>
      <c r="BZ44" s="4798"/>
      <c r="CA44" s="4798"/>
      <c r="CB44" s="4798"/>
      <c r="CC44" s="4798"/>
      <c r="CD44" s="4798"/>
      <c r="CE44" s="4799"/>
      <c r="CF44" s="4823" t="s">
        <v>1551</v>
      </c>
      <c r="CG44" s="4824"/>
      <c r="CH44" s="4824"/>
      <c r="CI44" s="4825"/>
      <c r="CJ44" s="4825"/>
      <c r="CK44" s="4465"/>
    </row>
    <row r="45" spans="1:89" ht="20.25">
      <c r="A45" s="4830"/>
      <c r="B45" s="801"/>
      <c r="C45" s="381"/>
      <c r="D45" s="381"/>
      <c r="E45" s="381"/>
      <c r="F45" s="381"/>
      <c r="G45" s="381"/>
      <c r="H45" s="381"/>
      <c r="I45" s="381"/>
      <c r="J45" s="812"/>
      <c r="K45" s="4768" t="s">
        <v>129</v>
      </c>
      <c r="L45" s="4766"/>
      <c r="M45" s="4766"/>
      <c r="N45" s="4766"/>
      <c r="O45" s="4766" t="s">
        <v>130</v>
      </c>
      <c r="P45" s="4766"/>
      <c r="Q45" s="4766"/>
      <c r="R45" s="4766"/>
      <c r="S45" s="4844" t="s">
        <v>368</v>
      </c>
      <c r="T45" s="4844"/>
      <c r="U45" s="4844"/>
      <c r="V45" s="4844"/>
      <c r="W45" s="2282"/>
      <c r="X45" s="4766" t="s">
        <v>391</v>
      </c>
      <c r="Y45" s="4766"/>
      <c r="Z45" s="4766"/>
      <c r="AA45" s="4766"/>
      <c r="AB45" s="4766" t="s">
        <v>134</v>
      </c>
      <c r="AC45" s="4766"/>
      <c r="AD45" s="4766"/>
      <c r="AE45" s="4782" t="s">
        <v>839</v>
      </c>
      <c r="AF45" s="4783"/>
      <c r="AG45" s="4784"/>
      <c r="AH45" s="4801" t="s">
        <v>129</v>
      </c>
      <c r="AI45" s="4770"/>
      <c r="AJ45" s="4770"/>
      <c r="AK45" s="4770"/>
      <c r="AL45" s="4766" t="s">
        <v>130</v>
      </c>
      <c r="AM45" s="4766"/>
      <c r="AN45" s="4766"/>
      <c r="AO45" s="4806" t="s">
        <v>368</v>
      </c>
      <c r="AP45" s="4806"/>
      <c r="AQ45" s="4806"/>
      <c r="AR45" s="4807" t="s">
        <v>391</v>
      </c>
      <c r="AS45" s="4807"/>
      <c r="AT45" s="4807"/>
      <c r="AU45" s="4769" t="s">
        <v>134</v>
      </c>
      <c r="AV45" s="4770"/>
      <c r="AW45" s="4770"/>
      <c r="AX45" s="4785" t="s">
        <v>129</v>
      </c>
      <c r="AY45" s="4771"/>
      <c r="AZ45" s="4771"/>
      <c r="BA45" s="4786"/>
      <c r="BB45" s="4771" t="s">
        <v>130</v>
      </c>
      <c r="BC45" s="4771"/>
      <c r="BD45" s="4771"/>
      <c r="BE45" s="4772" t="s">
        <v>368</v>
      </c>
      <c r="BF45" s="4772"/>
      <c r="BG45" s="4773"/>
      <c r="BH45" s="4771" t="s">
        <v>130</v>
      </c>
      <c r="BI45" s="4771"/>
      <c r="BJ45" s="4771"/>
      <c r="BK45" s="4772" t="s">
        <v>368</v>
      </c>
      <c r="BL45" s="4772"/>
      <c r="BM45" s="4773"/>
      <c r="BN45" s="4771" t="s">
        <v>130</v>
      </c>
      <c r="BO45" s="4771"/>
      <c r="BP45" s="4780"/>
      <c r="BQ45" s="4827" t="s">
        <v>368</v>
      </c>
      <c r="BR45" s="4766"/>
      <c r="BS45" s="4828"/>
      <c r="BT45" s="4837"/>
      <c r="BU45" s="4837"/>
      <c r="BV45" s="4837"/>
      <c r="BW45" s="4808" t="s">
        <v>533</v>
      </c>
      <c r="BX45" s="4809"/>
      <c r="BY45" s="4809"/>
      <c r="BZ45" s="4809" t="s">
        <v>534</v>
      </c>
      <c r="CA45" s="4809"/>
      <c r="CB45" s="4809"/>
      <c r="CC45" s="4809" t="s">
        <v>1669</v>
      </c>
      <c r="CD45" s="4809"/>
      <c r="CE45" s="4838"/>
      <c r="CF45" s="4832" t="s">
        <v>129</v>
      </c>
      <c r="CG45" s="4804"/>
      <c r="CH45" s="4805"/>
      <c r="CI45" s="4804" t="s">
        <v>130</v>
      </c>
      <c r="CJ45" s="4804"/>
      <c r="CK45" s="4805"/>
    </row>
    <row r="46" spans="1:89" ht="18" customHeight="1">
      <c r="A46" s="4830"/>
      <c r="B46" s="801"/>
      <c r="C46" s="381"/>
      <c r="D46" s="381"/>
      <c r="E46" s="381"/>
      <c r="F46" s="381"/>
      <c r="G46" s="381"/>
      <c r="H46" s="381"/>
      <c r="I46" s="381"/>
      <c r="J46" s="812"/>
      <c r="K46" s="1018" t="s">
        <v>118</v>
      </c>
      <c r="L46" s="4765" t="s">
        <v>840</v>
      </c>
      <c r="M46" s="4765" t="s">
        <v>102</v>
      </c>
      <c r="N46" s="4765" t="s">
        <v>102</v>
      </c>
      <c r="O46" s="2280" t="s">
        <v>118</v>
      </c>
      <c r="P46" s="4765" t="s">
        <v>840</v>
      </c>
      <c r="Q46" s="4765" t="s">
        <v>102</v>
      </c>
      <c r="R46" s="4765" t="s">
        <v>243</v>
      </c>
      <c r="S46" s="4844"/>
      <c r="T46" s="4844"/>
      <c r="U46" s="4844"/>
      <c r="V46" s="4844"/>
      <c r="W46" s="2280"/>
      <c r="X46" s="2280" t="s">
        <v>118</v>
      </c>
      <c r="Y46" s="4765" t="s">
        <v>840</v>
      </c>
      <c r="Z46" s="4765" t="s">
        <v>102</v>
      </c>
      <c r="AA46" s="4765" t="s">
        <v>102</v>
      </c>
      <c r="AB46" s="2280" t="s">
        <v>118</v>
      </c>
      <c r="AC46" s="4765" t="s">
        <v>840</v>
      </c>
      <c r="AD46" s="4765" t="s">
        <v>102</v>
      </c>
      <c r="AE46" s="2288" t="s">
        <v>118</v>
      </c>
      <c r="AF46" s="4774" t="s">
        <v>840</v>
      </c>
      <c r="AG46" s="4843" t="s">
        <v>102</v>
      </c>
      <c r="AH46" s="1018" t="s">
        <v>118</v>
      </c>
      <c r="AI46" s="4765" t="s">
        <v>840</v>
      </c>
      <c r="AJ46" s="4765" t="s">
        <v>102</v>
      </c>
      <c r="AK46" s="4765" t="s">
        <v>396</v>
      </c>
      <c r="AL46" s="2280" t="s">
        <v>118</v>
      </c>
      <c r="AM46" s="4765" t="s">
        <v>840</v>
      </c>
      <c r="AN46" s="4765" t="s">
        <v>102</v>
      </c>
      <c r="AO46" s="4767" t="s">
        <v>846</v>
      </c>
      <c r="AP46" s="4767"/>
      <c r="AQ46" s="4767"/>
      <c r="AR46" s="2289" t="s">
        <v>118</v>
      </c>
      <c r="AS46" s="4767" t="s">
        <v>840</v>
      </c>
      <c r="AT46" s="4767" t="s">
        <v>102</v>
      </c>
      <c r="AU46" s="1045" t="s">
        <v>118</v>
      </c>
      <c r="AV46" s="4765" t="s">
        <v>840</v>
      </c>
      <c r="AW46" s="4765" t="s">
        <v>102</v>
      </c>
      <c r="AX46" s="2966" t="s">
        <v>118</v>
      </c>
      <c r="AY46" s="4763" t="s">
        <v>840</v>
      </c>
      <c r="AZ46" s="4763" t="s">
        <v>102</v>
      </c>
      <c r="BA46" s="4763" t="s">
        <v>396</v>
      </c>
      <c r="BB46" s="2967" t="s">
        <v>118</v>
      </c>
      <c r="BC46" s="4763" t="s">
        <v>840</v>
      </c>
      <c r="BD46" s="4763" t="s">
        <v>102</v>
      </c>
      <c r="BE46" s="4763" t="s">
        <v>846</v>
      </c>
      <c r="BF46" s="4763"/>
      <c r="BG46" s="4764"/>
      <c r="BH46" s="2967" t="s">
        <v>118</v>
      </c>
      <c r="BI46" s="4763" t="s">
        <v>840</v>
      </c>
      <c r="BJ46" s="4763" t="s">
        <v>102</v>
      </c>
      <c r="BK46" s="4763" t="s">
        <v>846</v>
      </c>
      <c r="BL46" s="4763"/>
      <c r="BM46" s="4764"/>
      <c r="BN46" s="2967" t="s">
        <v>118</v>
      </c>
      <c r="BO46" s="4763" t="s">
        <v>840</v>
      </c>
      <c r="BP46" s="4764" t="s">
        <v>102</v>
      </c>
      <c r="BQ46" s="4834" t="s">
        <v>846</v>
      </c>
      <c r="BR46" s="4765"/>
      <c r="BS46" s="4835"/>
      <c r="BT46" s="3181" t="s">
        <v>118</v>
      </c>
      <c r="BU46" s="4795" t="s">
        <v>840</v>
      </c>
      <c r="BV46" s="4833" t="s">
        <v>102</v>
      </c>
      <c r="BW46" s="3018" t="s">
        <v>118</v>
      </c>
      <c r="BX46" s="4795" t="s">
        <v>840</v>
      </c>
      <c r="BY46" s="4795" t="s">
        <v>102</v>
      </c>
      <c r="BZ46" s="3019" t="s">
        <v>118</v>
      </c>
      <c r="CA46" s="4795" t="s">
        <v>840</v>
      </c>
      <c r="CB46" s="4795" t="s">
        <v>102</v>
      </c>
      <c r="CC46" s="3019" t="s">
        <v>118</v>
      </c>
      <c r="CD46" s="4795" t="s">
        <v>840</v>
      </c>
      <c r="CE46" s="4796" t="s">
        <v>102</v>
      </c>
      <c r="CF46" s="3234" t="s">
        <v>118</v>
      </c>
      <c r="CG46" s="4789" t="s">
        <v>840</v>
      </c>
      <c r="CH46" s="4831" t="s">
        <v>102</v>
      </c>
      <c r="CI46" s="3533" t="s">
        <v>118</v>
      </c>
      <c r="CJ46" s="4789" t="s">
        <v>840</v>
      </c>
      <c r="CK46" s="4831" t="s">
        <v>102</v>
      </c>
    </row>
    <row r="47" spans="1:89" ht="37.5">
      <c r="A47" s="4830"/>
      <c r="B47" s="801"/>
      <c r="C47" s="381"/>
      <c r="D47" s="381"/>
      <c r="E47" s="381"/>
      <c r="F47" s="381"/>
      <c r="G47" s="381"/>
      <c r="H47" s="381"/>
      <c r="I47" s="381"/>
      <c r="J47" s="812"/>
      <c r="K47" s="1018" t="s">
        <v>232</v>
      </c>
      <c r="L47" s="4765"/>
      <c r="M47" s="4765"/>
      <c r="N47" s="4765"/>
      <c r="O47" s="2280" t="s">
        <v>232</v>
      </c>
      <c r="P47" s="4765"/>
      <c r="Q47" s="4765"/>
      <c r="R47" s="4765"/>
      <c r="S47" s="2280" t="s">
        <v>118</v>
      </c>
      <c r="T47" s="2280" t="s">
        <v>377</v>
      </c>
      <c r="U47" s="2280"/>
      <c r="V47" s="2280" t="s">
        <v>102</v>
      </c>
      <c r="W47" s="2280"/>
      <c r="X47" s="2280" t="s">
        <v>232</v>
      </c>
      <c r="Y47" s="4765"/>
      <c r="Z47" s="4765"/>
      <c r="AA47" s="4765"/>
      <c r="AB47" s="2280" t="s">
        <v>232</v>
      </c>
      <c r="AC47" s="4765"/>
      <c r="AD47" s="4765"/>
      <c r="AE47" s="2288" t="s">
        <v>232</v>
      </c>
      <c r="AF47" s="4774"/>
      <c r="AG47" s="4843"/>
      <c r="AH47" s="1018" t="s">
        <v>232</v>
      </c>
      <c r="AI47" s="4765"/>
      <c r="AJ47" s="4765"/>
      <c r="AK47" s="4765"/>
      <c r="AL47" s="2280" t="s">
        <v>232</v>
      </c>
      <c r="AM47" s="4765"/>
      <c r="AN47" s="4765"/>
      <c r="AO47" s="2289" t="s">
        <v>118</v>
      </c>
      <c r="AP47" s="2289" t="s">
        <v>377</v>
      </c>
      <c r="AQ47" s="2289" t="s">
        <v>102</v>
      </c>
      <c r="AR47" s="2289" t="s">
        <v>232</v>
      </c>
      <c r="AS47" s="4767"/>
      <c r="AT47" s="4767"/>
      <c r="AU47" s="1045" t="s">
        <v>232</v>
      </c>
      <c r="AV47" s="4765"/>
      <c r="AW47" s="4765"/>
      <c r="AX47" s="2966" t="s">
        <v>232</v>
      </c>
      <c r="AY47" s="4763"/>
      <c r="AZ47" s="4763"/>
      <c r="BA47" s="4763"/>
      <c r="BB47" s="2967" t="s">
        <v>232</v>
      </c>
      <c r="BC47" s="4763"/>
      <c r="BD47" s="4763"/>
      <c r="BE47" s="2967" t="s">
        <v>118</v>
      </c>
      <c r="BF47" s="2967" t="s">
        <v>377</v>
      </c>
      <c r="BG47" s="2968" t="s">
        <v>102</v>
      </c>
      <c r="BH47" s="2967" t="s">
        <v>232</v>
      </c>
      <c r="BI47" s="4763"/>
      <c r="BJ47" s="4763"/>
      <c r="BK47" s="2967" t="s">
        <v>118</v>
      </c>
      <c r="BL47" s="2967" t="s">
        <v>377</v>
      </c>
      <c r="BM47" s="2968" t="s">
        <v>102</v>
      </c>
      <c r="BN47" s="2967" t="s">
        <v>232</v>
      </c>
      <c r="BO47" s="4763"/>
      <c r="BP47" s="4764"/>
      <c r="BQ47" s="2961" t="s">
        <v>118</v>
      </c>
      <c r="BR47" s="2280" t="s">
        <v>377</v>
      </c>
      <c r="BS47" s="2281" t="s">
        <v>102</v>
      </c>
      <c r="BT47" s="3181" t="s">
        <v>232</v>
      </c>
      <c r="BU47" s="4795"/>
      <c r="BV47" s="4833"/>
      <c r="BW47" s="3018" t="s">
        <v>232</v>
      </c>
      <c r="BX47" s="4795"/>
      <c r="BY47" s="4795"/>
      <c r="BZ47" s="3019" t="s">
        <v>232</v>
      </c>
      <c r="CA47" s="4795"/>
      <c r="CB47" s="4795"/>
      <c r="CC47" s="3019" t="s">
        <v>232</v>
      </c>
      <c r="CD47" s="4795"/>
      <c r="CE47" s="4796"/>
      <c r="CF47" s="3234" t="s">
        <v>232</v>
      </c>
      <c r="CG47" s="4789"/>
      <c r="CH47" s="4831"/>
      <c r="CI47" s="3533" t="s">
        <v>232</v>
      </c>
      <c r="CJ47" s="4789"/>
      <c r="CK47" s="4831"/>
    </row>
    <row r="48" spans="1:89" ht="30" customHeight="1">
      <c r="A48" s="1032" t="s">
        <v>139</v>
      </c>
      <c r="B48" s="801"/>
      <c r="C48" s="381"/>
      <c r="D48" s="381"/>
      <c r="E48" s="381"/>
      <c r="F48" s="381"/>
      <c r="G48" s="381"/>
      <c r="H48" s="381"/>
      <c r="I48" s="381"/>
      <c r="J48" s="812"/>
      <c r="K48" s="1020">
        <v>5.75</v>
      </c>
      <c r="L48" s="1021">
        <v>1091.2</v>
      </c>
      <c r="M48" s="1013">
        <f>L48*K48</f>
        <v>6274.4000000000005</v>
      </c>
      <c r="N48" s="1021">
        <f>K48*M48</f>
        <v>36077.800000000003</v>
      </c>
      <c r="O48" s="1014">
        <v>5.5810000000000004</v>
      </c>
      <c r="P48" s="885">
        <f>Q56*Q57</f>
        <v>808.97481109618491</v>
      </c>
      <c r="Q48" s="885">
        <f>O48*P48</f>
        <v>4514.8884207278079</v>
      </c>
      <c r="R48" s="1022"/>
      <c r="S48" s="1014">
        <f>O48-K48</f>
        <v>-0.16899999999999959</v>
      </c>
      <c r="T48" s="2282">
        <f>P48-L48</f>
        <v>-282.22518890381514</v>
      </c>
      <c r="U48" s="1022"/>
      <c r="V48" s="2282">
        <f>Q48-M48</f>
        <v>-1759.5115792721926</v>
      </c>
      <c r="W48" s="1022"/>
      <c r="X48" s="1014">
        <v>4.9657999999999998</v>
      </c>
      <c r="Y48" s="1021">
        <v>505.33199999999999</v>
      </c>
      <c r="Z48" s="1013">
        <v>2509.4</v>
      </c>
      <c r="AA48" s="1021">
        <f>X48*Z48</f>
        <v>12461.178519999999</v>
      </c>
      <c r="AB48" s="1014">
        <f t="shared" ref="AB48:AB55" si="3">AD48/AC48</f>
        <v>4.9915147295592019</v>
      </c>
      <c r="AC48" s="1021">
        <v>689.43</v>
      </c>
      <c r="AD48" s="1013">
        <v>3441.3</v>
      </c>
      <c r="AE48" s="1058">
        <f>SUM(AG48/AF48)</f>
        <v>5.007427152968611</v>
      </c>
      <c r="AF48" s="1059">
        <v>910.84699999999998</v>
      </c>
      <c r="AG48" s="426">
        <v>4561</v>
      </c>
      <c r="AH48" s="1020">
        <v>5.5810000000000004</v>
      </c>
      <c r="AI48" s="1021">
        <v>846.8</v>
      </c>
      <c r="AJ48" s="885">
        <f>4962.29</f>
        <v>4962.29</v>
      </c>
      <c r="AK48" s="1021"/>
      <c r="AL48" s="1014">
        <f>K73*1.028</f>
        <v>5.2037132396875592</v>
      </c>
      <c r="AM48" s="885">
        <f>AN56*AN57</f>
        <v>883.18331415423415</v>
      </c>
      <c r="AN48" s="885">
        <f>AL48*AM48</f>
        <v>4595.8327049355248</v>
      </c>
      <c r="AO48" s="1047">
        <f t="shared" ref="AO48:AQ54" si="4">AL48-AH48</f>
        <v>-0.37728676031244124</v>
      </c>
      <c r="AP48" s="1048">
        <f t="shared" si="4"/>
        <v>36.383314154234199</v>
      </c>
      <c r="AQ48" s="1048">
        <f t="shared" si="4"/>
        <v>-366.45729506447515</v>
      </c>
      <c r="AR48" s="1047">
        <f>SUM(AT48/AS48)</f>
        <v>4.9360225547603553</v>
      </c>
      <c r="AS48" s="1049">
        <v>414.99</v>
      </c>
      <c r="AT48" s="1050">
        <v>2048.4</v>
      </c>
      <c r="AU48" s="1047">
        <f>SUM(AW48/AV48)</f>
        <v>5.0309675458654715</v>
      </c>
      <c r="AV48" s="2045">
        <v>546.21699999999998</v>
      </c>
      <c r="AW48" s="2046">
        <v>2748</v>
      </c>
      <c r="AX48" s="2969">
        <f>SUM(AL48*1.1)</f>
        <v>5.7240845636563158</v>
      </c>
      <c r="AY48" s="2970">
        <v>910.85</v>
      </c>
      <c r="AZ48" s="2971">
        <f>SUM(AX48*AY48)</f>
        <v>5213.7824248063553</v>
      </c>
      <c r="BA48" s="2972">
        <f t="shared" ref="BA48:BA62" si="5">SUM(AZ48/AN48)</f>
        <v>1.1344587062986879</v>
      </c>
      <c r="BB48" s="2973">
        <f>(AU64+AU64*1.06)/2</f>
        <v>5.4911565455279785</v>
      </c>
      <c r="BC48" s="2974">
        <f>BD56*BD57</f>
        <v>703.79138799999998</v>
      </c>
      <c r="BD48" s="2975">
        <f>BC48*BB48</f>
        <v>3864.6286869024211</v>
      </c>
      <c r="BE48" s="2973">
        <f t="shared" ref="BE48:BG54" si="6">BB48-AX48</f>
        <v>-0.2329280181283373</v>
      </c>
      <c r="BF48" s="2976">
        <f t="shared" si="6"/>
        <v>-207.05861200000004</v>
      </c>
      <c r="BG48" s="2977">
        <f t="shared" si="6"/>
        <v>-1349.1537379039341</v>
      </c>
      <c r="BH48" s="2973">
        <f>BB48*1.066</f>
        <v>5.8535728775328257</v>
      </c>
      <c r="BI48" s="2974">
        <f>BJ56*BJ57</f>
        <v>689.4896345311181</v>
      </c>
      <c r="BJ48" s="2975">
        <f>BI48*BH48</f>
        <v>4035.9778240313735</v>
      </c>
      <c r="BK48" s="2973">
        <f>BH48-BB48</f>
        <v>0.36241633200484724</v>
      </c>
      <c r="BL48" s="2976">
        <f t="shared" ref="BL48" si="7">BI48-BE48</f>
        <v>689.72256254924639</v>
      </c>
      <c r="BM48" s="2977">
        <f t="shared" ref="BM48" si="8">BJ48-BF48</f>
        <v>4243.0364360313733</v>
      </c>
      <c r="BN48" s="2973">
        <f>BH48*1.067</f>
        <v>6.2457622603275249</v>
      </c>
      <c r="BO48" s="2974">
        <f>BP56*BP57</f>
        <v>689.4896345311181</v>
      </c>
      <c r="BP48" s="2978">
        <f>BO48*BN48</f>
        <v>4306.3883382414751</v>
      </c>
      <c r="BQ48" s="2962">
        <f t="shared" ref="BQ48" si="9">BN48-BJ48</f>
        <v>-4029.7320617710461</v>
      </c>
      <c r="BR48" s="2282">
        <f t="shared" ref="BR48" si="10">BO48-BK48</f>
        <v>689.12721819911326</v>
      </c>
      <c r="BS48" s="1039">
        <f t="shared" ref="BS48" si="11">BP48-BL48</f>
        <v>3616.6657756922286</v>
      </c>
      <c r="BT48" s="3020">
        <f>SUM(BV48/BU48)</f>
        <v>5.137487369484675</v>
      </c>
      <c r="BU48" s="3021">
        <f>SUM(электр!BI48)</f>
        <v>742.25</v>
      </c>
      <c r="BV48" s="3228">
        <f>SUM(электр!BJ48)</f>
        <v>3813.3</v>
      </c>
      <c r="BW48" s="3020">
        <f>SUM(BY48/BX48)</f>
        <v>2.4988840685106704</v>
      </c>
      <c r="BX48" s="3021">
        <f>SUM(электр!BL48)</f>
        <v>398.77</v>
      </c>
      <c r="BY48" s="3027">
        <f>SUM(электр!BM48)</f>
        <v>996.48</v>
      </c>
      <c r="BZ48" s="3028">
        <f>SUM(CB48/CA48)</f>
        <v>2.4608424138150768</v>
      </c>
      <c r="CA48" s="3021">
        <f>SUM(электр!BO48)</f>
        <v>549.255</v>
      </c>
      <c r="CB48" s="3027">
        <f>SUM(электр!BP48)</f>
        <v>1351.63</v>
      </c>
      <c r="CC48" s="3028">
        <f>SUM(CE48/CD48)</f>
        <v>2.4294599762429092</v>
      </c>
      <c r="CD48" s="3021">
        <f>SUM(электр!BR48)</f>
        <v>732.34</v>
      </c>
      <c r="CE48" s="3029">
        <f>SUM(электр!BS48)</f>
        <v>1779.1907190017323</v>
      </c>
      <c r="CF48" s="3235">
        <f>SUM(CH48/CG48)</f>
        <v>6.0402722000807767</v>
      </c>
      <c r="CG48" s="3236">
        <f>SUM(электр!BU48)</f>
        <v>698.89499999999998</v>
      </c>
      <c r="CH48" s="3237">
        <f>SUM(электр!BV48)</f>
        <v>4221.5160392754542</v>
      </c>
      <c r="CI48" s="3557">
        <f>SUM(CK48/CJ48)</f>
        <v>5.6443833236826872</v>
      </c>
      <c r="CJ48" s="3236">
        <f>SUM(электр!BY48)</f>
        <v>690.8</v>
      </c>
      <c r="CK48" s="3237">
        <f>SUM(электр!BZ48)</f>
        <v>3899.14</v>
      </c>
    </row>
    <row r="49" spans="1:89" ht="30" customHeight="1">
      <c r="A49" s="1875" t="s">
        <v>1668</v>
      </c>
      <c r="B49" s="1876"/>
      <c r="C49" s="1877"/>
      <c r="D49" s="1877"/>
      <c r="E49" s="1877"/>
      <c r="F49" s="1877"/>
      <c r="G49" s="1877"/>
      <c r="H49" s="1877"/>
      <c r="I49" s="1877"/>
      <c r="J49" s="1878"/>
      <c r="K49" s="1879"/>
      <c r="L49" s="1880"/>
      <c r="M49" s="1881"/>
      <c r="N49" s="1880"/>
      <c r="O49" s="1882"/>
      <c r="P49" s="1883"/>
      <c r="Q49" s="1883"/>
      <c r="R49" s="1884"/>
      <c r="S49" s="1882"/>
      <c r="T49" s="1885"/>
      <c r="U49" s="1884"/>
      <c r="V49" s="1885"/>
      <c r="W49" s="1884"/>
      <c r="X49" s="1882"/>
      <c r="Y49" s="1880"/>
      <c r="Z49" s="1881"/>
      <c r="AA49" s="1880"/>
      <c r="AB49" s="1882"/>
      <c r="AC49" s="1880"/>
      <c r="AD49" s="1881"/>
      <c r="AE49" s="1886"/>
      <c r="AF49" s="1887"/>
      <c r="AG49" s="1888"/>
      <c r="AH49" s="1879"/>
      <c r="AI49" s="1880"/>
      <c r="AJ49" s="1883"/>
      <c r="AK49" s="1880"/>
      <c r="AL49" s="1882"/>
      <c r="AM49" s="1883"/>
      <c r="AN49" s="1883"/>
      <c r="AO49" s="1882"/>
      <c r="AP49" s="1885"/>
      <c r="AQ49" s="1885"/>
      <c r="AR49" s="1882"/>
      <c r="AS49" s="1880"/>
      <c r="AT49" s="1883">
        <v>132.9</v>
      </c>
      <c r="AU49" s="1882"/>
      <c r="AV49" s="2045"/>
      <c r="AW49" s="2046">
        <v>205.8</v>
      </c>
      <c r="AX49" s="2969"/>
      <c r="AY49" s="2970"/>
      <c r="AZ49" s="2971"/>
      <c r="BA49" s="2972"/>
      <c r="BB49" s="2973"/>
      <c r="BC49" s="2974"/>
      <c r="BD49" s="2975"/>
      <c r="BE49" s="2973"/>
      <c r="BF49" s="2976"/>
      <c r="BG49" s="2977"/>
      <c r="BH49" s="2973"/>
      <c r="BI49" s="2974"/>
      <c r="BJ49" s="2975"/>
      <c r="BK49" s="2973"/>
      <c r="BL49" s="2976"/>
      <c r="BM49" s="2977"/>
      <c r="BN49" s="2973"/>
      <c r="BO49" s="2974"/>
      <c r="BP49" s="2978"/>
      <c r="BQ49" s="2962"/>
      <c r="BR49" s="1885"/>
      <c r="BS49" s="1891"/>
      <c r="BT49" s="3022"/>
      <c r="BU49" s="3023"/>
      <c r="BV49" s="3228">
        <f>SUM(электр!BJ49)</f>
        <v>258.7</v>
      </c>
      <c r="BW49" s="3022"/>
      <c r="BX49" s="3023"/>
      <c r="BY49" s="3027">
        <f>SUM(электр!BM49)</f>
        <v>0</v>
      </c>
      <c r="BZ49" s="3023"/>
      <c r="CA49" s="3023"/>
      <c r="CB49" s="3027">
        <f>SUM(электр!BP49)</f>
        <v>0</v>
      </c>
      <c r="CC49" s="3023"/>
      <c r="CD49" s="3023"/>
      <c r="CE49" s="3029">
        <f>SUM(электр!BS49)</f>
        <v>0</v>
      </c>
      <c r="CF49" s="3238"/>
      <c r="CG49" s="3239"/>
      <c r="CH49" s="3237">
        <f>SUM(электр!BV49)</f>
        <v>0</v>
      </c>
      <c r="CI49" s="3239"/>
      <c r="CJ49" s="3239"/>
      <c r="CK49" s="3237"/>
    </row>
    <row r="50" spans="1:89" ht="30" customHeight="1">
      <c r="A50" s="1032" t="s">
        <v>140</v>
      </c>
      <c r="B50" s="801"/>
      <c r="C50" s="381"/>
      <c r="D50" s="381"/>
      <c r="E50" s="381"/>
      <c r="F50" s="381"/>
      <c r="G50" s="381"/>
      <c r="H50" s="381"/>
      <c r="I50" s="381"/>
      <c r="J50" s="812"/>
      <c r="K50" s="1020">
        <v>4.55</v>
      </c>
      <c r="L50" s="1021">
        <v>1754.8</v>
      </c>
      <c r="M50" s="1013">
        <f>L50*K50</f>
        <v>7984.3399999999992</v>
      </c>
      <c r="N50" s="1021">
        <f>K50*M50</f>
        <v>36328.746999999996</v>
      </c>
      <c r="O50" s="1014">
        <v>4.5730000000000004</v>
      </c>
      <c r="P50" s="885">
        <f>Q58*Q59</f>
        <v>1337.6993677016787</v>
      </c>
      <c r="Q50" s="885">
        <f>O50*P50</f>
        <v>6117.2992084997777</v>
      </c>
      <c r="R50" s="1022"/>
      <c r="S50" s="1014">
        <f>O50-K50</f>
        <v>2.3000000000000576E-2</v>
      </c>
      <c r="T50" s="2282">
        <f>P50-L50</f>
        <v>-417.10063229832122</v>
      </c>
      <c r="U50" s="1022"/>
      <c r="V50" s="2282">
        <f t="shared" ref="V50:V62" si="12">Q50-M50</f>
        <v>-1867.0407915002215</v>
      </c>
      <c r="W50" s="1022"/>
      <c r="X50" s="1014">
        <v>3.9638</v>
      </c>
      <c r="Y50" s="1021">
        <v>820.02</v>
      </c>
      <c r="Z50" s="1013">
        <v>3250.4</v>
      </c>
      <c r="AA50" s="1021">
        <f>X50*Z50</f>
        <v>12883.935520000001</v>
      </c>
      <c r="AB50" s="1014">
        <f t="shared" si="3"/>
        <v>4.0118462507876496</v>
      </c>
      <c r="AC50" s="1021">
        <v>1190.25</v>
      </c>
      <c r="AD50" s="1013">
        <v>4775.1000000000004</v>
      </c>
      <c r="AE50" s="1058">
        <f>SUM(AG50/AF50)</f>
        <v>4.0205962981621663</v>
      </c>
      <c r="AF50" s="1059">
        <v>1528.43</v>
      </c>
      <c r="AG50" s="426">
        <v>6145.2</v>
      </c>
      <c r="AH50" s="1020">
        <v>4.5730000000000004</v>
      </c>
      <c r="AI50" s="1021">
        <v>1387.6</v>
      </c>
      <c r="AJ50" s="885">
        <v>6662.8</v>
      </c>
      <c r="AK50" s="1021"/>
      <c r="AL50" s="1014">
        <f>K75*1.028</f>
        <v>4.2335618399373365</v>
      </c>
      <c r="AM50" s="885">
        <f>AN58*AN59</f>
        <v>1220.7907457602632</v>
      </c>
      <c r="AN50" s="885">
        <f>AL50*AM50</f>
        <v>5168.2931157992934</v>
      </c>
      <c r="AO50" s="1047">
        <f t="shared" si="4"/>
        <v>-0.33943816006266392</v>
      </c>
      <c r="AP50" s="1048">
        <f t="shared" si="4"/>
        <v>-166.80925423973667</v>
      </c>
      <c r="AQ50" s="1048">
        <f t="shared" si="4"/>
        <v>-1494.5068842007067</v>
      </c>
      <c r="AR50" s="1047">
        <f>SUM(AT50/AS50)</f>
        <v>3.819503849443969</v>
      </c>
      <c r="AS50" s="1049">
        <v>678.02</v>
      </c>
      <c r="AT50" s="1050">
        <v>2589.6999999999998</v>
      </c>
      <c r="AU50" s="1047">
        <f>SUM(AW50/AV50)</f>
        <v>3.9526209082140822</v>
      </c>
      <c r="AV50" s="2045">
        <v>1016.06</v>
      </c>
      <c r="AW50" s="2046">
        <v>4016.1</v>
      </c>
      <c r="AX50" s="2969">
        <f>SUM(AL50*1.1)</f>
        <v>4.6569180239310706</v>
      </c>
      <c r="AY50" s="2970">
        <v>1528.43</v>
      </c>
      <c r="AZ50" s="2971">
        <f>SUM(AX50*AY50)</f>
        <v>7117.7732153169663</v>
      </c>
      <c r="BA50" s="2972">
        <f t="shared" si="5"/>
        <v>1.3771999876628862</v>
      </c>
      <c r="BB50" s="2973">
        <f>(AU66+AU66*1.06)/2</f>
        <v>4.3462075494024379</v>
      </c>
      <c r="BC50" s="2974">
        <f>BD58*BD59</f>
        <v>1237.0113330000001</v>
      </c>
      <c r="BD50" s="2975">
        <f>BC50*BB50</f>
        <v>5376.3079941809738</v>
      </c>
      <c r="BE50" s="2973">
        <f t="shared" si="6"/>
        <v>-0.31071047452863265</v>
      </c>
      <c r="BF50" s="2976">
        <f t="shared" si="6"/>
        <v>-291.41866699999991</v>
      </c>
      <c r="BG50" s="2977">
        <f t="shared" si="6"/>
        <v>-1741.4652211359926</v>
      </c>
      <c r="BH50" s="2973">
        <f>BB50*1.066</f>
        <v>4.6330572476629994</v>
      </c>
      <c r="BI50" s="2974">
        <f>BJ58*BJ59</f>
        <v>1174.3244273913758</v>
      </c>
      <c r="BJ50" s="2975">
        <f>BI50*BH50</f>
        <v>5440.7122994333158</v>
      </c>
      <c r="BK50" s="2973">
        <f>BH50-BB50</f>
        <v>0.2868496982605615</v>
      </c>
      <c r="BL50" s="2976">
        <f t="shared" ref="BL50:BL52" si="13">BI50-BE50</f>
        <v>1174.6351378659044</v>
      </c>
      <c r="BM50" s="2977">
        <f t="shared" ref="BM50:BM52" si="14">BJ50-BF50</f>
        <v>5732.1309664333157</v>
      </c>
      <c r="BN50" s="2973">
        <f>BH50*1.067</f>
        <v>4.9434720832564203</v>
      </c>
      <c r="BO50" s="2974">
        <f>BP58*BP59</f>
        <v>1174.3244273913758</v>
      </c>
      <c r="BP50" s="2978">
        <f>BO50*BN50</f>
        <v>5805.2400234953475</v>
      </c>
      <c r="BQ50" s="2962">
        <f t="shared" ref="BQ50:BQ52" si="15">BN50-BJ50</f>
        <v>-5435.7688273500598</v>
      </c>
      <c r="BR50" s="2282">
        <f t="shared" ref="BR50:BR52" si="16">BO50-BK50</f>
        <v>1174.0375776931153</v>
      </c>
      <c r="BS50" s="1039">
        <f t="shared" ref="BS50:BS52" si="17">BP50-BL50</f>
        <v>4630.6048856294428</v>
      </c>
      <c r="BT50" s="3020">
        <f>SUM(BV50/BU50)</f>
        <v>4.0982880444335077</v>
      </c>
      <c r="BU50" s="3021">
        <f>SUM(электр!BI50)</f>
        <v>1422.35</v>
      </c>
      <c r="BV50" s="3228">
        <f>SUM(электр!BJ50)</f>
        <v>5829.2</v>
      </c>
      <c r="BW50" s="3020">
        <f>SUM(BY50/BX50)</f>
        <v>5.4724165850946838</v>
      </c>
      <c r="BX50" s="3021">
        <f>SUM(электр!BL50)</f>
        <v>827.49</v>
      </c>
      <c r="BY50" s="3027">
        <f>SUM(электр!BM50)</f>
        <v>4528.37</v>
      </c>
      <c r="BZ50" s="3028">
        <f>SUM(CB50/CA50)</f>
        <v>5.5201098083991447</v>
      </c>
      <c r="CA50" s="3021">
        <f>SUM(электр!BO50)</f>
        <v>1135.068</v>
      </c>
      <c r="CB50" s="3027">
        <f>SUM(электр!BP50)</f>
        <v>6265.7</v>
      </c>
      <c r="CC50" s="3028">
        <f>SUM(CE50/CD50)</f>
        <v>5.560418736727355</v>
      </c>
      <c r="CD50" s="3021">
        <f>SUM(электр!BR50)</f>
        <v>1513.424</v>
      </c>
      <c r="CE50" s="3029">
        <f>SUM(электр!BS50)</f>
        <v>8415.2711662128604</v>
      </c>
      <c r="CF50" s="3235">
        <f>SUM(CH50/CG50)</f>
        <v>4.7808283043426822</v>
      </c>
      <c r="CG50" s="3236">
        <f>SUM(электр!BU50)</f>
        <v>1179.3262500000001</v>
      </c>
      <c r="CH50" s="3237">
        <f>SUM(электр!BV50)</f>
        <v>5638.1563160543146</v>
      </c>
      <c r="CI50" s="3557">
        <f>SUM(CK50/CJ50)</f>
        <v>4.3116761988561372</v>
      </c>
      <c r="CJ50" s="3236">
        <f>SUM(электр!BY50)</f>
        <v>1136.5</v>
      </c>
      <c r="CK50" s="3237">
        <f>SUM(электр!BZ50)</f>
        <v>4900.22</v>
      </c>
    </row>
    <row r="51" spans="1:89" ht="30" customHeight="1">
      <c r="A51" s="1033" t="s">
        <v>141</v>
      </c>
      <c r="B51" s="801"/>
      <c r="C51" s="381"/>
      <c r="D51" s="381"/>
      <c r="E51" s="381"/>
      <c r="F51" s="381"/>
      <c r="G51" s="381"/>
      <c r="H51" s="381"/>
      <c r="I51" s="381"/>
      <c r="J51" s="812"/>
      <c r="K51" s="1023">
        <f>M51/L51</f>
        <v>5.0100983836964161</v>
      </c>
      <c r="L51" s="891">
        <f>L48+L50</f>
        <v>2846</v>
      </c>
      <c r="M51" s="891">
        <f>SUM(M48:M50)</f>
        <v>14258.74</v>
      </c>
      <c r="N51" s="1024">
        <f>SUM(N48:N50)</f>
        <v>72406.546999999991</v>
      </c>
      <c r="O51" s="1025">
        <f>Q51/P51</f>
        <v>4.9528651037213312</v>
      </c>
      <c r="P51" s="891">
        <f>P48+P50</f>
        <v>2146.6741787978635</v>
      </c>
      <c r="Q51" s="891">
        <f>Q48+Q50</f>
        <v>10632.187629227585</v>
      </c>
      <c r="R51" s="1026"/>
      <c r="S51" s="1025">
        <f t="shared" ref="S51:T54" si="18">O51-K51</f>
        <v>-5.7233279975084983E-2</v>
      </c>
      <c r="T51" s="2282">
        <f t="shared" si="18"/>
        <v>-699.32582120213647</v>
      </c>
      <c r="U51" s="1026"/>
      <c r="V51" s="2282">
        <f t="shared" si="12"/>
        <v>-3626.5523707724151</v>
      </c>
      <c r="W51" s="1026"/>
      <c r="X51" s="1025">
        <f>Z51/Y51</f>
        <v>4.3458643439629627</v>
      </c>
      <c r="Y51" s="891">
        <f>Y48+Y50</f>
        <v>1325.3519999999999</v>
      </c>
      <c r="Z51" s="891">
        <f>SUM(Z48:Z50)</f>
        <v>5759.8</v>
      </c>
      <c r="AA51" s="1024">
        <f>SUM(AA48:AA50)</f>
        <v>25345.11404</v>
      </c>
      <c r="AB51" s="1025">
        <f t="shared" si="3"/>
        <v>4.3711695607763037</v>
      </c>
      <c r="AC51" s="891">
        <f>AC48+AC50</f>
        <v>1879.6799999999998</v>
      </c>
      <c r="AD51" s="891">
        <f>SUM(AD48:AD50)</f>
        <v>8216.4000000000015</v>
      </c>
      <c r="AE51" s="1060">
        <f>AG51/AF51</f>
        <v>4.389087422215681</v>
      </c>
      <c r="AF51" s="1061">
        <f>AF48+AF50</f>
        <v>2439.277</v>
      </c>
      <c r="AG51" s="427">
        <f>AG48+AG50</f>
        <v>10706.2</v>
      </c>
      <c r="AH51" s="1023">
        <f>AJ51/AI51</f>
        <v>5.202779269602579</v>
      </c>
      <c r="AI51" s="891">
        <f>AI48+AI50</f>
        <v>2234.3999999999996</v>
      </c>
      <c r="AJ51" s="891">
        <f>SUM(AJ48:AJ50)</f>
        <v>11625.09</v>
      </c>
      <c r="AK51" s="1024"/>
      <c r="AL51" s="1025">
        <f>AN51/AM51</f>
        <v>4.6408014275288254</v>
      </c>
      <c r="AM51" s="891">
        <f>AM48+AM50</f>
        <v>2103.9740599144975</v>
      </c>
      <c r="AN51" s="891">
        <f>AN48+AN50</f>
        <v>9764.1258207348183</v>
      </c>
      <c r="AO51" s="1051">
        <f t="shared" si="4"/>
        <v>-0.56197784207375356</v>
      </c>
      <c r="AP51" s="1048">
        <f t="shared" si="4"/>
        <v>-130.42594008550213</v>
      </c>
      <c r="AQ51" s="1048">
        <f t="shared" si="4"/>
        <v>-1860.9641792651819</v>
      </c>
      <c r="AR51" s="1051">
        <f>AT51/AS51</f>
        <v>4.3650103841684889</v>
      </c>
      <c r="AS51" s="1052">
        <f>AS48+AS50</f>
        <v>1093.01</v>
      </c>
      <c r="AT51" s="1052">
        <f>SUM(AT48:AT50)</f>
        <v>4771</v>
      </c>
      <c r="AU51" s="1051">
        <f>AW51/AV51</f>
        <v>4.4613727271156138</v>
      </c>
      <c r="AV51" s="1052">
        <f>AV48+AV50</f>
        <v>1562.277</v>
      </c>
      <c r="AW51" s="1052">
        <f>SUM(AW48:AW50)</f>
        <v>6969.9</v>
      </c>
      <c r="AX51" s="2979">
        <f>AZ51/AY51</f>
        <v>5.0554080056915653</v>
      </c>
      <c r="AY51" s="2980">
        <f>AY48+AY50</f>
        <v>2439.2800000000002</v>
      </c>
      <c r="AZ51" s="2980">
        <f>SUM(AZ48:AZ50)</f>
        <v>12331.555640123323</v>
      </c>
      <c r="BA51" s="2972">
        <f t="shared" si="5"/>
        <v>1.2629451797862317</v>
      </c>
      <c r="BB51" s="2981">
        <f>BD51/BC51</f>
        <v>4.7613992813870309</v>
      </c>
      <c r="BC51" s="2982">
        <f>BC48+BC50</f>
        <v>1940.802721</v>
      </c>
      <c r="BD51" s="2982">
        <f>SUM(BD48:BD50)</f>
        <v>9240.9366810833944</v>
      </c>
      <c r="BE51" s="2981">
        <f t="shared" si="6"/>
        <v>-0.2940087243045344</v>
      </c>
      <c r="BF51" s="2976">
        <f t="shared" si="6"/>
        <v>-498.47727900000018</v>
      </c>
      <c r="BG51" s="2977">
        <f t="shared" si="6"/>
        <v>-3090.6189590399281</v>
      </c>
      <c r="BH51" s="2981">
        <f>BJ51/BI51</f>
        <v>5.0845684218572957</v>
      </c>
      <c r="BI51" s="2982">
        <f>BI48+BI50</f>
        <v>1863.8140619224939</v>
      </c>
      <c r="BJ51" s="2982">
        <f>SUM(BJ48:BJ50)</f>
        <v>9476.6901234646903</v>
      </c>
      <c r="BK51" s="2981">
        <f t="shared" ref="BK51:BK52" si="19">BH51-BD51</f>
        <v>-9235.8521126615378</v>
      </c>
      <c r="BL51" s="2976">
        <f t="shared" si="13"/>
        <v>1864.1080706467985</v>
      </c>
      <c r="BM51" s="2977">
        <f t="shared" si="14"/>
        <v>9975.1674024646909</v>
      </c>
      <c r="BN51" s="2981">
        <f>BP51/BO51</f>
        <v>5.4252345061217335</v>
      </c>
      <c r="BO51" s="2982">
        <f>BO48+BO50</f>
        <v>1863.8140619224939</v>
      </c>
      <c r="BP51" s="2983">
        <f>SUM(BP48:BP50)</f>
        <v>10111.628361736823</v>
      </c>
      <c r="BQ51" s="2963">
        <f t="shared" si="15"/>
        <v>-9471.2648889585689</v>
      </c>
      <c r="BR51" s="2282">
        <f t="shared" si="16"/>
        <v>11099.666174584032</v>
      </c>
      <c r="BS51" s="1039">
        <f t="shared" si="17"/>
        <v>8247.5202910900243</v>
      </c>
      <c r="BT51" s="3024">
        <f>SUM(BV51/BU51)</f>
        <v>4.5741476485262869</v>
      </c>
      <c r="BU51" s="3025">
        <f>SUM(BU48:BU50)</f>
        <v>2164.6</v>
      </c>
      <c r="BV51" s="3229">
        <f>SUM(BV48:BV50)</f>
        <v>9901.2000000000007</v>
      </c>
      <c r="BW51" s="3024">
        <f>SUM(BY51/BX51)</f>
        <v>4.5054474581247046</v>
      </c>
      <c r="BX51" s="3025">
        <f>SUM(BX48:BX50)</f>
        <v>1226.26</v>
      </c>
      <c r="BY51" s="3030">
        <f>SUM(BY48:BY50)</f>
        <v>5524.85</v>
      </c>
      <c r="BZ51" s="3031">
        <f>SUM(CB51/CA51)</f>
        <v>4.5224876701202801</v>
      </c>
      <c r="CA51" s="3025">
        <f>SUM(CA48:CA50)</f>
        <v>1684.3229999999999</v>
      </c>
      <c r="CB51" s="3030">
        <f>SUM(CB48:CB50)</f>
        <v>7617.33</v>
      </c>
      <c r="CC51" s="3031">
        <f>SUM(CE51/CD51)</f>
        <v>4.5394181602406096</v>
      </c>
      <c r="CD51" s="3025">
        <f>SUM(CD48:CD50)</f>
        <v>2245.7640000000001</v>
      </c>
      <c r="CE51" s="3032">
        <f>SUM(CE48:CE50)</f>
        <v>10194.461885214592</v>
      </c>
      <c r="CF51" s="3240">
        <f>SUM(CH51/CG51)</f>
        <v>5.2494733276656138</v>
      </c>
      <c r="CG51" s="3241">
        <f>SUM(CG48:CG50)</f>
        <v>1878.2212500000001</v>
      </c>
      <c r="CH51" s="3242">
        <f>SUM(CH48:CH50)</f>
        <v>9859.6723553297688</v>
      </c>
      <c r="CI51" s="3558">
        <f>SUM(CK51/CJ51)</f>
        <v>4.8154982761451324</v>
      </c>
      <c r="CJ51" s="3241">
        <f>SUM(CJ48:CJ50)</f>
        <v>1827.3</v>
      </c>
      <c r="CK51" s="3242">
        <f>SUM(CK48:CK50)</f>
        <v>8799.36</v>
      </c>
    </row>
    <row r="52" spans="1:89" ht="30" customHeight="1">
      <c r="A52" s="1032" t="s">
        <v>142</v>
      </c>
      <c r="B52" s="801"/>
      <c r="C52" s="381"/>
      <c r="D52" s="381"/>
      <c r="E52" s="381"/>
      <c r="F52" s="381"/>
      <c r="G52" s="381"/>
      <c r="H52" s="381"/>
      <c r="I52" s="381"/>
      <c r="J52" s="812"/>
      <c r="K52" s="1020">
        <v>5.75</v>
      </c>
      <c r="L52" s="1021">
        <v>397.8</v>
      </c>
      <c r="M52" s="1013">
        <v>2285.4</v>
      </c>
      <c r="N52" s="1021">
        <f>K52*M52</f>
        <v>13141.050000000001</v>
      </c>
      <c r="O52" s="1014">
        <v>5.63</v>
      </c>
      <c r="P52" s="1022">
        <f>Q60*Q61</f>
        <v>363.59730000000002</v>
      </c>
      <c r="Q52" s="885">
        <f>O52*P52</f>
        <v>2047.0527990000001</v>
      </c>
      <c r="R52" s="1021"/>
      <c r="S52" s="1014">
        <f t="shared" si="18"/>
        <v>-0.12000000000000011</v>
      </c>
      <c r="T52" s="2282">
        <f t="shared" si="18"/>
        <v>-34.202699999999993</v>
      </c>
      <c r="U52" s="1021"/>
      <c r="V52" s="2282">
        <f t="shared" si="12"/>
        <v>-238.34720100000004</v>
      </c>
      <c r="W52" s="1021"/>
      <c r="X52" s="1014">
        <v>4.9886999999999997</v>
      </c>
      <c r="Y52" s="1021">
        <v>162.167</v>
      </c>
      <c r="Z52" s="1013">
        <v>809</v>
      </c>
      <c r="AA52" s="1021">
        <f>X52*Z52</f>
        <v>4035.8582999999999</v>
      </c>
      <c r="AB52" s="1014">
        <f t="shared" si="3"/>
        <v>5.0153983485829059</v>
      </c>
      <c r="AC52" s="1021">
        <v>224.05</v>
      </c>
      <c r="AD52" s="1013">
        <v>1123.7</v>
      </c>
      <c r="AE52" s="1058">
        <f>SUM(AG52/AF52)</f>
        <v>5.0316393763454892</v>
      </c>
      <c r="AF52" s="1058">
        <v>306.58</v>
      </c>
      <c r="AG52" s="426">
        <v>1542.6</v>
      </c>
      <c r="AH52" s="1020">
        <v>5.91</v>
      </c>
      <c r="AI52" s="1021">
        <v>397.8</v>
      </c>
      <c r="AJ52" s="1013">
        <v>2285.4</v>
      </c>
      <c r="AK52" s="1021"/>
      <c r="AL52" s="1014">
        <f>K77*1.028</f>
        <v>5.2277943861803733</v>
      </c>
      <c r="AM52" s="1022">
        <f>AN60*AN61</f>
        <v>360.82530000000003</v>
      </c>
      <c r="AN52" s="885">
        <f>AL52*AM52</f>
        <v>1886.3204777318492</v>
      </c>
      <c r="AO52" s="1047">
        <f t="shared" si="4"/>
        <v>-0.68220561381962685</v>
      </c>
      <c r="AP52" s="1048">
        <f t="shared" si="4"/>
        <v>-36.974699999999984</v>
      </c>
      <c r="AQ52" s="1048">
        <f t="shared" si="4"/>
        <v>-399.07952226815087</v>
      </c>
      <c r="AR52" s="1047">
        <f t="shared" ref="AR52:AR54" si="20">SUM(AT52/AS52)</f>
        <v>4.9758749575263339</v>
      </c>
      <c r="AS52" s="1049">
        <v>147.15</v>
      </c>
      <c r="AT52" s="2276">
        <v>732.2</v>
      </c>
      <c r="AU52" s="1047">
        <f t="shared" ref="AU52:AU54" si="21">SUM(AW52/AV52)</f>
        <v>5.0682433840383414</v>
      </c>
      <c r="AV52" s="2045">
        <v>191.96</v>
      </c>
      <c r="AW52" s="2047">
        <v>972.9</v>
      </c>
      <c r="AX52" s="2969">
        <f t="shared" ref="AX52:AX54" si="22">SUM(AL52*1.1)</f>
        <v>5.7505738247984111</v>
      </c>
      <c r="AY52" s="2970">
        <v>306.58</v>
      </c>
      <c r="AZ52" s="2971">
        <f t="shared" ref="AZ52:AZ54" si="23">SUM(AX52*AY52)</f>
        <v>1763.0109232066968</v>
      </c>
      <c r="BA52" s="2972">
        <f t="shared" si="5"/>
        <v>0.93462958390112882</v>
      </c>
      <c r="BB52" s="2973">
        <f>(AU70+AU70*1.06)/2</f>
        <v>5.5327159116268669</v>
      </c>
      <c r="BC52" s="2974">
        <f>BD60*BD61</f>
        <v>290.97040000000004</v>
      </c>
      <c r="BD52" s="2975">
        <f>BC52*BB52</f>
        <v>1609.8565618924345</v>
      </c>
      <c r="BE52" s="2973">
        <f t="shared" si="6"/>
        <v>-0.21785791317154413</v>
      </c>
      <c r="BF52" s="2976">
        <f t="shared" si="6"/>
        <v>-15.609599999999944</v>
      </c>
      <c r="BG52" s="2977">
        <f t="shared" si="6"/>
        <v>-153.15436131426236</v>
      </c>
      <c r="BH52" s="2973">
        <f>BB52*1.066</f>
        <v>5.8978751617942402</v>
      </c>
      <c r="BI52" s="2974">
        <f>BJ60*BJ61</f>
        <v>290.97040000000004</v>
      </c>
      <c r="BJ52" s="2975">
        <f>BI52*BH52</f>
        <v>1716.107094977335</v>
      </c>
      <c r="BK52" s="2973">
        <f t="shared" si="19"/>
        <v>-1603.9586867306402</v>
      </c>
      <c r="BL52" s="2976">
        <f t="shared" si="13"/>
        <v>291.18825791317158</v>
      </c>
      <c r="BM52" s="2977">
        <f t="shared" si="14"/>
        <v>1731.716694977335</v>
      </c>
      <c r="BN52" s="2973">
        <f>BH52*1.067</f>
        <v>6.2930327976344538</v>
      </c>
      <c r="BO52" s="2974">
        <f>BP60*BP61</f>
        <v>290.97040000000004</v>
      </c>
      <c r="BP52" s="2978">
        <f>BO52*BN52</f>
        <v>1831.0862703408163</v>
      </c>
      <c r="BQ52" s="2962">
        <f t="shared" si="15"/>
        <v>-1709.8140621797006</v>
      </c>
      <c r="BR52" s="2282">
        <f t="shared" si="16"/>
        <v>1894.9290867306404</v>
      </c>
      <c r="BS52" s="1039">
        <f t="shared" si="17"/>
        <v>1539.8980124276447</v>
      </c>
      <c r="BT52" s="3020">
        <f>SUM(BV52/BU52)</f>
        <v>5.1865168539325843</v>
      </c>
      <c r="BU52" s="3021">
        <f>SUM(электр!BI52)</f>
        <v>267</v>
      </c>
      <c r="BV52" s="3230">
        <f>SUM(электр!BJ52)</f>
        <v>1384.8</v>
      </c>
      <c r="BW52" s="3020">
        <f>SUM(BY52/BX52)</f>
        <v>2.5335154711226893</v>
      </c>
      <c r="BX52" s="3021">
        <f>SUM(электр!BL52)</f>
        <v>157.38999999999999</v>
      </c>
      <c r="BY52" s="3023">
        <f>SUM(электр!BM52)</f>
        <v>398.75</v>
      </c>
      <c r="BZ52" s="3028">
        <f>SUM(CB52/CA52)</f>
        <v>2.4949254601078033</v>
      </c>
      <c r="CA52" s="3021">
        <f>SUM(электр!BO52)</f>
        <v>205.93</v>
      </c>
      <c r="CB52" s="3023">
        <f>SUM(электр!BP52)</f>
        <v>513.78</v>
      </c>
      <c r="CC52" s="3028">
        <f>SUM(CE52/CD52)</f>
        <v>2.4516567878893207</v>
      </c>
      <c r="CD52" s="3021">
        <f>SUM(электр!BR52)</f>
        <v>274.57333333333332</v>
      </c>
      <c r="CE52" s="3033">
        <f>SUM(электр!BS52)</f>
        <v>673.15957644006369</v>
      </c>
      <c r="CF52" s="3235">
        <f>SUM(CH52/CG52)</f>
        <v>6.0859875027895542</v>
      </c>
      <c r="CG52" s="3236">
        <f>SUM(электр!BU52)</f>
        <v>270.73200000000003</v>
      </c>
      <c r="CH52" s="3243">
        <f>SUM(электр!BV52)</f>
        <v>1647.6715686052219</v>
      </c>
      <c r="CI52" s="3557">
        <f>SUM(CK52/CJ52)</f>
        <v>5.6593930635838143</v>
      </c>
      <c r="CJ52" s="3236">
        <f>SUM(электр!BY52)</f>
        <v>276.8</v>
      </c>
      <c r="CK52" s="3237">
        <f>SUM(электр!BZ52)</f>
        <v>1566.52</v>
      </c>
    </row>
    <row r="53" spans="1:89" ht="30" customHeight="1">
      <c r="A53" s="1875" t="s">
        <v>1668</v>
      </c>
      <c r="B53" s="1876"/>
      <c r="C53" s="1877"/>
      <c r="D53" s="1877"/>
      <c r="E53" s="1877"/>
      <c r="F53" s="1877"/>
      <c r="G53" s="1877"/>
      <c r="H53" s="1877"/>
      <c r="I53" s="1877"/>
      <c r="J53" s="1878"/>
      <c r="K53" s="1879"/>
      <c r="L53" s="1880"/>
      <c r="M53" s="1881"/>
      <c r="N53" s="1880"/>
      <c r="O53" s="1882"/>
      <c r="P53" s="1884"/>
      <c r="Q53" s="1883"/>
      <c r="R53" s="1880"/>
      <c r="S53" s="1882"/>
      <c r="T53" s="1885"/>
      <c r="U53" s="1880"/>
      <c r="V53" s="1885"/>
      <c r="W53" s="1880"/>
      <c r="X53" s="1882"/>
      <c r="Y53" s="1880"/>
      <c r="Z53" s="1881"/>
      <c r="AA53" s="1880"/>
      <c r="AB53" s="1882"/>
      <c r="AC53" s="1880"/>
      <c r="AD53" s="1881"/>
      <c r="AE53" s="1886"/>
      <c r="AF53" s="1886"/>
      <c r="AG53" s="1888"/>
      <c r="AH53" s="1879"/>
      <c r="AI53" s="1880"/>
      <c r="AJ53" s="1881"/>
      <c r="AK53" s="1880"/>
      <c r="AL53" s="1882"/>
      <c r="AM53" s="1884"/>
      <c r="AN53" s="1883"/>
      <c r="AO53" s="1882"/>
      <c r="AP53" s="1885"/>
      <c r="AQ53" s="1885"/>
      <c r="AR53" s="1882"/>
      <c r="AS53" s="1880"/>
      <c r="AT53" s="1881">
        <v>132.9</v>
      </c>
      <c r="AU53" s="1882"/>
      <c r="AV53" s="2045"/>
      <c r="AW53" s="2047">
        <v>205.9</v>
      </c>
      <c r="AX53" s="2969"/>
      <c r="AY53" s="2970"/>
      <c r="AZ53" s="2971"/>
      <c r="BA53" s="2972"/>
      <c r="BB53" s="2973"/>
      <c r="BC53" s="2974"/>
      <c r="BD53" s="2975"/>
      <c r="BE53" s="2973"/>
      <c r="BF53" s="2976"/>
      <c r="BG53" s="2977"/>
      <c r="BH53" s="2973"/>
      <c r="BI53" s="2974"/>
      <c r="BJ53" s="2975"/>
      <c r="BK53" s="2973"/>
      <c r="BL53" s="2976"/>
      <c r="BM53" s="2977"/>
      <c r="BN53" s="2973"/>
      <c r="BO53" s="2974"/>
      <c r="BP53" s="2978"/>
      <c r="BQ53" s="2962"/>
      <c r="BR53" s="1885"/>
      <c r="BS53" s="1891"/>
      <c r="BT53" s="3022"/>
      <c r="BU53" s="3023"/>
      <c r="BV53" s="3230">
        <f>SUM(электр!BJ53)</f>
        <v>258.5</v>
      </c>
      <c r="BW53" s="3022"/>
      <c r="BX53" s="3023"/>
      <c r="BY53" s="3023">
        <f>SUM(электр!BM53)</f>
        <v>0</v>
      </c>
      <c r="BZ53" s="3023"/>
      <c r="CA53" s="3023"/>
      <c r="CB53" s="3023">
        <f>SUM(электр!BP53)</f>
        <v>0</v>
      </c>
      <c r="CC53" s="3023"/>
      <c r="CD53" s="3023"/>
      <c r="CE53" s="3033">
        <f>SUM(электр!BS53)</f>
        <v>0</v>
      </c>
      <c r="CF53" s="3238"/>
      <c r="CG53" s="3239"/>
      <c r="CH53" s="3243">
        <f>SUM(электр!BV53)</f>
        <v>0</v>
      </c>
      <c r="CI53" s="3239"/>
      <c r="CJ53" s="3239"/>
      <c r="CK53" s="3237"/>
    </row>
    <row r="54" spans="1:89" ht="30" customHeight="1">
      <c r="A54" s="1032" t="s">
        <v>143</v>
      </c>
      <c r="B54" s="801"/>
      <c r="C54" s="381"/>
      <c r="D54" s="381"/>
      <c r="E54" s="381"/>
      <c r="F54" s="381"/>
      <c r="G54" s="381"/>
      <c r="H54" s="381"/>
      <c r="I54" s="381"/>
      <c r="J54" s="812"/>
      <c r="K54" s="1020">
        <v>4.2300000000000004</v>
      </c>
      <c r="L54" s="1021">
        <v>2282.1999999999998</v>
      </c>
      <c r="M54" s="1013">
        <v>9664.7999999999993</v>
      </c>
      <c r="N54" s="1021">
        <f>K54*M54</f>
        <v>40882.103999999999</v>
      </c>
      <c r="O54" s="1014">
        <v>4.3</v>
      </c>
      <c r="P54" s="1022">
        <f>Q60*Q62</f>
        <v>1439.1333261085247</v>
      </c>
      <c r="Q54" s="885">
        <f>O54*P54</f>
        <v>6188.2733022666562</v>
      </c>
      <c r="R54" s="1021"/>
      <c r="S54" s="1014">
        <f t="shared" si="18"/>
        <v>6.9999999999999396E-2</v>
      </c>
      <c r="T54" s="2282">
        <f t="shared" si="18"/>
        <v>-843.06667389147515</v>
      </c>
      <c r="U54" s="1021"/>
      <c r="V54" s="2282">
        <f t="shared" si="12"/>
        <v>-3476.5266977333431</v>
      </c>
      <c r="W54" s="1021"/>
      <c r="X54" s="1014">
        <v>3.7764000000000002</v>
      </c>
      <c r="Y54" s="1021">
        <v>940.27</v>
      </c>
      <c r="Z54" s="1013">
        <v>3550.8</v>
      </c>
      <c r="AA54" s="1021">
        <f>X54*Z54</f>
        <v>13409.241120000001</v>
      </c>
      <c r="AB54" s="1014">
        <f t="shared" si="3"/>
        <v>3.8226634015509302</v>
      </c>
      <c r="AC54" s="1021">
        <v>1372.08</v>
      </c>
      <c r="AD54" s="1013">
        <v>5245</v>
      </c>
      <c r="AE54" s="1058">
        <f>SUM(AG54/AF54)</f>
        <v>3.8318886233811065</v>
      </c>
      <c r="AF54" s="1058">
        <v>1853.89</v>
      </c>
      <c r="AG54" s="426">
        <v>7103.9</v>
      </c>
      <c r="AH54" s="1020">
        <v>4.5199999999999996</v>
      </c>
      <c r="AI54" s="1021">
        <v>2282.1999999999998</v>
      </c>
      <c r="AJ54" s="1013">
        <v>9664.7999999999993</v>
      </c>
      <c r="AK54" s="1021"/>
      <c r="AL54" s="1014">
        <f>K78*1.028</f>
        <v>4.0333424422778537</v>
      </c>
      <c r="AM54" s="1022">
        <f>AN60*AN62</f>
        <v>1428.1616341295885</v>
      </c>
      <c r="AN54" s="885">
        <f>AL54*AM54</f>
        <v>5760.2649333677646</v>
      </c>
      <c r="AO54" s="1047">
        <f t="shared" si="4"/>
        <v>-0.48665755772214592</v>
      </c>
      <c r="AP54" s="1048">
        <f t="shared" si="4"/>
        <v>-854.03836587041133</v>
      </c>
      <c r="AQ54" s="1048">
        <f t="shared" si="4"/>
        <v>-3904.5350666322347</v>
      </c>
      <c r="AR54" s="1047">
        <f t="shared" si="20"/>
        <v>3.6631900547829748</v>
      </c>
      <c r="AS54" s="1049">
        <v>949.2</v>
      </c>
      <c r="AT54" s="2276">
        <v>3477.1</v>
      </c>
      <c r="AU54" s="1047">
        <f t="shared" si="21"/>
        <v>3.7705916930708683</v>
      </c>
      <c r="AV54" s="2045">
        <v>1394.98</v>
      </c>
      <c r="AW54" s="2047">
        <v>5259.9</v>
      </c>
      <c r="AX54" s="2969">
        <f t="shared" si="22"/>
        <v>4.4366766865056393</v>
      </c>
      <c r="AY54" s="2970">
        <v>1853.89</v>
      </c>
      <c r="AZ54" s="2971">
        <f t="shared" si="23"/>
        <v>8225.1105423459394</v>
      </c>
      <c r="BA54" s="2972">
        <f t="shared" si="5"/>
        <v>1.4279049032449784</v>
      </c>
      <c r="BB54" s="2973">
        <f>(AU72+AU72*1.06)/2</f>
        <v>4.1192606218313967</v>
      </c>
      <c r="BC54" s="2974">
        <f>BD60*BD62</f>
        <v>1454.8519999999999</v>
      </c>
      <c r="BD54" s="2975">
        <f>BC54*BB54</f>
        <v>5992.9145541926509</v>
      </c>
      <c r="BE54" s="2973">
        <f t="shared" si="6"/>
        <v>-0.31741606467424255</v>
      </c>
      <c r="BF54" s="2976">
        <f t="shared" si="6"/>
        <v>-399.03800000000024</v>
      </c>
      <c r="BG54" s="2977">
        <f t="shared" si="6"/>
        <v>-2232.1959881532885</v>
      </c>
      <c r="BH54" s="2973">
        <f>BB54*1.066</f>
        <v>4.3911318228722696</v>
      </c>
      <c r="BI54" s="2974">
        <f>BJ60*BJ62</f>
        <v>1454.8519999999999</v>
      </c>
      <c r="BJ54" s="2975">
        <f>BI54*BH54</f>
        <v>6388.4469147693662</v>
      </c>
      <c r="BK54" s="2973">
        <f t="shared" ref="BK54" si="24">BH54-BD54</f>
        <v>-5988.5234223697789</v>
      </c>
      <c r="BL54" s="2976">
        <f t="shared" ref="BL54" si="25">BI54-BE54</f>
        <v>1455.1694160646741</v>
      </c>
      <c r="BM54" s="2977">
        <f t="shared" ref="BM54" si="26">BJ54-BF54</f>
        <v>6787.4849147693667</v>
      </c>
      <c r="BN54" s="2973">
        <f>BH54*1.067</f>
        <v>4.6853376550047114</v>
      </c>
      <c r="BO54" s="2974">
        <f>BP60*BP62</f>
        <v>1454.8519999999999</v>
      </c>
      <c r="BP54" s="2978">
        <f>BO54*BN54</f>
        <v>6816.4728580589135</v>
      </c>
      <c r="BQ54" s="2962">
        <f t="shared" ref="BQ54" si="27">BN54-BJ54</f>
        <v>-6383.7615771143619</v>
      </c>
      <c r="BR54" s="2282">
        <f t="shared" ref="BR54" si="28">BO54-BK54</f>
        <v>7443.3754223697788</v>
      </c>
      <c r="BS54" s="1039">
        <f t="shared" ref="BS54" si="29">BP54-BL54</f>
        <v>5361.3034419942396</v>
      </c>
      <c r="BT54" s="3020">
        <f>SUM(BV54/BU54)</f>
        <v>3.8536448739079385</v>
      </c>
      <c r="BU54" s="3021">
        <f>SUM(электр!BI54)</f>
        <v>1856.58</v>
      </c>
      <c r="BV54" s="3230">
        <f>SUM(электр!BJ54)</f>
        <v>7154.6</v>
      </c>
      <c r="BW54" s="3020">
        <f>SUM(BY54/BX54)</f>
        <v>5.2168794892258585</v>
      </c>
      <c r="BX54" s="3021">
        <f>SUM(электр!BL54)</f>
        <v>902.16</v>
      </c>
      <c r="BY54" s="3023">
        <f>SUM(электр!BM54)</f>
        <v>4706.46</v>
      </c>
      <c r="BZ54" s="3028">
        <f>SUM(CB54/CA54)</f>
        <v>5.0524350273034244</v>
      </c>
      <c r="CA54" s="3021">
        <f>SUM(электр!BO54)</f>
        <v>1332.9829999999999</v>
      </c>
      <c r="CB54" s="3023">
        <f>SUM(электр!BP54)</f>
        <v>6734.81</v>
      </c>
      <c r="CC54" s="3028">
        <f>SUM(CE54/CD54)</f>
        <v>4.9624807312826293</v>
      </c>
      <c r="CD54" s="3021">
        <f>SUM(электр!BR54)</f>
        <v>1777.3106666666667</v>
      </c>
      <c r="CE54" s="3033">
        <f>SUM(электр!BS54)</f>
        <v>8819.8699368364178</v>
      </c>
      <c r="CF54" s="3235">
        <f>SUM(CH54/CG54)</f>
        <v>4.5311866840145365</v>
      </c>
      <c r="CG54" s="3236">
        <f>SUM(электр!BU54)</f>
        <v>1353.6599999999999</v>
      </c>
      <c r="CH54" s="3243">
        <f>SUM(электр!BV54)</f>
        <v>6133.6861666831164</v>
      </c>
      <c r="CI54" s="3557">
        <f>SUM(CK54/CJ54)</f>
        <v>4.3128955353272644</v>
      </c>
      <c r="CJ54" s="3236">
        <f>SUM(электр!BY54)</f>
        <v>1384.2</v>
      </c>
      <c r="CK54" s="3237">
        <f>SUM(электр!BZ54)</f>
        <v>5969.91</v>
      </c>
    </row>
    <row r="55" spans="1:89" ht="30" customHeight="1">
      <c r="A55" s="1033" t="s">
        <v>144</v>
      </c>
      <c r="B55" s="801"/>
      <c r="C55" s="381"/>
      <c r="D55" s="381"/>
      <c r="E55" s="381"/>
      <c r="F55" s="381"/>
      <c r="G55" s="381"/>
      <c r="H55" s="381"/>
      <c r="I55" s="381"/>
      <c r="J55" s="812"/>
      <c r="K55" s="1023">
        <f>M55/L55</f>
        <v>4.4590298507462682</v>
      </c>
      <c r="L55" s="891">
        <f>SUM(L52:L54)</f>
        <v>2680</v>
      </c>
      <c r="M55" s="891">
        <f>SUM(M52:M54)</f>
        <v>11950.199999999999</v>
      </c>
      <c r="N55" s="891">
        <f>SUM(N52:N54)</f>
        <v>54023.154000000002</v>
      </c>
      <c r="O55" s="1025">
        <f>Q55/P55</f>
        <v>4.5682510642446301</v>
      </c>
      <c r="P55" s="891">
        <f>SUM(P52:P54)</f>
        <v>1802.7306261085246</v>
      </c>
      <c r="Q55" s="891">
        <f>SUM(Q52:Q54)</f>
        <v>8235.3261012666553</v>
      </c>
      <c r="R55" s="1024"/>
      <c r="S55" s="1025">
        <f>O55-K55</f>
        <v>0.10922121349836189</v>
      </c>
      <c r="T55" s="2278">
        <f>P55-L55</f>
        <v>-877.26937389147542</v>
      </c>
      <c r="U55" s="2278">
        <f>P55-L55</f>
        <v>-877.26937389147542</v>
      </c>
      <c r="V55" s="2278">
        <f t="shared" si="12"/>
        <v>-3714.8738987333436</v>
      </c>
      <c r="W55" s="1024"/>
      <c r="X55" s="1025">
        <f>Z55/Y55</f>
        <v>3.9546931026444145</v>
      </c>
      <c r="Y55" s="891">
        <f>SUM(Y52:Y54)</f>
        <v>1102.4369999999999</v>
      </c>
      <c r="Z55" s="891">
        <f>SUM(Z52:Z54)</f>
        <v>4359.8</v>
      </c>
      <c r="AA55" s="891">
        <f>SUM(AA52:AA54)</f>
        <v>17445.099419999999</v>
      </c>
      <c r="AB55" s="1025">
        <f t="shared" si="3"/>
        <v>3.9900885266237713</v>
      </c>
      <c r="AC55" s="891">
        <f>SUM(AC52:AC54)</f>
        <v>1596.1299999999999</v>
      </c>
      <c r="AD55" s="891">
        <f>SUM(AD52:AD54)</f>
        <v>6368.7</v>
      </c>
      <c r="AE55" s="1060">
        <f>AG55/AF55</f>
        <v>4.0021384235837569</v>
      </c>
      <c r="AF55" s="1061">
        <f>SUM(AF52:AF54)</f>
        <v>2160.4700000000003</v>
      </c>
      <c r="AG55" s="427">
        <f>SUM(AG52:AG54)</f>
        <v>8646.5</v>
      </c>
      <c r="AH55" s="1023">
        <f>AJ55/AI55</f>
        <v>4.4590298507462682</v>
      </c>
      <c r="AI55" s="891">
        <f>SUM(AI52:AI54)</f>
        <v>2680</v>
      </c>
      <c r="AJ55" s="891">
        <f>SUM(AJ52:AJ54)</f>
        <v>11950.199999999999</v>
      </c>
      <c r="AK55" s="891"/>
      <c r="AL55" s="1025">
        <f>AN55/AM55</f>
        <v>4.2742544762183936</v>
      </c>
      <c r="AM55" s="891">
        <f>SUM(AM52:AM54)</f>
        <v>1788.9869341295885</v>
      </c>
      <c r="AN55" s="891">
        <f>SUM(AN52:AN54)</f>
        <v>7646.5854110996133</v>
      </c>
      <c r="AO55" s="1051">
        <f>AL55-AH55</f>
        <v>-0.18477537452787463</v>
      </c>
      <c r="AP55" s="2290">
        <f>AM55-AI55</f>
        <v>-891.01306587041154</v>
      </c>
      <c r="AQ55" s="2290">
        <f>AN55-AJ55</f>
        <v>-4303.6145889003856</v>
      </c>
      <c r="AR55" s="1051">
        <f>AT55/AS55</f>
        <v>3.9605965248323978</v>
      </c>
      <c r="AS55" s="1052">
        <f>SUM(AS52:AS54)</f>
        <v>1096.3500000000001</v>
      </c>
      <c r="AT55" s="1052">
        <f>SUM(AT52:AT54)</f>
        <v>4342.2</v>
      </c>
      <c r="AU55" s="1051">
        <f>AW55/AV55</f>
        <v>4.0573052541368924</v>
      </c>
      <c r="AV55" s="1052">
        <f>SUM(AV52:AV54)</f>
        <v>1586.94</v>
      </c>
      <c r="AW55" s="1052">
        <f>SUM(AW52:AW54)</f>
        <v>6438.7</v>
      </c>
      <c r="AX55" s="2979">
        <f>AZ55/AY55</f>
        <v>4.6231243505129136</v>
      </c>
      <c r="AY55" s="2980">
        <f>SUM(AY52:AY54)</f>
        <v>2160.4700000000003</v>
      </c>
      <c r="AZ55" s="2980">
        <f>SUM(AZ52:AZ54)</f>
        <v>9988.1214655526364</v>
      </c>
      <c r="BA55" s="2972">
        <f t="shared" si="5"/>
        <v>1.3062198260486442</v>
      </c>
      <c r="BB55" s="2981">
        <f>BD55/BC55</f>
        <v>4.3548365034639751</v>
      </c>
      <c r="BC55" s="2982">
        <f>SUM(BC52:BC54)</f>
        <v>1745.8224</v>
      </c>
      <c r="BD55" s="2982">
        <f>SUM(BD52:BD54)</f>
        <v>7602.7711160850849</v>
      </c>
      <c r="BE55" s="2981">
        <f>BB55-AX55</f>
        <v>-0.26828784704893849</v>
      </c>
      <c r="BF55" s="2984">
        <f>BC55-AY55</f>
        <v>-414.64760000000024</v>
      </c>
      <c r="BG55" s="2985">
        <f>BD55-AZ55</f>
        <v>-2385.3503494675515</v>
      </c>
      <c r="BH55" s="2981">
        <f>BJ55/BI55</f>
        <v>4.6422557126925978</v>
      </c>
      <c r="BI55" s="2982">
        <f>SUM(BI52:BI54)</f>
        <v>1745.8224</v>
      </c>
      <c r="BJ55" s="2982">
        <f>SUM(BJ52:BJ54)</f>
        <v>8104.554009746701</v>
      </c>
      <c r="BK55" s="2981">
        <f>BH55-BD55</f>
        <v>-7598.1288603723924</v>
      </c>
      <c r="BL55" s="2984">
        <f>BI55-BE55</f>
        <v>1746.0906878470489</v>
      </c>
      <c r="BM55" s="2985">
        <f>BJ55-BF55</f>
        <v>8519.2016097467022</v>
      </c>
      <c r="BN55" s="2981">
        <f>BP55/BO55</f>
        <v>4.9532868454430012</v>
      </c>
      <c r="BO55" s="2982">
        <f>SUM(BO52:BO54)</f>
        <v>1745.8224</v>
      </c>
      <c r="BP55" s="2983">
        <f>SUM(BP52:BP54)</f>
        <v>8647.5591283997292</v>
      </c>
      <c r="BQ55" s="2963">
        <f>BN55-BJ55</f>
        <v>-8099.6007229012585</v>
      </c>
      <c r="BR55" s="2278">
        <f>BO55-BK55</f>
        <v>9343.9512603723924</v>
      </c>
      <c r="BS55" s="2279">
        <f>BP55-BL55</f>
        <v>6901.4684405526805</v>
      </c>
      <c r="BT55" s="3024">
        <f>SUM(BV55/BU55)</f>
        <v>4.142956705186525</v>
      </c>
      <c r="BU55" s="3491">
        <f>SUM(BU52:BU54)</f>
        <v>2123.58</v>
      </c>
      <c r="BV55" s="3492">
        <f>SUM(BV52:BV54)</f>
        <v>8797.9</v>
      </c>
      <c r="BW55" s="3024">
        <f>SUM(BY55/BX55)</f>
        <v>4.8182813458543725</v>
      </c>
      <c r="BX55" s="3491">
        <f>SUM(BX52:BX54)</f>
        <v>1059.55</v>
      </c>
      <c r="BY55" s="3491">
        <f>SUM(BY52:BY54)</f>
        <v>5105.21</v>
      </c>
      <c r="BZ55" s="3031">
        <f>SUM(CB55/CA55)</f>
        <v>4.7102012914310301</v>
      </c>
      <c r="CA55" s="3491">
        <f>SUM(CA52:CA54)</f>
        <v>1538.913</v>
      </c>
      <c r="CB55" s="3491">
        <f>SUM(CB52:CB54)</f>
        <v>7248.59</v>
      </c>
      <c r="CC55" s="3031">
        <f>SUM(CE55/CD55)</f>
        <v>4.6264942429866807</v>
      </c>
      <c r="CD55" s="3491">
        <f>SUM(CD52:CD54)</f>
        <v>2051.884</v>
      </c>
      <c r="CE55" s="3493">
        <f>SUM(CE52:CE54)</f>
        <v>9493.0295132764822</v>
      </c>
      <c r="CF55" s="3240">
        <f>SUM(CH55/CG55)</f>
        <v>4.7903201538103728</v>
      </c>
      <c r="CG55" s="3494">
        <f>SUM(CG52:CG54)</f>
        <v>1624.3919999999998</v>
      </c>
      <c r="CH55" s="3495">
        <f>SUM(CH52:CH54)</f>
        <v>7781.3577352883385</v>
      </c>
      <c r="CI55" s="3558">
        <f>SUM(CK55/CJ55)</f>
        <v>4.5372847682119204</v>
      </c>
      <c r="CJ55" s="3494">
        <f>SUM(CJ52:CJ54)</f>
        <v>1661</v>
      </c>
      <c r="CK55" s="3495">
        <f>SUM(CK52:CK54)</f>
        <v>7536.43</v>
      </c>
    </row>
    <row r="56" spans="1:89" ht="40.5" customHeight="1">
      <c r="A56" s="1034" t="s">
        <v>145</v>
      </c>
      <c r="B56" s="801"/>
      <c r="C56" s="381"/>
      <c r="D56" s="381"/>
      <c r="E56" s="381"/>
      <c r="F56" s="381"/>
      <c r="G56" s="381"/>
      <c r="H56" s="381"/>
      <c r="I56" s="381"/>
      <c r="J56" s="812"/>
      <c r="K56" s="848"/>
      <c r="L56" s="1013"/>
      <c r="M56" s="885">
        <f>объемы!E38</f>
        <v>5875</v>
      </c>
      <c r="N56" s="1013"/>
      <c r="O56" s="1013"/>
      <c r="P56" s="1013"/>
      <c r="Q56" s="885">
        <f>объемы!F38</f>
        <v>5558.2912165809075</v>
      </c>
      <c r="R56" s="1013"/>
      <c r="S56" s="1014"/>
      <c r="T56" s="2282"/>
      <c r="U56" s="1013"/>
      <c r="V56" s="2282">
        <f t="shared" si="12"/>
        <v>-316.70878341909247</v>
      </c>
      <c r="W56" s="1013"/>
      <c r="X56" s="1027"/>
      <c r="Y56" s="1027"/>
      <c r="Z56" s="885">
        <v>3493.3</v>
      </c>
      <c r="AA56" s="1013"/>
      <c r="AB56" s="1013"/>
      <c r="AC56" s="1013"/>
      <c r="AD56" s="885">
        <v>5158</v>
      </c>
      <c r="AE56" s="1062"/>
      <c r="AF56" s="1062"/>
      <c r="AG56" s="426">
        <f>SUM(объемы!I38)</f>
        <v>6977.9000000000005</v>
      </c>
      <c r="AH56" s="848"/>
      <c r="AI56" s="1013"/>
      <c r="AJ56" s="885">
        <f>SUM(объемы!J38)</f>
        <v>5800.03</v>
      </c>
      <c r="AK56" s="1013"/>
      <c r="AL56" s="1013"/>
      <c r="AM56" s="1013"/>
      <c r="AN56" s="885">
        <f>SUM(объемы!K38)</f>
        <v>5561.39</v>
      </c>
      <c r="AO56" s="2276"/>
      <c r="AP56" s="1047"/>
      <c r="AQ56" s="1048">
        <f t="shared" ref="AQ56:AQ62" si="30">AN56-AJ56</f>
        <v>-238.63999999999942</v>
      </c>
      <c r="AR56" s="2276"/>
      <c r="AS56" s="2276"/>
      <c r="AT56" s="1050">
        <f>SUM(объемы!N38)</f>
        <v>3367.79</v>
      </c>
      <c r="AU56" s="2276"/>
      <c r="AV56" s="2276"/>
      <c r="AW56" s="1050">
        <f>объемы!P38+объемы!Q38</f>
        <v>4982.8100000000004</v>
      </c>
      <c r="AX56" s="2986"/>
      <c r="AY56" s="2987"/>
      <c r="AZ56" s="2971">
        <f>SUM(объемы!T38)</f>
        <v>5757.92</v>
      </c>
      <c r="BA56" s="2972">
        <f t="shared" si="5"/>
        <v>1.0353382877302257</v>
      </c>
      <c r="BB56" s="2988"/>
      <c r="BC56" s="2988"/>
      <c r="BD56" s="2975">
        <f>SUM(объемы!U38:V38)</f>
        <v>5675.7370000000001</v>
      </c>
      <c r="BE56" s="2988"/>
      <c r="BF56" s="2973"/>
      <c r="BG56" s="2977">
        <f t="shared" ref="BG56:BG62" si="31">BD56-AZ56</f>
        <v>-82.182999999999993</v>
      </c>
      <c r="BH56" s="2988"/>
      <c r="BI56" s="2988"/>
      <c r="BJ56" s="2975">
        <f>объемы!Y38+объемы!Z38</f>
        <v>5560.400278476759</v>
      </c>
      <c r="BK56" s="2988"/>
      <c r="BL56" s="2973"/>
      <c r="BM56" s="2977">
        <f t="shared" ref="BM56:BM62" si="32">BJ56-BF56</f>
        <v>5560.400278476759</v>
      </c>
      <c r="BN56" s="2988"/>
      <c r="BO56" s="2988"/>
      <c r="BP56" s="2978">
        <f>BJ56</f>
        <v>5560.400278476759</v>
      </c>
      <c r="BQ56" s="2964"/>
      <c r="BR56" s="1014"/>
      <c r="BS56" s="1039">
        <f t="shared" ref="BS56:BS62" si="33">BP56-BL56</f>
        <v>5560.400278476759</v>
      </c>
      <c r="BT56" s="3022"/>
      <c r="BU56" s="3023"/>
      <c r="BV56" s="3228">
        <f>SUM(электр!BJ56)</f>
        <v>6716.13</v>
      </c>
      <c r="BW56" s="3022"/>
      <c r="BX56" s="3023"/>
      <c r="BY56" s="3027">
        <f>SUM(электр!BM56)</f>
        <v>3158.83</v>
      </c>
      <c r="BZ56" s="3023"/>
      <c r="CA56" s="3023"/>
      <c r="CB56" s="3027">
        <f>SUM(электр!BP56)</f>
        <v>4683.07</v>
      </c>
      <c r="CC56" s="3023"/>
      <c r="CD56" s="3023"/>
      <c r="CE56" s="3029">
        <f>SUM(электр!BS56)</f>
        <v>6244.0933333333332</v>
      </c>
      <c r="CF56" s="3238"/>
      <c r="CG56" s="3239"/>
      <c r="CH56" s="3237">
        <f>SUM(электр!BV56)</f>
        <v>5636.25</v>
      </c>
      <c r="CI56" s="3239"/>
      <c r="CJ56" s="3239"/>
      <c r="CK56" s="3237">
        <f>SUM(электр!BZ56)</f>
        <v>5570.6850000000004</v>
      </c>
    </row>
    <row r="57" spans="1:89" ht="45" customHeight="1">
      <c r="A57" s="1035" t="s">
        <v>146</v>
      </c>
      <c r="B57" s="801"/>
      <c r="C57" s="381"/>
      <c r="D57" s="381"/>
      <c r="E57" s="381"/>
      <c r="F57" s="381"/>
      <c r="G57" s="381"/>
      <c r="H57" s="381"/>
      <c r="I57" s="381"/>
      <c r="J57" s="812"/>
      <c r="K57" s="848"/>
      <c r="L57" s="1013"/>
      <c r="M57" s="1014">
        <f>L48/M56</f>
        <v>0.18573617021276598</v>
      </c>
      <c r="N57" s="1013"/>
      <c r="O57" s="1013"/>
      <c r="P57" s="1013"/>
      <c r="Q57" s="1014">
        <f>AH20</f>
        <v>0.14554379746835441</v>
      </c>
      <c r="R57" s="1013"/>
      <c r="S57" s="1014"/>
      <c r="T57" s="2282"/>
      <c r="U57" s="1013"/>
      <c r="V57" s="1014">
        <f t="shared" si="12"/>
        <v>-4.0192372744411564E-2</v>
      </c>
      <c r="W57" s="1013"/>
      <c r="X57" s="1027"/>
      <c r="Y57" s="1027"/>
      <c r="Z57" s="1014">
        <f>Y48/Z56</f>
        <v>0.14465748718976326</v>
      </c>
      <c r="AA57" s="1013"/>
      <c r="AB57" s="1013"/>
      <c r="AC57" s="1013"/>
      <c r="AD57" s="1014">
        <f>AC48/AD56</f>
        <v>0.13366227219852655</v>
      </c>
      <c r="AE57" s="1062"/>
      <c r="AF57" s="1062"/>
      <c r="AG57" s="1015">
        <f>AF48/AG56</f>
        <v>0.1305331116811648</v>
      </c>
      <c r="AH57" s="848"/>
      <c r="AI57" s="1013"/>
      <c r="AJ57" s="1014">
        <f>AI48/AJ56</f>
        <v>0.14599924483149224</v>
      </c>
      <c r="AK57" s="1013"/>
      <c r="AL57" s="1013"/>
      <c r="AM57" s="1013"/>
      <c r="AN57" s="1014">
        <f>AP20</f>
        <v>0.15880621825734828</v>
      </c>
      <c r="AO57" s="2276"/>
      <c r="AP57" s="1047"/>
      <c r="AQ57" s="1047">
        <f t="shared" si="30"/>
        <v>1.2806973425856044E-2</v>
      </c>
      <c r="AR57" s="2276"/>
      <c r="AS57" s="2276"/>
      <c r="AT57" s="1047">
        <f>AS48/AT56</f>
        <v>0.12322324135412244</v>
      </c>
      <c r="AU57" s="2276"/>
      <c r="AV57" s="2276"/>
      <c r="AW57" s="1047">
        <f>AV48/AW56</f>
        <v>0.10962027450374386</v>
      </c>
      <c r="AX57" s="2986"/>
      <c r="AY57" s="2987"/>
      <c r="AZ57" s="2989">
        <f>AY48/AZ56</f>
        <v>0.15819080501292135</v>
      </c>
      <c r="BA57" s="2972">
        <f t="shared" si="5"/>
        <v>0.99612475348144336</v>
      </c>
      <c r="BB57" s="2988"/>
      <c r="BC57" s="2988"/>
      <c r="BD57" s="2990">
        <v>0.124</v>
      </c>
      <c r="BE57" s="2988"/>
      <c r="BF57" s="2973"/>
      <c r="BG57" s="2991">
        <f t="shared" si="31"/>
        <v>-3.4190805012921349E-2</v>
      </c>
      <c r="BH57" s="2988"/>
      <c r="BI57" s="2988"/>
      <c r="BJ57" s="2990">
        <v>0.124</v>
      </c>
      <c r="BK57" s="2988"/>
      <c r="BL57" s="2973"/>
      <c r="BM57" s="2991">
        <f t="shared" si="32"/>
        <v>0.124</v>
      </c>
      <c r="BN57" s="2988"/>
      <c r="BO57" s="2988"/>
      <c r="BP57" s="2992">
        <v>0.124</v>
      </c>
      <c r="BQ57" s="2964"/>
      <c r="BR57" s="1014"/>
      <c r="BS57" s="1028">
        <f t="shared" si="33"/>
        <v>0.124</v>
      </c>
      <c r="BT57" s="3022"/>
      <c r="BU57" s="3023"/>
      <c r="BV57" s="3231">
        <f>SUM(BU48/BV56)</f>
        <v>0.11051751529526677</v>
      </c>
      <c r="BW57" s="3022"/>
      <c r="BX57" s="3023"/>
      <c r="BY57" s="3034">
        <f>SUM(BX48/BY56)</f>
        <v>0.1262397786522225</v>
      </c>
      <c r="BZ57" s="3023"/>
      <c r="CA57" s="3023"/>
      <c r="CB57" s="3034">
        <f>SUM(CA48/CB56)</f>
        <v>0.11728524237305871</v>
      </c>
      <c r="CC57" s="3023"/>
      <c r="CD57" s="3023"/>
      <c r="CE57" s="3035">
        <f>SUM(CD48/CE56)</f>
        <v>0.11728524237305871</v>
      </c>
      <c r="CF57" s="3238"/>
      <c r="CG57" s="3239"/>
      <c r="CH57" s="3244">
        <f>SUM(CG48/CH56)</f>
        <v>0.124</v>
      </c>
      <c r="CI57" s="3239"/>
      <c r="CJ57" s="3239"/>
      <c r="CK57" s="3244">
        <f>SUM(CJ48/CK56)</f>
        <v>0.12400629366047441</v>
      </c>
    </row>
    <row r="58" spans="1:89" ht="45.75" customHeight="1">
      <c r="A58" s="1035" t="s">
        <v>882</v>
      </c>
      <c r="B58" s="801"/>
      <c r="C58" s="381"/>
      <c r="D58" s="381"/>
      <c r="E58" s="381"/>
      <c r="F58" s="381"/>
      <c r="G58" s="381"/>
      <c r="H58" s="381"/>
      <c r="I58" s="381"/>
      <c r="J58" s="812"/>
      <c r="K58" s="848"/>
      <c r="L58" s="1013"/>
      <c r="M58" s="885">
        <f>объемы!E43</f>
        <v>4999</v>
      </c>
      <c r="N58" s="1013"/>
      <c r="O58" s="1013"/>
      <c r="P58" s="1013"/>
      <c r="Q58" s="885">
        <f>объемы!F43</f>
        <v>5051.2</v>
      </c>
      <c r="R58" s="1013"/>
      <c r="S58" s="1014"/>
      <c r="T58" s="2282"/>
      <c r="U58" s="1013"/>
      <c r="V58" s="2282">
        <f t="shared" si="12"/>
        <v>52.199999999999818</v>
      </c>
      <c r="W58" s="1013"/>
      <c r="X58" s="1027"/>
      <c r="Y58" s="1027"/>
      <c r="Z58" s="885">
        <v>3054.18</v>
      </c>
      <c r="AA58" s="1013"/>
      <c r="AB58" s="1013"/>
      <c r="AC58" s="1013"/>
      <c r="AD58" s="885">
        <v>4509.2</v>
      </c>
      <c r="AE58" s="1062"/>
      <c r="AF58" s="1062"/>
      <c r="AG58" s="426">
        <f>SUM(объемы!I43)</f>
        <v>6136.9000000000005</v>
      </c>
      <c r="AH58" s="848"/>
      <c r="AI58" s="1013"/>
      <c r="AJ58" s="885">
        <f>SUM(объемы!J43)</f>
        <v>5046.03</v>
      </c>
      <c r="AK58" s="1013"/>
      <c r="AL58" s="1013"/>
      <c r="AM58" s="1013"/>
      <c r="AN58" s="885">
        <f>SUM(объемы!K43)</f>
        <v>5050.4000000000005</v>
      </c>
      <c r="AO58" s="2276"/>
      <c r="AP58" s="1047"/>
      <c r="AQ58" s="1048">
        <f t="shared" si="30"/>
        <v>4.3700000000008004</v>
      </c>
      <c r="AR58" s="2276"/>
      <c r="AS58" s="2276"/>
      <c r="AT58" s="1050">
        <f>SUM(объемы!N43)</f>
        <v>2888.49</v>
      </c>
      <c r="AU58" s="2276"/>
      <c r="AV58" s="2276"/>
      <c r="AW58" s="1050">
        <f>объемы!P38</f>
        <v>4965.25</v>
      </c>
      <c r="AX58" s="2986"/>
      <c r="AY58" s="2987"/>
      <c r="AZ58" s="2971">
        <f>SUM(объемы!T43)</f>
        <v>5007.92</v>
      </c>
      <c r="BA58" s="2972">
        <f t="shared" si="5"/>
        <v>0.99158878504672887</v>
      </c>
      <c r="BB58" s="2988"/>
      <c r="BC58" s="2988"/>
      <c r="BD58" s="2975">
        <f>объемы!U43</f>
        <v>4967.9170000000004</v>
      </c>
      <c r="BE58" s="2988"/>
      <c r="BF58" s="2973"/>
      <c r="BG58" s="2977">
        <f t="shared" si="31"/>
        <v>-40.002999999999702</v>
      </c>
      <c r="BH58" s="2988"/>
      <c r="BI58" s="2988"/>
      <c r="BJ58" s="2975">
        <f>объемы!Y43</f>
        <v>4852.5802784767593</v>
      </c>
      <c r="BK58" s="2988"/>
      <c r="BL58" s="2973"/>
      <c r="BM58" s="2977">
        <f t="shared" si="32"/>
        <v>4852.5802784767593</v>
      </c>
      <c r="BN58" s="2988"/>
      <c r="BO58" s="2988"/>
      <c r="BP58" s="2978">
        <f>BJ58</f>
        <v>4852.5802784767593</v>
      </c>
      <c r="BQ58" s="2964"/>
      <c r="BR58" s="1014"/>
      <c r="BS58" s="1039">
        <f t="shared" si="33"/>
        <v>4852.5802784767593</v>
      </c>
      <c r="BT58" s="3022"/>
      <c r="BU58" s="3023"/>
      <c r="BV58" s="3228">
        <f>SUM(электр!BJ58)</f>
        <v>5666.93</v>
      </c>
      <c r="BW58" s="3022"/>
      <c r="BX58" s="3023"/>
      <c r="BY58" s="3027">
        <f>SUM(электр!BM58)</f>
        <v>2511.62</v>
      </c>
      <c r="BZ58" s="3023"/>
      <c r="CA58" s="3023"/>
      <c r="CB58" s="3027">
        <f>SUM(электр!BP58)</f>
        <v>3803.72</v>
      </c>
      <c r="CC58" s="3023"/>
      <c r="CD58" s="3023"/>
      <c r="CE58" s="3029">
        <f>SUM(электр!BS58)</f>
        <v>5071.6266666666661</v>
      </c>
      <c r="CF58" s="3238"/>
      <c r="CG58" s="3239"/>
      <c r="CH58" s="3237">
        <f>SUM(электр!BV58)</f>
        <v>4736.25</v>
      </c>
      <c r="CI58" s="3239"/>
      <c r="CJ58" s="3239"/>
      <c r="CK58" s="3237">
        <f>SUM(электр!BZ58)</f>
        <v>4696.1390000000001</v>
      </c>
    </row>
    <row r="59" spans="1:89" ht="40.5" customHeight="1">
      <c r="A59" s="1035" t="s">
        <v>147</v>
      </c>
      <c r="B59" s="801"/>
      <c r="C59" s="381"/>
      <c r="D59" s="381"/>
      <c r="E59" s="381"/>
      <c r="F59" s="381"/>
      <c r="G59" s="381"/>
      <c r="H59" s="381"/>
      <c r="I59" s="381"/>
      <c r="J59" s="812"/>
      <c r="K59" s="848"/>
      <c r="L59" s="1013"/>
      <c r="M59" s="1014">
        <f>L50/M58</f>
        <v>0.35103020604120821</v>
      </c>
      <c r="N59" s="1013"/>
      <c r="O59" s="1013"/>
      <c r="P59" s="1013"/>
      <c r="Q59" s="1014">
        <f>AH22</f>
        <v>0.26482803446738967</v>
      </c>
      <c r="R59" s="1013"/>
      <c r="S59" s="1014"/>
      <c r="T59" s="2282"/>
      <c r="U59" s="1013"/>
      <c r="V59" s="1014">
        <f t="shared" si="12"/>
        <v>-8.6202171573818542E-2</v>
      </c>
      <c r="W59" s="1013"/>
      <c r="X59" s="1027"/>
      <c r="Y59" s="1027"/>
      <c r="Z59" s="1014">
        <f>Y50/Z58</f>
        <v>0.26849105160796027</v>
      </c>
      <c r="AA59" s="1013"/>
      <c r="AB59" s="1013"/>
      <c r="AC59" s="1013"/>
      <c r="AD59" s="1014">
        <f>AC50/AD58</f>
        <v>0.26396034773352256</v>
      </c>
      <c r="AE59" s="1062"/>
      <c r="AF59" s="1062"/>
      <c r="AG59" s="1015">
        <f>AF50/AG58</f>
        <v>0.24905571216738093</v>
      </c>
      <c r="AH59" s="848"/>
      <c r="AI59" s="1013"/>
      <c r="AJ59" s="1014">
        <f>AI50/AJ58</f>
        <v>0.27498845627156399</v>
      </c>
      <c r="AK59" s="1013"/>
      <c r="AL59" s="1013"/>
      <c r="AM59" s="1013"/>
      <c r="AN59" s="1014">
        <f>AP22</f>
        <v>0.24172159546971789</v>
      </c>
      <c r="AO59" s="2276"/>
      <c r="AP59" s="1047"/>
      <c r="AQ59" s="1047">
        <f t="shared" si="30"/>
        <v>-3.3266860801846099E-2</v>
      </c>
      <c r="AR59" s="2276"/>
      <c r="AS59" s="2276"/>
      <c r="AT59" s="1047">
        <f>AS50/AT58</f>
        <v>0.23473164179207823</v>
      </c>
      <c r="AU59" s="2276"/>
      <c r="AV59" s="2276"/>
      <c r="AW59" s="1047">
        <f>AV50/AW58</f>
        <v>0.20463420774381955</v>
      </c>
      <c r="AX59" s="2986"/>
      <c r="AY59" s="2987"/>
      <c r="AZ59" s="2989">
        <f>AY50/AZ58</f>
        <v>0.30520255914631222</v>
      </c>
      <c r="BA59" s="2972">
        <f t="shared" si="5"/>
        <v>1.2626201583405776</v>
      </c>
      <c r="BB59" s="2988"/>
      <c r="BC59" s="2988"/>
      <c r="BD59" s="2990">
        <v>0.249</v>
      </c>
      <c r="BE59" s="2988"/>
      <c r="BF59" s="2973"/>
      <c r="BG59" s="2991">
        <f t="shared" si="31"/>
        <v>-5.6202559146312225E-2</v>
      </c>
      <c r="BH59" s="2988"/>
      <c r="BI59" s="2988"/>
      <c r="BJ59" s="2990">
        <v>0.24199999999999999</v>
      </c>
      <c r="BK59" s="2988"/>
      <c r="BL59" s="2973"/>
      <c r="BM59" s="2991">
        <f t="shared" si="32"/>
        <v>0.24199999999999999</v>
      </c>
      <c r="BN59" s="2988"/>
      <c r="BO59" s="2988"/>
      <c r="BP59" s="2992">
        <v>0.24199999999999999</v>
      </c>
      <c r="BQ59" s="2964"/>
      <c r="BR59" s="1014"/>
      <c r="BS59" s="1028">
        <f t="shared" si="33"/>
        <v>0.24199999999999999</v>
      </c>
      <c r="BT59" s="3022"/>
      <c r="BU59" s="3023"/>
      <c r="BV59" s="3231">
        <f>SUM(BU50/BV58)</f>
        <v>0.25099127746416489</v>
      </c>
      <c r="BW59" s="3022"/>
      <c r="BX59" s="3023"/>
      <c r="BY59" s="3034">
        <f>SUM(BX50/BY58)</f>
        <v>0.32946464831463362</v>
      </c>
      <c r="BZ59" s="3023"/>
      <c r="CA59" s="3023"/>
      <c r="CB59" s="3034">
        <f>SUM(CA50/CB58)</f>
        <v>0.29840997760087495</v>
      </c>
      <c r="CC59" s="3023"/>
      <c r="CD59" s="3023"/>
      <c r="CE59" s="3035">
        <f>SUM(CD50/CE58)</f>
        <v>0.29840997760087495</v>
      </c>
      <c r="CF59" s="3238"/>
      <c r="CG59" s="3239"/>
      <c r="CH59" s="3244">
        <f>SUM(CG50/CH58)</f>
        <v>0.24900000000000003</v>
      </c>
      <c r="CI59" s="3239"/>
      <c r="CJ59" s="3239"/>
      <c r="CK59" s="3244">
        <f>SUM(CJ50/CK58)</f>
        <v>0.24200731707472883</v>
      </c>
    </row>
    <row r="60" spans="1:89" ht="48" customHeight="1">
      <c r="A60" s="1036" t="s">
        <v>148</v>
      </c>
      <c r="B60" s="801"/>
      <c r="C60" s="381"/>
      <c r="D60" s="381"/>
      <c r="E60" s="381"/>
      <c r="F60" s="381"/>
      <c r="G60" s="381"/>
      <c r="H60" s="381"/>
      <c r="I60" s="381"/>
      <c r="J60" s="812"/>
      <c r="K60" s="848"/>
      <c r="L60" s="1013"/>
      <c r="M60" s="885">
        <f>объемы!E57</f>
        <v>3600</v>
      </c>
      <c r="N60" s="1013"/>
      <c r="O60" s="1013"/>
      <c r="P60" s="1013"/>
      <c r="Q60" s="885">
        <f>объемы!F56</f>
        <v>3672.7</v>
      </c>
      <c r="R60" s="1013"/>
      <c r="S60" s="1014"/>
      <c r="T60" s="2282"/>
      <c r="U60" s="1013"/>
      <c r="V60" s="2282">
        <f t="shared" si="12"/>
        <v>72.699999999999818</v>
      </c>
      <c r="W60" s="1013"/>
      <c r="X60" s="1027"/>
      <c r="Y60" s="1027"/>
      <c r="Z60" s="885">
        <v>1773.8</v>
      </c>
      <c r="AA60" s="1013"/>
      <c r="AB60" s="1013"/>
      <c r="AC60" s="1013"/>
      <c r="AD60" s="885">
        <v>2603.1999999999998</v>
      </c>
      <c r="AE60" s="1062"/>
      <c r="AF60" s="1062"/>
      <c r="AG60" s="426">
        <f>объемы!I56</f>
        <v>4393.3999999999996</v>
      </c>
      <c r="AH60" s="848"/>
      <c r="AI60" s="1013"/>
      <c r="AJ60" s="885">
        <f>объемы!J57</f>
        <v>3672.7</v>
      </c>
      <c r="AK60" s="1013"/>
      <c r="AL60" s="1013"/>
      <c r="AM60" s="1013"/>
      <c r="AN60" s="885">
        <f>объемы!K56</f>
        <v>3644.7</v>
      </c>
      <c r="AO60" s="2276"/>
      <c r="AP60" s="1047"/>
      <c r="AQ60" s="1048">
        <f t="shared" si="30"/>
        <v>-28</v>
      </c>
      <c r="AR60" s="2276"/>
      <c r="AS60" s="2276"/>
      <c r="AT60" s="1050">
        <f>объемы!N56</f>
        <v>2027.43</v>
      </c>
      <c r="AU60" s="2276"/>
      <c r="AV60" s="2276"/>
      <c r="AW60" s="1050">
        <f>объемы!P56</f>
        <v>2915.24</v>
      </c>
      <c r="AX60" s="2986"/>
      <c r="AY60" s="2987"/>
      <c r="AZ60" s="2971">
        <f>SUM(объемы!T57)</f>
        <v>3463.9333333333334</v>
      </c>
      <c r="BA60" s="2972">
        <f t="shared" si="5"/>
        <v>0.95040286809156682</v>
      </c>
      <c r="BB60" s="2988"/>
      <c r="BC60" s="2988"/>
      <c r="BD60" s="2975">
        <f>SUM(объемы!U57:V57)</f>
        <v>3463.9333333333334</v>
      </c>
      <c r="BE60" s="2988"/>
      <c r="BF60" s="2973"/>
      <c r="BG60" s="2977">
        <f t="shared" si="31"/>
        <v>0</v>
      </c>
      <c r="BH60" s="2988"/>
      <c r="BI60" s="2988"/>
      <c r="BJ60" s="2975">
        <f>объемы!Y57+объемы!Z57</f>
        <v>3463.9333333333334</v>
      </c>
      <c r="BK60" s="2988"/>
      <c r="BL60" s="2973"/>
      <c r="BM60" s="2977">
        <f t="shared" si="32"/>
        <v>3463.9333333333334</v>
      </c>
      <c r="BN60" s="2988"/>
      <c r="BO60" s="2988"/>
      <c r="BP60" s="2978">
        <f>BJ60</f>
        <v>3463.9333333333334</v>
      </c>
      <c r="BQ60" s="2964"/>
      <c r="BR60" s="1014"/>
      <c r="BS60" s="1039">
        <f t="shared" si="33"/>
        <v>3463.9333333333334</v>
      </c>
      <c r="BT60" s="3022"/>
      <c r="BU60" s="3023"/>
      <c r="BV60" s="3228">
        <f>SUM(электр!BJ60)</f>
        <v>3209.95</v>
      </c>
      <c r="BW60" s="3022"/>
      <c r="BX60" s="3023"/>
      <c r="BY60" s="3027">
        <f>SUM(электр!BM60)</f>
        <v>1577.71</v>
      </c>
      <c r="BZ60" s="3023"/>
      <c r="CA60" s="3023"/>
      <c r="CB60" s="3027">
        <f>SUM(электр!BP60)</f>
        <v>2304.86</v>
      </c>
      <c r="CC60" s="3023"/>
      <c r="CD60" s="3023"/>
      <c r="CE60" s="3029">
        <f>SUM(электр!BS60)</f>
        <v>3073.1466666666661</v>
      </c>
      <c r="CF60" s="3238"/>
      <c r="CG60" s="3239"/>
      <c r="CH60" s="3237">
        <f>SUM(электр!BV60)</f>
        <v>3223</v>
      </c>
      <c r="CI60" s="3239"/>
      <c r="CJ60" s="3239"/>
      <c r="CK60" s="3237">
        <f>SUM(электр!BZ60)</f>
        <v>3295.75</v>
      </c>
    </row>
    <row r="61" spans="1:89" ht="56.25" customHeight="1">
      <c r="A61" s="1035" t="s">
        <v>149</v>
      </c>
      <c r="B61" s="801"/>
      <c r="C61" s="381"/>
      <c r="D61" s="381"/>
      <c r="E61" s="381"/>
      <c r="F61" s="381"/>
      <c r="G61" s="381"/>
      <c r="H61" s="381"/>
      <c r="I61" s="381"/>
      <c r="J61" s="812"/>
      <c r="K61" s="848"/>
      <c r="L61" s="1013"/>
      <c r="M61" s="1014">
        <f>L52/M60</f>
        <v>0.1105</v>
      </c>
      <c r="N61" s="1013"/>
      <c r="O61" s="1013"/>
      <c r="P61" s="1013"/>
      <c r="Q61" s="1014">
        <f>AB25</f>
        <v>9.9000000000000005E-2</v>
      </c>
      <c r="R61" s="1013"/>
      <c r="S61" s="1014"/>
      <c r="T61" s="2282"/>
      <c r="U61" s="1013"/>
      <c r="V61" s="1014">
        <f t="shared" si="12"/>
        <v>-1.1499999999999996E-2</v>
      </c>
      <c r="W61" s="1013"/>
      <c r="X61" s="1027"/>
      <c r="Y61" s="1027"/>
      <c r="Z61" s="1014">
        <f>Y52/Z60</f>
        <v>9.1423497575825907E-2</v>
      </c>
      <c r="AA61" s="1013"/>
      <c r="AB61" s="1013"/>
      <c r="AC61" s="1013"/>
      <c r="AD61" s="1014">
        <f>AC52/AD60</f>
        <v>8.6067148125384157E-2</v>
      </c>
      <c r="AE61" s="1062"/>
      <c r="AF61" s="1062"/>
      <c r="AG61" s="2148">
        <f>AF52/AG60</f>
        <v>6.9781945645741347E-2</v>
      </c>
      <c r="AH61" s="848"/>
      <c r="AI61" s="1013"/>
      <c r="AJ61" s="1014">
        <f>AI52/AJ60</f>
        <v>0.1083126854902388</v>
      </c>
      <c r="AK61" s="1013"/>
      <c r="AL61" s="1013"/>
      <c r="AM61" s="1013"/>
      <c r="AN61" s="1014">
        <f>Q61</f>
        <v>9.9000000000000005E-2</v>
      </c>
      <c r="AO61" s="2276"/>
      <c r="AP61" s="1047"/>
      <c r="AQ61" s="1047">
        <f t="shared" si="30"/>
        <v>-9.3126854902387951E-3</v>
      </c>
      <c r="AR61" s="2276"/>
      <c r="AS61" s="2276"/>
      <c r="AT61" s="1047">
        <f>AS52/AT60</f>
        <v>7.2579571181249164E-2</v>
      </c>
      <c r="AU61" s="2276"/>
      <c r="AV61" s="2276"/>
      <c r="AW61" s="1047">
        <f>AV52/AW60</f>
        <v>6.5847065764739796E-2</v>
      </c>
      <c r="AX61" s="2986"/>
      <c r="AY61" s="2987"/>
      <c r="AZ61" s="2989">
        <f>AY52/AZ60</f>
        <v>8.8506322292576836E-2</v>
      </c>
      <c r="BA61" s="2972">
        <f t="shared" si="5"/>
        <v>0.89400325548057402</v>
      </c>
      <c r="BB61" s="2988"/>
      <c r="BC61" s="2988"/>
      <c r="BD61" s="2990">
        <v>8.4000000000000005E-2</v>
      </c>
      <c r="BE61" s="2988"/>
      <c r="BF61" s="2973"/>
      <c r="BG61" s="2991">
        <f t="shared" si="31"/>
        <v>-4.5063222925768309E-3</v>
      </c>
      <c r="BH61" s="2988"/>
      <c r="BI61" s="2988"/>
      <c r="BJ61" s="2990">
        <v>8.4000000000000005E-2</v>
      </c>
      <c r="BK61" s="2988"/>
      <c r="BL61" s="2973"/>
      <c r="BM61" s="2991">
        <f t="shared" si="32"/>
        <v>8.4000000000000005E-2</v>
      </c>
      <c r="BN61" s="2988"/>
      <c r="BO61" s="2988"/>
      <c r="BP61" s="2992">
        <v>8.4000000000000005E-2</v>
      </c>
      <c r="BQ61" s="2964"/>
      <c r="BR61" s="1014"/>
      <c r="BS61" s="1028">
        <f t="shared" si="33"/>
        <v>8.4000000000000005E-2</v>
      </c>
      <c r="BT61" s="3022"/>
      <c r="BU61" s="3023"/>
      <c r="BV61" s="3231">
        <f>SUM(BU52/BV60)</f>
        <v>8.3178865714419237E-2</v>
      </c>
      <c r="BW61" s="3022"/>
      <c r="BX61" s="3023"/>
      <c r="BY61" s="3034">
        <f>SUM(BX52/BY60)</f>
        <v>9.9758510752926702E-2</v>
      </c>
      <c r="BZ61" s="3023"/>
      <c r="CA61" s="3023"/>
      <c r="CB61" s="3034">
        <f>SUM(CA52/CB60)</f>
        <v>8.9345990645852677E-2</v>
      </c>
      <c r="CC61" s="3023"/>
      <c r="CD61" s="3023"/>
      <c r="CE61" s="3035">
        <f>SUM(CD52/CE60)</f>
        <v>8.9345990645852691E-2</v>
      </c>
      <c r="CF61" s="3238"/>
      <c r="CG61" s="3239"/>
      <c r="CH61" s="3244">
        <f>SUM(CG52/CH60)</f>
        <v>8.4000000000000005E-2</v>
      </c>
      <c r="CI61" s="3239"/>
      <c r="CJ61" s="3239"/>
      <c r="CK61" s="3244">
        <f>SUM(CJ52/CK60)</f>
        <v>8.3986952893878489E-2</v>
      </c>
    </row>
    <row r="62" spans="1:89" ht="58.5" customHeight="1" thickBot="1">
      <c r="A62" s="1037" t="s">
        <v>150</v>
      </c>
      <c r="B62" s="801"/>
      <c r="C62" s="381"/>
      <c r="D62" s="381"/>
      <c r="E62" s="381"/>
      <c r="F62" s="381"/>
      <c r="G62" s="381"/>
      <c r="H62" s="381"/>
      <c r="I62" s="381"/>
      <c r="J62" s="812"/>
      <c r="K62" s="2274"/>
      <c r="L62" s="410"/>
      <c r="M62" s="1029">
        <f>L54/M60</f>
        <v>0.63394444444444442</v>
      </c>
      <c r="N62" s="410"/>
      <c r="O62" s="410"/>
      <c r="P62" s="410"/>
      <c r="Q62" s="1029">
        <f>AH26</f>
        <v>0.39184614210486146</v>
      </c>
      <c r="R62" s="410"/>
      <c r="S62" s="1029"/>
      <c r="T62" s="665"/>
      <c r="U62" s="410"/>
      <c r="V62" s="1029">
        <f t="shared" si="12"/>
        <v>-0.24209830233958296</v>
      </c>
      <c r="W62" s="410"/>
      <c r="X62" s="1030"/>
      <c r="Y62" s="1030"/>
      <c r="Z62" s="1029">
        <f>Y54/Z60</f>
        <v>0.5300879467809223</v>
      </c>
      <c r="AA62" s="410"/>
      <c r="AB62" s="410"/>
      <c r="AC62" s="410"/>
      <c r="AD62" s="1029">
        <f>AC54/AD60</f>
        <v>0.52707437000614632</v>
      </c>
      <c r="AE62" s="1063"/>
      <c r="AF62" s="1063"/>
      <c r="AG62" s="2149">
        <f>AF54/AG60</f>
        <v>0.42197159375426785</v>
      </c>
      <c r="AH62" s="2274"/>
      <c r="AI62" s="410"/>
      <c r="AJ62" s="1029">
        <f>AI54/AJ60</f>
        <v>0.6213957034334413</v>
      </c>
      <c r="AK62" s="410"/>
      <c r="AL62" s="410"/>
      <c r="AM62" s="410"/>
      <c r="AN62" s="1029">
        <f>Q62</f>
        <v>0.39184614210486146</v>
      </c>
      <c r="AO62" s="2275"/>
      <c r="AP62" s="1056"/>
      <c r="AQ62" s="1056">
        <f t="shared" si="30"/>
        <v>-0.22954956132857984</v>
      </c>
      <c r="AR62" s="2275"/>
      <c r="AS62" s="2275"/>
      <c r="AT62" s="1056">
        <f>AS54/AT60</f>
        <v>0.46817892602950534</v>
      </c>
      <c r="AU62" s="2275"/>
      <c r="AV62" s="2275"/>
      <c r="AW62" s="1056">
        <f>AV54/AW60</f>
        <v>0.47851291831890347</v>
      </c>
      <c r="AX62" s="2993"/>
      <c r="AY62" s="2994"/>
      <c r="AZ62" s="2995">
        <f>AY54/AZ60</f>
        <v>0.5351979445331897</v>
      </c>
      <c r="BA62" s="2996">
        <f t="shared" si="5"/>
        <v>1.3658369625850904</v>
      </c>
      <c r="BB62" s="2997"/>
      <c r="BC62" s="2997"/>
      <c r="BD62" s="2998">
        <v>0.42</v>
      </c>
      <c r="BE62" s="2997"/>
      <c r="BF62" s="2999"/>
      <c r="BG62" s="3000">
        <f t="shared" si="31"/>
        <v>-0.11519794453318971</v>
      </c>
      <c r="BH62" s="2997"/>
      <c r="BI62" s="2997"/>
      <c r="BJ62" s="2998">
        <v>0.42</v>
      </c>
      <c r="BK62" s="2997"/>
      <c r="BL62" s="2999"/>
      <c r="BM62" s="3000">
        <f t="shared" si="32"/>
        <v>0.42</v>
      </c>
      <c r="BN62" s="2997"/>
      <c r="BO62" s="2997"/>
      <c r="BP62" s="3001">
        <v>0.42</v>
      </c>
      <c r="BQ62" s="2965"/>
      <c r="BR62" s="1029"/>
      <c r="BS62" s="1031">
        <f t="shared" si="33"/>
        <v>0.42</v>
      </c>
      <c r="BT62" s="3026"/>
      <c r="BU62" s="3232"/>
      <c r="BV62" s="3233">
        <f>SUM(BU54/BV60)</f>
        <v>0.57838284085421887</v>
      </c>
      <c r="BW62" s="3026"/>
      <c r="BX62" s="3036"/>
      <c r="BY62" s="3037">
        <f>SUM(BX54/BY60)</f>
        <v>0.57181611322739923</v>
      </c>
      <c r="BZ62" s="3036"/>
      <c r="CA62" s="3036"/>
      <c r="CB62" s="3037">
        <f>SUM(CA54/CB60)</f>
        <v>0.57833577744418307</v>
      </c>
      <c r="CC62" s="3036"/>
      <c r="CD62" s="3036"/>
      <c r="CE62" s="3038">
        <f>SUM(CD54/CE60)</f>
        <v>0.5783357774441833</v>
      </c>
      <c r="CF62" s="3245"/>
      <c r="CG62" s="3246"/>
      <c r="CH62" s="3247">
        <f>SUM(CG54/CH60)</f>
        <v>0.41999999999999993</v>
      </c>
      <c r="CI62" s="3246"/>
      <c r="CJ62" s="3246"/>
      <c r="CK62" s="3247">
        <f>SUM(CJ54/CK60)</f>
        <v>0.41999544868391109</v>
      </c>
    </row>
    <row r="64" spans="1:89" ht="16.5">
      <c r="A64" s="646" t="s">
        <v>446</v>
      </c>
      <c r="B64" s="646"/>
      <c r="C64" s="646"/>
      <c r="D64" s="646"/>
      <c r="E64" s="646"/>
      <c r="F64" s="646"/>
      <c r="G64" s="646"/>
      <c r="H64" s="646"/>
      <c r="I64" s="646"/>
      <c r="J64" s="646"/>
      <c r="K64" s="646"/>
      <c r="L64" s="646"/>
      <c r="M64" s="646"/>
      <c r="N64" s="646"/>
      <c r="O64" s="646"/>
      <c r="P64" s="646"/>
      <c r="Q64" s="646"/>
      <c r="R64" s="646"/>
      <c r="S64" s="646"/>
      <c r="T64" s="646"/>
      <c r="U64" s="5"/>
      <c r="V64" s="5"/>
      <c r="W64" s="5"/>
      <c r="X64" s="5"/>
      <c r="Y64" s="5"/>
      <c r="Z64" s="5"/>
      <c r="AU64">
        <f t="shared" ref="AU64:AU66" si="34">AW64/AV64</f>
        <v>5.3312199471145423</v>
      </c>
      <c r="AV64" s="130">
        <f>AV48-AS48</f>
        <v>131.22699999999998</v>
      </c>
      <c r="AW64" s="157">
        <f>AW48-AT48</f>
        <v>699.59999999999991</v>
      </c>
    </row>
    <row r="65" spans="1:49" ht="16.5">
      <c r="A65" s="646" t="s">
        <v>447</v>
      </c>
      <c r="B65" s="646"/>
      <c r="C65" s="646"/>
      <c r="D65" s="646"/>
      <c r="E65" s="646"/>
      <c r="F65" s="646"/>
      <c r="G65" s="646"/>
      <c r="H65" s="646"/>
      <c r="I65" s="646"/>
      <c r="J65" s="646"/>
      <c r="K65" s="646"/>
      <c r="L65" s="646"/>
      <c r="M65" s="646"/>
      <c r="N65" s="646"/>
      <c r="O65" s="646"/>
      <c r="P65" s="646"/>
      <c r="Q65" s="646"/>
      <c r="R65" s="646"/>
      <c r="S65" s="646"/>
      <c r="T65" s="646"/>
      <c r="U65" s="5"/>
      <c r="V65" s="5"/>
      <c r="W65" s="5"/>
      <c r="X65" s="5"/>
      <c r="Y65" s="5"/>
      <c r="Z65" s="5"/>
      <c r="AU65" t="e">
        <f t="shared" si="34"/>
        <v>#DIV/0!</v>
      </c>
      <c r="AV65" s="130">
        <f t="shared" ref="AV65:AV66" si="35">AV49-AS49</f>
        <v>0</v>
      </c>
      <c r="AW65" s="157">
        <f>AW49-AT49</f>
        <v>72.900000000000006</v>
      </c>
    </row>
    <row r="66" spans="1:49" ht="16.5">
      <c r="A66" s="647" t="s">
        <v>448</v>
      </c>
      <c r="B66" s="646"/>
      <c r="C66" s="646"/>
      <c r="D66" s="646"/>
      <c r="E66" s="646"/>
      <c r="F66" s="646"/>
      <c r="G66" s="646"/>
      <c r="H66" s="646"/>
      <c r="I66" s="646"/>
      <c r="J66" s="646"/>
      <c r="K66" s="646"/>
      <c r="L66" s="648"/>
      <c r="M66" s="646" t="s">
        <v>452</v>
      </c>
      <c r="N66" s="646"/>
      <c r="O66" s="646"/>
      <c r="P66" s="646"/>
      <c r="Q66" s="646"/>
      <c r="R66" s="646"/>
      <c r="S66" s="646"/>
      <c r="T66" s="646"/>
      <c r="U66" s="5"/>
      <c r="V66" s="29"/>
      <c r="W66" s="29"/>
      <c r="X66" s="29"/>
      <c r="Y66" s="29"/>
      <c r="Z66" s="29"/>
      <c r="AA66" s="294"/>
      <c r="AB66" s="294"/>
      <c r="AU66">
        <f t="shared" si="34"/>
        <v>4.2196189800023669</v>
      </c>
      <c r="AV66" s="130">
        <f t="shared" si="35"/>
        <v>338.03999999999996</v>
      </c>
      <c r="AW66" s="157">
        <f>AW50-AT50</f>
        <v>1426.4</v>
      </c>
    </row>
    <row r="67" spans="1:49" ht="16.5">
      <c r="A67" s="647" t="s">
        <v>449</v>
      </c>
      <c r="B67" s="646"/>
      <c r="C67" s="646"/>
      <c r="D67" s="646"/>
      <c r="E67" s="646"/>
      <c r="F67" s="646"/>
      <c r="G67" s="646"/>
      <c r="H67" s="646"/>
      <c r="I67" s="646"/>
      <c r="J67" s="646"/>
      <c r="K67" s="646"/>
      <c r="L67" s="648">
        <f>AN59</f>
        <v>0.24172159546971789</v>
      </c>
      <c r="M67" s="646" t="s">
        <v>452</v>
      </c>
      <c r="N67" s="646"/>
      <c r="O67" s="646"/>
      <c r="P67" s="646"/>
      <c r="Q67" s="646"/>
      <c r="R67" s="646"/>
      <c r="S67" s="646"/>
      <c r="T67" s="646"/>
      <c r="U67" s="5"/>
      <c r="V67" s="29"/>
      <c r="W67" s="29"/>
      <c r="X67" s="4842"/>
      <c r="Y67" s="4842"/>
      <c r="Z67" s="4842"/>
      <c r="AA67" s="294"/>
      <c r="AB67" s="294"/>
      <c r="AU67">
        <f>AW67/AV67</f>
        <v>4.6858185212256567</v>
      </c>
      <c r="AV67" s="130">
        <f>SUM(AV64:AV66)</f>
        <v>469.26699999999994</v>
      </c>
      <c r="AW67" s="157">
        <f>SUM(AW64:AW66)</f>
        <v>2198.9</v>
      </c>
    </row>
    <row r="68" spans="1:49" ht="16.5">
      <c r="A68" s="647" t="s">
        <v>450</v>
      </c>
      <c r="B68" s="646"/>
      <c r="C68" s="646"/>
      <c r="D68" s="646"/>
      <c r="E68" s="646"/>
      <c r="F68" s="646"/>
      <c r="G68" s="646"/>
      <c r="H68" s="646"/>
      <c r="I68" s="646"/>
      <c r="J68" s="646"/>
      <c r="K68" s="646"/>
      <c r="L68" s="648">
        <f>AN61</f>
        <v>9.9000000000000005E-2</v>
      </c>
      <c r="M68" s="646" t="s">
        <v>453</v>
      </c>
      <c r="N68" s="646"/>
      <c r="O68" s="646"/>
      <c r="P68" s="646"/>
      <c r="Q68" s="646"/>
      <c r="R68" s="646"/>
      <c r="S68" s="646"/>
      <c r="T68" s="646"/>
      <c r="U68" s="5"/>
      <c r="V68" s="29"/>
      <c r="W68" s="29"/>
      <c r="X68" s="29"/>
      <c r="Y68" s="649"/>
      <c r="Z68" s="649"/>
      <c r="AA68" s="294"/>
      <c r="AB68" s="294"/>
    </row>
    <row r="69" spans="1:49" ht="16.5">
      <c r="A69" s="647" t="s">
        <v>451</v>
      </c>
      <c r="B69" s="646"/>
      <c r="C69" s="646"/>
      <c r="D69" s="646"/>
      <c r="E69" s="646"/>
      <c r="F69" s="646"/>
      <c r="G69" s="646"/>
      <c r="H69" s="646"/>
      <c r="I69" s="646"/>
      <c r="J69" s="646"/>
      <c r="K69" s="646"/>
      <c r="L69" s="648">
        <f>AN62</f>
        <v>0.39184614210486146</v>
      </c>
      <c r="M69" s="646" t="s">
        <v>453</v>
      </c>
      <c r="N69" s="646"/>
      <c r="O69" s="646"/>
      <c r="P69" s="646"/>
      <c r="Q69" s="646"/>
      <c r="R69" s="646"/>
      <c r="S69" s="646"/>
      <c r="T69" s="646"/>
      <c r="U69" s="5"/>
      <c r="V69" s="29"/>
      <c r="W69" s="29"/>
      <c r="X69" s="29"/>
      <c r="Y69" s="649"/>
      <c r="Z69" s="649"/>
      <c r="AA69" s="294"/>
      <c r="AB69" s="294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649"/>
      <c r="Z70" s="649"/>
      <c r="AA70" s="294"/>
      <c r="AB70" s="294"/>
      <c r="AU70">
        <f>AW70/AV70</f>
        <v>5.3715688462396765</v>
      </c>
      <c r="AV70">
        <f t="shared" ref="AV70:AW73" si="36">AV52-AS52</f>
        <v>44.81</v>
      </c>
      <c r="AW70">
        <f>AW52-AT52</f>
        <v>240.69999999999993</v>
      </c>
    </row>
    <row r="71" spans="1:49" ht="16.5">
      <c r="A71" s="4839" t="s">
        <v>577</v>
      </c>
      <c r="B71" s="4840"/>
      <c r="C71" s="4840"/>
      <c r="D71" s="4840"/>
      <c r="E71" s="4840"/>
      <c r="F71" s="4840"/>
      <c r="G71" s="4840"/>
      <c r="H71" s="4840"/>
      <c r="I71" s="4840"/>
      <c r="J71" s="4840"/>
      <c r="K71" s="4840"/>
      <c r="L71" s="4840"/>
      <c r="M71" s="4841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649"/>
      <c r="Z71" s="649"/>
      <c r="AA71" s="294"/>
      <c r="AB71" s="294"/>
      <c r="AU71" t="e">
        <f t="shared" ref="AU71:AU73" si="37">AW71/AV71</f>
        <v>#DIV/0!</v>
      </c>
      <c r="AV71">
        <f t="shared" si="36"/>
        <v>0</v>
      </c>
      <c r="AW71">
        <f t="shared" si="36"/>
        <v>73</v>
      </c>
    </row>
    <row r="72" spans="1:49" ht="16.5">
      <c r="A72" s="2284" t="s">
        <v>546</v>
      </c>
      <c r="B72" s="2285"/>
      <c r="C72" s="2285"/>
      <c r="D72" s="2285"/>
      <c r="E72" s="2285"/>
      <c r="F72" s="2285"/>
      <c r="G72" s="2285"/>
      <c r="H72" s="2285"/>
      <c r="I72" s="2285"/>
      <c r="J72" s="2285"/>
      <c r="K72" s="2285" t="s">
        <v>345</v>
      </c>
      <c r="L72" s="2285" t="s">
        <v>361</v>
      </c>
      <c r="M72" s="646" t="s">
        <v>578</v>
      </c>
      <c r="N72" s="5"/>
      <c r="O72" s="2285" t="s">
        <v>580</v>
      </c>
      <c r="P72" s="646" t="s">
        <v>581</v>
      </c>
      <c r="Q72" s="5"/>
      <c r="R72" s="5"/>
      <c r="S72" s="5"/>
      <c r="T72" s="5"/>
      <c r="U72" s="5"/>
      <c r="V72" s="29"/>
      <c r="W72" s="29"/>
      <c r="X72" s="650"/>
      <c r="Y72" s="651"/>
      <c r="Z72" s="651"/>
      <c r="AA72" s="294"/>
      <c r="AB72" s="294"/>
      <c r="AU72">
        <f t="shared" si="37"/>
        <v>3.9992821571178605</v>
      </c>
      <c r="AV72">
        <f t="shared" si="36"/>
        <v>445.78</v>
      </c>
      <c r="AW72">
        <f t="shared" si="36"/>
        <v>1782.7999999999997</v>
      </c>
    </row>
    <row r="73" spans="1:49" ht="16.5">
      <c r="A73" s="655" t="s">
        <v>139</v>
      </c>
      <c r="B73" s="646"/>
      <c r="C73" s="646"/>
      <c r="D73" s="646"/>
      <c r="E73" s="646"/>
      <c r="F73" s="646"/>
      <c r="G73" s="646"/>
      <c r="H73" s="646"/>
      <c r="I73" s="646"/>
      <c r="J73" s="646"/>
      <c r="K73" s="654">
        <f>SUM(M73/L73)</f>
        <v>5.0619778596182483</v>
      </c>
      <c r="L73" s="653">
        <f>SUM(AC48-Y48)</f>
        <v>184.09799999999996</v>
      </c>
      <c r="M73" s="653">
        <f>SUM(AD48-Z48)</f>
        <v>931.90000000000009</v>
      </c>
      <c r="N73" s="5"/>
      <c r="O73" s="657">
        <f>SUM(AD56-Z56)</f>
        <v>1664.6999999999998</v>
      </c>
      <c r="P73" s="64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649"/>
      <c r="Z73" s="649"/>
      <c r="AA73" s="294"/>
      <c r="AB73" s="294"/>
      <c r="AU73">
        <f t="shared" si="37"/>
        <v>4.2734258749668772</v>
      </c>
      <c r="AV73">
        <f t="shared" si="36"/>
        <v>490.58999999999992</v>
      </c>
      <c r="AW73">
        <f t="shared" si="36"/>
        <v>2096.5</v>
      </c>
    </row>
    <row r="74" spans="1:49" ht="16.5">
      <c r="A74" s="655" t="s">
        <v>582</v>
      </c>
      <c r="B74" s="646"/>
      <c r="C74" s="646"/>
      <c r="D74" s="646"/>
      <c r="E74" s="646"/>
      <c r="F74" s="646"/>
      <c r="G74" s="646"/>
      <c r="H74" s="646"/>
      <c r="I74" s="646"/>
      <c r="J74" s="646"/>
      <c r="K74" s="654"/>
      <c r="L74" s="653"/>
      <c r="M74" s="653"/>
      <c r="N74" s="5"/>
      <c r="O74" s="657">
        <f>SUM(AD58-Z58)</f>
        <v>1455.02</v>
      </c>
      <c r="P74" s="648"/>
      <c r="Q74" s="5"/>
      <c r="R74" s="5"/>
      <c r="S74" s="5"/>
      <c r="T74" s="5"/>
      <c r="U74" s="5"/>
      <c r="V74" s="29"/>
      <c r="W74" s="29"/>
      <c r="X74" s="29"/>
      <c r="Y74" s="649"/>
      <c r="Z74" s="649"/>
      <c r="AA74" s="294"/>
      <c r="AB74" s="294"/>
    </row>
    <row r="75" spans="1:49" ht="16.5">
      <c r="A75" s="646" t="s">
        <v>140</v>
      </c>
      <c r="B75" s="646"/>
      <c r="C75" s="646"/>
      <c r="D75" s="646"/>
      <c r="E75" s="646"/>
      <c r="F75" s="646"/>
      <c r="G75" s="646"/>
      <c r="H75" s="646"/>
      <c r="I75" s="646"/>
      <c r="J75" s="646"/>
      <c r="K75" s="654">
        <f>SUM(M75/L75)</f>
        <v>4.1182508170596659</v>
      </c>
      <c r="L75" s="653">
        <f>SUM(AC50-Y50)</f>
        <v>370.23</v>
      </c>
      <c r="M75" s="653">
        <f>SUM(AD50-Z50)</f>
        <v>1524.7000000000003</v>
      </c>
      <c r="N75" s="5"/>
      <c r="O75" s="653"/>
      <c r="P75" s="64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649"/>
      <c r="Z75" s="649"/>
      <c r="AA75" s="294"/>
      <c r="AB75" s="294"/>
    </row>
    <row r="76" spans="1:49" ht="16.5">
      <c r="A76" s="646" t="s">
        <v>54</v>
      </c>
      <c r="B76" s="646"/>
      <c r="C76" s="646"/>
      <c r="D76" s="646"/>
      <c r="E76" s="646"/>
      <c r="F76" s="646"/>
      <c r="G76" s="646"/>
      <c r="H76" s="646"/>
      <c r="I76" s="646"/>
      <c r="J76" s="646"/>
      <c r="K76" s="654">
        <f>SUM(M76/L76)</f>
        <v>4.4316722229438179</v>
      </c>
      <c r="L76" s="653">
        <f>SUM(L73:L75)</f>
        <v>554.32799999999997</v>
      </c>
      <c r="M76" s="653">
        <f>SUM(M73:M75)</f>
        <v>2456.6000000000004</v>
      </c>
      <c r="N76" s="5"/>
      <c r="O76" s="646"/>
      <c r="P76" s="64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94"/>
      <c r="AB76" s="294"/>
    </row>
    <row r="77" spans="1:49" ht="16.5">
      <c r="A77" s="646" t="s">
        <v>142</v>
      </c>
      <c r="B77" s="646"/>
      <c r="C77" s="646"/>
      <c r="D77" s="646"/>
      <c r="E77" s="646"/>
      <c r="F77" s="646"/>
      <c r="G77" s="646"/>
      <c r="H77" s="646"/>
      <c r="I77" s="646"/>
      <c r="J77" s="646"/>
      <c r="K77" s="654">
        <f t="shared" ref="K77:K79" si="38">SUM(M77/L77)</f>
        <v>5.0854030993972499</v>
      </c>
      <c r="L77" s="653">
        <f>SUM(AC52-Y52)</f>
        <v>61.88300000000001</v>
      </c>
      <c r="M77" s="653">
        <f>SUM(AD52-Z52)</f>
        <v>314.70000000000005</v>
      </c>
      <c r="N77" s="5"/>
      <c r="O77" s="656">
        <f>SUM(AD60-Z60)</f>
        <v>829.39999999999986</v>
      </c>
      <c r="P77" s="648">
        <f>SUM(L77/O77)</f>
        <v>7.4611767542802049E-2</v>
      </c>
      <c r="Q77" s="5"/>
      <c r="R77" s="5"/>
      <c r="S77" s="5"/>
      <c r="T77" s="5"/>
      <c r="U77" s="5"/>
      <c r="V77" s="29"/>
      <c r="W77" s="29"/>
      <c r="X77" s="650"/>
      <c r="Y77" s="651"/>
      <c r="Z77" s="651"/>
      <c r="AA77" s="294"/>
      <c r="AB77" s="294"/>
    </row>
    <row r="78" spans="1:49" ht="16.5">
      <c r="A78" s="646" t="s">
        <v>579</v>
      </c>
      <c r="B78" s="646"/>
      <c r="C78" s="646"/>
      <c r="D78" s="646"/>
      <c r="E78" s="646"/>
      <c r="F78" s="646"/>
      <c r="G78" s="646"/>
      <c r="H78" s="646"/>
      <c r="I78" s="646"/>
      <c r="J78" s="646"/>
      <c r="K78" s="654">
        <f t="shared" si="38"/>
        <v>3.9234848660290407</v>
      </c>
      <c r="L78" s="653">
        <f>SUM(AC54-Y54)</f>
        <v>431.80999999999995</v>
      </c>
      <c r="M78" s="653">
        <f>SUM(AD54-Z54)</f>
        <v>1694.1999999999998</v>
      </c>
      <c r="N78" s="5"/>
      <c r="O78" s="656">
        <f>SUM(O77)</f>
        <v>829.39999999999986</v>
      </c>
      <c r="P78" s="64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48"/>
      <c r="AA78" s="294"/>
      <c r="AB78" s="294"/>
    </row>
    <row r="79" spans="1:49" ht="16.5">
      <c r="A79" s="646" t="s">
        <v>54</v>
      </c>
      <c r="B79" s="646"/>
      <c r="C79" s="646"/>
      <c r="D79" s="646"/>
      <c r="E79" s="646"/>
      <c r="F79" s="646"/>
      <c r="G79" s="646"/>
      <c r="H79" s="646"/>
      <c r="I79" s="646"/>
      <c r="J79" s="646"/>
      <c r="K79" s="654">
        <f t="shared" si="38"/>
        <v>4.0691279803440601</v>
      </c>
      <c r="L79" s="653">
        <f>SUM(L77:L78)</f>
        <v>493.69299999999998</v>
      </c>
      <c r="M79" s="653">
        <f>SUM(M77:M78)</f>
        <v>2008.8999999999999</v>
      </c>
      <c r="N79" s="5"/>
      <c r="O79" s="646"/>
      <c r="P79" s="646"/>
      <c r="Q79" s="5"/>
      <c r="R79" s="5"/>
      <c r="S79" s="5"/>
      <c r="T79" s="5"/>
      <c r="U79" s="5"/>
      <c r="V79" s="29"/>
      <c r="W79" s="29"/>
      <c r="X79" s="29"/>
      <c r="Y79" s="29"/>
      <c r="Z79" s="649"/>
      <c r="AA79" s="294"/>
      <c r="AB79" s="294"/>
    </row>
    <row r="80" spans="1:49" ht="16.5">
      <c r="A80" s="646"/>
      <c r="B80" s="646"/>
      <c r="C80" s="646"/>
      <c r="D80" s="646"/>
      <c r="E80" s="646"/>
      <c r="F80" s="646"/>
      <c r="G80" s="646"/>
      <c r="H80" s="646"/>
      <c r="I80" s="646"/>
      <c r="J80" s="646"/>
      <c r="K80" s="646"/>
      <c r="L80" s="646"/>
      <c r="M80" s="646"/>
      <c r="N80" s="5"/>
      <c r="O80" s="646"/>
      <c r="P80" s="646"/>
      <c r="Q80" s="5"/>
      <c r="R80" s="5"/>
      <c r="S80" s="5"/>
      <c r="T80" s="5"/>
      <c r="U80" s="5"/>
      <c r="V80" s="29"/>
      <c r="W80" s="29"/>
      <c r="X80" s="29"/>
      <c r="Y80" s="29"/>
      <c r="Z80" s="652"/>
      <c r="AA80" s="294"/>
      <c r="AB80" s="294"/>
    </row>
  </sheetData>
  <mergeCells count="123">
    <mergeCell ref="A71:M71"/>
    <mergeCell ref="X67:Z67"/>
    <mergeCell ref="AO46:AQ46"/>
    <mergeCell ref="AS46:AS47"/>
    <mergeCell ref="R46:R47"/>
    <mergeCell ref="AG46:AG47"/>
    <mergeCell ref="AI46:AI47"/>
    <mergeCell ref="AJ46:AJ47"/>
    <mergeCell ref="AK46:AK47"/>
    <mergeCell ref="AM46:AM47"/>
    <mergeCell ref="AN46:AN47"/>
    <mergeCell ref="S45:V46"/>
    <mergeCell ref="Y46:Y47"/>
    <mergeCell ref="Z46:Z47"/>
    <mergeCell ref="AA46:AA47"/>
    <mergeCell ref="AC46:AC47"/>
    <mergeCell ref="CF44:CK44"/>
    <mergeCell ref="AX44:BG44"/>
    <mergeCell ref="BQ45:BS45"/>
    <mergeCell ref="A44:A47"/>
    <mergeCell ref="L46:L47"/>
    <mergeCell ref="M46:M47"/>
    <mergeCell ref="CH46:CH47"/>
    <mergeCell ref="CJ46:CJ47"/>
    <mergeCell ref="CK46:CK47"/>
    <mergeCell ref="BU46:BU47"/>
    <mergeCell ref="BI46:BI47"/>
    <mergeCell ref="BJ46:BJ47"/>
    <mergeCell ref="BK46:BM46"/>
    <mergeCell ref="CF45:CH45"/>
    <mergeCell ref="BH44:BJ44"/>
    <mergeCell ref="BY46:BY47"/>
    <mergeCell ref="BO46:BO47"/>
    <mergeCell ref="BV46:BV47"/>
    <mergeCell ref="BP46:BP47"/>
    <mergeCell ref="BQ46:BS46"/>
    <mergeCell ref="BT44:BV45"/>
    <mergeCell ref="CA46:CA47"/>
    <mergeCell ref="CB46:CB47"/>
    <mergeCell ref="CC45:CE45"/>
    <mergeCell ref="BW45:BY45"/>
    <mergeCell ref="BX46:BX47"/>
    <mergeCell ref="BZ45:CB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AI7:AI8"/>
    <mergeCell ref="AJ7:AJ8"/>
    <mergeCell ref="AK7:AK8"/>
    <mergeCell ref="V7:W7"/>
    <mergeCell ref="X7:X8"/>
    <mergeCell ref="L7:L8"/>
    <mergeCell ref="AN7:AN8"/>
    <mergeCell ref="Y7:Y8"/>
    <mergeCell ref="CG46:CG47"/>
    <mergeCell ref="Z7:AA7"/>
    <mergeCell ref="AB7:AB8"/>
    <mergeCell ref="AC7:AC8"/>
    <mergeCell ref="AD7:AD8"/>
    <mergeCell ref="AH7:AH8"/>
    <mergeCell ref="AH44:AW44"/>
    <mergeCell ref="BN44:BP44"/>
    <mergeCell ref="BK45:BM45"/>
    <mergeCell ref="CD46:CD47"/>
    <mergeCell ref="CE46:CE47"/>
    <mergeCell ref="BW44:CE44"/>
    <mergeCell ref="A41:CK41"/>
    <mergeCell ref="O45:R45"/>
    <mergeCell ref="AH45:AK45"/>
    <mergeCell ref="K44:AG44"/>
    <mergeCell ref="A40:CK40"/>
    <mergeCell ref="CI45:CK45"/>
    <mergeCell ref="AO7:AO8"/>
    <mergeCell ref="AO45:AQ45"/>
    <mergeCell ref="AR45:AT45"/>
    <mergeCell ref="M7:N8"/>
    <mergeCell ref="O7:O8"/>
    <mergeCell ref="BN45:BP45"/>
    <mergeCell ref="BK44:BM44"/>
    <mergeCell ref="P7:P8"/>
    <mergeCell ref="Q7:Q8"/>
    <mergeCell ref="R7:R8"/>
    <mergeCell ref="AE45:AG45"/>
    <mergeCell ref="T7:T8"/>
    <mergeCell ref="AL7:AL8"/>
    <mergeCell ref="AM7:AM8"/>
    <mergeCell ref="S7:S8"/>
    <mergeCell ref="BH45:BJ45"/>
    <mergeCell ref="AL45:AN45"/>
    <mergeCell ref="AX45:BA45"/>
    <mergeCell ref="BC46:BC47"/>
    <mergeCell ref="BD46:BD47"/>
    <mergeCell ref="BE46:BG46"/>
    <mergeCell ref="N46:N47"/>
    <mergeCell ref="P46:P47"/>
    <mergeCell ref="Q46:Q47"/>
    <mergeCell ref="X45:AA45"/>
    <mergeCell ref="AB45:AD45"/>
    <mergeCell ref="AT46:AT47"/>
    <mergeCell ref="AV46:AV47"/>
    <mergeCell ref="K45:N45"/>
    <mergeCell ref="AU45:AW45"/>
    <mergeCell ref="BB45:BD45"/>
    <mergeCell ref="BE45:BG45"/>
    <mergeCell ref="AD46:AD47"/>
    <mergeCell ref="AF46:AF47"/>
    <mergeCell ref="AY46:AY47"/>
    <mergeCell ref="AZ46:AZ47"/>
    <mergeCell ref="BA46:BA47"/>
    <mergeCell ref="AW46:AW47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6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I137"/>
  <sheetViews>
    <sheetView topLeftCell="A40" zoomScale="50" zoomScaleNormal="50" zoomScalePageLayoutView="80" workbookViewId="0">
      <pane xSplit="10" ySplit="8" topLeftCell="BF51" activePane="bottomRight" state="frozen"/>
      <selection activeCell="A40" sqref="A40"/>
      <selection pane="topRight" activeCell="K40" sqref="K40"/>
      <selection pane="bottomLeft" activeCell="A48" sqref="A48"/>
      <selection pane="bottomRight" activeCell="A40" sqref="A40:CC62"/>
    </sheetView>
  </sheetViews>
  <sheetFormatPr defaultRowHeight="12.75"/>
  <cols>
    <col min="1" max="1" width="41.285156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9.140625" hidden="1" customWidth="1"/>
    <col min="22" max="22" width="12.140625" hidden="1" customWidth="1"/>
    <col min="23" max="23" width="9.140625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9.140625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4.42578125" customWidth="1"/>
    <col min="35" max="35" width="11.85546875" customWidth="1"/>
    <col min="36" max="36" width="12.85546875" customWidth="1"/>
    <col min="37" max="37" width="12.28515625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customWidth="1"/>
    <col min="51" max="51" width="12.140625" customWidth="1"/>
    <col min="52" max="52" width="13.140625" customWidth="1"/>
    <col min="53" max="53" width="12.42578125" customWidth="1"/>
    <col min="54" max="54" width="13.5703125" customWidth="1"/>
    <col min="55" max="55" width="12" customWidth="1"/>
    <col min="56" max="56" width="14" customWidth="1"/>
    <col min="57" max="58" width="11.5703125" customWidth="1"/>
    <col min="59" max="59" width="12" customWidth="1"/>
    <col min="60" max="60" width="13.7109375" customWidth="1"/>
    <col min="61" max="62" width="12.140625" customWidth="1"/>
    <col min="63" max="81" width="13.7109375" customWidth="1"/>
    <col min="82" max="87" width="13.8554687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4810" t="s">
        <v>245</v>
      </c>
      <c r="B3" s="4810"/>
      <c r="C3" s="4810"/>
      <c r="D3" s="4810"/>
      <c r="E3" s="4810"/>
      <c r="F3" s="4810"/>
      <c r="G3" s="4810"/>
      <c r="H3" s="4810"/>
      <c r="I3" s="4810"/>
      <c r="J3" s="4810"/>
      <c r="K3" s="4810"/>
      <c r="L3" s="4810"/>
      <c r="M3" s="4810"/>
      <c r="N3" s="4810"/>
      <c r="O3" s="4810"/>
      <c r="P3" s="4810"/>
      <c r="Q3" s="4810"/>
      <c r="R3" s="4810"/>
      <c r="S3" s="4810"/>
      <c r="T3" s="4810"/>
      <c r="U3" s="4810"/>
      <c r="V3" s="4810"/>
      <c r="W3" s="4810"/>
      <c r="X3" s="4810"/>
      <c r="Y3" s="4810"/>
      <c r="Z3" s="4810"/>
      <c r="AA3" s="4810"/>
      <c r="AB3" s="4810"/>
      <c r="AC3" s="4810"/>
      <c r="AD3" s="4810"/>
      <c r="AE3" s="4810"/>
      <c r="AF3" s="4810"/>
      <c r="AG3" s="4810"/>
      <c r="AH3" s="4810"/>
      <c r="AI3" s="4810"/>
      <c r="AJ3" s="4810"/>
      <c r="AK3" s="4810"/>
      <c r="AL3" s="4810"/>
    </row>
    <row r="4" spans="1:41" ht="15.75" hidden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>
      <c r="A5" s="4811"/>
      <c r="B5" s="90"/>
      <c r="C5" s="90"/>
      <c r="D5" s="90"/>
      <c r="E5" s="90"/>
      <c r="F5" s="90"/>
      <c r="G5" s="90"/>
      <c r="H5" s="4812" t="s">
        <v>59</v>
      </c>
      <c r="I5" s="4812"/>
      <c r="J5" s="4812"/>
      <c r="K5" s="4812" t="s">
        <v>67</v>
      </c>
      <c r="L5" s="4812"/>
      <c r="M5" s="4812"/>
      <c r="N5" s="4812"/>
      <c r="O5" s="4812" t="s">
        <v>95</v>
      </c>
      <c r="P5" s="4812"/>
      <c r="Q5" s="4812"/>
      <c r="R5" s="4813" t="s">
        <v>214</v>
      </c>
      <c r="S5" s="4814"/>
      <c r="T5" s="4814"/>
      <c r="U5" s="4815"/>
      <c r="V5" s="4819" t="s">
        <v>163</v>
      </c>
      <c r="W5" s="4819"/>
      <c r="X5" s="4819"/>
      <c r="Y5" s="4819"/>
      <c r="Z5" s="4819"/>
      <c r="AA5" s="4819"/>
      <c r="AB5" s="4819"/>
      <c r="AC5" s="4819"/>
      <c r="AD5" s="4819"/>
      <c r="AE5" s="4820"/>
      <c r="AF5" s="4820"/>
      <c r="AG5" s="4820"/>
      <c r="AH5" s="4819"/>
      <c r="AI5" s="4819"/>
      <c r="AJ5" s="4819"/>
      <c r="AK5" s="4819"/>
      <c r="AL5" s="4819"/>
      <c r="AM5" s="4819"/>
      <c r="AN5" s="4819"/>
      <c r="AO5" s="4819"/>
    </row>
    <row r="6" spans="1:41" ht="12.75" hidden="1" customHeight="1">
      <c r="A6" s="4811"/>
      <c r="B6" s="15"/>
      <c r="C6" s="91" t="s">
        <v>134</v>
      </c>
      <c r="D6" s="91"/>
      <c r="E6" s="15"/>
      <c r="F6" s="91" t="s">
        <v>135</v>
      </c>
      <c r="G6" s="91"/>
      <c r="H6" s="4812"/>
      <c r="I6" s="4812"/>
      <c r="J6" s="4812"/>
      <c r="K6" s="4812"/>
      <c r="L6" s="4812"/>
      <c r="M6" s="4812"/>
      <c r="N6" s="4812"/>
      <c r="O6" s="4812"/>
      <c r="P6" s="4812"/>
      <c r="Q6" s="4812"/>
      <c r="R6" s="4816"/>
      <c r="S6" s="4817"/>
      <c r="T6" s="4817"/>
      <c r="U6" s="4818"/>
      <c r="V6" s="4821" t="s">
        <v>126</v>
      </c>
      <c r="W6" s="4821"/>
      <c r="X6" s="4821"/>
      <c r="Y6" s="4821"/>
      <c r="Z6" s="4821" t="s">
        <v>127</v>
      </c>
      <c r="AA6" s="4821"/>
      <c r="AB6" s="4821"/>
      <c r="AC6" s="4821"/>
      <c r="AD6" s="4812" t="s">
        <v>240</v>
      </c>
      <c r="AE6" s="4822"/>
      <c r="AF6" s="4822"/>
      <c r="AG6" s="4822"/>
      <c r="AH6" s="4812"/>
      <c r="AI6" s="4812"/>
      <c r="AJ6" s="4779" t="s">
        <v>244</v>
      </c>
      <c r="AK6" s="4779"/>
      <c r="AL6" s="4779"/>
      <c r="AM6" s="4779" t="s">
        <v>379</v>
      </c>
      <c r="AN6" s="4779"/>
      <c r="AO6" s="4779"/>
    </row>
    <row r="7" spans="1:41" ht="12.75" hidden="1" customHeight="1">
      <c r="A7" s="4811"/>
      <c r="B7" s="15" t="s">
        <v>136</v>
      </c>
      <c r="C7" s="15" t="s">
        <v>137</v>
      </c>
      <c r="D7" s="15" t="s">
        <v>45</v>
      </c>
      <c r="E7" s="15" t="s">
        <v>136</v>
      </c>
      <c r="F7" s="15" t="s">
        <v>137</v>
      </c>
      <c r="G7" s="15" t="s">
        <v>45</v>
      </c>
      <c r="H7" s="4779" t="s">
        <v>151</v>
      </c>
      <c r="I7" s="4779" t="s">
        <v>138</v>
      </c>
      <c r="J7" s="4779" t="s">
        <v>102</v>
      </c>
      <c r="K7" s="4779" t="s">
        <v>231</v>
      </c>
      <c r="L7" s="4787" t="s">
        <v>152</v>
      </c>
      <c r="M7" s="4775" t="s">
        <v>102</v>
      </c>
      <c r="N7" s="4776"/>
      <c r="O7" s="4779" t="s">
        <v>151</v>
      </c>
      <c r="P7" s="4779" t="s">
        <v>138</v>
      </c>
      <c r="Q7" s="4779" t="s">
        <v>102</v>
      </c>
      <c r="R7" s="4779" t="s">
        <v>151</v>
      </c>
      <c r="S7" s="4779" t="s">
        <v>138</v>
      </c>
      <c r="T7" s="4779" t="s">
        <v>102</v>
      </c>
      <c r="U7" s="92"/>
      <c r="V7" s="4779" t="s">
        <v>118</v>
      </c>
      <c r="W7" s="4779"/>
      <c r="X7" s="4779" t="s">
        <v>152</v>
      </c>
      <c r="Y7" s="4779" t="s">
        <v>102</v>
      </c>
      <c r="Z7" s="4779" t="s">
        <v>118</v>
      </c>
      <c r="AA7" s="4779"/>
      <c r="AB7" s="4779" t="s">
        <v>152</v>
      </c>
      <c r="AC7" s="4779" t="s">
        <v>102</v>
      </c>
      <c r="AD7" s="4779" t="s">
        <v>151</v>
      </c>
      <c r="AE7" s="1004"/>
      <c r="AF7" s="1004"/>
      <c r="AG7" s="1004"/>
      <c r="AH7" s="4779" t="s">
        <v>138</v>
      </c>
      <c r="AI7" s="4779" t="s">
        <v>102</v>
      </c>
      <c r="AJ7" s="4779" t="s">
        <v>151</v>
      </c>
      <c r="AK7" s="4779" t="s">
        <v>138</v>
      </c>
      <c r="AL7" s="4779" t="s">
        <v>102</v>
      </c>
      <c r="AM7" s="4779" t="s">
        <v>151</v>
      </c>
      <c r="AN7" s="4779" t="s">
        <v>138</v>
      </c>
      <c r="AO7" s="4779" t="s">
        <v>102</v>
      </c>
    </row>
    <row r="8" spans="1:41" ht="32.25" hidden="1" customHeight="1">
      <c r="A8" s="4811"/>
      <c r="B8" s="15"/>
      <c r="C8" s="15"/>
      <c r="D8" s="15"/>
      <c r="E8" s="15"/>
      <c r="F8" s="15"/>
      <c r="G8" s="15"/>
      <c r="H8" s="4779"/>
      <c r="I8" s="4779"/>
      <c r="J8" s="4779"/>
      <c r="K8" s="4779"/>
      <c r="L8" s="4788"/>
      <c r="M8" s="4777"/>
      <c r="N8" s="4778"/>
      <c r="O8" s="4779"/>
      <c r="P8" s="4779"/>
      <c r="Q8" s="4779"/>
      <c r="R8" s="4779"/>
      <c r="S8" s="4779"/>
      <c r="T8" s="4779"/>
      <c r="U8" s="92"/>
      <c r="V8" s="23" t="s">
        <v>232</v>
      </c>
      <c r="W8" s="92" t="s">
        <v>167</v>
      </c>
      <c r="X8" s="4779"/>
      <c r="Y8" s="4779"/>
      <c r="Z8" s="92" t="s">
        <v>232</v>
      </c>
      <c r="AA8" s="92" t="s">
        <v>167</v>
      </c>
      <c r="AB8" s="4779"/>
      <c r="AC8" s="4779"/>
      <c r="AD8" s="4779"/>
      <c r="AE8" s="1004"/>
      <c r="AF8" s="1004"/>
      <c r="AG8" s="1004"/>
      <c r="AH8" s="4779"/>
      <c r="AI8" s="4779"/>
      <c r="AJ8" s="4779"/>
      <c r="AK8" s="4779"/>
      <c r="AL8" s="4779"/>
      <c r="AM8" s="4779"/>
      <c r="AN8" s="4779"/>
      <c r="AO8" s="4779"/>
    </row>
    <row r="9" spans="1:41" hidden="1">
      <c r="A9" s="81" t="s">
        <v>139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9">
        <v>1010.6</v>
      </c>
      <c r="T9" s="139">
        <v>4416.6000000000004</v>
      </c>
      <c r="U9" s="71"/>
      <c r="V9" s="93">
        <v>5.25</v>
      </c>
      <c r="W9" s="17">
        <f>V9/R9*100</f>
        <v>120.12973780736314</v>
      </c>
      <c r="X9" s="142">
        <v>1140</v>
      </c>
      <c r="Y9" s="142">
        <f>V9*X9</f>
        <v>5985</v>
      </c>
      <c r="Z9" s="93" t="e">
        <f>AC9/AB9</f>
        <v>#REF!</v>
      </c>
      <c r="AA9" s="94" t="e">
        <f>Z9/R9*100</f>
        <v>#REF!</v>
      </c>
      <c r="AB9" s="142" t="e">
        <f>AB19*AB20</f>
        <v>#REF!</v>
      </c>
      <c r="AC9" s="142">
        <v>5549</v>
      </c>
      <c r="AD9" s="70">
        <v>4.9930000000000003</v>
      </c>
      <c r="AE9" s="1005"/>
      <c r="AF9" s="1005"/>
      <c r="AG9" s="1005"/>
      <c r="AH9" s="139">
        <f>862347/1000</f>
        <v>862.34699999999998</v>
      </c>
      <c r="AI9" s="139">
        <v>4305.8999999999996</v>
      </c>
      <c r="AJ9" s="70">
        <v>5.548</v>
      </c>
      <c r="AK9" s="139">
        <f>241902/1000</f>
        <v>241.90199999999999</v>
      </c>
      <c r="AL9" s="139">
        <v>1342.1</v>
      </c>
      <c r="AM9" s="70">
        <v>5.1100000000000003</v>
      </c>
      <c r="AN9" s="139">
        <v>1138.8</v>
      </c>
      <c r="AO9" s="139">
        <v>5819.3</v>
      </c>
    </row>
    <row r="10" spans="1:41" hidden="1">
      <c r="A10" s="81" t="s">
        <v>166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9"/>
      <c r="T10" s="139"/>
      <c r="U10" s="71"/>
      <c r="V10" s="93"/>
      <c r="W10" s="17"/>
      <c r="X10" s="142"/>
      <c r="Y10" s="142"/>
      <c r="Z10" s="93"/>
      <c r="AA10" s="2"/>
      <c r="AB10" s="142"/>
      <c r="AC10" s="142"/>
      <c r="AD10" s="70">
        <v>2.2519999999999998</v>
      </c>
      <c r="AE10" s="1005"/>
      <c r="AF10" s="1005"/>
      <c r="AG10" s="1005"/>
      <c r="AH10" s="139">
        <f>5062/1000</f>
        <v>5.0620000000000003</v>
      </c>
      <c r="AI10" s="139">
        <v>11.4</v>
      </c>
      <c r="AJ10" s="70">
        <v>2.4180000000000001</v>
      </c>
      <c r="AK10" s="139">
        <f>1365/1000</f>
        <v>1.365</v>
      </c>
      <c r="AL10" s="137">
        <v>3.3</v>
      </c>
      <c r="AM10" s="70">
        <v>0</v>
      </c>
      <c r="AN10" s="139">
        <v>0</v>
      </c>
      <c r="AO10" s="137">
        <v>0</v>
      </c>
    </row>
    <row r="11" spans="1:41" hidden="1">
      <c r="A11" s="81" t="s">
        <v>140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1">
        <f>T11/S11</f>
        <v>3.4186351706036748</v>
      </c>
      <c r="S11" s="137">
        <f>1164.3+131.1</f>
        <v>1295.3999999999999</v>
      </c>
      <c r="T11" s="140">
        <f>3776+652.5</f>
        <v>4428.5</v>
      </c>
      <c r="U11" s="71"/>
      <c r="V11" s="93">
        <v>4.2</v>
      </c>
      <c r="W11" s="17">
        <f>V11/R11*100</f>
        <v>122.85604606525911</v>
      </c>
      <c r="X11" s="142">
        <v>1830</v>
      </c>
      <c r="Y11" s="142">
        <f>V11*X11</f>
        <v>7686</v>
      </c>
      <c r="Z11" s="93">
        <v>3.9470000000000001</v>
      </c>
      <c r="AA11" s="17">
        <f>Z11/R11*100</f>
        <v>115.45543186180423</v>
      </c>
      <c r="AB11" s="142" t="e">
        <f>AB22*AB21</f>
        <v>#REF!</v>
      </c>
      <c r="AC11" s="142" t="e">
        <f>Z11*AB11</f>
        <v>#REF!</v>
      </c>
      <c r="AD11" s="57">
        <v>3.9390000000000001</v>
      </c>
      <c r="AE11" s="1006"/>
      <c r="AF11" s="1006"/>
      <c r="AG11" s="1006"/>
      <c r="AH11" s="137">
        <f>1426046/1000</f>
        <v>1426.046</v>
      </c>
      <c r="AI11" s="137">
        <v>5616.5</v>
      </c>
      <c r="AJ11" s="70">
        <v>4.3929999999999998</v>
      </c>
      <c r="AK11" s="139">
        <f>462899/1000</f>
        <v>462.899</v>
      </c>
      <c r="AL11" s="139">
        <v>2033.5</v>
      </c>
      <c r="AM11" s="70">
        <v>4.0129999999999999</v>
      </c>
      <c r="AN11" s="139">
        <v>1930.37</v>
      </c>
      <c r="AO11" s="139">
        <v>7747.1</v>
      </c>
    </row>
    <row r="12" spans="1:41" hidden="1">
      <c r="A12" s="81" t="s">
        <v>166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9"/>
      <c r="T12" s="139"/>
      <c r="U12" s="71"/>
      <c r="V12" s="93"/>
      <c r="W12" s="17"/>
      <c r="X12" s="142"/>
      <c r="Y12" s="142"/>
      <c r="Z12" s="93"/>
      <c r="AA12" s="17"/>
      <c r="AB12" s="142"/>
      <c r="AC12" s="142"/>
      <c r="AD12" s="70">
        <v>2.2759999999999998</v>
      </c>
      <c r="AE12" s="1005"/>
      <c r="AF12" s="1005"/>
      <c r="AG12" s="1005"/>
      <c r="AH12" s="139">
        <f>51221/1000</f>
        <v>51.220999999999997</v>
      </c>
      <c r="AI12" s="139">
        <v>116.6</v>
      </c>
      <c r="AJ12" s="70">
        <v>2.427</v>
      </c>
      <c r="AK12" s="139">
        <f>14584/1000</f>
        <v>14.584</v>
      </c>
      <c r="AL12" s="139">
        <v>35.4</v>
      </c>
      <c r="AM12" s="70">
        <v>0</v>
      </c>
      <c r="AN12" s="139">
        <v>0</v>
      </c>
      <c r="AO12" s="139">
        <v>0</v>
      </c>
    </row>
    <row r="13" spans="1:41" ht="13.5" hidden="1">
      <c r="A13" s="144" t="s">
        <v>141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1"/>
      <c r="T13" s="141"/>
      <c r="U13" s="65"/>
      <c r="V13" s="93"/>
      <c r="W13" s="17"/>
      <c r="X13" s="135">
        <f>SUM(X9:X11)</f>
        <v>2970</v>
      </c>
      <c r="Y13" s="135">
        <f>SUM(Y9:Y11)</f>
        <v>13671</v>
      </c>
      <c r="Z13" s="95"/>
      <c r="AA13" s="18"/>
      <c r="AB13" s="135" t="e">
        <f>SUM(AB9:AB11)</f>
        <v>#REF!</v>
      </c>
      <c r="AC13" s="135" t="e">
        <f>SUM(AC9:AC11)</f>
        <v>#REF!</v>
      </c>
      <c r="AD13" s="135"/>
      <c r="AE13" s="1007"/>
      <c r="AF13" s="1007"/>
      <c r="AG13" s="1007"/>
      <c r="AH13" s="135">
        <f>AH9+AH10+AH11+AH12</f>
        <v>2344.6759999999999</v>
      </c>
      <c r="AI13" s="135">
        <f>AI9+AI10+AI11+AI12</f>
        <v>10050.4</v>
      </c>
      <c r="AJ13" s="70"/>
      <c r="AK13" s="135">
        <f>AK12+AK11+AK10+AK9</f>
        <v>720.75</v>
      </c>
      <c r="AL13" s="135">
        <f>AL12+AL11+AL10+AL9</f>
        <v>3414.3</v>
      </c>
      <c r="AM13" s="70"/>
      <c r="AN13" s="135">
        <f>AN12+AN11+AN10+AN9</f>
        <v>3069.17</v>
      </c>
      <c r="AO13" s="135">
        <f>AO12+AO11+AO10+AO9</f>
        <v>13566.400000000001</v>
      </c>
    </row>
    <row r="14" spans="1:41" hidden="1">
      <c r="A14" s="81" t="s">
        <v>142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9">
        <v>267.60000000000002</v>
      </c>
      <c r="T14" s="139">
        <v>1189.5999999999999</v>
      </c>
      <c r="U14" s="71"/>
      <c r="V14" s="93">
        <v>5.4</v>
      </c>
      <c r="W14" s="17">
        <f>V14/R14*100</f>
        <v>121.47276395427036</v>
      </c>
      <c r="X14" s="142">
        <v>406</v>
      </c>
      <c r="Y14" s="142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2" t="e">
        <f>AB25*AB24</f>
        <v>#REF!</v>
      </c>
      <c r="AC14" s="142" t="e">
        <f>Z14*AB14</f>
        <v>#REF!</v>
      </c>
      <c r="AD14" s="70">
        <v>4.96</v>
      </c>
      <c r="AE14" s="1005"/>
      <c r="AF14" s="1005"/>
      <c r="AG14" s="1005"/>
      <c r="AH14" s="139">
        <f>259401/1000</f>
        <v>259.40100000000001</v>
      </c>
      <c r="AI14" s="139">
        <v>1286.5999999999999</v>
      </c>
      <c r="AJ14" s="70">
        <v>5.577</v>
      </c>
      <c r="AK14" s="139">
        <f>54257/1000</f>
        <v>54.256999999999998</v>
      </c>
      <c r="AL14" s="139">
        <v>302.60000000000002</v>
      </c>
      <c r="AM14" s="70">
        <v>4.9829999999999997</v>
      </c>
      <c r="AN14" s="139">
        <v>363.8</v>
      </c>
      <c r="AO14" s="139">
        <v>0</v>
      </c>
    </row>
    <row r="15" spans="1:41" hidden="1">
      <c r="A15" s="81" t="s">
        <v>143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9">
        <v>1418.4</v>
      </c>
      <c r="T15" s="139">
        <v>4577.8</v>
      </c>
      <c r="U15" s="71"/>
      <c r="V15" s="93">
        <v>4</v>
      </c>
      <c r="W15" s="17">
        <f>V15/R15*100</f>
        <v>123.93726244047359</v>
      </c>
      <c r="X15" s="142">
        <v>2254</v>
      </c>
      <c r="Y15" s="142">
        <f>V15*X15</f>
        <v>9016</v>
      </c>
      <c r="Z15" s="93" t="e">
        <f>AC15/AB15</f>
        <v>#REF!</v>
      </c>
      <c r="AA15" s="94" t="e">
        <f>Z15/R15*100</f>
        <v>#REF!</v>
      </c>
      <c r="AB15" s="142" t="e">
        <f>AB26*AB24</f>
        <v>#REF!</v>
      </c>
      <c r="AC15" s="142">
        <v>8582.7999999999993</v>
      </c>
      <c r="AD15" s="70">
        <v>3.762</v>
      </c>
      <c r="AE15" s="1005"/>
      <c r="AF15" s="1005"/>
      <c r="AG15" s="1005"/>
      <c r="AH15" s="139">
        <f>1540308/1000</f>
        <v>1540.308</v>
      </c>
      <c r="AI15" s="139">
        <v>5794.5</v>
      </c>
      <c r="AJ15" s="70">
        <v>4.1840000000000002</v>
      </c>
      <c r="AK15" s="139">
        <f>483414/1000</f>
        <v>483.41399999999999</v>
      </c>
      <c r="AL15" s="71">
        <v>2022.8</v>
      </c>
      <c r="AM15" s="70">
        <v>3.83</v>
      </c>
      <c r="AN15" s="139">
        <v>2289.4</v>
      </c>
      <c r="AO15" s="71">
        <v>0</v>
      </c>
    </row>
    <row r="16" spans="1:41" hidden="1">
      <c r="A16" s="81" t="s">
        <v>166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2"/>
      <c r="AC16" s="142"/>
      <c r="AD16" s="70"/>
      <c r="AE16" s="1005"/>
      <c r="AF16" s="1005"/>
      <c r="AG16" s="1005"/>
      <c r="AH16" s="139">
        <f>(13283+97372)/1000</f>
        <v>110.655</v>
      </c>
      <c r="AI16" s="71">
        <f>30.3+223.1</f>
        <v>253.4</v>
      </c>
      <c r="AJ16" s="65"/>
      <c r="AK16" s="139">
        <f>(4088+36605)/1000</f>
        <v>40.692999999999998</v>
      </c>
      <c r="AL16" s="71">
        <f>9.9+89</f>
        <v>98.9</v>
      </c>
      <c r="AM16" s="65"/>
      <c r="AN16" s="139">
        <v>0</v>
      </c>
      <c r="AO16" s="71">
        <v>0</v>
      </c>
    </row>
    <row r="17" spans="1:42" ht="13.5" hidden="1">
      <c r="A17" s="144" t="s">
        <v>144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5" t="e">
        <f>SUM(AB14:AB15)</f>
        <v>#REF!</v>
      </c>
      <c r="AC17" s="135" t="e">
        <f>SUM(AC14:AC15)</f>
        <v>#REF!</v>
      </c>
      <c r="AD17" s="135"/>
      <c r="AE17" s="1007"/>
      <c r="AF17" s="1007"/>
      <c r="AG17" s="1007"/>
      <c r="AH17" s="135">
        <f>SUM(AH14:AH16)</f>
        <v>1910.364</v>
      </c>
      <c r="AI17" s="135">
        <f>SUM(AI14:AI16)</f>
        <v>7334.5</v>
      </c>
      <c r="AJ17" s="15"/>
      <c r="AK17" s="135">
        <f>AK14+AK15+AK16</f>
        <v>578.36399999999992</v>
      </c>
      <c r="AL17" s="135">
        <f>AL14+AL15+AL16</f>
        <v>2424.3000000000002</v>
      </c>
      <c r="AM17" s="15"/>
      <c r="AN17" s="135">
        <f>AN14+AN15+AN16</f>
        <v>2653.2000000000003</v>
      </c>
      <c r="AO17" s="135">
        <f>AO14+AO15+AO16</f>
        <v>0</v>
      </c>
    </row>
    <row r="18" spans="1:42" hidden="1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1006"/>
      <c r="AF18" s="1006"/>
      <c r="AG18" s="1006"/>
      <c r="AH18" s="15"/>
      <c r="AI18" s="15"/>
      <c r="AJ18" s="62"/>
      <c r="AK18" s="15"/>
      <c r="AL18" s="62"/>
      <c r="AM18" s="62"/>
      <c r="AN18" s="15"/>
      <c r="AO18" s="62"/>
    </row>
    <row r="19" spans="1:42" hidden="1">
      <c r="A19" s="81" t="s">
        <v>145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объемы!F9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3"/>
      <c r="AE19" s="1008"/>
      <c r="AF19" s="1008"/>
      <c r="AG19" s="1008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>
      <c r="A20" s="81" t="s">
        <v>146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1006"/>
      <c r="AF20" s="1006"/>
      <c r="AG20" s="1006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38">
        <f>(L20+P20+S20+AN20)/4</f>
        <v>0.15880621825734828</v>
      </c>
    </row>
    <row r="21" spans="1:42" hidden="1">
      <c r="A21" s="81" t="s">
        <v>159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1006"/>
      <c r="AF21" s="1006"/>
      <c r="AG21" s="1006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>
      <c r="A22" s="81" t="s">
        <v>147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1009"/>
      <c r="AF22" s="1009"/>
      <c r="AG22" s="1009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38">
        <f>(L22+P22+S22+AN22)/4</f>
        <v>0.24172159546971789</v>
      </c>
    </row>
    <row r="23" spans="1:42" hidden="1">
      <c r="A23" s="145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1010"/>
      <c r="AF23" s="1010"/>
      <c r="AG23" s="1010"/>
      <c r="AH23" s="86"/>
      <c r="AI23" s="86"/>
      <c r="AJ23" s="15"/>
      <c r="AK23" s="15"/>
      <c r="AL23" s="15"/>
      <c r="AM23" s="15"/>
      <c r="AN23" s="15"/>
      <c r="AO23" s="15"/>
    </row>
    <row r="24" spans="1:42" hidden="1">
      <c r="A24" s="81" t="s">
        <v>148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объемы!F21</f>
        <v>4093.2000000000003</v>
      </c>
      <c r="Q24" s="15"/>
      <c r="R24" s="15"/>
      <c r="S24" s="15">
        <f>объемы!J21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1006"/>
      <c r="AF24" s="1006"/>
      <c r="AG24" s="1006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>
      <c r="A25" s="81" t="s">
        <v>149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1009"/>
      <c r="AF25" s="1009"/>
      <c r="AG25" s="1009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38">
        <f>(L25+P25+S25+AN25)/4</f>
        <v>9.3667728144402856E-2</v>
      </c>
    </row>
    <row r="26" spans="1:42" ht="25.5" hidden="1">
      <c r="A26" s="81" t="s">
        <v>150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1009"/>
      <c r="AF26" s="1009"/>
      <c r="AG26" s="1009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38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81" hidden="1">
      <c r="A33" t="s">
        <v>218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81" hidden="1"/>
    <row r="35" spans="1:81" hidden="1">
      <c r="A35" t="s">
        <v>224</v>
      </c>
      <c r="R35">
        <v>4.2</v>
      </c>
      <c r="S35">
        <v>705.5</v>
      </c>
      <c r="T35">
        <v>2961.4</v>
      </c>
    </row>
    <row r="36" spans="1:81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81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81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81" hidden="1"/>
    <row r="40" spans="1:81">
      <c r="A40" s="4426" t="s">
        <v>1534</v>
      </c>
      <c r="B40" s="4426"/>
      <c r="C40" s="4426"/>
      <c r="D40" s="4426"/>
      <c r="E40" s="4426"/>
      <c r="F40" s="4426"/>
      <c r="G40" s="4426"/>
      <c r="H40" s="4426"/>
      <c r="I40" s="4426"/>
      <c r="J40" s="4426"/>
      <c r="K40" s="4426"/>
      <c r="L40" s="4426"/>
      <c r="M40" s="4426"/>
      <c r="N40" s="4426"/>
      <c r="O40" s="4426"/>
      <c r="P40" s="4426"/>
      <c r="Q40" s="4426"/>
      <c r="R40" s="4426"/>
      <c r="S40" s="4426"/>
      <c r="T40" s="4426"/>
      <c r="U40" s="4426"/>
      <c r="V40" s="4426"/>
      <c r="W40" s="4426"/>
      <c r="X40" s="4426"/>
      <c r="Y40" s="4426"/>
      <c r="Z40" s="4426"/>
      <c r="AA40" s="4426"/>
      <c r="AB40" s="4426"/>
      <c r="AC40" s="4426"/>
      <c r="AD40" s="4426"/>
      <c r="AE40" s="4426"/>
      <c r="AF40" s="4426"/>
      <c r="AG40" s="4426"/>
      <c r="AH40" s="4426"/>
      <c r="AI40" s="4426"/>
      <c r="AJ40" s="4426"/>
      <c r="AK40" s="4426"/>
      <c r="AL40" s="4426"/>
      <c r="AM40" s="4426"/>
      <c r="AN40" s="4426"/>
      <c r="AO40" s="4426"/>
      <c r="AP40" s="4426"/>
      <c r="AQ40" s="4426"/>
      <c r="AR40" s="4426"/>
      <c r="AS40" s="4426"/>
      <c r="AT40" s="4426"/>
      <c r="AU40" s="4426"/>
      <c r="AV40" s="4426"/>
      <c r="AW40" s="4426"/>
      <c r="AX40" s="4426"/>
      <c r="AY40" s="4426"/>
      <c r="AZ40" s="4426"/>
      <c r="BA40" s="4426"/>
      <c r="BB40" s="4426"/>
      <c r="BC40" s="4426"/>
      <c r="BD40" s="4426"/>
      <c r="BE40" s="4426"/>
      <c r="BF40" s="4426"/>
      <c r="BG40" s="4426"/>
      <c r="BH40" s="4426"/>
      <c r="BI40" s="4426"/>
      <c r="BJ40" s="4426"/>
      <c r="BK40" s="4426"/>
      <c r="BL40" s="4426"/>
      <c r="BM40" s="4426"/>
      <c r="BN40" s="4426"/>
      <c r="BO40" s="4426"/>
      <c r="BP40" s="4426"/>
      <c r="BQ40" s="4426"/>
      <c r="BR40" s="4426"/>
      <c r="BS40" s="4426"/>
      <c r="BT40" s="4426"/>
      <c r="BU40" s="4426"/>
      <c r="BV40" s="4426"/>
      <c r="BW40" s="4426"/>
      <c r="BX40" s="4426"/>
      <c r="BY40" s="4426"/>
      <c r="BZ40" s="4426"/>
      <c r="CA40" s="4426"/>
      <c r="CB40" s="4426"/>
      <c r="CC40" s="4426"/>
    </row>
    <row r="41" spans="1:81" ht="25.5">
      <c r="A41" s="4868" t="s">
        <v>838</v>
      </c>
      <c r="B41" s="4868"/>
      <c r="C41" s="4868"/>
      <c r="D41" s="4868"/>
      <c r="E41" s="4868"/>
      <c r="F41" s="4868"/>
      <c r="G41" s="4868"/>
      <c r="H41" s="4868"/>
      <c r="I41" s="4868"/>
      <c r="J41" s="4868"/>
      <c r="K41" s="4868"/>
      <c r="L41" s="4868"/>
      <c r="M41" s="4868"/>
      <c r="N41" s="4868"/>
      <c r="O41" s="4868"/>
      <c r="P41" s="4868"/>
      <c r="Q41" s="4868"/>
      <c r="R41" s="4868"/>
      <c r="S41" s="4868"/>
      <c r="T41" s="4868"/>
      <c r="U41" s="4868"/>
      <c r="V41" s="4868"/>
      <c r="W41" s="4868"/>
      <c r="X41" s="4868"/>
      <c r="Y41" s="4868"/>
      <c r="Z41" s="4868"/>
      <c r="AA41" s="4868"/>
      <c r="AB41" s="4868"/>
      <c r="AC41" s="4868"/>
      <c r="AD41" s="4868"/>
      <c r="AE41" s="4868"/>
      <c r="AF41" s="4868"/>
      <c r="AG41" s="4868"/>
      <c r="AH41" s="4868"/>
      <c r="AI41" s="4868"/>
      <c r="AJ41" s="4868"/>
      <c r="AK41" s="4868"/>
      <c r="AL41" s="4868"/>
      <c r="AM41" s="4869"/>
      <c r="AN41" s="4869"/>
      <c r="AO41" s="4869"/>
      <c r="AP41" s="4869"/>
      <c r="AQ41" s="4869"/>
      <c r="AR41" s="4869"/>
      <c r="AS41" s="4869"/>
      <c r="AT41" s="4869"/>
      <c r="AU41" s="4869"/>
      <c r="AV41" s="4869"/>
      <c r="AW41" s="4869"/>
      <c r="AX41" s="4869"/>
      <c r="AY41" s="4869"/>
      <c r="AZ41" s="4869"/>
      <c r="BA41" s="4869"/>
      <c r="BB41" s="4869"/>
      <c r="BC41" s="4869"/>
      <c r="BD41" s="4869"/>
      <c r="BE41" s="4869"/>
      <c r="BF41" s="4869"/>
      <c r="BG41" s="4869"/>
      <c r="BH41" s="4869"/>
      <c r="BI41" s="4869"/>
      <c r="BJ41" s="4869"/>
      <c r="BK41" s="4869"/>
      <c r="BL41" s="4869"/>
      <c r="BM41" s="4869"/>
      <c r="BN41" s="4869"/>
      <c r="BO41" s="4869"/>
      <c r="BP41" s="4869"/>
      <c r="BQ41" s="4869"/>
      <c r="BR41" s="4869"/>
      <c r="BS41" s="4869"/>
      <c r="BT41" s="4869"/>
      <c r="BU41" s="4869"/>
      <c r="BV41" s="4869"/>
      <c r="BW41" s="4869"/>
      <c r="BX41" s="4869"/>
      <c r="BY41" s="4869"/>
      <c r="BZ41" s="4869"/>
      <c r="CA41" s="4869"/>
      <c r="CB41" s="4869"/>
      <c r="CC41" s="4869"/>
    </row>
    <row r="43" spans="1:81" ht="13.5" thickBot="1"/>
    <row r="44" spans="1:81" ht="20.25">
      <c r="A44" s="4829" t="s">
        <v>546</v>
      </c>
      <c r="B44" s="801"/>
      <c r="C44" s="381"/>
      <c r="D44" s="381"/>
      <c r="E44" s="381"/>
      <c r="F44" s="381"/>
      <c r="G44" s="381"/>
      <c r="H44" s="381"/>
      <c r="I44" s="381"/>
      <c r="J44" s="812"/>
      <c r="K44" s="4790" t="s">
        <v>298</v>
      </c>
      <c r="L44" s="4791"/>
      <c r="M44" s="4791"/>
      <c r="N44" s="4791"/>
      <c r="O44" s="4791"/>
      <c r="P44" s="4791"/>
      <c r="Q44" s="4791"/>
      <c r="R44" s="4791"/>
      <c r="S44" s="4791"/>
      <c r="T44" s="4791"/>
      <c r="U44" s="4791"/>
      <c r="V44" s="4791"/>
      <c r="W44" s="4791"/>
      <c r="X44" s="4791"/>
      <c r="Y44" s="4791"/>
      <c r="Z44" s="4791"/>
      <c r="AA44" s="4791"/>
      <c r="AB44" s="4791"/>
      <c r="AC44" s="4791"/>
      <c r="AD44" s="4791"/>
      <c r="AE44" s="4802"/>
      <c r="AF44" s="4802"/>
      <c r="AG44" s="4803"/>
      <c r="AH44" s="4790" t="s">
        <v>841</v>
      </c>
      <c r="AI44" s="4791"/>
      <c r="AJ44" s="4791"/>
      <c r="AK44" s="4791"/>
      <c r="AL44" s="4791"/>
      <c r="AM44" s="4791"/>
      <c r="AN44" s="4791"/>
      <c r="AO44" s="4791"/>
      <c r="AP44" s="4791"/>
      <c r="AQ44" s="4791"/>
      <c r="AR44" s="4792"/>
      <c r="AS44" s="4792"/>
      <c r="AT44" s="4792"/>
      <c r="AU44" s="4792"/>
      <c r="AV44" s="4792"/>
      <c r="AW44" s="4792"/>
      <c r="AX44" s="4826" t="s">
        <v>842</v>
      </c>
      <c r="AY44" s="4781"/>
      <c r="AZ44" s="4781"/>
      <c r="BA44" s="4781"/>
      <c r="BB44" s="4781"/>
      <c r="BC44" s="4781"/>
      <c r="BD44" s="4781"/>
      <c r="BE44" s="4781"/>
      <c r="BF44" s="4781"/>
      <c r="BG44" s="4794"/>
      <c r="BH44" s="4875" t="s">
        <v>1649</v>
      </c>
      <c r="BI44" s="4876"/>
      <c r="BJ44" s="4877"/>
      <c r="BK44" s="4870" t="s">
        <v>1659</v>
      </c>
      <c r="BL44" s="4606"/>
      <c r="BM44" s="4606"/>
      <c r="BN44" s="4606"/>
      <c r="BO44" s="4606"/>
      <c r="BP44" s="4606"/>
      <c r="BQ44" s="4606"/>
      <c r="BR44" s="4606"/>
      <c r="BS44" s="4871"/>
      <c r="BT44" s="4872" t="s">
        <v>1551</v>
      </c>
      <c r="BU44" s="4873"/>
      <c r="BV44" s="4873"/>
      <c r="BW44" s="4873"/>
      <c r="BX44" s="4873"/>
      <c r="BY44" s="4873"/>
      <c r="BZ44" s="4873"/>
      <c r="CA44" s="4873"/>
      <c r="CB44" s="4873"/>
      <c r="CC44" s="4874"/>
    </row>
    <row r="45" spans="1:81" ht="20.25">
      <c r="A45" s="4830"/>
      <c r="B45" s="801"/>
      <c r="C45" s="381"/>
      <c r="D45" s="381"/>
      <c r="E45" s="381"/>
      <c r="F45" s="381"/>
      <c r="G45" s="381"/>
      <c r="H45" s="381"/>
      <c r="I45" s="381"/>
      <c r="J45" s="812"/>
      <c r="K45" s="4768" t="s">
        <v>129</v>
      </c>
      <c r="L45" s="4766"/>
      <c r="M45" s="4766"/>
      <c r="N45" s="4766"/>
      <c r="O45" s="4766" t="s">
        <v>130</v>
      </c>
      <c r="P45" s="4766"/>
      <c r="Q45" s="4766"/>
      <c r="R45" s="4766"/>
      <c r="S45" s="4844" t="s">
        <v>368</v>
      </c>
      <c r="T45" s="4844"/>
      <c r="U45" s="4844"/>
      <c r="V45" s="4844"/>
      <c r="W45" s="1017"/>
      <c r="X45" s="4766" t="s">
        <v>391</v>
      </c>
      <c r="Y45" s="4766"/>
      <c r="Z45" s="4766"/>
      <c r="AA45" s="4766"/>
      <c r="AB45" s="4766" t="s">
        <v>134</v>
      </c>
      <c r="AC45" s="4766"/>
      <c r="AD45" s="4766"/>
      <c r="AE45" s="4782" t="s">
        <v>839</v>
      </c>
      <c r="AF45" s="4783"/>
      <c r="AG45" s="4784"/>
      <c r="AH45" s="4801" t="s">
        <v>129</v>
      </c>
      <c r="AI45" s="4770"/>
      <c r="AJ45" s="4770"/>
      <c r="AK45" s="4770"/>
      <c r="AL45" s="4766" t="s">
        <v>130</v>
      </c>
      <c r="AM45" s="4766"/>
      <c r="AN45" s="4766"/>
      <c r="AO45" s="4806" t="s">
        <v>368</v>
      </c>
      <c r="AP45" s="4806"/>
      <c r="AQ45" s="4806"/>
      <c r="AR45" s="4807" t="s">
        <v>391</v>
      </c>
      <c r="AS45" s="4807"/>
      <c r="AT45" s="4807"/>
      <c r="AU45" s="4769" t="s">
        <v>134</v>
      </c>
      <c r="AV45" s="4770"/>
      <c r="AW45" s="4770"/>
      <c r="AX45" s="4801" t="s">
        <v>129</v>
      </c>
      <c r="AY45" s="4770"/>
      <c r="AZ45" s="4770"/>
      <c r="BA45" s="4866"/>
      <c r="BB45" s="4867" t="s">
        <v>130</v>
      </c>
      <c r="BC45" s="4867"/>
      <c r="BD45" s="4867"/>
      <c r="BE45" s="4766" t="s">
        <v>368</v>
      </c>
      <c r="BF45" s="4766"/>
      <c r="BG45" s="4828"/>
      <c r="BH45" s="4878"/>
      <c r="BI45" s="4879"/>
      <c r="BJ45" s="4880"/>
      <c r="BK45" s="4785" t="s">
        <v>533</v>
      </c>
      <c r="BL45" s="4771"/>
      <c r="BM45" s="4771"/>
      <c r="BN45" s="4771" t="s">
        <v>534</v>
      </c>
      <c r="BO45" s="4771"/>
      <c r="BP45" s="4771"/>
      <c r="BQ45" s="4771" t="s">
        <v>1669</v>
      </c>
      <c r="BR45" s="4771"/>
      <c r="BS45" s="4780"/>
      <c r="BT45" s="4850" t="s">
        <v>129</v>
      </c>
      <c r="BU45" s="4851"/>
      <c r="BV45" s="4851"/>
      <c r="BW45" s="4852"/>
      <c r="BX45" s="4847" t="s">
        <v>130</v>
      </c>
      <c r="BY45" s="4847"/>
      <c r="BZ45" s="4847"/>
      <c r="CA45" s="4848" t="s">
        <v>368</v>
      </c>
      <c r="CB45" s="4848"/>
      <c r="CC45" s="4849"/>
    </row>
    <row r="46" spans="1:81" ht="18" customHeight="1">
      <c r="A46" s="4830"/>
      <c r="B46" s="801"/>
      <c r="C46" s="381"/>
      <c r="D46" s="381"/>
      <c r="E46" s="381"/>
      <c r="F46" s="381"/>
      <c r="G46" s="381"/>
      <c r="H46" s="381"/>
      <c r="I46" s="381"/>
      <c r="J46" s="812"/>
      <c r="K46" s="1018" t="s">
        <v>118</v>
      </c>
      <c r="L46" s="4765" t="s">
        <v>840</v>
      </c>
      <c r="M46" s="4765" t="s">
        <v>102</v>
      </c>
      <c r="N46" s="4765" t="s">
        <v>102</v>
      </c>
      <c r="O46" s="1012" t="s">
        <v>118</v>
      </c>
      <c r="P46" s="4765" t="s">
        <v>840</v>
      </c>
      <c r="Q46" s="4765" t="s">
        <v>102</v>
      </c>
      <c r="R46" s="4765" t="s">
        <v>243</v>
      </c>
      <c r="S46" s="4844"/>
      <c r="T46" s="4844"/>
      <c r="U46" s="4844"/>
      <c r="V46" s="4844"/>
      <c r="W46" s="1012"/>
      <c r="X46" s="1012" t="s">
        <v>118</v>
      </c>
      <c r="Y46" s="4765" t="s">
        <v>840</v>
      </c>
      <c r="Z46" s="4765" t="s">
        <v>102</v>
      </c>
      <c r="AA46" s="4765" t="s">
        <v>102</v>
      </c>
      <c r="AB46" s="1012" t="s">
        <v>118</v>
      </c>
      <c r="AC46" s="4765" t="s">
        <v>840</v>
      </c>
      <c r="AD46" s="4765" t="s">
        <v>102</v>
      </c>
      <c r="AE46" s="1057" t="s">
        <v>118</v>
      </c>
      <c r="AF46" s="4774" t="s">
        <v>840</v>
      </c>
      <c r="AG46" s="4843" t="s">
        <v>102</v>
      </c>
      <c r="AH46" s="1018" t="s">
        <v>118</v>
      </c>
      <c r="AI46" s="4765" t="s">
        <v>840</v>
      </c>
      <c r="AJ46" s="4765" t="s">
        <v>102</v>
      </c>
      <c r="AK46" s="4765" t="s">
        <v>396</v>
      </c>
      <c r="AL46" s="1012" t="s">
        <v>118</v>
      </c>
      <c r="AM46" s="4765" t="s">
        <v>840</v>
      </c>
      <c r="AN46" s="4765" t="s">
        <v>102</v>
      </c>
      <c r="AO46" s="4767" t="s">
        <v>846</v>
      </c>
      <c r="AP46" s="4767"/>
      <c r="AQ46" s="4767"/>
      <c r="AR46" s="1046" t="s">
        <v>118</v>
      </c>
      <c r="AS46" s="4767" t="s">
        <v>840</v>
      </c>
      <c r="AT46" s="4767" t="s">
        <v>102</v>
      </c>
      <c r="AU46" s="1045" t="s">
        <v>118</v>
      </c>
      <c r="AV46" s="4765" t="s">
        <v>840</v>
      </c>
      <c r="AW46" s="4765" t="s">
        <v>102</v>
      </c>
      <c r="AX46" s="1018" t="s">
        <v>118</v>
      </c>
      <c r="AY46" s="4765" t="s">
        <v>840</v>
      </c>
      <c r="AZ46" s="4765" t="s">
        <v>102</v>
      </c>
      <c r="BA46" s="4765" t="s">
        <v>396</v>
      </c>
      <c r="BB46" s="1019" t="s">
        <v>118</v>
      </c>
      <c r="BC46" s="4765" t="s">
        <v>840</v>
      </c>
      <c r="BD46" s="4765" t="s">
        <v>102</v>
      </c>
      <c r="BE46" s="4765" t="s">
        <v>846</v>
      </c>
      <c r="BF46" s="4765"/>
      <c r="BG46" s="4835"/>
      <c r="BH46" s="3213" t="s">
        <v>118</v>
      </c>
      <c r="BI46" s="4885" t="s">
        <v>840</v>
      </c>
      <c r="BJ46" s="4886" t="s">
        <v>102</v>
      </c>
      <c r="BK46" s="2966" t="s">
        <v>118</v>
      </c>
      <c r="BL46" s="4763" t="s">
        <v>840</v>
      </c>
      <c r="BM46" s="4763" t="s">
        <v>102</v>
      </c>
      <c r="BN46" s="2967" t="s">
        <v>118</v>
      </c>
      <c r="BO46" s="4763" t="s">
        <v>840</v>
      </c>
      <c r="BP46" s="4763" t="s">
        <v>102</v>
      </c>
      <c r="BQ46" s="2967" t="s">
        <v>118</v>
      </c>
      <c r="BR46" s="4763" t="s">
        <v>840</v>
      </c>
      <c r="BS46" s="4764" t="s">
        <v>102</v>
      </c>
      <c r="BT46" s="3201" t="s">
        <v>118</v>
      </c>
      <c r="BU46" s="4845" t="s">
        <v>840</v>
      </c>
      <c r="BV46" s="4845" t="s">
        <v>102</v>
      </c>
      <c r="BW46" s="4845" t="s">
        <v>396</v>
      </c>
      <c r="BX46" s="3534" t="s">
        <v>118</v>
      </c>
      <c r="BY46" s="4845" t="s">
        <v>840</v>
      </c>
      <c r="BZ46" s="4845" t="s">
        <v>102</v>
      </c>
      <c r="CA46" s="4845" t="s">
        <v>846</v>
      </c>
      <c r="CB46" s="4845"/>
      <c r="CC46" s="4846"/>
    </row>
    <row r="47" spans="1:81" ht="37.5" customHeight="1">
      <c r="A47" s="4830"/>
      <c r="B47" s="801"/>
      <c r="C47" s="381"/>
      <c r="D47" s="381"/>
      <c r="E47" s="381"/>
      <c r="F47" s="381"/>
      <c r="G47" s="381"/>
      <c r="H47" s="381"/>
      <c r="I47" s="381"/>
      <c r="J47" s="812"/>
      <c r="K47" s="1018" t="s">
        <v>232</v>
      </c>
      <c r="L47" s="4765"/>
      <c r="M47" s="4765"/>
      <c r="N47" s="4765"/>
      <c r="O47" s="1012" t="s">
        <v>232</v>
      </c>
      <c r="P47" s="4765"/>
      <c r="Q47" s="4765"/>
      <c r="R47" s="4765"/>
      <c r="S47" s="1012" t="s">
        <v>118</v>
      </c>
      <c r="T47" s="1012" t="s">
        <v>377</v>
      </c>
      <c r="U47" s="1012"/>
      <c r="V47" s="1012" t="s">
        <v>102</v>
      </c>
      <c r="W47" s="1012"/>
      <c r="X47" s="1012" t="s">
        <v>232</v>
      </c>
      <c r="Y47" s="4765"/>
      <c r="Z47" s="4765"/>
      <c r="AA47" s="4765"/>
      <c r="AB47" s="1012" t="s">
        <v>232</v>
      </c>
      <c r="AC47" s="4765"/>
      <c r="AD47" s="4765"/>
      <c r="AE47" s="1057" t="s">
        <v>232</v>
      </c>
      <c r="AF47" s="4774"/>
      <c r="AG47" s="4843"/>
      <c r="AH47" s="1018" t="s">
        <v>232</v>
      </c>
      <c r="AI47" s="4765"/>
      <c r="AJ47" s="4765"/>
      <c r="AK47" s="4765"/>
      <c r="AL47" s="1012" t="s">
        <v>232</v>
      </c>
      <c r="AM47" s="4765"/>
      <c r="AN47" s="4765"/>
      <c r="AO47" s="1046" t="s">
        <v>118</v>
      </c>
      <c r="AP47" s="1046" t="s">
        <v>377</v>
      </c>
      <c r="AQ47" s="1046" t="s">
        <v>102</v>
      </c>
      <c r="AR47" s="1046" t="s">
        <v>232</v>
      </c>
      <c r="AS47" s="4767"/>
      <c r="AT47" s="4767"/>
      <c r="AU47" s="1045" t="s">
        <v>232</v>
      </c>
      <c r="AV47" s="4765"/>
      <c r="AW47" s="4765"/>
      <c r="AX47" s="1018" t="s">
        <v>232</v>
      </c>
      <c r="AY47" s="4765"/>
      <c r="AZ47" s="4765"/>
      <c r="BA47" s="4765"/>
      <c r="BB47" s="1019" t="s">
        <v>232</v>
      </c>
      <c r="BC47" s="4765"/>
      <c r="BD47" s="4765"/>
      <c r="BE47" s="1019" t="s">
        <v>118</v>
      </c>
      <c r="BF47" s="1019" t="s">
        <v>377</v>
      </c>
      <c r="BG47" s="1038" t="s">
        <v>102</v>
      </c>
      <c r="BH47" s="3213" t="s">
        <v>232</v>
      </c>
      <c r="BI47" s="4885"/>
      <c r="BJ47" s="4886"/>
      <c r="BK47" s="2966" t="s">
        <v>232</v>
      </c>
      <c r="BL47" s="4763"/>
      <c r="BM47" s="4763"/>
      <c r="BN47" s="2967" t="s">
        <v>232</v>
      </c>
      <c r="BO47" s="4763"/>
      <c r="BP47" s="4763"/>
      <c r="BQ47" s="2967" t="s">
        <v>232</v>
      </c>
      <c r="BR47" s="4763"/>
      <c r="BS47" s="4764"/>
      <c r="BT47" s="3201" t="s">
        <v>232</v>
      </c>
      <c r="BU47" s="4845"/>
      <c r="BV47" s="4845"/>
      <c r="BW47" s="4845"/>
      <c r="BX47" s="3534" t="s">
        <v>232</v>
      </c>
      <c r="BY47" s="4845"/>
      <c r="BZ47" s="4845"/>
      <c r="CA47" s="3534" t="s">
        <v>118</v>
      </c>
      <c r="CB47" s="3534" t="s">
        <v>377</v>
      </c>
      <c r="CC47" s="3547" t="s">
        <v>102</v>
      </c>
    </row>
    <row r="48" spans="1:81" ht="30" customHeight="1">
      <c r="A48" s="1032" t="s">
        <v>139</v>
      </c>
      <c r="B48" s="801"/>
      <c r="C48" s="381"/>
      <c r="D48" s="381"/>
      <c r="E48" s="381"/>
      <c r="F48" s="381"/>
      <c r="G48" s="381"/>
      <c r="H48" s="381"/>
      <c r="I48" s="381"/>
      <c r="J48" s="812"/>
      <c r="K48" s="1020">
        <v>5.75</v>
      </c>
      <c r="L48" s="1021">
        <v>1091.2</v>
      </c>
      <c r="M48" s="1013">
        <f>L48*K48</f>
        <v>6274.4000000000005</v>
      </c>
      <c r="N48" s="1021">
        <f>K48*M48</f>
        <v>36077.800000000003</v>
      </c>
      <c r="O48" s="1014">
        <v>5.5810000000000004</v>
      </c>
      <c r="P48" s="885">
        <f>Q56*Q57</f>
        <v>808.97481109618491</v>
      </c>
      <c r="Q48" s="885">
        <f>O48*P48</f>
        <v>4514.8884207278079</v>
      </c>
      <c r="R48" s="1022"/>
      <c r="S48" s="1014">
        <f>O48-K48</f>
        <v>-0.16899999999999959</v>
      </c>
      <c r="T48" s="1017">
        <f>P48-L48</f>
        <v>-282.22518890381514</v>
      </c>
      <c r="U48" s="1022"/>
      <c r="V48" s="1017">
        <f>Q48-M48</f>
        <v>-1759.5115792721926</v>
      </c>
      <c r="W48" s="1022"/>
      <c r="X48" s="1014">
        <v>4.9657999999999998</v>
      </c>
      <c r="Y48" s="1021">
        <v>505.33199999999999</v>
      </c>
      <c r="Z48" s="1013">
        <v>2509.4</v>
      </c>
      <c r="AA48" s="1021">
        <f>X48*Z48</f>
        <v>12461.178519999999</v>
      </c>
      <c r="AB48" s="1014">
        <f t="shared" ref="AB48:AB55" si="3">AD48/AC48</f>
        <v>4.9915147295592019</v>
      </c>
      <c r="AC48" s="1021">
        <v>689.43</v>
      </c>
      <c r="AD48" s="1013">
        <v>3441.3</v>
      </c>
      <c r="AE48" s="1058">
        <f>SUM(AG48/AF48)</f>
        <v>5.007427152968611</v>
      </c>
      <c r="AF48" s="1059">
        <v>910.84699999999998</v>
      </c>
      <c r="AG48" s="426">
        <v>4561</v>
      </c>
      <c r="AH48" s="1020">
        <v>5.5810000000000004</v>
      </c>
      <c r="AI48" s="1021">
        <v>846.8</v>
      </c>
      <c r="AJ48" s="885">
        <f>4962.29</f>
        <v>4962.29</v>
      </c>
      <c r="AK48" s="1021"/>
      <c r="AL48" s="1014">
        <f>K74*1.028</f>
        <v>5.2037132396875592</v>
      </c>
      <c r="AM48" s="885">
        <f>AN56*AN57</f>
        <v>883.18331415423415</v>
      </c>
      <c r="AN48" s="885">
        <f>AL48*AM48</f>
        <v>4595.8327049355248</v>
      </c>
      <c r="AO48" s="1047">
        <f t="shared" ref="AO48:AQ50" si="4">AL48-AH48</f>
        <v>-0.37728676031244124</v>
      </c>
      <c r="AP48" s="1048">
        <f t="shared" si="4"/>
        <v>36.383314154234199</v>
      </c>
      <c r="AQ48" s="1048">
        <f t="shared" si="4"/>
        <v>-366.45729506447515</v>
      </c>
      <c r="AR48" s="1047">
        <f>SUM(AT48/AS48)</f>
        <v>4.9360225547603553</v>
      </c>
      <c r="AS48" s="1049">
        <v>414.99</v>
      </c>
      <c r="AT48" s="1050">
        <v>2048.4</v>
      </c>
      <c r="AU48" s="1047">
        <f>SUM(AW48/AV48)</f>
        <v>5.0309675458654715</v>
      </c>
      <c r="AV48" s="2549">
        <v>546.21699999999998</v>
      </c>
      <c r="AW48" s="2046">
        <v>2748</v>
      </c>
      <c r="AX48" s="1065">
        <f>SUM(AL48*1.1)</f>
        <v>5.7240845636563158</v>
      </c>
      <c r="AY48" s="1058">
        <v>910.85</v>
      </c>
      <c r="AZ48" s="1059">
        <f>SUM(AX48*AY48)</f>
        <v>5213.7824248063553</v>
      </c>
      <c r="BA48" s="1066">
        <f>SUM(AZ48/AN48)</f>
        <v>1.1344587062986879</v>
      </c>
      <c r="BB48" s="2540">
        <f>(AU65+AU65*1.06)/2</f>
        <v>5.4911565455279785</v>
      </c>
      <c r="BC48" s="2548">
        <f>BD56*BD57</f>
        <v>703.79138799999998</v>
      </c>
      <c r="BD48" s="1069">
        <f>BC48*BB48</f>
        <v>3864.6286869024211</v>
      </c>
      <c r="BE48" s="1014">
        <f t="shared" ref="BE48:BE54" si="5">BB48-AX48</f>
        <v>-0.2329280181283373</v>
      </c>
      <c r="BF48" s="1017">
        <f t="shared" ref="BF48:BF54" si="6">BC48-AY48</f>
        <v>-207.05861200000004</v>
      </c>
      <c r="BG48" s="1039">
        <f t="shared" ref="BG48:BG54" si="7">BD48-AZ48</f>
        <v>-1349.1537379039341</v>
      </c>
      <c r="BH48" s="3214">
        <f>SUM(BJ48/BI48)</f>
        <v>5.137487369484675</v>
      </c>
      <c r="BI48" s="3215">
        <v>742.25</v>
      </c>
      <c r="BJ48" s="3216">
        <v>3813.3</v>
      </c>
      <c r="BK48" s="3002">
        <f>SUM(BM48/BL48)</f>
        <v>2.4988840685106704</v>
      </c>
      <c r="BL48" s="2976">
        <v>398.77</v>
      </c>
      <c r="BM48" s="2975">
        <v>996.48</v>
      </c>
      <c r="BN48" s="2973">
        <f>SUM(BP48/BO48)</f>
        <v>2.4608424138150768</v>
      </c>
      <c r="BO48" s="2976">
        <v>549.255</v>
      </c>
      <c r="BP48" s="2975">
        <v>1351.63</v>
      </c>
      <c r="BQ48" s="2973">
        <f>SUM((BK48+(BP48-BM48)/(BO48-BL48))/2)</f>
        <v>2.4294599762429092</v>
      </c>
      <c r="BR48" s="2976">
        <f>SUM(BO48/9*12)</f>
        <v>732.34</v>
      </c>
      <c r="BS48" s="2978">
        <f>SUM(BQ48*BR48)</f>
        <v>1779.1907190017323</v>
      </c>
      <c r="BT48" s="3195">
        <f>SUM(BB48*1.1)</f>
        <v>6.0402722000807767</v>
      </c>
      <c r="BU48" s="3196">
        <f>BV56*BV57</f>
        <v>698.89499999999998</v>
      </c>
      <c r="BV48" s="2942">
        <f>BU48*BT48</f>
        <v>4221.5160392754542</v>
      </c>
      <c r="BW48" s="3197">
        <f>SUM(BV48/BD48)</f>
        <v>1.0923471260208146</v>
      </c>
      <c r="BX48" s="3536">
        <f>SUM(BZ48/BY48)</f>
        <v>5.6443833236826872</v>
      </c>
      <c r="BY48" s="3196">
        <v>690.8</v>
      </c>
      <c r="BZ48" s="2942">
        <v>3899.14</v>
      </c>
      <c r="CA48" s="3548">
        <f t="shared" ref="CA48" si="8">BX48-BT48</f>
        <v>-0.39588887639808945</v>
      </c>
      <c r="CB48" s="3549">
        <f t="shared" ref="CB48" si="9">BY48-BU48</f>
        <v>-8.0950000000000273</v>
      </c>
      <c r="CC48" s="3550">
        <f t="shared" ref="CC48" si="10">BZ48-BV48</f>
        <v>-322.37603927545433</v>
      </c>
    </row>
    <row r="49" spans="1:81" ht="30" customHeight="1">
      <c r="A49" s="1875" t="s">
        <v>1585</v>
      </c>
      <c r="B49" s="1876"/>
      <c r="C49" s="1877"/>
      <c r="D49" s="1877"/>
      <c r="E49" s="1877"/>
      <c r="F49" s="1877"/>
      <c r="G49" s="1877"/>
      <c r="H49" s="1877"/>
      <c r="I49" s="1877"/>
      <c r="J49" s="1878"/>
      <c r="K49" s="1879"/>
      <c r="L49" s="1880"/>
      <c r="M49" s="1881"/>
      <c r="N49" s="1880"/>
      <c r="O49" s="1882"/>
      <c r="P49" s="1883"/>
      <c r="Q49" s="1883"/>
      <c r="R49" s="1884"/>
      <c r="S49" s="1882"/>
      <c r="T49" s="1885"/>
      <c r="U49" s="1884"/>
      <c r="V49" s="1885"/>
      <c r="W49" s="1884"/>
      <c r="X49" s="1882"/>
      <c r="Y49" s="1880"/>
      <c r="Z49" s="1881"/>
      <c r="AA49" s="1880"/>
      <c r="AB49" s="1882"/>
      <c r="AC49" s="1880"/>
      <c r="AD49" s="1881"/>
      <c r="AE49" s="1886"/>
      <c r="AF49" s="1887"/>
      <c r="AG49" s="1888"/>
      <c r="AH49" s="1879"/>
      <c r="AI49" s="1880"/>
      <c r="AJ49" s="1883"/>
      <c r="AK49" s="1880"/>
      <c r="AL49" s="1882"/>
      <c r="AM49" s="1883"/>
      <c r="AN49" s="1883"/>
      <c r="AO49" s="1882"/>
      <c r="AP49" s="1885"/>
      <c r="AQ49" s="1885"/>
      <c r="AR49" s="1882"/>
      <c r="AS49" s="1880"/>
      <c r="AT49" s="1883">
        <v>132.9</v>
      </c>
      <c r="AU49" s="1882"/>
      <c r="AV49" s="2045"/>
      <c r="AW49" s="2046">
        <v>205.8</v>
      </c>
      <c r="AX49" s="1889"/>
      <c r="AY49" s="1886"/>
      <c r="AZ49" s="1887"/>
      <c r="BA49" s="1890"/>
      <c r="BB49" s="2541"/>
      <c r="BC49" s="2542"/>
      <c r="BD49" s="1887"/>
      <c r="BE49" s="1882"/>
      <c r="BF49" s="1885"/>
      <c r="BG49" s="1891"/>
      <c r="BH49" s="3214"/>
      <c r="BI49" s="3217"/>
      <c r="BJ49" s="3216">
        <v>258.7</v>
      </c>
      <c r="BK49" s="3002"/>
      <c r="BL49" s="2974"/>
      <c r="BM49" s="2975"/>
      <c r="BN49" s="2973"/>
      <c r="BO49" s="2974"/>
      <c r="BP49" s="2975"/>
      <c r="BQ49" s="2973"/>
      <c r="BR49" s="2974"/>
      <c r="BS49" s="2978"/>
      <c r="BT49" s="3202"/>
      <c r="BU49" s="3203"/>
      <c r="BV49" s="3204"/>
      <c r="BW49" s="3205"/>
      <c r="BX49" s="3537"/>
      <c r="BY49" s="3538"/>
      <c r="BZ49" s="3204"/>
      <c r="CA49" s="3537"/>
      <c r="CB49" s="3203"/>
      <c r="CC49" s="3551"/>
    </row>
    <row r="50" spans="1:81" ht="30" customHeight="1">
      <c r="A50" s="1032" t="s">
        <v>140</v>
      </c>
      <c r="B50" s="801"/>
      <c r="C50" s="381"/>
      <c r="D50" s="381"/>
      <c r="E50" s="381"/>
      <c r="F50" s="381"/>
      <c r="G50" s="381"/>
      <c r="H50" s="381"/>
      <c r="I50" s="381"/>
      <c r="J50" s="812"/>
      <c r="K50" s="1020">
        <v>4.55</v>
      </c>
      <c r="L50" s="1021">
        <v>1754.8</v>
      </c>
      <c r="M50" s="1013">
        <f>L50*K50</f>
        <v>7984.3399999999992</v>
      </c>
      <c r="N50" s="1021">
        <f>K50*M50</f>
        <v>36328.746999999996</v>
      </c>
      <c r="O50" s="1014">
        <v>4.5730000000000004</v>
      </c>
      <c r="P50" s="885">
        <f>Q58*Q59</f>
        <v>1337.6993677016787</v>
      </c>
      <c r="Q50" s="885">
        <f>O50*P50</f>
        <v>6117.2992084997777</v>
      </c>
      <c r="R50" s="1022"/>
      <c r="S50" s="1014">
        <f>O50-K50</f>
        <v>2.3000000000000576E-2</v>
      </c>
      <c r="T50" s="1017">
        <f>P50-L50</f>
        <v>-417.10063229832122</v>
      </c>
      <c r="U50" s="1022"/>
      <c r="V50" s="1017">
        <f t="shared" ref="V50:V62" si="11">Q50-M50</f>
        <v>-1867.0407915002215</v>
      </c>
      <c r="W50" s="1022"/>
      <c r="X50" s="1014">
        <v>3.9638</v>
      </c>
      <c r="Y50" s="1021">
        <v>820.02</v>
      </c>
      <c r="Z50" s="1013">
        <v>3250.4</v>
      </c>
      <c r="AA50" s="1021">
        <f>X50*Z50</f>
        <v>12883.935520000001</v>
      </c>
      <c r="AB50" s="1014">
        <f t="shared" si="3"/>
        <v>4.0118462507876496</v>
      </c>
      <c r="AC50" s="1021">
        <v>1190.25</v>
      </c>
      <c r="AD50" s="1013">
        <v>4775.1000000000004</v>
      </c>
      <c r="AE50" s="1058">
        <f>SUM(AG50/AF50)</f>
        <v>4.0205962981621663</v>
      </c>
      <c r="AF50" s="1059">
        <v>1528.43</v>
      </c>
      <c r="AG50" s="426">
        <v>6145.2</v>
      </c>
      <c r="AH50" s="1020">
        <v>4.5730000000000004</v>
      </c>
      <c r="AI50" s="1021">
        <v>1387.6</v>
      </c>
      <c r="AJ50" s="885">
        <v>6662.8</v>
      </c>
      <c r="AK50" s="1021"/>
      <c r="AL50" s="1014">
        <f>K76*1.028</f>
        <v>4.2335618399373365</v>
      </c>
      <c r="AM50" s="885">
        <f>AN58*AN59</f>
        <v>1220.7907457602632</v>
      </c>
      <c r="AN50" s="885">
        <f>AL50*AM50</f>
        <v>5168.2931157992934</v>
      </c>
      <c r="AO50" s="1047">
        <f t="shared" si="4"/>
        <v>-0.33943816006266392</v>
      </c>
      <c r="AP50" s="1048">
        <f t="shared" si="4"/>
        <v>-166.80925423973667</v>
      </c>
      <c r="AQ50" s="1048">
        <f t="shared" si="4"/>
        <v>-1494.5068842007067</v>
      </c>
      <c r="AR50" s="1047">
        <f>SUM(AT50/AS50)</f>
        <v>3.819503849443969</v>
      </c>
      <c r="AS50" s="1049">
        <v>678.02</v>
      </c>
      <c r="AT50" s="1050">
        <v>2589.6999999999998</v>
      </c>
      <c r="AU50" s="1047">
        <f>SUM(AW50/AV50)</f>
        <v>3.9526209082140822</v>
      </c>
      <c r="AV50" s="2549">
        <v>1016.06</v>
      </c>
      <c r="AW50" s="2046">
        <v>4016.1</v>
      </c>
      <c r="AX50" s="1065">
        <f>SUM(AL50*1.1)</f>
        <v>4.6569180239310706</v>
      </c>
      <c r="AY50" s="1058">
        <v>1528.43</v>
      </c>
      <c r="AZ50" s="1059">
        <f>SUM(AX50*AY50)</f>
        <v>7117.7732153169663</v>
      </c>
      <c r="BA50" s="1066">
        <f>SUM(AZ50/AN50)</f>
        <v>1.3771999876628862</v>
      </c>
      <c r="BB50" s="2540">
        <f>(AU67+AU67*1.06)/2</f>
        <v>4.3462075494024379</v>
      </c>
      <c r="BC50" s="2548">
        <f>BD58*BD59</f>
        <v>1237.0113330000001</v>
      </c>
      <c r="BD50" s="1069">
        <f>BC50*BB50</f>
        <v>5376.3079941809738</v>
      </c>
      <c r="BE50" s="1014">
        <f t="shared" si="5"/>
        <v>-0.31071047452863265</v>
      </c>
      <c r="BF50" s="1017">
        <f t="shared" si="6"/>
        <v>-291.41866699999991</v>
      </c>
      <c r="BG50" s="1039">
        <f t="shared" si="7"/>
        <v>-1741.4652211359926</v>
      </c>
      <c r="BH50" s="3214">
        <f>SUM(BJ50/BI50)</f>
        <v>4.0982880444335077</v>
      </c>
      <c r="BI50" s="3215">
        <v>1422.35</v>
      </c>
      <c r="BJ50" s="3216">
        <v>5829.2</v>
      </c>
      <c r="BK50" s="3002">
        <f>SUM(BM50/BL50)</f>
        <v>5.4724165850946838</v>
      </c>
      <c r="BL50" s="2976">
        <v>827.49</v>
      </c>
      <c r="BM50" s="2975">
        <v>4528.37</v>
      </c>
      <c r="BN50" s="2973">
        <f>SUM(BP50/BO50)</f>
        <v>5.5201098083991447</v>
      </c>
      <c r="BO50" s="2976">
        <v>1135.068</v>
      </c>
      <c r="BP50" s="2975">
        <v>6265.7</v>
      </c>
      <c r="BQ50" s="2973">
        <f>SUM((BK50+(BP50-BM50)/(BO50-BL50))/2)</f>
        <v>5.560418736727355</v>
      </c>
      <c r="BR50" s="2976">
        <f>SUM(BO50/9*12)</f>
        <v>1513.424</v>
      </c>
      <c r="BS50" s="2978">
        <f>SUM(BQ50*BR50)</f>
        <v>8415.2711662128604</v>
      </c>
      <c r="BT50" s="3195">
        <f>SUM(BB50*1.1)</f>
        <v>4.7808283043426822</v>
      </c>
      <c r="BU50" s="3196">
        <f>BV58*BV59</f>
        <v>1179.3262500000001</v>
      </c>
      <c r="BV50" s="2942">
        <f>BU50*BT50</f>
        <v>5638.1563160543146</v>
      </c>
      <c r="BW50" s="3197">
        <f>SUM(BV50/BD50)</f>
        <v>1.0487041148231744</v>
      </c>
      <c r="BX50" s="3536">
        <f>SUM(BZ50/BY50)</f>
        <v>4.3116761988561372</v>
      </c>
      <c r="BY50" s="3196">
        <v>1136.5</v>
      </c>
      <c r="BZ50" s="2942">
        <v>4900.22</v>
      </c>
      <c r="CA50" s="3548">
        <f t="shared" ref="CA50:CA52" si="12">BX50-BT50</f>
        <v>-0.46915210548654507</v>
      </c>
      <c r="CB50" s="3549">
        <f t="shared" ref="CB50:CB52" si="13">BY50-BU50</f>
        <v>-42.826250000000073</v>
      </c>
      <c r="CC50" s="3550">
        <f t="shared" ref="CC50:CC52" si="14">BZ50-BV50</f>
        <v>-737.93631605431437</v>
      </c>
    </row>
    <row r="51" spans="1:81" ht="30" customHeight="1">
      <c r="A51" s="1033" t="s">
        <v>141</v>
      </c>
      <c r="B51" s="801"/>
      <c r="C51" s="381"/>
      <c r="D51" s="381"/>
      <c r="E51" s="381"/>
      <c r="F51" s="381"/>
      <c r="G51" s="381"/>
      <c r="H51" s="381"/>
      <c r="I51" s="381"/>
      <c r="J51" s="812"/>
      <c r="K51" s="1023">
        <f>M51/L51</f>
        <v>5.0100983836964161</v>
      </c>
      <c r="L51" s="891">
        <f>L48+L50</f>
        <v>2846</v>
      </c>
      <c r="M51" s="891">
        <f>SUM(M48:M50)</f>
        <v>14258.74</v>
      </c>
      <c r="N51" s="1024">
        <f>SUM(N48:N50)</f>
        <v>72406.546999999991</v>
      </c>
      <c r="O51" s="1025">
        <f>Q51/P51</f>
        <v>4.9528651037213312</v>
      </c>
      <c r="P51" s="891">
        <f>P48+P50</f>
        <v>2146.6741787978635</v>
      </c>
      <c r="Q51" s="891">
        <f>Q48+Q50</f>
        <v>10632.187629227585</v>
      </c>
      <c r="R51" s="1026"/>
      <c r="S51" s="1025">
        <f t="shared" ref="S51:T54" si="15">O51-K51</f>
        <v>-5.7233279975084983E-2</v>
      </c>
      <c r="T51" s="1017">
        <f t="shared" si="15"/>
        <v>-699.32582120213647</v>
      </c>
      <c r="U51" s="1026"/>
      <c r="V51" s="1017">
        <f t="shared" si="11"/>
        <v>-3626.5523707724151</v>
      </c>
      <c r="W51" s="1026"/>
      <c r="X51" s="1025">
        <f>Z51/Y51</f>
        <v>4.3458643439629627</v>
      </c>
      <c r="Y51" s="891">
        <f>Y48+Y50</f>
        <v>1325.3519999999999</v>
      </c>
      <c r="Z51" s="891">
        <f>SUM(Z48:Z50)</f>
        <v>5759.8</v>
      </c>
      <c r="AA51" s="1024">
        <f>SUM(AA48:AA50)</f>
        <v>25345.11404</v>
      </c>
      <c r="AB51" s="1025">
        <f t="shared" si="3"/>
        <v>4.3711695607763037</v>
      </c>
      <c r="AC51" s="891">
        <f>AC48+AC50</f>
        <v>1879.6799999999998</v>
      </c>
      <c r="AD51" s="891">
        <f>SUM(AD48:AD50)</f>
        <v>8216.4000000000015</v>
      </c>
      <c r="AE51" s="1060">
        <f>AG51/AF51</f>
        <v>4.389087422215681</v>
      </c>
      <c r="AF51" s="1061">
        <f>AF48+AF50</f>
        <v>2439.277</v>
      </c>
      <c r="AG51" s="427">
        <f>AG48+AG50</f>
        <v>10706.2</v>
      </c>
      <c r="AH51" s="1023">
        <f>AJ51/AI51</f>
        <v>5.202779269602579</v>
      </c>
      <c r="AI51" s="891">
        <f>AI48+AI50</f>
        <v>2234.3999999999996</v>
      </c>
      <c r="AJ51" s="891">
        <f>SUM(AJ48:AJ50)</f>
        <v>11625.09</v>
      </c>
      <c r="AK51" s="1024"/>
      <c r="AL51" s="1025">
        <f>AN51/AM51</f>
        <v>4.6408014275288254</v>
      </c>
      <c r="AM51" s="891">
        <f>AM48+AM50</f>
        <v>2103.9740599144975</v>
      </c>
      <c r="AN51" s="891">
        <f>AN48+AN50</f>
        <v>9764.1258207348183</v>
      </c>
      <c r="AO51" s="1051">
        <f t="shared" ref="AO51:AQ54" si="16">AL51-AH51</f>
        <v>-0.56197784207375356</v>
      </c>
      <c r="AP51" s="1048">
        <f t="shared" si="16"/>
        <v>-130.42594008550213</v>
      </c>
      <c r="AQ51" s="1048">
        <f t="shared" si="16"/>
        <v>-1860.9641792651819</v>
      </c>
      <c r="AR51" s="1051">
        <f>AT51/AS51</f>
        <v>4.3650103841684889</v>
      </c>
      <c r="AS51" s="1052">
        <f>AS48+AS50</f>
        <v>1093.01</v>
      </c>
      <c r="AT51" s="1052">
        <f>SUM(AT48:AT50)</f>
        <v>4771</v>
      </c>
      <c r="AU51" s="1051">
        <f>AW51/AV51</f>
        <v>4.4613727271156138</v>
      </c>
      <c r="AV51" s="1052">
        <f>AV48+AV50</f>
        <v>1562.277</v>
      </c>
      <c r="AW51" s="1052">
        <f>SUM(AW48:AW50)</f>
        <v>6969.9</v>
      </c>
      <c r="AX51" s="1067">
        <f>AZ51/AY51</f>
        <v>5.0554080056915653</v>
      </c>
      <c r="AY51" s="1061">
        <f>AY48+AY50</f>
        <v>2439.2800000000002</v>
      </c>
      <c r="AZ51" s="1061">
        <f>SUM(AZ48:AZ50)</f>
        <v>12331.555640123323</v>
      </c>
      <c r="BA51" s="1066">
        <f>SUM(AZ51/AN51)</f>
        <v>1.2629451797862317</v>
      </c>
      <c r="BB51" s="2543">
        <f>BD51/BC51</f>
        <v>4.7613992813870309</v>
      </c>
      <c r="BC51" s="1328">
        <f>BC48+BC50</f>
        <v>1940.802721</v>
      </c>
      <c r="BD51" s="1328">
        <f>SUM(BD48:BD50)</f>
        <v>9240.9366810833944</v>
      </c>
      <c r="BE51" s="1025">
        <f t="shared" si="5"/>
        <v>-0.2940087243045344</v>
      </c>
      <c r="BF51" s="1017">
        <f t="shared" si="6"/>
        <v>-498.47727900000018</v>
      </c>
      <c r="BG51" s="1039">
        <f t="shared" si="7"/>
        <v>-3090.6189590399281</v>
      </c>
      <c r="BH51" s="3218">
        <f>BJ51/BI51</f>
        <v>4.5741476485262869</v>
      </c>
      <c r="BI51" s="3219">
        <f>BI48+BI50</f>
        <v>2164.6</v>
      </c>
      <c r="BJ51" s="3220">
        <f>SUM(BJ48:BJ50)</f>
        <v>9901.2000000000007</v>
      </c>
      <c r="BK51" s="3003">
        <f>BM51/BL51</f>
        <v>4.5054474581247046</v>
      </c>
      <c r="BL51" s="2982">
        <f>BL48+BL50</f>
        <v>1226.26</v>
      </c>
      <c r="BM51" s="2982">
        <f>SUM(BM48:BM50)</f>
        <v>5524.85</v>
      </c>
      <c r="BN51" s="2981">
        <f>BP51/BO51</f>
        <v>4.5224876701202801</v>
      </c>
      <c r="BO51" s="2982">
        <f>BO48+BO50</f>
        <v>1684.3229999999999</v>
      </c>
      <c r="BP51" s="2982">
        <f>SUM(BP48:BP50)</f>
        <v>7617.33</v>
      </c>
      <c r="BQ51" s="2981">
        <f>BS51/BR51</f>
        <v>4.5394181602406096</v>
      </c>
      <c r="BR51" s="2982">
        <f>BR48+BR50</f>
        <v>2245.7640000000001</v>
      </c>
      <c r="BS51" s="2983">
        <f>SUM(BS48:BS50)</f>
        <v>10194.461885214592</v>
      </c>
      <c r="BT51" s="3198">
        <f>BV51/BU51</f>
        <v>5.2494733276656138</v>
      </c>
      <c r="BU51" s="3199">
        <f>BU48+BU50</f>
        <v>1878.2212500000001</v>
      </c>
      <c r="BV51" s="3199">
        <f>SUM(BV48:BV50)</f>
        <v>9859.6723553297688</v>
      </c>
      <c r="BW51" s="3197">
        <f t="shared" ref="BW51:BW62" si="17">SUM(BV51/BD51)</f>
        <v>1.066955947822146</v>
      </c>
      <c r="BX51" s="3539">
        <f>BZ51/BY51</f>
        <v>4.8154982761451324</v>
      </c>
      <c r="BY51" s="2946">
        <f>BY48+BY50</f>
        <v>1827.3</v>
      </c>
      <c r="BZ51" s="2946">
        <f>SUM(BZ48:BZ50)</f>
        <v>8799.36</v>
      </c>
      <c r="CA51" s="3552">
        <f t="shared" si="12"/>
        <v>-0.43397505152048144</v>
      </c>
      <c r="CB51" s="3549">
        <f t="shared" si="13"/>
        <v>-50.9212500000001</v>
      </c>
      <c r="CC51" s="3550">
        <f t="shared" si="14"/>
        <v>-1060.3123553297683</v>
      </c>
    </row>
    <row r="52" spans="1:81" ht="30" customHeight="1">
      <c r="A52" s="1032" t="s">
        <v>142</v>
      </c>
      <c r="B52" s="801"/>
      <c r="C52" s="381"/>
      <c r="D52" s="381"/>
      <c r="E52" s="381"/>
      <c r="F52" s="381"/>
      <c r="G52" s="381"/>
      <c r="H52" s="381"/>
      <c r="I52" s="381"/>
      <c r="J52" s="812"/>
      <c r="K52" s="1020">
        <v>5.75</v>
      </c>
      <c r="L52" s="1021">
        <v>397.8</v>
      </c>
      <c r="M52" s="1013">
        <v>2285.4</v>
      </c>
      <c r="N52" s="1021">
        <f>K52*M52</f>
        <v>13141.050000000001</v>
      </c>
      <c r="O52" s="1014">
        <v>5.63</v>
      </c>
      <c r="P52" s="1022">
        <f>Q60*Q61</f>
        <v>363.59730000000002</v>
      </c>
      <c r="Q52" s="885">
        <f>O52*P52</f>
        <v>2047.0527990000001</v>
      </c>
      <c r="R52" s="1021"/>
      <c r="S52" s="1014">
        <f t="shared" si="15"/>
        <v>-0.12000000000000011</v>
      </c>
      <c r="T52" s="1017">
        <f t="shared" si="15"/>
        <v>-34.202699999999993</v>
      </c>
      <c r="U52" s="1021"/>
      <c r="V52" s="1017">
        <f t="shared" si="11"/>
        <v>-238.34720100000004</v>
      </c>
      <c r="W52" s="1021"/>
      <c r="X52" s="1014">
        <v>4.9886999999999997</v>
      </c>
      <c r="Y52" s="1021">
        <v>162.167</v>
      </c>
      <c r="Z52" s="1013">
        <v>809</v>
      </c>
      <c r="AA52" s="1021">
        <f>X52*Z52</f>
        <v>4035.8582999999999</v>
      </c>
      <c r="AB52" s="1014">
        <f t="shared" si="3"/>
        <v>5.0153983485829059</v>
      </c>
      <c r="AC52" s="1021">
        <v>224.05</v>
      </c>
      <c r="AD52" s="1013">
        <v>1123.7</v>
      </c>
      <c r="AE52" s="1058">
        <f>SUM(AG52/AF52)</f>
        <v>5.0316393763454892</v>
      </c>
      <c r="AF52" s="1058">
        <v>306.58</v>
      </c>
      <c r="AG52" s="426">
        <v>1542.6</v>
      </c>
      <c r="AH52" s="1020">
        <v>5.91</v>
      </c>
      <c r="AI52" s="1021">
        <v>397.8</v>
      </c>
      <c r="AJ52" s="1013">
        <v>2285.4</v>
      </c>
      <c r="AK52" s="1021"/>
      <c r="AL52" s="1014">
        <f>K78*1.028</f>
        <v>5.2277943861803733</v>
      </c>
      <c r="AM52" s="1022">
        <f>AN60*AN61</f>
        <v>360.82530000000003</v>
      </c>
      <c r="AN52" s="885">
        <f>AL52*AM52</f>
        <v>1886.3204777318492</v>
      </c>
      <c r="AO52" s="1047">
        <f t="shared" si="16"/>
        <v>-0.68220561381962685</v>
      </c>
      <c r="AP52" s="1048">
        <f t="shared" si="16"/>
        <v>-36.974699999999984</v>
      </c>
      <c r="AQ52" s="1048">
        <f t="shared" si="16"/>
        <v>-399.07952226815087</v>
      </c>
      <c r="AR52" s="1047">
        <f t="shared" ref="AR52:AR54" si="18">SUM(AT52/AS52)</f>
        <v>4.9758749575263339</v>
      </c>
      <c r="AS52" s="1049">
        <v>147.15</v>
      </c>
      <c r="AT52" s="1053">
        <v>732.2</v>
      </c>
      <c r="AU52" s="1047">
        <f t="shared" ref="AU52:AU54" si="19">SUM(AW52/AV52)</f>
        <v>5.0682433840383414</v>
      </c>
      <c r="AV52" s="2549">
        <v>191.96</v>
      </c>
      <c r="AW52" s="2047">
        <v>972.9</v>
      </c>
      <c r="AX52" s="1065">
        <f t="shared" ref="AX52:AX54" si="20">SUM(AL52*1.1)</f>
        <v>5.7505738247984111</v>
      </c>
      <c r="AY52" s="1058">
        <v>306.58</v>
      </c>
      <c r="AZ52" s="1059">
        <f t="shared" ref="AZ52:AZ54" si="21">SUM(AX52*AY52)</f>
        <v>1763.0109232066968</v>
      </c>
      <c r="BA52" s="1066">
        <f>SUM(AZ52/AN52)</f>
        <v>0.93462958390112882</v>
      </c>
      <c r="BB52" s="2540">
        <f>(AU71+AU71*1.06)/2</f>
        <v>5.5327159116268669</v>
      </c>
      <c r="BC52" s="2548">
        <f>BD60*BD61</f>
        <v>290.97040000000004</v>
      </c>
      <c r="BD52" s="1069">
        <f>BC52*BB52</f>
        <v>1609.8565618924345</v>
      </c>
      <c r="BE52" s="1014">
        <f t="shared" si="5"/>
        <v>-0.21785791317154413</v>
      </c>
      <c r="BF52" s="1017">
        <f t="shared" si="6"/>
        <v>-15.609599999999944</v>
      </c>
      <c r="BG52" s="1039">
        <f t="shared" si="7"/>
        <v>-153.15436131426236</v>
      </c>
      <c r="BH52" s="3214">
        <f t="shared" ref="BH52" si="22">SUM(BJ52/BI52)</f>
        <v>5.1865168539325843</v>
      </c>
      <c r="BI52" s="3215">
        <v>267</v>
      </c>
      <c r="BJ52" s="3180">
        <v>1384.8</v>
      </c>
      <c r="BK52" s="3002">
        <f t="shared" ref="BK52" si="23">SUM(BM52/BL52)</f>
        <v>2.5335154711226893</v>
      </c>
      <c r="BL52" s="2976">
        <v>157.38999999999999</v>
      </c>
      <c r="BM52" s="2988">
        <v>398.75</v>
      </c>
      <c r="BN52" s="2973">
        <f t="shared" ref="BN52" si="24">SUM(BP52/BO52)</f>
        <v>2.4949254601078033</v>
      </c>
      <c r="BO52" s="2976">
        <v>205.93</v>
      </c>
      <c r="BP52" s="2988">
        <v>513.78</v>
      </c>
      <c r="BQ52" s="2973">
        <f>SUM((BK52+(BP52-BM52)/(BO52-BL52))/2)</f>
        <v>2.4516567878893207</v>
      </c>
      <c r="BR52" s="2976">
        <f>SUM(BO52/9*12)</f>
        <v>274.57333333333332</v>
      </c>
      <c r="BS52" s="2978">
        <f>SUM(BQ52*BR52)</f>
        <v>673.15957644006369</v>
      </c>
      <c r="BT52" s="3195">
        <f>SUM(BB52*1.1)</f>
        <v>6.0859875027895542</v>
      </c>
      <c r="BU52" s="3196">
        <f>BV60*BV61</f>
        <v>270.73200000000003</v>
      </c>
      <c r="BV52" s="2942">
        <f>BU52*BT52</f>
        <v>1647.6715686052219</v>
      </c>
      <c r="BW52" s="3197">
        <f t="shared" si="17"/>
        <v>1.0234896745510884</v>
      </c>
      <c r="BX52" s="3536">
        <f>SUM(BZ52/BY52)</f>
        <v>5.6593930635838143</v>
      </c>
      <c r="BY52" s="3196">
        <v>276.8</v>
      </c>
      <c r="BZ52" s="2942">
        <v>1566.52</v>
      </c>
      <c r="CA52" s="3548">
        <f t="shared" si="12"/>
        <v>-0.42659443920573992</v>
      </c>
      <c r="CB52" s="3549">
        <f t="shared" si="13"/>
        <v>6.0679999999999836</v>
      </c>
      <c r="CC52" s="3550">
        <f t="shared" si="14"/>
        <v>-81.151568605221883</v>
      </c>
    </row>
    <row r="53" spans="1:81" ht="30" customHeight="1">
      <c r="A53" s="1875" t="s">
        <v>1585</v>
      </c>
      <c r="B53" s="1876"/>
      <c r="C53" s="1877"/>
      <c r="D53" s="1877"/>
      <c r="E53" s="1877"/>
      <c r="F53" s="1877"/>
      <c r="G53" s="1877"/>
      <c r="H53" s="1877"/>
      <c r="I53" s="1877"/>
      <c r="J53" s="1878"/>
      <c r="K53" s="1879"/>
      <c r="L53" s="1880"/>
      <c r="M53" s="1881"/>
      <c r="N53" s="1880"/>
      <c r="O53" s="1882"/>
      <c r="P53" s="1884"/>
      <c r="Q53" s="1883"/>
      <c r="R53" s="1880"/>
      <c r="S53" s="1882"/>
      <c r="T53" s="1885"/>
      <c r="U53" s="1880"/>
      <c r="V53" s="1885"/>
      <c r="W53" s="1880"/>
      <c r="X53" s="1882"/>
      <c r="Y53" s="1880"/>
      <c r="Z53" s="1881"/>
      <c r="AA53" s="1880"/>
      <c r="AB53" s="1882"/>
      <c r="AC53" s="1880"/>
      <c r="AD53" s="1881"/>
      <c r="AE53" s="1886"/>
      <c r="AF53" s="1886"/>
      <c r="AG53" s="1888"/>
      <c r="AH53" s="1879"/>
      <c r="AI53" s="1880"/>
      <c r="AJ53" s="1881"/>
      <c r="AK53" s="1880"/>
      <c r="AL53" s="1882"/>
      <c r="AM53" s="1884"/>
      <c r="AN53" s="1883"/>
      <c r="AO53" s="1882"/>
      <c r="AP53" s="1885"/>
      <c r="AQ53" s="1885"/>
      <c r="AR53" s="1882"/>
      <c r="AS53" s="1880"/>
      <c r="AT53" s="1881">
        <v>132.9</v>
      </c>
      <c r="AU53" s="1882"/>
      <c r="AV53" s="2045"/>
      <c r="AW53" s="2047">
        <v>205.9</v>
      </c>
      <c r="AX53" s="1889"/>
      <c r="AY53" s="1886"/>
      <c r="AZ53" s="1887"/>
      <c r="BA53" s="1890"/>
      <c r="BB53" s="2541"/>
      <c r="BC53" s="2542"/>
      <c r="BD53" s="1887"/>
      <c r="BE53" s="1882"/>
      <c r="BF53" s="1885"/>
      <c r="BG53" s="1891"/>
      <c r="BH53" s="3214"/>
      <c r="BI53" s="3217"/>
      <c r="BJ53" s="3180">
        <v>258.5</v>
      </c>
      <c r="BK53" s="3002"/>
      <c r="BL53" s="2974"/>
      <c r="BM53" s="2988"/>
      <c r="BN53" s="2973"/>
      <c r="BO53" s="2974"/>
      <c r="BP53" s="2988"/>
      <c r="BQ53" s="2973"/>
      <c r="BR53" s="2974"/>
      <c r="BS53" s="3004"/>
      <c r="BT53" s="3202"/>
      <c r="BU53" s="3203"/>
      <c r="BV53" s="3204"/>
      <c r="BW53" s="3205"/>
      <c r="BX53" s="3537"/>
      <c r="BY53" s="3538"/>
      <c r="BZ53" s="3204"/>
      <c r="CA53" s="3537"/>
      <c r="CB53" s="3203"/>
      <c r="CC53" s="3551"/>
    </row>
    <row r="54" spans="1:81" ht="30" customHeight="1">
      <c r="A54" s="1032" t="s">
        <v>143</v>
      </c>
      <c r="B54" s="801"/>
      <c r="C54" s="381"/>
      <c r="D54" s="381"/>
      <c r="E54" s="381"/>
      <c r="F54" s="381"/>
      <c r="G54" s="381"/>
      <c r="H54" s="381"/>
      <c r="I54" s="381"/>
      <c r="J54" s="812"/>
      <c r="K54" s="1020">
        <v>4.2300000000000004</v>
      </c>
      <c r="L54" s="1021">
        <v>2282.1999999999998</v>
      </c>
      <c r="M54" s="1013">
        <v>9664.7999999999993</v>
      </c>
      <c r="N54" s="1021">
        <f>K54*M54</f>
        <v>40882.103999999999</v>
      </c>
      <c r="O54" s="1014">
        <v>4.3</v>
      </c>
      <c r="P54" s="1022">
        <f>Q60*Q62</f>
        <v>1439.1333261085247</v>
      </c>
      <c r="Q54" s="885">
        <f>O54*P54</f>
        <v>6188.2733022666562</v>
      </c>
      <c r="R54" s="1021"/>
      <c r="S54" s="1014">
        <f t="shared" si="15"/>
        <v>6.9999999999999396E-2</v>
      </c>
      <c r="T54" s="1017">
        <f t="shared" si="15"/>
        <v>-843.06667389147515</v>
      </c>
      <c r="U54" s="1021"/>
      <c r="V54" s="1017">
        <f t="shared" si="11"/>
        <v>-3476.5266977333431</v>
      </c>
      <c r="W54" s="1021"/>
      <c r="X54" s="1014">
        <v>3.7764000000000002</v>
      </c>
      <c r="Y54" s="1021">
        <v>940.27</v>
      </c>
      <c r="Z54" s="1013">
        <v>3550.8</v>
      </c>
      <c r="AA54" s="1021">
        <f>X54*Z54</f>
        <v>13409.241120000001</v>
      </c>
      <c r="AB54" s="1014">
        <f t="shared" si="3"/>
        <v>3.8226634015509302</v>
      </c>
      <c r="AC54" s="1021">
        <v>1372.08</v>
      </c>
      <c r="AD54" s="1013">
        <v>5245</v>
      </c>
      <c r="AE54" s="1058">
        <f>SUM(AG54/AF54)</f>
        <v>3.8318886233811065</v>
      </c>
      <c r="AF54" s="1058">
        <v>1853.89</v>
      </c>
      <c r="AG54" s="426">
        <v>7103.9</v>
      </c>
      <c r="AH54" s="1020">
        <v>4.5199999999999996</v>
      </c>
      <c r="AI54" s="1021">
        <v>2282.1999999999998</v>
      </c>
      <c r="AJ54" s="1013">
        <v>9664.7999999999993</v>
      </c>
      <c r="AK54" s="1021"/>
      <c r="AL54" s="1014">
        <f>K79*1.028</f>
        <v>4.0333424422778537</v>
      </c>
      <c r="AM54" s="1022">
        <f>AN60*AN62</f>
        <v>1428.1616341295885</v>
      </c>
      <c r="AN54" s="885">
        <f>AL54*AM54</f>
        <v>5760.2649333677646</v>
      </c>
      <c r="AO54" s="1047">
        <f t="shared" si="16"/>
        <v>-0.48665755772214592</v>
      </c>
      <c r="AP54" s="1048">
        <f t="shared" si="16"/>
        <v>-854.03836587041133</v>
      </c>
      <c r="AQ54" s="1048">
        <f t="shared" si="16"/>
        <v>-3904.5350666322347</v>
      </c>
      <c r="AR54" s="1047">
        <f t="shared" si="18"/>
        <v>3.6631900547829748</v>
      </c>
      <c r="AS54" s="1049">
        <v>949.2</v>
      </c>
      <c r="AT54" s="1053">
        <v>3477.1</v>
      </c>
      <c r="AU54" s="1047">
        <f t="shared" si="19"/>
        <v>3.7705916930708683</v>
      </c>
      <c r="AV54" s="2549">
        <v>1394.98</v>
      </c>
      <c r="AW54" s="2047">
        <v>5259.9</v>
      </c>
      <c r="AX54" s="1065">
        <f t="shared" si="20"/>
        <v>4.4366766865056393</v>
      </c>
      <c r="AY54" s="1058">
        <v>1853.89</v>
      </c>
      <c r="AZ54" s="1059">
        <f t="shared" si="21"/>
        <v>8225.1105423459394</v>
      </c>
      <c r="BA54" s="1066">
        <f t="shared" ref="BA54:BA62" si="25">SUM(AZ54/AN54)</f>
        <v>1.4279049032449784</v>
      </c>
      <c r="BB54" s="2540">
        <f>(AU73+AU73*1.06)/2</f>
        <v>4.1192606218313967</v>
      </c>
      <c r="BC54" s="2548">
        <f>BD60*BD62</f>
        <v>1454.8519999999999</v>
      </c>
      <c r="BD54" s="1069">
        <f>BC54*BB54</f>
        <v>5992.9145541926509</v>
      </c>
      <c r="BE54" s="1014">
        <f t="shared" si="5"/>
        <v>-0.31741606467424255</v>
      </c>
      <c r="BF54" s="1017">
        <f t="shared" si="6"/>
        <v>-399.03800000000024</v>
      </c>
      <c r="BG54" s="1039">
        <f t="shared" si="7"/>
        <v>-2232.1959881532885</v>
      </c>
      <c r="BH54" s="3214">
        <f t="shared" ref="BH54" si="26">SUM(BJ54/BI54)</f>
        <v>3.8536448739079385</v>
      </c>
      <c r="BI54" s="3215">
        <v>1856.58</v>
      </c>
      <c r="BJ54" s="3180">
        <v>7154.6</v>
      </c>
      <c r="BK54" s="3002">
        <f t="shared" ref="BK54" si="27">SUM(BM54/BL54)</f>
        <v>5.2168794892258585</v>
      </c>
      <c r="BL54" s="2976">
        <v>902.16</v>
      </c>
      <c r="BM54" s="2988">
        <v>4706.46</v>
      </c>
      <c r="BN54" s="2973">
        <f t="shared" ref="BN54" si="28">SUM(BP54/BO54)</f>
        <v>5.0524350273034244</v>
      </c>
      <c r="BO54" s="2976">
        <v>1332.9829999999999</v>
      </c>
      <c r="BP54" s="2988">
        <v>6734.81</v>
      </c>
      <c r="BQ54" s="2973">
        <f>SUM((BK54+(BP54-BM54)/(BO54-BL54))/2)</f>
        <v>4.9624807312826293</v>
      </c>
      <c r="BR54" s="2976">
        <f>SUM(BO54/9*12)</f>
        <v>1777.3106666666667</v>
      </c>
      <c r="BS54" s="2978">
        <f>SUM(BQ54*BR54)</f>
        <v>8819.8699368364178</v>
      </c>
      <c r="BT54" s="3195">
        <f>SUM(BB54*1.1)</f>
        <v>4.5311866840145365</v>
      </c>
      <c r="BU54" s="3196">
        <f>BV60*BV62</f>
        <v>1353.6599999999999</v>
      </c>
      <c r="BV54" s="2942">
        <f>BU54*BT54</f>
        <v>6133.6861666831164</v>
      </c>
      <c r="BW54" s="3197">
        <f t="shared" si="17"/>
        <v>1.0234896745510882</v>
      </c>
      <c r="BX54" s="3536">
        <f>SUM(BZ54/BY54)</f>
        <v>4.3128955353272644</v>
      </c>
      <c r="BY54" s="3196">
        <v>1384.2</v>
      </c>
      <c r="BZ54" s="2942">
        <v>5969.91</v>
      </c>
      <c r="CA54" s="3548">
        <f t="shared" ref="CA54" si="29">BX54-BT54</f>
        <v>-0.21829114868727206</v>
      </c>
      <c r="CB54" s="3549">
        <f t="shared" ref="CB54" si="30">BY54-BU54</f>
        <v>30.540000000000191</v>
      </c>
      <c r="CC54" s="3550">
        <f t="shared" ref="CC54" si="31">BZ54-BV54</f>
        <v>-163.77616668311657</v>
      </c>
    </row>
    <row r="55" spans="1:81" ht="30" customHeight="1">
      <c r="A55" s="1033" t="s">
        <v>144</v>
      </c>
      <c r="B55" s="801"/>
      <c r="C55" s="381"/>
      <c r="D55" s="381"/>
      <c r="E55" s="381"/>
      <c r="F55" s="381"/>
      <c r="G55" s="381"/>
      <c r="H55" s="381"/>
      <c r="I55" s="381"/>
      <c r="J55" s="812"/>
      <c r="K55" s="1023">
        <f>M55/L55</f>
        <v>4.4590298507462682</v>
      </c>
      <c r="L55" s="891">
        <f>SUM(L52:L54)</f>
        <v>2680</v>
      </c>
      <c r="M55" s="891">
        <f>SUM(M52:M54)</f>
        <v>11950.199999999999</v>
      </c>
      <c r="N55" s="891">
        <f>SUM(N52:N54)</f>
        <v>54023.154000000002</v>
      </c>
      <c r="O55" s="1025">
        <f>Q55/P55</f>
        <v>4.5682510642446301</v>
      </c>
      <c r="P55" s="891">
        <f>SUM(P52:P54)</f>
        <v>1802.7306261085246</v>
      </c>
      <c r="Q55" s="891">
        <f>SUM(Q52:Q54)</f>
        <v>8235.3261012666553</v>
      </c>
      <c r="R55" s="1024"/>
      <c r="S55" s="1025">
        <f>O55-K55</f>
        <v>0.10922121349836189</v>
      </c>
      <c r="T55" s="1011">
        <f>P55-L55</f>
        <v>-877.26937389147542</v>
      </c>
      <c r="U55" s="1011">
        <f>P55-L55</f>
        <v>-877.26937389147542</v>
      </c>
      <c r="V55" s="1011">
        <f t="shared" si="11"/>
        <v>-3714.8738987333436</v>
      </c>
      <c r="W55" s="1024"/>
      <c r="X55" s="1025">
        <f>Z55/Y55</f>
        <v>3.9546931026444145</v>
      </c>
      <c r="Y55" s="891">
        <f>SUM(Y52:Y54)</f>
        <v>1102.4369999999999</v>
      </c>
      <c r="Z55" s="891">
        <f>SUM(Z52:Z54)</f>
        <v>4359.8</v>
      </c>
      <c r="AA55" s="891">
        <f>SUM(AA52:AA54)</f>
        <v>17445.099419999999</v>
      </c>
      <c r="AB55" s="1025">
        <f t="shared" si="3"/>
        <v>3.9900885266237713</v>
      </c>
      <c r="AC55" s="891">
        <f>SUM(AC52:AC54)</f>
        <v>1596.1299999999999</v>
      </c>
      <c r="AD55" s="891">
        <f>SUM(AD52:AD54)</f>
        <v>6368.7</v>
      </c>
      <c r="AE55" s="1060">
        <f>AG55/AF55</f>
        <v>4.0021384235837569</v>
      </c>
      <c r="AF55" s="1061">
        <f>SUM(AF52:AF54)</f>
        <v>2160.4700000000003</v>
      </c>
      <c r="AG55" s="427">
        <f>SUM(AG52:AG54)</f>
        <v>8646.5</v>
      </c>
      <c r="AH55" s="1023">
        <f>AJ55/AI55</f>
        <v>4.4590298507462682</v>
      </c>
      <c r="AI55" s="891">
        <f>SUM(AI52:AI54)</f>
        <v>2680</v>
      </c>
      <c r="AJ55" s="891">
        <f>SUM(AJ52:AJ54)</f>
        <v>11950.199999999999</v>
      </c>
      <c r="AK55" s="891"/>
      <c r="AL55" s="1025">
        <f>AN55/AM55</f>
        <v>4.2742544762183936</v>
      </c>
      <c r="AM55" s="891">
        <f>SUM(AM52:AM54)</f>
        <v>1788.9869341295885</v>
      </c>
      <c r="AN55" s="891">
        <f>SUM(AN52:AN54)</f>
        <v>7646.5854110996133</v>
      </c>
      <c r="AO55" s="1051">
        <f>AL55-AH55</f>
        <v>-0.18477537452787463</v>
      </c>
      <c r="AP55" s="1054">
        <f>AM55-AI55</f>
        <v>-891.01306587041154</v>
      </c>
      <c r="AQ55" s="1054">
        <f>AN55-AJ55</f>
        <v>-4303.6145889003856</v>
      </c>
      <c r="AR55" s="1051">
        <f>AT55/AS55</f>
        <v>3.9605965248323978</v>
      </c>
      <c r="AS55" s="1052">
        <f>SUM(AS52:AS54)</f>
        <v>1096.3500000000001</v>
      </c>
      <c r="AT55" s="1052">
        <f>SUM(AT52:AT54)</f>
        <v>4342.2</v>
      </c>
      <c r="AU55" s="1051">
        <f>AW55/AV55</f>
        <v>4.0573052541368924</v>
      </c>
      <c r="AV55" s="1052">
        <f>SUM(AV52:AV54)</f>
        <v>1586.94</v>
      </c>
      <c r="AW55" s="1052">
        <f>SUM(AW52:AW54)</f>
        <v>6438.7</v>
      </c>
      <c r="AX55" s="1067">
        <f>AZ55/AY55</f>
        <v>4.6231243505129136</v>
      </c>
      <c r="AY55" s="1061">
        <f>SUM(AY52:AY54)</f>
        <v>2160.4700000000003</v>
      </c>
      <c r="AZ55" s="1061">
        <f>SUM(AZ52:AZ54)</f>
        <v>9988.1214655526364</v>
      </c>
      <c r="BA55" s="1066">
        <f t="shared" si="25"/>
        <v>1.3062198260486442</v>
      </c>
      <c r="BB55" s="2543">
        <f>BD55/BC55</f>
        <v>4.3548365034639751</v>
      </c>
      <c r="BC55" s="1328">
        <f>SUM(BC52:BC54)</f>
        <v>1745.8224</v>
      </c>
      <c r="BD55" s="1328">
        <f>SUM(BD52:BD54)</f>
        <v>7602.7711160850849</v>
      </c>
      <c r="BE55" s="1025">
        <f>BB55-AX55</f>
        <v>-0.26828784704893849</v>
      </c>
      <c r="BF55" s="1016">
        <f>BC55-AY55</f>
        <v>-414.64760000000024</v>
      </c>
      <c r="BG55" s="412">
        <f>BD55-AZ55</f>
        <v>-2385.3503494675515</v>
      </c>
      <c r="BH55" s="3218">
        <f>BJ55/BI55</f>
        <v>4.142956705186525</v>
      </c>
      <c r="BI55" s="3219">
        <f>SUM(BI52:BI54)</f>
        <v>2123.58</v>
      </c>
      <c r="BJ55" s="3220">
        <f>SUM(BJ52:BJ54)</f>
        <v>8797.9</v>
      </c>
      <c r="BK55" s="3003">
        <f>BM55/BL55</f>
        <v>4.8182813458543725</v>
      </c>
      <c r="BL55" s="2982">
        <f>SUM(BL52:BL54)</f>
        <v>1059.55</v>
      </c>
      <c r="BM55" s="2982">
        <f>SUM(BM52:BM54)</f>
        <v>5105.21</v>
      </c>
      <c r="BN55" s="2981">
        <f>BP55/BO55</f>
        <v>4.7102012914310301</v>
      </c>
      <c r="BO55" s="2982">
        <f>SUM(BO52:BO54)</f>
        <v>1538.913</v>
      </c>
      <c r="BP55" s="2982">
        <f>SUM(BP52:BP54)</f>
        <v>7248.59</v>
      </c>
      <c r="BQ55" s="2981">
        <f>BS55/BR55</f>
        <v>4.6264942429866807</v>
      </c>
      <c r="BR55" s="2982">
        <f>SUM(BR52:BR54)</f>
        <v>2051.884</v>
      </c>
      <c r="BS55" s="2983">
        <f>SUM(BS52:BS54)</f>
        <v>9493.0295132764822</v>
      </c>
      <c r="BT55" s="3198">
        <f>BV55/BU55</f>
        <v>4.7903201538103728</v>
      </c>
      <c r="BU55" s="3199">
        <f>SUM(BU52:BU54)</f>
        <v>1624.3919999999998</v>
      </c>
      <c r="BV55" s="3199">
        <f>SUM(BV52:BV54)</f>
        <v>7781.3577352883385</v>
      </c>
      <c r="BW55" s="3197">
        <f t="shared" si="17"/>
        <v>1.0234896745510884</v>
      </c>
      <c r="BX55" s="3539">
        <f>BZ55/BY55</f>
        <v>4.5372847682119204</v>
      </c>
      <c r="BY55" s="2946">
        <f>SUM(BY52:BY54)</f>
        <v>1661</v>
      </c>
      <c r="BZ55" s="2946">
        <f>SUM(BZ52:BZ54)</f>
        <v>7536.43</v>
      </c>
      <c r="CA55" s="3552">
        <f>BX55-BT55</f>
        <v>-0.2530353855984524</v>
      </c>
      <c r="CB55" s="3553">
        <f>BY55-BU55</f>
        <v>36.608000000000175</v>
      </c>
      <c r="CC55" s="3554">
        <f>BZ55-BV55</f>
        <v>-244.92773528833823</v>
      </c>
    </row>
    <row r="56" spans="1:81" ht="40.5" customHeight="1">
      <c r="A56" s="1034" t="s">
        <v>145</v>
      </c>
      <c r="B56" s="801"/>
      <c r="C56" s="381"/>
      <c r="D56" s="381"/>
      <c r="E56" s="381"/>
      <c r="F56" s="381"/>
      <c r="G56" s="381"/>
      <c r="H56" s="381"/>
      <c r="I56" s="381"/>
      <c r="J56" s="812"/>
      <c r="K56" s="848"/>
      <c r="L56" s="1013"/>
      <c r="M56" s="885">
        <f>объемы!E38</f>
        <v>5875</v>
      </c>
      <c r="N56" s="1013"/>
      <c r="O56" s="1013"/>
      <c r="P56" s="1013"/>
      <c r="Q56" s="885">
        <f>объемы!F38</f>
        <v>5558.2912165809075</v>
      </c>
      <c r="R56" s="1013"/>
      <c r="S56" s="1014"/>
      <c r="T56" s="1017"/>
      <c r="U56" s="1013"/>
      <c r="V56" s="1017">
        <f t="shared" si="11"/>
        <v>-316.70878341909247</v>
      </c>
      <c r="W56" s="1013"/>
      <c r="X56" s="1027"/>
      <c r="Y56" s="1027"/>
      <c r="Z56" s="885">
        <v>3493.3</v>
      </c>
      <c r="AA56" s="1013"/>
      <c r="AB56" s="1013"/>
      <c r="AC56" s="1013"/>
      <c r="AD56" s="885">
        <v>5158</v>
      </c>
      <c r="AE56" s="1062"/>
      <c r="AF56" s="1062"/>
      <c r="AG56" s="426">
        <f>SUM(объемы!I38)</f>
        <v>6977.9000000000005</v>
      </c>
      <c r="AH56" s="848"/>
      <c r="AI56" s="1013"/>
      <c r="AJ56" s="885">
        <f>SUM(объемы!J38)</f>
        <v>5800.03</v>
      </c>
      <c r="AK56" s="1013"/>
      <c r="AL56" s="1013"/>
      <c r="AM56" s="1013"/>
      <c r="AN56" s="885">
        <f>SUM(объемы!K38)</f>
        <v>5561.39</v>
      </c>
      <c r="AO56" s="1053"/>
      <c r="AP56" s="1047"/>
      <c r="AQ56" s="1048">
        <f t="shared" ref="AQ56:AQ62" si="32">AN56-AJ56</f>
        <v>-238.63999999999942</v>
      </c>
      <c r="AR56" s="1053"/>
      <c r="AS56" s="1053"/>
      <c r="AT56" s="1050">
        <f>SUM(объемы!N38)</f>
        <v>3367.79</v>
      </c>
      <c r="AU56" s="1053"/>
      <c r="AV56" s="1053"/>
      <c r="AW56" s="1050">
        <f>объемы!P38+объемы!Q38</f>
        <v>4982.8100000000004</v>
      </c>
      <c r="AX56" s="577"/>
      <c r="AY56" s="1062"/>
      <c r="AZ56" s="1059">
        <f>SUM(объемы!T38)</f>
        <v>5757.92</v>
      </c>
      <c r="BA56" s="1066">
        <f t="shared" si="25"/>
        <v>1.0353382877302257</v>
      </c>
      <c r="BB56" s="2530"/>
      <c r="BC56" s="2530"/>
      <c r="BD56" s="1069">
        <f>SUM(объемы!U38:V38)</f>
        <v>5675.7370000000001</v>
      </c>
      <c r="BE56" s="1013"/>
      <c r="BF56" s="1014"/>
      <c r="BG56" s="1039">
        <f t="shared" ref="BG56:BG62" si="33">BD56-AZ56</f>
        <v>-82.182999999999993</v>
      </c>
      <c r="BH56" s="3221"/>
      <c r="BI56" s="3222"/>
      <c r="BJ56" s="3216">
        <f>SUM(объемы!R38:S38)</f>
        <v>6716.13</v>
      </c>
      <c r="BK56" s="3005"/>
      <c r="BL56" s="2988"/>
      <c r="BM56" s="2975">
        <f>SUM(объемы!AB38)</f>
        <v>3158.83</v>
      </c>
      <c r="BN56" s="2988"/>
      <c r="BO56" s="2988"/>
      <c r="BP56" s="2975">
        <f>SUM(объемы!AC38)</f>
        <v>4683.07</v>
      </c>
      <c r="BQ56" s="2988"/>
      <c r="BR56" s="2988"/>
      <c r="BS56" s="2978">
        <f>SUM(объемы!AD38)</f>
        <v>6244.0933333333332</v>
      </c>
      <c r="BT56" s="3206"/>
      <c r="BU56" s="3207"/>
      <c r="BV56" s="3179">
        <f>SUM(объемы!AE38)</f>
        <v>5636.25</v>
      </c>
      <c r="BW56" s="3197">
        <f t="shared" si="17"/>
        <v>0.99304284183710412</v>
      </c>
      <c r="BX56" s="3543"/>
      <c r="BY56" s="3543"/>
      <c r="BZ56" s="2942">
        <f>SUM(объемы!AF38)</f>
        <v>5570.6850000000004</v>
      </c>
      <c r="CA56" s="3207"/>
      <c r="CB56" s="3548"/>
      <c r="CC56" s="3550">
        <f t="shared" ref="CC56:CC62" si="34">BZ56-BV56</f>
        <v>-65.5649999999996</v>
      </c>
    </row>
    <row r="57" spans="1:81" ht="45" customHeight="1">
      <c r="A57" s="1035" t="s">
        <v>146</v>
      </c>
      <c r="B57" s="801"/>
      <c r="C57" s="381"/>
      <c r="D57" s="381"/>
      <c r="E57" s="381"/>
      <c r="F57" s="381"/>
      <c r="G57" s="381"/>
      <c r="H57" s="381"/>
      <c r="I57" s="381"/>
      <c r="J57" s="812"/>
      <c r="K57" s="848"/>
      <c r="L57" s="1013"/>
      <c r="M57" s="1014">
        <f>L48/M56</f>
        <v>0.18573617021276598</v>
      </c>
      <c r="N57" s="1013"/>
      <c r="O57" s="1013"/>
      <c r="P57" s="1013"/>
      <c r="Q57" s="1014">
        <f>AH20</f>
        <v>0.14554379746835441</v>
      </c>
      <c r="R57" s="1013"/>
      <c r="S57" s="1014"/>
      <c r="T57" s="1017"/>
      <c r="U57" s="1013"/>
      <c r="V57" s="1014">
        <f t="shared" si="11"/>
        <v>-4.0192372744411564E-2</v>
      </c>
      <c r="W57" s="1013"/>
      <c r="X57" s="1027"/>
      <c r="Y57" s="1027"/>
      <c r="Z57" s="1014">
        <f>Y48/Z56</f>
        <v>0.14465748718976326</v>
      </c>
      <c r="AA57" s="1013"/>
      <c r="AB57" s="1013"/>
      <c r="AC57" s="1013"/>
      <c r="AD57" s="1014">
        <f>AC48/AD56</f>
        <v>0.13366227219852655</v>
      </c>
      <c r="AE57" s="1062"/>
      <c r="AF57" s="1062"/>
      <c r="AG57" s="1015">
        <f>AF48/AG56</f>
        <v>0.1305331116811648</v>
      </c>
      <c r="AH57" s="848"/>
      <c r="AI57" s="1013"/>
      <c r="AJ57" s="1014">
        <f>AI48/AJ56</f>
        <v>0.14599924483149224</v>
      </c>
      <c r="AK57" s="1013"/>
      <c r="AL57" s="1013"/>
      <c r="AM57" s="1013"/>
      <c r="AN57" s="1014">
        <f>AP20</f>
        <v>0.15880621825734828</v>
      </c>
      <c r="AO57" s="1053"/>
      <c r="AP57" s="1047"/>
      <c r="AQ57" s="1047">
        <f t="shared" si="32"/>
        <v>1.2806973425856044E-2</v>
      </c>
      <c r="AR57" s="1053"/>
      <c r="AS57" s="1053"/>
      <c r="AT57" s="1047">
        <f>AS48/AT56</f>
        <v>0.12322324135412244</v>
      </c>
      <c r="AU57" s="1053"/>
      <c r="AV57" s="1053"/>
      <c r="AW57" s="1047">
        <f>AV48/AW56</f>
        <v>0.10962027450374386</v>
      </c>
      <c r="AX57" s="577"/>
      <c r="AY57" s="1062"/>
      <c r="AZ57" s="1015">
        <f>AY48/AZ56</f>
        <v>0.15819080501292135</v>
      </c>
      <c r="BA57" s="1066">
        <f t="shared" si="25"/>
        <v>0.99612475348144336</v>
      </c>
      <c r="BB57" s="2552"/>
      <c r="BC57" s="1053"/>
      <c r="BD57" s="1892">
        <v>0.124</v>
      </c>
      <c r="BE57" s="3006"/>
      <c r="BF57" s="3007"/>
      <c r="BG57" s="3008">
        <f t="shared" si="33"/>
        <v>-3.4190805012921349E-2</v>
      </c>
      <c r="BH57" s="3223"/>
      <c r="BI57" s="3224"/>
      <c r="BJ57" s="3225">
        <f>BI48/BJ56</f>
        <v>0.11051751529526677</v>
      </c>
      <c r="BK57" s="3009"/>
      <c r="BL57" s="3010"/>
      <c r="BM57" s="2990">
        <f>BL48/BM56</f>
        <v>0.1262397786522225</v>
      </c>
      <c r="BN57" s="3010"/>
      <c r="BO57" s="3010"/>
      <c r="BP57" s="2990">
        <f>BO48/BP56</f>
        <v>0.11728524237305871</v>
      </c>
      <c r="BQ57" s="3010"/>
      <c r="BR57" s="3010"/>
      <c r="BS57" s="2992">
        <f>BR48/BS56</f>
        <v>0.11728524237305871</v>
      </c>
      <c r="BT57" s="3208"/>
      <c r="BU57" s="3209"/>
      <c r="BV57" s="3193">
        <v>0.124</v>
      </c>
      <c r="BW57" s="3210">
        <f t="shared" si="17"/>
        <v>1</v>
      </c>
      <c r="BX57" s="3544"/>
      <c r="BY57" s="3545"/>
      <c r="BZ57" s="3540">
        <v>0.124</v>
      </c>
      <c r="CA57" s="3209"/>
      <c r="CB57" s="3193"/>
      <c r="CC57" s="3555">
        <f t="shared" si="34"/>
        <v>0</v>
      </c>
    </row>
    <row r="58" spans="1:81" ht="45.75" customHeight="1">
      <c r="A58" s="1035" t="s">
        <v>882</v>
      </c>
      <c r="B58" s="801"/>
      <c r="C58" s="381"/>
      <c r="D58" s="381"/>
      <c r="E58" s="381"/>
      <c r="F58" s="381"/>
      <c r="G58" s="381"/>
      <c r="H58" s="381"/>
      <c r="I58" s="381"/>
      <c r="J58" s="812"/>
      <c r="K58" s="848"/>
      <c r="L58" s="1013"/>
      <c r="M58" s="885">
        <f>объемы!E43</f>
        <v>4999</v>
      </c>
      <c r="N58" s="1013"/>
      <c r="O58" s="1013"/>
      <c r="P58" s="1013"/>
      <c r="Q58" s="885">
        <f>объемы!F43</f>
        <v>5051.2</v>
      </c>
      <c r="R58" s="1013"/>
      <c r="S58" s="1014"/>
      <c r="T58" s="1017"/>
      <c r="U58" s="1013"/>
      <c r="V58" s="1017">
        <f t="shared" si="11"/>
        <v>52.199999999999818</v>
      </c>
      <c r="W58" s="1013"/>
      <c r="X58" s="1027"/>
      <c r="Y58" s="1027"/>
      <c r="Z58" s="885">
        <v>3054.18</v>
      </c>
      <c r="AA58" s="1013"/>
      <c r="AB58" s="1013"/>
      <c r="AC58" s="1013"/>
      <c r="AD58" s="885">
        <v>4509.2</v>
      </c>
      <c r="AE58" s="1062"/>
      <c r="AF58" s="1062"/>
      <c r="AG58" s="426">
        <f>SUM(объемы!I43)</f>
        <v>6136.9000000000005</v>
      </c>
      <c r="AH58" s="848"/>
      <c r="AI58" s="1013"/>
      <c r="AJ58" s="885">
        <f>SUM(объемы!J43)</f>
        <v>5046.03</v>
      </c>
      <c r="AK58" s="1013"/>
      <c r="AL58" s="1013"/>
      <c r="AM58" s="1013"/>
      <c r="AN58" s="885">
        <f>SUM(объемы!K43)</f>
        <v>5050.4000000000005</v>
      </c>
      <c r="AO58" s="1053"/>
      <c r="AP58" s="1047"/>
      <c r="AQ58" s="1048">
        <f t="shared" si="32"/>
        <v>4.3700000000008004</v>
      </c>
      <c r="AR58" s="1053"/>
      <c r="AS58" s="1053"/>
      <c r="AT58" s="1050">
        <f>SUM(объемы!N43)</f>
        <v>2888.49</v>
      </c>
      <c r="AU58" s="1053"/>
      <c r="AV58" s="1053"/>
      <c r="AW58" s="1050">
        <f>объемы!P38</f>
        <v>4965.25</v>
      </c>
      <c r="AX58" s="577"/>
      <c r="AY58" s="1062"/>
      <c r="AZ58" s="1059">
        <f>SUM(объемы!T43)</f>
        <v>5007.92</v>
      </c>
      <c r="BA58" s="1066">
        <f t="shared" si="25"/>
        <v>0.99158878504672887</v>
      </c>
      <c r="BB58" s="2534"/>
      <c r="BC58" s="1053"/>
      <c r="BD58" s="1050">
        <f>объемы!U43</f>
        <v>4967.9170000000004</v>
      </c>
      <c r="BE58" s="1013"/>
      <c r="BF58" s="1014"/>
      <c r="BG58" s="1039">
        <f t="shared" si="33"/>
        <v>-40.002999999999702</v>
      </c>
      <c r="BH58" s="3221"/>
      <c r="BI58" s="3222"/>
      <c r="BJ58" s="3216">
        <f>SUM(объемы!R43)</f>
        <v>5666.93</v>
      </c>
      <c r="BK58" s="3005"/>
      <c r="BL58" s="2988"/>
      <c r="BM58" s="2975">
        <f>SUM(объемы!AB44)</f>
        <v>2511.62</v>
      </c>
      <c r="BN58" s="2988"/>
      <c r="BO58" s="2988"/>
      <c r="BP58" s="2975">
        <f>SUM(объемы!AC44)</f>
        <v>3803.72</v>
      </c>
      <c r="BQ58" s="2988"/>
      <c r="BR58" s="2988"/>
      <c r="BS58" s="2978">
        <f>SUM(объемы!AD44)</f>
        <v>5071.6266666666661</v>
      </c>
      <c r="BT58" s="3206"/>
      <c r="BU58" s="3207"/>
      <c r="BV58" s="3179">
        <f>SUM(объемы!AE43)</f>
        <v>4736.25</v>
      </c>
      <c r="BW58" s="3197">
        <f t="shared" si="17"/>
        <v>0.95336737711197661</v>
      </c>
      <c r="BX58" s="3543"/>
      <c r="BY58" s="3543"/>
      <c r="BZ58" s="2942">
        <f>SUM(объемы!AF44)</f>
        <v>4696.1390000000001</v>
      </c>
      <c r="CA58" s="3207"/>
      <c r="CB58" s="3548"/>
      <c r="CC58" s="3550">
        <f t="shared" si="34"/>
        <v>-40.110999999999876</v>
      </c>
    </row>
    <row r="59" spans="1:81" ht="40.5" customHeight="1">
      <c r="A59" s="1035" t="s">
        <v>147</v>
      </c>
      <c r="B59" s="801"/>
      <c r="C59" s="381"/>
      <c r="D59" s="381"/>
      <c r="E59" s="381"/>
      <c r="F59" s="381"/>
      <c r="G59" s="381"/>
      <c r="H59" s="381"/>
      <c r="I59" s="381"/>
      <c r="J59" s="812"/>
      <c r="K59" s="848"/>
      <c r="L59" s="1013"/>
      <c r="M59" s="1014">
        <f>L50/M58</f>
        <v>0.35103020604120821</v>
      </c>
      <c r="N59" s="1013"/>
      <c r="O59" s="1013"/>
      <c r="P59" s="1013"/>
      <c r="Q59" s="1014">
        <f>AH22</f>
        <v>0.26482803446738967</v>
      </c>
      <c r="R59" s="1013"/>
      <c r="S59" s="1014"/>
      <c r="T59" s="1017"/>
      <c r="U59" s="1013"/>
      <c r="V59" s="1014">
        <f t="shared" si="11"/>
        <v>-8.6202171573818542E-2</v>
      </c>
      <c r="W59" s="1013"/>
      <c r="X59" s="1027"/>
      <c r="Y59" s="1027"/>
      <c r="Z59" s="1014">
        <f>Y50/Z58</f>
        <v>0.26849105160796027</v>
      </c>
      <c r="AA59" s="1013"/>
      <c r="AB59" s="1013"/>
      <c r="AC59" s="1013"/>
      <c r="AD59" s="1014">
        <f>AC50/AD58</f>
        <v>0.26396034773352256</v>
      </c>
      <c r="AE59" s="1062"/>
      <c r="AF59" s="1062"/>
      <c r="AG59" s="1015">
        <f>AF50/AG58</f>
        <v>0.24905571216738093</v>
      </c>
      <c r="AH59" s="848"/>
      <c r="AI59" s="1013"/>
      <c r="AJ59" s="1014">
        <f>AI50/AJ58</f>
        <v>0.27498845627156399</v>
      </c>
      <c r="AK59" s="1013"/>
      <c r="AL59" s="1013"/>
      <c r="AM59" s="1013"/>
      <c r="AN59" s="1014">
        <f>AP22</f>
        <v>0.24172159546971789</v>
      </c>
      <c r="AO59" s="1053"/>
      <c r="AP59" s="1047"/>
      <c r="AQ59" s="1047">
        <f t="shared" si="32"/>
        <v>-3.3266860801846099E-2</v>
      </c>
      <c r="AR59" s="1053"/>
      <c r="AS59" s="1053"/>
      <c r="AT59" s="1047">
        <f>AS50/AT58</f>
        <v>0.23473164179207823</v>
      </c>
      <c r="AU59" s="1053"/>
      <c r="AV59" s="1053"/>
      <c r="AW59" s="1047">
        <f>AV50/AW58</f>
        <v>0.20463420774381955</v>
      </c>
      <c r="AX59" s="577"/>
      <c r="AY59" s="1062"/>
      <c r="AZ59" s="1015">
        <f>AY50/AZ58</f>
        <v>0.30520255914631222</v>
      </c>
      <c r="BA59" s="1066">
        <f t="shared" si="25"/>
        <v>1.2626201583405776</v>
      </c>
      <c r="BB59" s="1047">
        <f>SUM(BB54+BB58)</f>
        <v>4.1192606218313967</v>
      </c>
      <c r="BC59" s="1053"/>
      <c r="BD59" s="1892">
        <v>0.249</v>
      </c>
      <c r="BE59" s="3006"/>
      <c r="BF59" s="3007"/>
      <c r="BG59" s="3008">
        <f t="shared" si="33"/>
        <v>-5.6202559146312225E-2</v>
      </c>
      <c r="BH59" s="3223"/>
      <c r="BI59" s="3224"/>
      <c r="BJ59" s="3225">
        <f>BI50/BJ58</f>
        <v>0.25099127746416489</v>
      </c>
      <c r="BK59" s="3009"/>
      <c r="BL59" s="3010"/>
      <c r="BM59" s="2990">
        <f>BL50/BM58</f>
        <v>0.32946464831463362</v>
      </c>
      <c r="BN59" s="3010"/>
      <c r="BO59" s="3010"/>
      <c r="BP59" s="2990">
        <f>BO50/BP58</f>
        <v>0.29840997760087495</v>
      </c>
      <c r="BQ59" s="3010"/>
      <c r="BR59" s="3010"/>
      <c r="BS59" s="2992">
        <f>BR50/BS58</f>
        <v>0.29840997760087495</v>
      </c>
      <c r="BT59" s="3208"/>
      <c r="BU59" s="3209"/>
      <c r="BV59" s="3193">
        <v>0.249</v>
      </c>
      <c r="BW59" s="3210">
        <f t="shared" si="17"/>
        <v>1</v>
      </c>
      <c r="BX59" s="3540"/>
      <c r="BY59" s="3545"/>
      <c r="BZ59" s="3541">
        <f>BY50/BZ58</f>
        <v>0.24200731707472883</v>
      </c>
      <c r="CA59" s="3209"/>
      <c r="CB59" s="3193"/>
      <c r="CC59" s="3555">
        <f t="shared" si="34"/>
        <v>-6.9926829252711653E-3</v>
      </c>
    </row>
    <row r="60" spans="1:81" ht="48" customHeight="1">
      <c r="A60" s="1036" t="s">
        <v>148</v>
      </c>
      <c r="B60" s="801"/>
      <c r="C60" s="381"/>
      <c r="D60" s="381"/>
      <c r="E60" s="381"/>
      <c r="F60" s="381"/>
      <c r="G60" s="381"/>
      <c r="H60" s="381"/>
      <c r="I60" s="381"/>
      <c r="J60" s="812"/>
      <c r="K60" s="848"/>
      <c r="L60" s="1013"/>
      <c r="M60" s="885">
        <f>объемы!E57</f>
        <v>3600</v>
      </c>
      <c r="N60" s="1013"/>
      <c r="O60" s="1013"/>
      <c r="P60" s="1013"/>
      <c r="Q60" s="885">
        <f>объемы!F56</f>
        <v>3672.7</v>
      </c>
      <c r="R60" s="1013"/>
      <c r="S60" s="1014"/>
      <c r="T60" s="1017"/>
      <c r="U60" s="1013"/>
      <c r="V60" s="1017">
        <f t="shared" si="11"/>
        <v>72.699999999999818</v>
      </c>
      <c r="W60" s="1013"/>
      <c r="X60" s="1027"/>
      <c r="Y60" s="1027"/>
      <c r="Z60" s="885">
        <v>1773.8</v>
      </c>
      <c r="AA60" s="1013"/>
      <c r="AB60" s="1013"/>
      <c r="AC60" s="1013"/>
      <c r="AD60" s="885">
        <v>2603.1999999999998</v>
      </c>
      <c r="AE60" s="1062"/>
      <c r="AF60" s="1062"/>
      <c r="AG60" s="426">
        <f>объемы!I56</f>
        <v>4393.3999999999996</v>
      </c>
      <c r="AH60" s="848"/>
      <c r="AI60" s="1013"/>
      <c r="AJ60" s="885">
        <f>объемы!J57</f>
        <v>3672.7</v>
      </c>
      <c r="AK60" s="1013"/>
      <c r="AL60" s="1013"/>
      <c r="AM60" s="1013"/>
      <c r="AN60" s="885">
        <f>объемы!K56</f>
        <v>3644.7</v>
      </c>
      <c r="AO60" s="1053"/>
      <c r="AP60" s="1047"/>
      <c r="AQ60" s="1048">
        <f t="shared" si="32"/>
        <v>-28</v>
      </c>
      <c r="AR60" s="1053"/>
      <c r="AS60" s="1053"/>
      <c r="AT60" s="1050">
        <f>объемы!N56</f>
        <v>2027.43</v>
      </c>
      <c r="AU60" s="1053"/>
      <c r="AV60" s="1053"/>
      <c r="AW60" s="1050">
        <f>объемы!P56</f>
        <v>2915.24</v>
      </c>
      <c r="AX60" s="577"/>
      <c r="AY60" s="1062"/>
      <c r="AZ60" s="1059">
        <f>SUM(объемы!T57)</f>
        <v>3463.9333333333334</v>
      </c>
      <c r="BA60" s="1066">
        <f t="shared" si="25"/>
        <v>0.95040286809156682</v>
      </c>
      <c r="BB60" s="1053"/>
      <c r="BC60" s="1053"/>
      <c r="BD60" s="1050">
        <f>SUM(объемы!U57:V57)</f>
        <v>3463.9333333333334</v>
      </c>
      <c r="BE60" s="1013"/>
      <c r="BF60" s="1014"/>
      <c r="BG60" s="1039">
        <f t="shared" si="33"/>
        <v>0</v>
      </c>
      <c r="BH60" s="3221"/>
      <c r="BI60" s="3222"/>
      <c r="BJ60" s="3216">
        <f>SUM(объемы!R57:S57)</f>
        <v>3209.95</v>
      </c>
      <c r="BK60" s="3005"/>
      <c r="BL60" s="2988"/>
      <c r="BM60" s="2975">
        <f>SUM(объемы!AB57)</f>
        <v>1577.71</v>
      </c>
      <c r="BN60" s="2988"/>
      <c r="BO60" s="2988"/>
      <c r="BP60" s="2975">
        <f>SUM(объемы!AC57)</f>
        <v>2304.86</v>
      </c>
      <c r="BQ60" s="2988"/>
      <c r="BR60" s="2988"/>
      <c r="BS60" s="2978">
        <f>SUM(объемы!AD57)</f>
        <v>3073.1466666666661</v>
      </c>
      <c r="BT60" s="3206"/>
      <c r="BU60" s="3207"/>
      <c r="BV60" s="3179">
        <f>SUM(объемы!AE57)</f>
        <v>3223</v>
      </c>
      <c r="BW60" s="3197">
        <f t="shared" si="17"/>
        <v>0.93044515868280753</v>
      </c>
      <c r="BX60" s="3543"/>
      <c r="BY60" s="3543"/>
      <c r="BZ60" s="2942">
        <f>SUM(объемы!AF57)</f>
        <v>3295.75</v>
      </c>
      <c r="CA60" s="3207"/>
      <c r="CB60" s="3548"/>
      <c r="CC60" s="3550">
        <f t="shared" si="34"/>
        <v>72.75</v>
      </c>
    </row>
    <row r="61" spans="1:81" ht="56.25" customHeight="1">
      <c r="A61" s="1035" t="s">
        <v>149</v>
      </c>
      <c r="B61" s="801"/>
      <c r="C61" s="381"/>
      <c r="D61" s="381"/>
      <c r="E61" s="381"/>
      <c r="F61" s="381"/>
      <c r="G61" s="381"/>
      <c r="H61" s="381"/>
      <c r="I61" s="381"/>
      <c r="J61" s="812"/>
      <c r="K61" s="848"/>
      <c r="L61" s="1013"/>
      <c r="M61" s="1014">
        <f>L52/M60</f>
        <v>0.1105</v>
      </c>
      <c r="N61" s="1013"/>
      <c r="O61" s="1013"/>
      <c r="P61" s="1013"/>
      <c r="Q61" s="1014">
        <f>AB25</f>
        <v>9.9000000000000005E-2</v>
      </c>
      <c r="R61" s="1013"/>
      <c r="S61" s="1014"/>
      <c r="T61" s="1017"/>
      <c r="U61" s="1013"/>
      <c r="V61" s="1014">
        <f t="shared" si="11"/>
        <v>-1.1499999999999996E-2</v>
      </c>
      <c r="W61" s="1013"/>
      <c r="X61" s="1027"/>
      <c r="Y61" s="1027"/>
      <c r="Z61" s="1014">
        <f>Y52/Z60</f>
        <v>9.1423497575825907E-2</v>
      </c>
      <c r="AA61" s="1013"/>
      <c r="AB61" s="1013"/>
      <c r="AC61" s="1013"/>
      <c r="AD61" s="1014">
        <f>AC52/AD60</f>
        <v>8.6067148125384157E-2</v>
      </c>
      <c r="AE61" s="1062"/>
      <c r="AF61" s="1062"/>
      <c r="AG61" s="2148">
        <f>AF52/AG60</f>
        <v>6.9781945645741347E-2</v>
      </c>
      <c r="AH61" s="848"/>
      <c r="AI61" s="1013"/>
      <c r="AJ61" s="1014">
        <f>AI52/AJ60</f>
        <v>0.1083126854902388</v>
      </c>
      <c r="AK61" s="1013"/>
      <c r="AL61" s="1013"/>
      <c r="AM61" s="1013"/>
      <c r="AN61" s="1014">
        <f>Q61</f>
        <v>9.9000000000000005E-2</v>
      </c>
      <c r="AO61" s="1053"/>
      <c r="AP61" s="1047"/>
      <c r="AQ61" s="1047">
        <f t="shared" si="32"/>
        <v>-9.3126854902387951E-3</v>
      </c>
      <c r="AR61" s="1053"/>
      <c r="AS61" s="1053"/>
      <c r="AT61" s="1047">
        <f>AS52/AT60</f>
        <v>7.2579571181249164E-2</v>
      </c>
      <c r="AU61" s="1053"/>
      <c r="AV61" s="1053"/>
      <c r="AW61" s="1047">
        <f>AV52/AW60</f>
        <v>6.5847065764739796E-2</v>
      </c>
      <c r="AX61" s="577"/>
      <c r="AY61" s="1062"/>
      <c r="AZ61" s="1015">
        <f>AY52/AZ60</f>
        <v>8.8506322292576836E-2</v>
      </c>
      <c r="BA61" s="1066">
        <f t="shared" si="25"/>
        <v>0.89400325548057402</v>
      </c>
      <c r="BB61" s="1053"/>
      <c r="BC61" s="1053"/>
      <c r="BD61" s="1892">
        <v>8.4000000000000005E-2</v>
      </c>
      <c r="BE61" s="3006"/>
      <c r="BF61" s="3007"/>
      <c r="BG61" s="3008">
        <f t="shared" si="33"/>
        <v>-4.5063222925768309E-3</v>
      </c>
      <c r="BH61" s="3223"/>
      <c r="BI61" s="3224"/>
      <c r="BJ61" s="3225">
        <f>BI52/BJ60</f>
        <v>8.3178865714419237E-2</v>
      </c>
      <c r="BK61" s="3009"/>
      <c r="BL61" s="3010"/>
      <c r="BM61" s="2990">
        <f>BL52/BM60</f>
        <v>9.9758510752926702E-2</v>
      </c>
      <c r="BN61" s="3010"/>
      <c r="BO61" s="3010"/>
      <c r="BP61" s="2990">
        <f>BO52/BP60</f>
        <v>8.9345990645852677E-2</v>
      </c>
      <c r="BQ61" s="3010"/>
      <c r="BR61" s="3010"/>
      <c r="BS61" s="2992">
        <f>BR52/BS60</f>
        <v>8.9345990645852691E-2</v>
      </c>
      <c r="BT61" s="3208"/>
      <c r="BU61" s="3209"/>
      <c r="BV61" s="3193">
        <v>8.4000000000000005E-2</v>
      </c>
      <c r="BW61" s="3210">
        <f t="shared" si="17"/>
        <v>1</v>
      </c>
      <c r="BX61" s="3545"/>
      <c r="BY61" s="3545"/>
      <c r="BZ61" s="3541">
        <f>BY52/BZ60</f>
        <v>8.3986952893878489E-2</v>
      </c>
      <c r="CA61" s="3209"/>
      <c r="CB61" s="3193"/>
      <c r="CC61" s="3555">
        <f t="shared" si="34"/>
        <v>-1.3047106121516494E-5</v>
      </c>
    </row>
    <row r="62" spans="1:81" ht="58.5" customHeight="1" thickBot="1">
      <c r="A62" s="1037" t="s">
        <v>150</v>
      </c>
      <c r="B62" s="801"/>
      <c r="C62" s="381"/>
      <c r="D62" s="381"/>
      <c r="E62" s="381"/>
      <c r="F62" s="381"/>
      <c r="G62" s="381"/>
      <c r="H62" s="381"/>
      <c r="I62" s="381"/>
      <c r="J62" s="812"/>
      <c r="K62" s="608"/>
      <c r="L62" s="410"/>
      <c r="M62" s="1029">
        <f>L54/M60</f>
        <v>0.63394444444444442</v>
      </c>
      <c r="N62" s="410"/>
      <c r="O62" s="410"/>
      <c r="P62" s="410"/>
      <c r="Q62" s="1029">
        <f>AH26</f>
        <v>0.39184614210486146</v>
      </c>
      <c r="R62" s="410"/>
      <c r="S62" s="1029"/>
      <c r="T62" s="665"/>
      <c r="U62" s="410"/>
      <c r="V62" s="1029">
        <f t="shared" si="11"/>
        <v>-0.24209830233958296</v>
      </c>
      <c r="W62" s="410"/>
      <c r="X62" s="1030"/>
      <c r="Y62" s="1030"/>
      <c r="Z62" s="1029">
        <f>Y54/Z60</f>
        <v>0.5300879467809223</v>
      </c>
      <c r="AA62" s="410"/>
      <c r="AB62" s="410"/>
      <c r="AC62" s="410"/>
      <c r="AD62" s="1029">
        <f>AC54/AD60</f>
        <v>0.52707437000614632</v>
      </c>
      <c r="AE62" s="1063"/>
      <c r="AF62" s="1063"/>
      <c r="AG62" s="2149">
        <f>AF54/AG60</f>
        <v>0.42197159375426785</v>
      </c>
      <c r="AH62" s="608"/>
      <c r="AI62" s="410"/>
      <c r="AJ62" s="1029">
        <f>AI54/AJ60</f>
        <v>0.6213957034334413</v>
      </c>
      <c r="AK62" s="410"/>
      <c r="AL62" s="410"/>
      <c r="AM62" s="410"/>
      <c r="AN62" s="1029">
        <f>Q62</f>
        <v>0.39184614210486146</v>
      </c>
      <c r="AO62" s="1055"/>
      <c r="AP62" s="1056"/>
      <c r="AQ62" s="1056">
        <f t="shared" si="32"/>
        <v>-0.22954956132857984</v>
      </c>
      <c r="AR62" s="1055"/>
      <c r="AS62" s="1055"/>
      <c r="AT62" s="1056">
        <f>AS54/AT60</f>
        <v>0.46817892602950534</v>
      </c>
      <c r="AU62" s="1055"/>
      <c r="AV62" s="1055"/>
      <c r="AW62" s="1056">
        <f>AV54/AW60</f>
        <v>0.47851291831890347</v>
      </c>
      <c r="AX62" s="613"/>
      <c r="AY62" s="1063"/>
      <c r="AZ62" s="1064">
        <f>AY54/AZ60</f>
        <v>0.5351979445331897</v>
      </c>
      <c r="BA62" s="1068">
        <f t="shared" si="25"/>
        <v>1.3658369625850904</v>
      </c>
      <c r="BB62" s="1055"/>
      <c r="BC62" s="1055"/>
      <c r="BD62" s="1893">
        <v>0.42</v>
      </c>
      <c r="BE62" s="3011"/>
      <c r="BF62" s="3012"/>
      <c r="BG62" s="3013">
        <f t="shared" si="33"/>
        <v>-0.11519794453318971</v>
      </c>
      <c r="BH62" s="3017"/>
      <c r="BI62" s="3226"/>
      <c r="BJ62" s="3227">
        <f>BI54/BJ60</f>
        <v>0.57838284085421887</v>
      </c>
      <c r="BK62" s="3015"/>
      <c r="BL62" s="3016"/>
      <c r="BM62" s="2998">
        <f>BL54/BM60</f>
        <v>0.57181611322739923</v>
      </c>
      <c r="BN62" s="3016"/>
      <c r="BO62" s="3016"/>
      <c r="BP62" s="2998">
        <f>BO54/BP60</f>
        <v>0.57833577744418307</v>
      </c>
      <c r="BQ62" s="3016"/>
      <c r="BR62" s="3016"/>
      <c r="BS62" s="3001">
        <f>BR54/BS60</f>
        <v>0.5783357774441833</v>
      </c>
      <c r="BT62" s="3014"/>
      <c r="BU62" s="3211"/>
      <c r="BV62" s="3194">
        <v>0.42</v>
      </c>
      <c r="BW62" s="3212">
        <f t="shared" si="17"/>
        <v>1</v>
      </c>
      <c r="BX62" s="3546"/>
      <c r="BY62" s="3546"/>
      <c r="BZ62" s="3542">
        <f>BY54/BZ60</f>
        <v>0.41999544868391109</v>
      </c>
      <c r="CA62" s="3211"/>
      <c r="CB62" s="3194"/>
      <c r="CC62" s="3556">
        <f t="shared" si="34"/>
        <v>-4.5513160888965842E-6</v>
      </c>
    </row>
    <row r="63" spans="1:81" ht="13.5" customHeight="1" thickBot="1">
      <c r="A63" s="2478"/>
      <c r="B63" s="2479"/>
      <c r="C63" s="2479"/>
      <c r="D63" s="2479"/>
      <c r="E63" s="2479"/>
      <c r="F63" s="2479"/>
      <c r="G63" s="2479"/>
      <c r="H63" s="2479"/>
      <c r="I63" s="2479"/>
      <c r="J63" s="2479"/>
      <c r="K63" s="2480"/>
      <c r="L63" s="2480"/>
      <c r="M63" s="2481"/>
      <c r="N63" s="2480"/>
      <c r="O63" s="2480"/>
      <c r="P63" s="2480"/>
      <c r="Q63" s="2481"/>
      <c r="R63" s="2480"/>
      <c r="S63" s="2481"/>
      <c r="T63" s="2482"/>
      <c r="U63" s="2480"/>
      <c r="V63" s="2481"/>
      <c r="W63" s="2480"/>
      <c r="X63" s="2483"/>
      <c r="Y63" s="2483"/>
      <c r="Z63" s="2481"/>
      <c r="AA63" s="2480"/>
      <c r="AB63" s="2480"/>
      <c r="AC63" s="2480"/>
      <c r="AD63" s="2481"/>
      <c r="AE63" s="2484"/>
      <c r="AF63" s="2484"/>
      <c r="AG63" s="2485"/>
      <c r="AH63" s="2480"/>
      <c r="AI63" s="2480"/>
      <c r="AJ63" s="2481"/>
      <c r="AK63" s="2480"/>
      <c r="AL63" s="2480"/>
      <c r="AM63" s="2480"/>
      <c r="AN63" s="2481"/>
      <c r="AO63" s="2480"/>
      <c r="AP63" s="2481"/>
      <c r="AQ63" s="2481"/>
      <c r="AR63" s="2480"/>
      <c r="AS63" s="2480"/>
      <c r="AT63" s="2481"/>
      <c r="AU63" s="2480"/>
      <c r="AV63" s="2480"/>
      <c r="AW63" s="2481"/>
      <c r="AX63" s="2484"/>
      <c r="AY63" s="2484"/>
      <c r="AZ63" s="2486"/>
      <c r="BA63" s="2487"/>
      <c r="BB63" s="2480"/>
      <c r="BC63" s="2480"/>
      <c r="BD63" s="2488"/>
      <c r="BE63" s="2480"/>
      <c r="BF63" s="2481"/>
      <c r="BG63" s="2481"/>
    </row>
    <row r="64" spans="1:81" ht="13.5" thickBot="1">
      <c r="AS64" s="4892" t="s">
        <v>1584</v>
      </c>
      <c r="AT64" s="4893"/>
      <c r="AU64" s="4893"/>
      <c r="AV64" s="4893"/>
      <c r="AW64" s="4894"/>
    </row>
    <row r="65" spans="1:71" ht="16.5" customHeight="1">
      <c r="A65" s="2489" t="s">
        <v>446</v>
      </c>
      <c r="B65" s="2489"/>
      <c r="C65" s="2489"/>
      <c r="D65" s="2489"/>
      <c r="E65" s="2489"/>
      <c r="F65" s="2489"/>
      <c r="G65" s="2489"/>
      <c r="H65" s="2489"/>
      <c r="I65" s="2489"/>
      <c r="J65" s="2489"/>
      <c r="K65" s="2489"/>
      <c r="L65" s="2489"/>
      <c r="M65" s="2489"/>
      <c r="N65" s="2489"/>
      <c r="O65" s="2489"/>
      <c r="P65" s="2489"/>
      <c r="Q65" s="2489"/>
      <c r="R65" s="2489"/>
      <c r="S65" s="2489"/>
      <c r="T65" s="2489"/>
      <c r="U65" s="2490"/>
      <c r="V65" s="2490"/>
      <c r="W65" s="2490"/>
      <c r="X65" s="2490"/>
      <c r="Y65" s="2490"/>
      <c r="Z65" s="2490"/>
      <c r="AA65" s="2477"/>
      <c r="AB65" s="2477"/>
      <c r="AC65" s="2477"/>
      <c r="AD65" s="2477"/>
      <c r="AE65" s="2477"/>
      <c r="AF65" s="2477"/>
      <c r="AG65" s="2477"/>
      <c r="AH65" s="2477"/>
      <c r="AI65" s="2477"/>
      <c r="AJ65" s="2477"/>
      <c r="AK65" s="2477"/>
      <c r="AL65" s="2477"/>
      <c r="AM65" s="2477"/>
      <c r="AN65" s="2477"/>
      <c r="AO65" s="2477"/>
      <c r="AS65" s="2521" t="s">
        <v>139</v>
      </c>
      <c r="AT65" s="2522"/>
      <c r="AU65" s="295">
        <f t="shared" ref="AU65:AU67" si="35">AW65/AV65</f>
        <v>5.3312199471145423</v>
      </c>
      <c r="AV65" s="2535">
        <f>AV48-AS48</f>
        <v>131.22699999999998</v>
      </c>
      <c r="AW65" s="2523">
        <f>AW48-AT48</f>
        <v>699.59999999999991</v>
      </c>
      <c r="BO65" s="2298" t="s">
        <v>1714</v>
      </c>
      <c r="BP65" s="2298"/>
      <c r="BQ65" s="2298">
        <f>SUM(BS65/BR65)</f>
        <v>2.3600358839751476</v>
      </c>
      <c r="BR65" s="3504">
        <f>SUM(BO48-BL48)</f>
        <v>150.48500000000001</v>
      </c>
      <c r="BS65" s="3503">
        <f>SUM(BP48-BM48)</f>
        <v>355.15000000000009</v>
      </c>
    </row>
    <row r="66" spans="1:71" ht="16.5" customHeight="1">
      <c r="A66" s="2489" t="s">
        <v>447</v>
      </c>
      <c r="B66" s="2489"/>
      <c r="C66" s="2489"/>
      <c r="D66" s="2489"/>
      <c r="E66" s="2489"/>
      <c r="F66" s="2489"/>
      <c r="G66" s="2489"/>
      <c r="H66" s="2489"/>
      <c r="I66" s="2489"/>
      <c r="J66" s="2489"/>
      <c r="K66" s="2489"/>
      <c r="L66" s="2489"/>
      <c r="M66" s="2489"/>
      <c r="N66" s="2489"/>
      <c r="O66" s="2489"/>
      <c r="P66" s="2489"/>
      <c r="Q66" s="2489"/>
      <c r="R66" s="2489"/>
      <c r="S66" s="2489"/>
      <c r="T66" s="2489"/>
      <c r="U66" s="2490"/>
      <c r="V66" s="2490"/>
      <c r="W66" s="2490"/>
      <c r="X66" s="2490"/>
      <c r="Y66" s="2490"/>
      <c r="Z66" s="2490"/>
      <c r="AA66" s="2477"/>
      <c r="AB66" s="2477"/>
      <c r="AC66" s="2477"/>
      <c r="AD66" s="2477"/>
      <c r="AE66" s="2477"/>
      <c r="AF66" s="2477"/>
      <c r="AG66" s="2477"/>
      <c r="AH66" s="2477"/>
      <c r="AI66" s="2477"/>
      <c r="AJ66" s="2477"/>
      <c r="AK66" s="2477"/>
      <c r="AL66" s="2477"/>
      <c r="AM66" s="2477"/>
      <c r="AN66" s="2477"/>
      <c r="AO66" s="2477"/>
      <c r="AS66" s="2508" t="s">
        <v>1585</v>
      </c>
      <c r="AT66" s="2509"/>
      <c r="AU66" s="2510"/>
      <c r="AV66" s="2536"/>
      <c r="AW66" s="2511">
        <f>AW49-AT49</f>
        <v>72.900000000000006</v>
      </c>
    </row>
    <row r="67" spans="1:71" ht="16.5" customHeight="1">
      <c r="A67" s="2491" t="s">
        <v>448</v>
      </c>
      <c r="B67" s="2489"/>
      <c r="C67" s="2489"/>
      <c r="D67" s="2489"/>
      <c r="E67" s="2489"/>
      <c r="F67" s="2489"/>
      <c r="G67" s="2489"/>
      <c r="H67" s="2489"/>
      <c r="I67" s="2489"/>
      <c r="J67" s="2489"/>
      <c r="K67" s="2489"/>
      <c r="L67" s="2492"/>
      <c r="M67" s="2489" t="s">
        <v>452</v>
      </c>
      <c r="N67" s="2489"/>
      <c r="O67" s="2489"/>
      <c r="P67" s="2489"/>
      <c r="Q67" s="2489"/>
      <c r="R67" s="2489"/>
      <c r="S67" s="2489"/>
      <c r="T67" s="2489"/>
      <c r="U67" s="2490"/>
      <c r="V67" s="2493"/>
      <c r="W67" s="2493"/>
      <c r="X67" s="2493"/>
      <c r="Y67" s="2493"/>
      <c r="Z67" s="2493"/>
      <c r="AA67" s="2494"/>
      <c r="AB67" s="2494"/>
      <c r="AC67" s="2477"/>
      <c r="AD67" s="2477"/>
      <c r="AE67" s="2477"/>
      <c r="AF67" s="2477"/>
      <c r="AG67" s="2477"/>
      <c r="AH67" s="2477"/>
      <c r="AI67" s="2477"/>
      <c r="AJ67" s="2477"/>
      <c r="AK67" s="2477"/>
      <c r="AL67" s="2477"/>
      <c r="AM67" s="2477"/>
      <c r="AN67" s="2477"/>
      <c r="AO67" s="2477"/>
      <c r="AS67" s="2508" t="s">
        <v>140</v>
      </c>
      <c r="AT67" s="2509"/>
      <c r="AU67" s="2510">
        <f t="shared" si="35"/>
        <v>4.2196189800023669</v>
      </c>
      <c r="AV67" s="2536">
        <f t="shared" ref="AV67" si="36">AV50-AS50</f>
        <v>338.03999999999996</v>
      </c>
      <c r="AW67" s="2511">
        <f>AW50-AT50</f>
        <v>1426.4</v>
      </c>
    </row>
    <row r="68" spans="1:71" ht="16.5" customHeight="1" thickBot="1">
      <c r="A68" s="2491" t="s">
        <v>449</v>
      </c>
      <c r="B68" s="2489"/>
      <c r="C68" s="2489"/>
      <c r="D68" s="2489"/>
      <c r="E68" s="2489"/>
      <c r="F68" s="2489"/>
      <c r="G68" s="2489"/>
      <c r="H68" s="2489"/>
      <c r="I68" s="2489"/>
      <c r="J68" s="2489"/>
      <c r="K68" s="2489"/>
      <c r="L68" s="2492">
        <f>AN59</f>
        <v>0.24172159546971789</v>
      </c>
      <c r="M68" s="2489" t="s">
        <v>452</v>
      </c>
      <c r="N68" s="2489"/>
      <c r="O68" s="2489"/>
      <c r="P68" s="2489"/>
      <c r="Q68" s="2489"/>
      <c r="R68" s="2489"/>
      <c r="S68" s="2489"/>
      <c r="T68" s="2489"/>
      <c r="U68" s="2490"/>
      <c r="V68" s="2493"/>
      <c r="W68" s="2493"/>
      <c r="X68" s="4860"/>
      <c r="Y68" s="4860"/>
      <c r="Z68" s="4860"/>
      <c r="AA68" s="2494"/>
      <c r="AB68" s="2494"/>
      <c r="AC68" s="2477"/>
      <c r="AD68" s="2477"/>
      <c r="AE68" s="2477"/>
      <c r="AF68" s="2477"/>
      <c r="AG68" s="2477"/>
      <c r="AH68" s="2477"/>
      <c r="AI68" s="2477"/>
      <c r="AJ68" s="2477"/>
      <c r="AK68" s="2477"/>
      <c r="AL68" s="2477"/>
      <c r="AM68" s="2477"/>
      <c r="AN68" s="2477"/>
      <c r="AO68" s="2477"/>
      <c r="AS68" s="2513" t="s">
        <v>54</v>
      </c>
      <c r="AT68" s="2514"/>
      <c r="AU68" s="2515">
        <f>AW68/AV68</f>
        <v>4.6858185212256567</v>
      </c>
      <c r="AV68" s="2537">
        <f>SUM(AV65:AV67)</f>
        <v>469.26699999999994</v>
      </c>
      <c r="AW68" s="2524">
        <f>SUM(AW65:AW67)</f>
        <v>2198.9</v>
      </c>
    </row>
    <row r="69" spans="1:71" ht="16.5" hidden="1" customHeight="1">
      <c r="A69" s="2491" t="s">
        <v>450</v>
      </c>
      <c r="B69" s="2489"/>
      <c r="C69" s="2489"/>
      <c r="D69" s="2489"/>
      <c r="E69" s="2489"/>
      <c r="F69" s="2489"/>
      <c r="G69" s="2489"/>
      <c r="H69" s="2489"/>
      <c r="I69" s="2489"/>
      <c r="J69" s="2489"/>
      <c r="K69" s="2489"/>
      <c r="L69" s="2492">
        <f>AN61</f>
        <v>9.9000000000000005E-2</v>
      </c>
      <c r="M69" s="2489" t="s">
        <v>453</v>
      </c>
      <c r="N69" s="2489"/>
      <c r="O69" s="2489"/>
      <c r="P69" s="2489"/>
      <c r="Q69" s="2489"/>
      <c r="R69" s="2489"/>
      <c r="S69" s="2489"/>
      <c r="T69" s="2489"/>
      <c r="U69" s="2490"/>
      <c r="V69" s="2493"/>
      <c r="W69" s="2493"/>
      <c r="X69" s="2493"/>
      <c r="Y69" s="2495"/>
      <c r="Z69" s="2495"/>
      <c r="AA69" s="2494"/>
      <c r="AB69" s="2494"/>
      <c r="AC69" s="2477"/>
      <c r="AD69" s="2477"/>
      <c r="AE69" s="2477"/>
      <c r="AF69" s="2477"/>
      <c r="AG69" s="2477"/>
      <c r="AH69" s="2477"/>
      <c r="AI69" s="2477"/>
      <c r="AJ69" s="2477"/>
      <c r="AK69" s="2477"/>
      <c r="AL69" s="2477"/>
      <c r="AM69" s="2477"/>
      <c r="AN69" s="2477"/>
      <c r="AO69" s="2477"/>
      <c r="AS69" s="2517"/>
      <c r="AT69" s="2518"/>
      <c r="AU69" s="2519"/>
      <c r="AV69" s="2538"/>
      <c r="AW69" s="2520"/>
    </row>
    <row r="70" spans="1:71" ht="16.5" hidden="1" customHeight="1">
      <c r="A70" s="2491" t="s">
        <v>451</v>
      </c>
      <c r="B70" s="2489"/>
      <c r="C70" s="2489"/>
      <c r="D70" s="2489"/>
      <c r="E70" s="2489"/>
      <c r="F70" s="2489"/>
      <c r="G70" s="2489"/>
      <c r="H70" s="2489"/>
      <c r="I70" s="2489"/>
      <c r="J70" s="2489"/>
      <c r="K70" s="2489"/>
      <c r="L70" s="2492">
        <f>AN62</f>
        <v>0.39184614210486146</v>
      </c>
      <c r="M70" s="2489" t="s">
        <v>453</v>
      </c>
      <c r="N70" s="2489"/>
      <c r="O70" s="2489"/>
      <c r="P70" s="2489"/>
      <c r="Q70" s="2489"/>
      <c r="R70" s="2489"/>
      <c r="S70" s="2489"/>
      <c r="T70" s="2489"/>
      <c r="U70" s="2490"/>
      <c r="V70" s="2493"/>
      <c r="W70" s="2493"/>
      <c r="X70" s="2493"/>
      <c r="Y70" s="2495"/>
      <c r="Z70" s="2495"/>
      <c r="AA70" s="2494"/>
      <c r="AB70" s="2494"/>
      <c r="AC70" s="2477"/>
      <c r="AD70" s="2477"/>
      <c r="AE70" s="2477"/>
      <c r="AF70" s="2477"/>
      <c r="AG70" s="2477"/>
      <c r="AH70" s="2477"/>
      <c r="AI70" s="2477"/>
      <c r="AJ70" s="2477"/>
      <c r="AK70" s="2477"/>
      <c r="AL70" s="2477"/>
      <c r="AM70" s="2477"/>
      <c r="AN70" s="2477"/>
      <c r="AO70" s="2477"/>
      <c r="AS70" s="2525"/>
      <c r="AT70" s="2526"/>
      <c r="AU70" s="2527"/>
      <c r="AV70" s="2539"/>
      <c r="AW70" s="2528"/>
    </row>
    <row r="71" spans="1:71" ht="12.75" customHeight="1">
      <c r="A71" s="2490"/>
      <c r="B71" s="2490"/>
      <c r="C71" s="2490"/>
      <c r="D71" s="2490"/>
      <c r="E71" s="2490"/>
      <c r="F71" s="2490"/>
      <c r="G71" s="2490"/>
      <c r="H71" s="2490"/>
      <c r="I71" s="2490"/>
      <c r="J71" s="2490"/>
      <c r="K71" s="2490"/>
      <c r="L71" s="2490"/>
      <c r="M71" s="2490"/>
      <c r="N71" s="2490"/>
      <c r="O71" s="2490"/>
      <c r="P71" s="2490"/>
      <c r="Q71" s="2490"/>
      <c r="R71" s="2490"/>
      <c r="S71" s="2490"/>
      <c r="T71" s="2490"/>
      <c r="U71" s="2490"/>
      <c r="V71" s="2493"/>
      <c r="W71" s="2493"/>
      <c r="X71" s="2493"/>
      <c r="Y71" s="2495"/>
      <c r="Z71" s="2495"/>
      <c r="AA71" s="2494"/>
      <c r="AB71" s="2494"/>
      <c r="AC71" s="2477"/>
      <c r="AD71" s="2477"/>
      <c r="AE71" s="2477"/>
      <c r="AF71" s="2477"/>
      <c r="AG71" s="2477"/>
      <c r="AH71" s="2477"/>
      <c r="AI71" s="2477"/>
      <c r="AJ71" s="2477"/>
      <c r="AK71" s="2477"/>
      <c r="AL71" s="2477"/>
      <c r="AM71" s="2477"/>
      <c r="AN71" s="2477"/>
      <c r="AO71" s="2477"/>
      <c r="AS71" s="2521" t="s">
        <v>624</v>
      </c>
      <c r="AT71" s="2522"/>
      <c r="AU71" s="295">
        <f>AW71/AV71</f>
        <v>5.3715688462396765</v>
      </c>
      <c r="AV71" s="2535">
        <f t="shared" ref="AV71:AV74" si="37">AV52-AS52</f>
        <v>44.81</v>
      </c>
      <c r="AW71" s="2529">
        <f>AW52-AT52</f>
        <v>240.69999999999993</v>
      </c>
    </row>
    <row r="72" spans="1:71" ht="16.5" customHeight="1">
      <c r="A72" s="4857" t="s">
        <v>577</v>
      </c>
      <c r="B72" s="4858"/>
      <c r="C72" s="4858"/>
      <c r="D72" s="4858"/>
      <c r="E72" s="4858"/>
      <c r="F72" s="4858"/>
      <c r="G72" s="4858"/>
      <c r="H72" s="4858"/>
      <c r="I72" s="4858"/>
      <c r="J72" s="4858"/>
      <c r="K72" s="4858"/>
      <c r="L72" s="4858"/>
      <c r="M72" s="4859"/>
      <c r="N72" s="2490"/>
      <c r="O72" s="2490"/>
      <c r="P72" s="2490"/>
      <c r="Q72" s="2490"/>
      <c r="R72" s="2490"/>
      <c r="S72" s="2490"/>
      <c r="T72" s="2490"/>
      <c r="U72" s="2490"/>
      <c r="V72" s="2493"/>
      <c r="W72" s="2493"/>
      <c r="X72" s="2493"/>
      <c r="Y72" s="2495"/>
      <c r="Z72" s="2495"/>
      <c r="AA72" s="2494"/>
      <c r="AB72" s="2494"/>
      <c r="AC72" s="2477"/>
      <c r="AD72" s="2477"/>
      <c r="AE72" s="2477"/>
      <c r="AF72" s="2477"/>
      <c r="AG72" s="2477"/>
      <c r="AH72" s="2477"/>
      <c r="AI72" s="2477"/>
      <c r="AJ72" s="2477"/>
      <c r="AK72" s="2477"/>
      <c r="AL72" s="2477"/>
      <c r="AM72" s="2477"/>
      <c r="AN72" s="2477"/>
      <c r="AO72" s="2477"/>
      <c r="AS72" s="2508" t="s">
        <v>1585</v>
      </c>
      <c r="AT72" s="2509"/>
      <c r="AU72" s="2510"/>
      <c r="AV72" s="2536"/>
      <c r="AW72" s="2512">
        <f t="shared" ref="AW72:AW74" si="38">AW53-AT53</f>
        <v>73</v>
      </c>
    </row>
    <row r="73" spans="1:71" ht="16.5" customHeight="1">
      <c r="A73" s="2496" t="s">
        <v>546</v>
      </c>
      <c r="B73" s="2497"/>
      <c r="C73" s="2497"/>
      <c r="D73" s="2497"/>
      <c r="E73" s="2497"/>
      <c r="F73" s="2497"/>
      <c r="G73" s="2497"/>
      <c r="H73" s="2497"/>
      <c r="I73" s="2497"/>
      <c r="J73" s="2497"/>
      <c r="K73" s="2497" t="s">
        <v>345</v>
      </c>
      <c r="L73" s="2497" t="s">
        <v>361</v>
      </c>
      <c r="M73" s="2489" t="s">
        <v>578</v>
      </c>
      <c r="N73" s="2490"/>
      <c r="O73" s="2497" t="s">
        <v>580</v>
      </c>
      <c r="P73" s="2489" t="s">
        <v>581</v>
      </c>
      <c r="Q73" s="2490"/>
      <c r="R73" s="2490"/>
      <c r="S73" s="2490"/>
      <c r="T73" s="2490"/>
      <c r="U73" s="2490"/>
      <c r="V73" s="2493"/>
      <c r="W73" s="2493"/>
      <c r="X73" s="2498"/>
      <c r="Y73" s="2499"/>
      <c r="Z73" s="2499"/>
      <c r="AA73" s="2494"/>
      <c r="AB73" s="2494"/>
      <c r="AC73" s="2477"/>
      <c r="AD73" s="2477"/>
      <c r="AE73" s="2477"/>
      <c r="AF73" s="2477"/>
      <c r="AG73" s="2477"/>
      <c r="AH73" s="2497" t="s">
        <v>345</v>
      </c>
      <c r="AI73" s="2497" t="s">
        <v>361</v>
      </c>
      <c r="AJ73" s="2489" t="s">
        <v>578</v>
      </c>
      <c r="AK73" s="2490"/>
      <c r="AL73" s="2497" t="s">
        <v>580</v>
      </c>
      <c r="AM73" s="2489" t="s">
        <v>581</v>
      </c>
      <c r="AN73" s="2477"/>
      <c r="AO73" s="2477"/>
      <c r="AS73" s="2508" t="s">
        <v>633</v>
      </c>
      <c r="AT73" s="2509"/>
      <c r="AU73" s="2510">
        <f t="shared" ref="AU73:AU74" si="39">AW73/AV73</f>
        <v>3.9992821571178605</v>
      </c>
      <c r="AV73" s="2536">
        <f t="shared" si="37"/>
        <v>445.78</v>
      </c>
      <c r="AW73" s="2512">
        <f t="shared" si="38"/>
        <v>1782.7999999999997</v>
      </c>
    </row>
    <row r="74" spans="1:71" ht="16.5" customHeight="1" thickBot="1">
      <c r="A74" s="2500" t="s">
        <v>139</v>
      </c>
      <c r="B74" s="2489"/>
      <c r="C74" s="2489"/>
      <c r="D74" s="2489"/>
      <c r="E74" s="2489"/>
      <c r="F74" s="2489"/>
      <c r="G74" s="2489"/>
      <c r="H74" s="2489"/>
      <c r="I74" s="2489"/>
      <c r="J74" s="2489"/>
      <c r="K74" s="2501">
        <f>SUM(M74/L74)</f>
        <v>5.0619778596182483</v>
      </c>
      <c r="L74" s="2502">
        <f>SUM(AC48-Y48)</f>
        <v>184.09799999999996</v>
      </c>
      <c r="M74" s="2502">
        <f>SUM(AD48-Z48)</f>
        <v>931.90000000000009</v>
      </c>
      <c r="N74" s="2490"/>
      <c r="O74" s="2503">
        <f>SUM(AD56-Z56)</f>
        <v>1664.6999999999998</v>
      </c>
      <c r="P74" s="2492">
        <f>SUM(L74/O74)</f>
        <v>0.11058929536853486</v>
      </c>
      <c r="Q74" s="2490"/>
      <c r="R74" s="2490"/>
      <c r="S74" s="2490"/>
      <c r="T74" s="2490"/>
      <c r="U74" s="2490"/>
      <c r="V74" s="2493"/>
      <c r="W74" s="2493"/>
      <c r="X74" s="2493"/>
      <c r="Y74" s="2495"/>
      <c r="Z74" s="2495"/>
      <c r="AA74" s="2494"/>
      <c r="AB74" s="2494"/>
      <c r="AC74" s="2477"/>
      <c r="AD74" s="2477"/>
      <c r="AE74" s="2477"/>
      <c r="AF74" s="2477"/>
      <c r="AG74" s="2477"/>
      <c r="AH74" s="2501">
        <f>SUM(M74/L74)</f>
        <v>5.0619778596182483</v>
      </c>
      <c r="AI74" s="2502">
        <f>SUM(AC48-Y48)</f>
        <v>184.09799999999996</v>
      </c>
      <c r="AJ74" s="2502">
        <f>SUM(AD48-Z48)</f>
        <v>931.90000000000009</v>
      </c>
      <c r="AK74" s="2490"/>
      <c r="AL74" s="2503">
        <f>SUM(AD56-Z56)</f>
        <v>1664.6999999999998</v>
      </c>
      <c r="AM74" s="2504">
        <f>SUM(AI74/AL74)</f>
        <v>0.11058929536853486</v>
      </c>
      <c r="AN74" s="2477"/>
      <c r="AO74" s="2477"/>
      <c r="AS74" s="2513" t="s">
        <v>54</v>
      </c>
      <c r="AT74" s="2514"/>
      <c r="AU74" s="2515">
        <f t="shared" si="39"/>
        <v>4.2734258749668772</v>
      </c>
      <c r="AV74" s="2537">
        <f t="shared" si="37"/>
        <v>490.58999999999992</v>
      </c>
      <c r="AW74" s="2516">
        <f t="shared" si="38"/>
        <v>2096.5</v>
      </c>
    </row>
    <row r="75" spans="1:71" ht="16.5" hidden="1" customHeight="1">
      <c r="A75" s="2500" t="s">
        <v>582</v>
      </c>
      <c r="B75" s="2489"/>
      <c r="C75" s="2489"/>
      <c r="D75" s="2489"/>
      <c r="E75" s="2489"/>
      <c r="F75" s="2489"/>
      <c r="G75" s="2489"/>
      <c r="H75" s="2489"/>
      <c r="I75" s="2489"/>
      <c r="J75" s="2489"/>
      <c r="K75" s="2501"/>
      <c r="L75" s="2502"/>
      <c r="M75" s="2502"/>
      <c r="N75" s="2490"/>
      <c r="O75" s="2503">
        <f>SUM(AD58-Z58)</f>
        <v>1455.02</v>
      </c>
      <c r="P75" s="2492"/>
      <c r="Q75" s="2490"/>
      <c r="R75" s="2490"/>
      <c r="S75" s="2490"/>
      <c r="T75" s="2490"/>
      <c r="U75" s="2490"/>
      <c r="V75" s="2493"/>
      <c r="W75" s="2493"/>
      <c r="X75" s="2493"/>
      <c r="Y75" s="2495"/>
      <c r="Z75" s="2495"/>
      <c r="AA75" s="2494"/>
      <c r="AB75" s="2494"/>
      <c r="AC75" s="2477"/>
      <c r="AD75" s="2477"/>
      <c r="AE75" s="2477"/>
      <c r="AF75" s="2477"/>
      <c r="AG75" s="2477"/>
      <c r="AH75" s="2501"/>
      <c r="AI75" s="2502"/>
      <c r="AJ75" s="2502"/>
      <c r="AK75" s="2490"/>
      <c r="AL75" s="2503">
        <f>SUM(O75)</f>
        <v>1455.02</v>
      </c>
      <c r="AM75" s="2492"/>
      <c r="AN75" s="2477"/>
      <c r="AO75" s="2477"/>
    </row>
    <row r="76" spans="1:71" ht="16.5" hidden="1" customHeight="1">
      <c r="A76" s="2489" t="s">
        <v>140</v>
      </c>
      <c r="B76" s="2489"/>
      <c r="C76" s="2489"/>
      <c r="D76" s="2489"/>
      <c r="E76" s="2489"/>
      <c r="F76" s="2489"/>
      <c r="G76" s="2489"/>
      <c r="H76" s="2489"/>
      <c r="I76" s="2489"/>
      <c r="J76" s="2489"/>
      <c r="K76" s="2501">
        <f>SUM(M76/L76)</f>
        <v>4.1182508170596659</v>
      </c>
      <c r="L76" s="2502">
        <f>SUM(AC50-Y50)</f>
        <v>370.23</v>
      </c>
      <c r="M76" s="2502">
        <f>SUM(AD50-Z50)</f>
        <v>1524.7000000000003</v>
      </c>
      <c r="N76" s="2490"/>
      <c r="O76" s="2502"/>
      <c r="P76" s="2492">
        <f>SUM(L76/O75)</f>
        <v>0.2544501106514</v>
      </c>
      <c r="Q76" s="2490"/>
      <c r="R76" s="2490"/>
      <c r="S76" s="2490"/>
      <c r="T76" s="2490"/>
      <c r="U76" s="2490"/>
      <c r="V76" s="2493"/>
      <c r="W76" s="2493"/>
      <c r="X76" s="2493"/>
      <c r="Y76" s="2495"/>
      <c r="Z76" s="2495"/>
      <c r="AA76" s="2494"/>
      <c r="AB76" s="2494"/>
      <c r="AC76" s="2477"/>
      <c r="AD76" s="2477"/>
      <c r="AE76" s="2477"/>
      <c r="AF76" s="2477"/>
      <c r="AG76" s="2477"/>
      <c r="AH76" s="2501">
        <f t="shared" ref="AH76:AH80" si="40">SUM(K76)</f>
        <v>4.1182508170596659</v>
      </c>
      <c r="AI76" s="2502">
        <f t="shared" ref="AI76:AI80" si="41">SUM(L76)</f>
        <v>370.23</v>
      </c>
      <c r="AJ76" s="2502">
        <f t="shared" ref="AJ76:AJ80" si="42">SUM(M76)</f>
        <v>1524.7000000000003</v>
      </c>
      <c r="AK76" s="2490"/>
      <c r="AL76" s="2502"/>
      <c r="AM76" s="2504">
        <f>SUM(P76)</f>
        <v>0.2544501106514</v>
      </c>
      <c r="AN76" s="2477"/>
      <c r="AO76" s="2477"/>
    </row>
    <row r="77" spans="1:71" ht="16.5" hidden="1" customHeight="1">
      <c r="A77" s="2489" t="s">
        <v>54</v>
      </c>
      <c r="B77" s="2489"/>
      <c r="C77" s="2489"/>
      <c r="D77" s="2489"/>
      <c r="E77" s="2489"/>
      <c r="F77" s="2489"/>
      <c r="G77" s="2489"/>
      <c r="H77" s="2489"/>
      <c r="I77" s="2489"/>
      <c r="J77" s="2489"/>
      <c r="K77" s="2501">
        <f>SUM(M77/L77)</f>
        <v>4.4316722229438179</v>
      </c>
      <c r="L77" s="2502">
        <f>SUM(L74:L76)</f>
        <v>554.32799999999997</v>
      </c>
      <c r="M77" s="2502">
        <f>SUM(M74:M76)</f>
        <v>2456.6000000000004</v>
      </c>
      <c r="N77" s="2490"/>
      <c r="O77" s="2489"/>
      <c r="P77" s="2489"/>
      <c r="Q77" s="2490"/>
      <c r="R77" s="2490"/>
      <c r="S77" s="2490"/>
      <c r="T77" s="2490"/>
      <c r="U77" s="2490"/>
      <c r="V77" s="2493"/>
      <c r="W77" s="2493"/>
      <c r="X77" s="2493"/>
      <c r="Y77" s="2493"/>
      <c r="Z77" s="2493"/>
      <c r="AA77" s="2494"/>
      <c r="AB77" s="2494"/>
      <c r="AC77" s="2477"/>
      <c r="AD77" s="2477"/>
      <c r="AE77" s="2477"/>
      <c r="AF77" s="2477"/>
      <c r="AG77" s="2477"/>
      <c r="AH77" s="2501">
        <f t="shared" si="40"/>
        <v>4.4316722229438179</v>
      </c>
      <c r="AI77" s="2502">
        <f t="shared" si="41"/>
        <v>554.32799999999997</v>
      </c>
      <c r="AJ77" s="2502">
        <f t="shared" si="42"/>
        <v>2456.6000000000004</v>
      </c>
      <c r="AK77" s="2490"/>
      <c r="AL77" s="2489"/>
      <c r="AM77" s="2489"/>
      <c r="AN77" s="2477"/>
      <c r="AO77" s="2477"/>
    </row>
    <row r="78" spans="1:71" ht="16.5" hidden="1" customHeight="1">
      <c r="A78" s="2489" t="s">
        <v>142</v>
      </c>
      <c r="B78" s="2489"/>
      <c r="C78" s="2489"/>
      <c r="D78" s="2489"/>
      <c r="E78" s="2489"/>
      <c r="F78" s="2489"/>
      <c r="G78" s="2489"/>
      <c r="H78" s="2489"/>
      <c r="I78" s="2489"/>
      <c r="J78" s="2489"/>
      <c r="K78" s="2501">
        <f t="shared" ref="K78:K80" si="43">SUM(M78/L78)</f>
        <v>5.0854030993972499</v>
      </c>
      <c r="L78" s="2502">
        <f>SUM(AC52-Y52)</f>
        <v>61.88300000000001</v>
      </c>
      <c r="M78" s="2502">
        <f>SUM(AD52-Z52)</f>
        <v>314.70000000000005</v>
      </c>
      <c r="N78" s="2490"/>
      <c r="O78" s="2505">
        <f>SUM(AD60-Z60)</f>
        <v>829.39999999999986</v>
      </c>
      <c r="P78" s="2492">
        <f>SUM(L78/O78)</f>
        <v>7.4611767542802049E-2</v>
      </c>
      <c r="Q78" s="2490"/>
      <c r="R78" s="2490"/>
      <c r="S78" s="2490"/>
      <c r="T78" s="2490"/>
      <c r="U78" s="2490"/>
      <c r="V78" s="2493"/>
      <c r="W78" s="2493"/>
      <c r="X78" s="2498"/>
      <c r="Y78" s="2499"/>
      <c r="Z78" s="2499"/>
      <c r="AA78" s="2494"/>
      <c r="AB78" s="2494"/>
      <c r="AC78" s="2477"/>
      <c r="AD78" s="2477"/>
      <c r="AE78" s="2477"/>
      <c r="AF78" s="2477"/>
      <c r="AG78" s="2477"/>
      <c r="AH78" s="2501">
        <f t="shared" si="40"/>
        <v>5.0854030993972499</v>
      </c>
      <c r="AI78" s="2502">
        <f t="shared" si="41"/>
        <v>61.88300000000001</v>
      </c>
      <c r="AJ78" s="2502">
        <f t="shared" si="42"/>
        <v>314.70000000000005</v>
      </c>
      <c r="AK78" s="2490"/>
      <c r="AL78" s="2503">
        <f>SUM(O78)</f>
        <v>829.39999999999986</v>
      </c>
      <c r="AM78" s="2504">
        <f t="shared" ref="AM78:AM79" si="44">SUM(P78)</f>
        <v>7.4611767542802049E-2</v>
      </c>
      <c r="AN78" s="2477"/>
      <c r="AO78" s="2477"/>
    </row>
    <row r="79" spans="1:71" ht="16.5" hidden="1" customHeight="1">
      <c r="A79" s="2489" t="s">
        <v>579</v>
      </c>
      <c r="B79" s="2489"/>
      <c r="C79" s="2489"/>
      <c r="D79" s="2489"/>
      <c r="E79" s="2489"/>
      <c r="F79" s="2489"/>
      <c r="G79" s="2489"/>
      <c r="H79" s="2489"/>
      <c r="I79" s="2489"/>
      <c r="J79" s="2489"/>
      <c r="K79" s="2501">
        <f t="shared" si="43"/>
        <v>3.9234848660290407</v>
      </c>
      <c r="L79" s="2502">
        <f>SUM(AC54-Y54)</f>
        <v>431.80999999999995</v>
      </c>
      <c r="M79" s="2502">
        <f>SUM(AD54-Z54)</f>
        <v>1694.1999999999998</v>
      </c>
      <c r="N79" s="2490"/>
      <c r="O79" s="2505">
        <f>SUM(O78)</f>
        <v>829.39999999999986</v>
      </c>
      <c r="P79" s="2492">
        <f>SUM(L79/O79)</f>
        <v>0.52062937062937065</v>
      </c>
      <c r="Q79" s="2490"/>
      <c r="R79" s="2490"/>
      <c r="S79" s="2490"/>
      <c r="T79" s="2490"/>
      <c r="U79" s="2490"/>
      <c r="V79" s="2493"/>
      <c r="W79" s="2493"/>
      <c r="X79" s="2493"/>
      <c r="Y79" s="2493"/>
      <c r="Z79" s="2506"/>
      <c r="AA79" s="2494"/>
      <c r="AB79" s="2494"/>
      <c r="AC79" s="2477"/>
      <c r="AD79" s="2477"/>
      <c r="AE79" s="2477"/>
      <c r="AF79" s="2477"/>
      <c r="AG79" s="2477"/>
      <c r="AH79" s="2501">
        <f t="shared" si="40"/>
        <v>3.9234848660290407</v>
      </c>
      <c r="AI79" s="2502">
        <f t="shared" si="41"/>
        <v>431.80999999999995</v>
      </c>
      <c r="AJ79" s="2502">
        <f t="shared" si="42"/>
        <v>1694.1999999999998</v>
      </c>
      <c r="AK79" s="2490"/>
      <c r="AL79" s="2503">
        <f>SUM(O79)</f>
        <v>829.39999999999986</v>
      </c>
      <c r="AM79" s="2504">
        <f t="shared" si="44"/>
        <v>0.52062937062937065</v>
      </c>
      <c r="AN79" s="2477"/>
      <c r="AO79" s="2477"/>
    </row>
    <row r="80" spans="1:71" ht="16.5" hidden="1" customHeight="1">
      <c r="A80" s="2489" t="s">
        <v>54</v>
      </c>
      <c r="B80" s="2489"/>
      <c r="C80" s="2489"/>
      <c r="D80" s="2489"/>
      <c r="E80" s="2489"/>
      <c r="F80" s="2489"/>
      <c r="G80" s="2489"/>
      <c r="H80" s="2489"/>
      <c r="I80" s="2489"/>
      <c r="J80" s="2489"/>
      <c r="K80" s="2501">
        <f t="shared" si="43"/>
        <v>4.0691279803440601</v>
      </c>
      <c r="L80" s="2502">
        <f>SUM(L78:L79)</f>
        <v>493.69299999999998</v>
      </c>
      <c r="M80" s="2502">
        <f>SUM(M78:M79)</f>
        <v>2008.8999999999999</v>
      </c>
      <c r="N80" s="2490"/>
      <c r="O80" s="2489"/>
      <c r="P80" s="2489"/>
      <c r="Q80" s="2490"/>
      <c r="R80" s="2490"/>
      <c r="S80" s="2490"/>
      <c r="T80" s="2490"/>
      <c r="U80" s="2490"/>
      <c r="V80" s="2493"/>
      <c r="W80" s="2493"/>
      <c r="X80" s="2493"/>
      <c r="Y80" s="2493"/>
      <c r="Z80" s="2495"/>
      <c r="AA80" s="2494"/>
      <c r="AB80" s="2494"/>
      <c r="AC80" s="2477"/>
      <c r="AD80" s="2477"/>
      <c r="AE80" s="2477"/>
      <c r="AF80" s="2477"/>
      <c r="AG80" s="2477"/>
      <c r="AH80" s="2501">
        <f t="shared" si="40"/>
        <v>4.0691279803440601</v>
      </c>
      <c r="AI80" s="2502">
        <f t="shared" si="41"/>
        <v>493.69299999999998</v>
      </c>
      <c r="AJ80" s="2502">
        <f t="shared" si="42"/>
        <v>2008.8999999999999</v>
      </c>
      <c r="AK80" s="2490"/>
      <c r="AL80" s="2489"/>
      <c r="AM80" s="2489"/>
      <c r="AN80" s="2477"/>
      <c r="AO80" s="2477"/>
    </row>
    <row r="81" spans="1:87" ht="16.5" hidden="1">
      <c r="A81" s="2489"/>
      <c r="B81" s="2489"/>
      <c r="C81" s="2489"/>
      <c r="D81" s="2489"/>
      <c r="E81" s="2489"/>
      <c r="F81" s="2489"/>
      <c r="G81" s="2489"/>
      <c r="H81" s="2489"/>
      <c r="I81" s="2489"/>
      <c r="J81" s="2489"/>
      <c r="K81" s="2489"/>
      <c r="L81" s="2489"/>
      <c r="M81" s="2489"/>
      <c r="N81" s="2490"/>
      <c r="O81" s="2489"/>
      <c r="P81" s="2489"/>
      <c r="Q81" s="2490"/>
      <c r="R81" s="2490"/>
      <c r="S81" s="2490"/>
      <c r="T81" s="2490"/>
      <c r="U81" s="2490"/>
      <c r="V81" s="2493"/>
      <c r="W81" s="2493"/>
      <c r="X81" s="2493"/>
      <c r="Y81" s="2493"/>
      <c r="Z81" s="2507"/>
      <c r="AA81" s="2494"/>
      <c r="AB81" s="2494"/>
      <c r="AC81" s="2477"/>
      <c r="AD81" s="2477"/>
      <c r="AE81" s="2477"/>
      <c r="AF81" s="2477"/>
      <c r="AG81" s="2477"/>
      <c r="AH81" s="2477"/>
      <c r="AI81" s="2477"/>
      <c r="AJ81" s="2477"/>
      <c r="AK81" s="2477"/>
      <c r="AL81" s="2477"/>
      <c r="AM81" s="2477"/>
      <c r="AN81" s="2477"/>
      <c r="AO81" s="2477"/>
    </row>
    <row r="82" spans="1:87" hidden="1"/>
    <row r="83" spans="1:87" hidden="1"/>
    <row r="85" spans="1:87" ht="13.5" thickBot="1">
      <c r="BT85" s="128"/>
    </row>
    <row r="86" spans="1:87" ht="19.5" thickBot="1">
      <c r="A86" s="4856"/>
      <c r="B86" s="4856"/>
      <c r="C86" s="4856"/>
      <c r="D86" s="4856"/>
      <c r="E86" s="4856"/>
      <c r="F86" s="4856"/>
      <c r="G86" s="4856"/>
      <c r="H86" s="4856"/>
      <c r="I86" s="4856"/>
      <c r="J86" s="4856"/>
      <c r="K86" s="4856"/>
      <c r="L86" s="4856"/>
      <c r="M86" s="4856"/>
      <c r="N86" s="4856"/>
      <c r="O86" s="4856"/>
      <c r="P86" s="4856"/>
      <c r="Q86" s="4856"/>
      <c r="R86" s="4856"/>
      <c r="S86" s="4856"/>
      <c r="T86" s="4856"/>
      <c r="U86" s="4856"/>
      <c r="V86" s="4856"/>
      <c r="W86" s="4856"/>
      <c r="X86" s="4856"/>
      <c r="Y86" s="4856"/>
      <c r="Z86" s="4856"/>
      <c r="AA86" s="4856"/>
      <c r="AB86" s="4856"/>
      <c r="AC86" s="4856"/>
      <c r="AD86" s="4856"/>
      <c r="AE86" s="4856"/>
      <c r="AF86" s="4856"/>
      <c r="AG86" s="4856"/>
      <c r="AH86" s="4856"/>
      <c r="AI86" s="4856"/>
      <c r="AJ86" s="4856"/>
      <c r="AK86" s="4856"/>
      <c r="AL86" s="4856"/>
      <c r="AM86" s="4856"/>
      <c r="AN86" s="4856"/>
      <c r="AO86" s="4856"/>
      <c r="AP86" s="4856"/>
      <c r="AQ86" s="4856"/>
      <c r="AR86" s="4856"/>
      <c r="AS86" s="4856"/>
      <c r="AT86" s="4856"/>
      <c r="AU86" s="4856"/>
      <c r="AV86" s="4856"/>
      <c r="AW86" s="4856"/>
      <c r="AX86" s="4856"/>
      <c r="AY86" s="4856"/>
      <c r="AZ86" s="4856"/>
      <c r="BA86" s="1459"/>
      <c r="BB86" s="1459"/>
      <c r="BC86" s="1459"/>
      <c r="BG86" s="3750"/>
      <c r="BH86" s="3772"/>
      <c r="BI86" s="3772"/>
      <c r="BJ86" s="3772"/>
      <c r="BK86" s="4861" t="s">
        <v>887</v>
      </c>
      <c r="BL86" s="4862"/>
      <c r="BM86" s="4862"/>
      <c r="BN86" s="4862"/>
      <c r="BO86" s="4862"/>
      <c r="BP86" s="4862"/>
      <c r="BQ86" s="4862"/>
      <c r="BR86" s="4862"/>
      <c r="BS86" s="4862"/>
      <c r="BT86" s="4862"/>
      <c r="BU86" s="4862"/>
      <c r="BV86" s="4862"/>
      <c r="BW86" s="4862"/>
      <c r="BX86" s="4862"/>
      <c r="BY86" s="4862"/>
      <c r="BZ86" s="4862"/>
      <c r="CA86" s="4862"/>
      <c r="CB86" s="4862"/>
      <c r="CC86" s="4862"/>
      <c r="CD86" s="4862"/>
      <c r="CE86" s="4862"/>
      <c r="CF86" s="4863"/>
    </row>
    <row r="87" spans="1:87" ht="18.75" customHeight="1">
      <c r="A87" s="4854"/>
      <c r="B87" s="3866"/>
      <c r="C87" s="3866"/>
      <c r="D87" s="3866"/>
      <c r="E87" s="3866"/>
      <c r="F87" s="3866"/>
      <c r="G87" s="3866"/>
      <c r="H87" s="3866"/>
      <c r="I87" s="3866"/>
      <c r="J87" s="3866"/>
      <c r="K87" s="3866"/>
      <c r="L87" s="3866"/>
      <c r="M87" s="3866"/>
      <c r="N87" s="3866"/>
      <c r="O87" s="3866"/>
      <c r="P87" s="3866"/>
      <c r="Q87" s="3866"/>
      <c r="R87" s="3866"/>
      <c r="S87" s="3866"/>
      <c r="T87" s="3866"/>
      <c r="U87" s="3866"/>
      <c r="V87" s="3866"/>
      <c r="W87" s="3866"/>
      <c r="X87" s="3866"/>
      <c r="Y87" s="3866"/>
      <c r="Z87" s="3866"/>
      <c r="AA87" s="3866"/>
      <c r="AB87" s="3866"/>
      <c r="AC87" s="3866"/>
      <c r="AD87" s="3866"/>
      <c r="AE87" s="3866"/>
      <c r="AF87" s="3866"/>
      <c r="AG87" s="3866"/>
      <c r="AH87" s="4855"/>
      <c r="AI87" s="4854"/>
      <c r="AJ87" s="4854"/>
      <c r="AK87" s="4854"/>
      <c r="AL87" s="4854"/>
      <c r="AM87" s="4854"/>
      <c r="AN87" s="4854"/>
      <c r="AO87" s="4854"/>
      <c r="AP87" s="4854"/>
      <c r="AQ87" s="4854"/>
      <c r="AR87" s="4854"/>
      <c r="AS87" s="4854"/>
      <c r="AT87" s="4854"/>
      <c r="AU87" s="4854"/>
      <c r="AV87" s="4854"/>
      <c r="AW87" s="4854"/>
      <c r="AX87" s="4854"/>
      <c r="AY87" s="4854"/>
      <c r="AZ87" s="4854"/>
      <c r="BA87" s="1459"/>
      <c r="BB87" s="1459"/>
      <c r="BC87" s="1459"/>
      <c r="BG87" s="3750"/>
      <c r="BH87" s="2484"/>
      <c r="BI87" s="3751"/>
      <c r="BJ87" s="3751"/>
      <c r="BK87" s="4905" t="s">
        <v>1562</v>
      </c>
      <c r="BL87" s="4368"/>
      <c r="BM87" s="4368"/>
      <c r="BN87" s="4907" t="s">
        <v>1723</v>
      </c>
      <c r="BO87" s="4909" t="s">
        <v>1561</v>
      </c>
      <c r="BP87" s="4910"/>
      <c r="BQ87" s="4910"/>
      <c r="BR87" s="4910"/>
      <c r="BS87" s="4910"/>
      <c r="BT87" s="4910"/>
      <c r="BU87" s="4910"/>
      <c r="BV87" s="4910"/>
      <c r="BW87" s="4910"/>
      <c r="BX87" s="4910"/>
      <c r="BY87" s="4910"/>
      <c r="BZ87" s="4910"/>
      <c r="CA87" s="4910"/>
      <c r="CB87" s="4910"/>
      <c r="CC87" s="4910"/>
      <c r="CD87" s="4910"/>
      <c r="CE87" s="4910"/>
      <c r="CF87" s="4911"/>
    </row>
    <row r="88" spans="1:87" ht="19.5" thickBot="1">
      <c r="A88" s="4854"/>
      <c r="B88" s="3866"/>
      <c r="C88" s="3866"/>
      <c r="D88" s="3866"/>
      <c r="E88" s="3866"/>
      <c r="F88" s="3866"/>
      <c r="G88" s="3866"/>
      <c r="H88" s="3866"/>
      <c r="I88" s="3866"/>
      <c r="J88" s="3866"/>
      <c r="K88" s="3866"/>
      <c r="L88" s="3866"/>
      <c r="M88" s="3866"/>
      <c r="N88" s="3866"/>
      <c r="O88" s="3866"/>
      <c r="P88" s="3866"/>
      <c r="Q88" s="3866"/>
      <c r="R88" s="3866"/>
      <c r="S88" s="3866"/>
      <c r="T88" s="3866"/>
      <c r="U88" s="3866"/>
      <c r="V88" s="3866"/>
      <c r="W88" s="3866"/>
      <c r="X88" s="3866"/>
      <c r="Y88" s="3866"/>
      <c r="Z88" s="3866"/>
      <c r="AA88" s="3866"/>
      <c r="AB88" s="3866"/>
      <c r="AC88" s="3866"/>
      <c r="AD88" s="3866"/>
      <c r="AE88" s="3866"/>
      <c r="AF88" s="3866"/>
      <c r="AG88" s="3866"/>
      <c r="AH88" s="4855"/>
      <c r="AI88" s="2484"/>
      <c r="AJ88" s="2484"/>
      <c r="AK88" s="2484"/>
      <c r="AL88" s="2484"/>
      <c r="AM88" s="2484"/>
      <c r="AN88" s="2484"/>
      <c r="AO88" s="2484"/>
      <c r="AP88" s="2484"/>
      <c r="AQ88" s="2484"/>
      <c r="AR88" s="2484"/>
      <c r="AS88" s="2484"/>
      <c r="AT88" s="2484"/>
      <c r="AU88" s="2484"/>
      <c r="AV88" s="2484"/>
      <c r="AW88" s="2484"/>
      <c r="AX88" s="2484"/>
      <c r="AY88" s="2484"/>
      <c r="AZ88" s="2484"/>
      <c r="BA88" s="4853"/>
      <c r="BB88" s="4853"/>
      <c r="BC88" s="1459"/>
      <c r="BG88" s="3750"/>
      <c r="BH88" s="2484"/>
      <c r="BI88" s="3751"/>
      <c r="BJ88" s="3751"/>
      <c r="BK88" s="4906"/>
      <c r="BL88" s="4899"/>
      <c r="BM88" s="4899"/>
      <c r="BN88" s="4908"/>
      <c r="BO88" s="3754" t="s">
        <v>587</v>
      </c>
      <c r="BP88" s="3754" t="s">
        <v>588</v>
      </c>
      <c r="BQ88" s="3755" t="s">
        <v>589</v>
      </c>
      <c r="BR88" s="3756" t="s">
        <v>601</v>
      </c>
      <c r="BS88" s="3754" t="s">
        <v>1563</v>
      </c>
      <c r="BT88" s="3754" t="s">
        <v>591</v>
      </c>
      <c r="BU88" s="3755" t="s">
        <v>592</v>
      </c>
      <c r="BV88" s="3756" t="s">
        <v>600</v>
      </c>
      <c r="BW88" s="3756" t="s">
        <v>599</v>
      </c>
      <c r="BX88" s="3755" t="s">
        <v>593</v>
      </c>
      <c r="BY88" s="3755" t="s">
        <v>594</v>
      </c>
      <c r="BZ88" s="3754" t="s">
        <v>595</v>
      </c>
      <c r="CA88" s="3756" t="s">
        <v>225</v>
      </c>
      <c r="CB88" s="3756" t="s">
        <v>229</v>
      </c>
      <c r="CC88" s="3755" t="s">
        <v>596</v>
      </c>
      <c r="CD88" s="3755" t="s">
        <v>597</v>
      </c>
      <c r="CE88" s="3755" t="s">
        <v>598</v>
      </c>
      <c r="CF88" s="3757" t="s">
        <v>135</v>
      </c>
      <c r="CG88" s="4895" t="s">
        <v>1587</v>
      </c>
      <c r="CH88" s="4896"/>
    </row>
    <row r="89" spans="1:87" ht="19.5" thickBot="1">
      <c r="A89" s="3773"/>
      <c r="B89" s="3867"/>
      <c r="C89" s="3867"/>
      <c r="D89" s="3867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7"/>
      <c r="R89" s="3867"/>
      <c r="S89" s="3867"/>
      <c r="T89" s="3867"/>
      <c r="U89" s="3867"/>
      <c r="V89" s="3867"/>
      <c r="W89" s="3867"/>
      <c r="X89" s="3867"/>
      <c r="Y89" s="3867"/>
      <c r="Z89" s="3867"/>
      <c r="AA89" s="3867"/>
      <c r="AB89" s="3867"/>
      <c r="AC89" s="3867"/>
      <c r="AD89" s="3867"/>
      <c r="AE89" s="3867"/>
      <c r="AF89" s="3867"/>
      <c r="AG89" s="3867"/>
      <c r="AH89" s="3867"/>
      <c r="AI89" s="3867"/>
      <c r="AJ89" s="3867"/>
      <c r="AK89" s="3867"/>
      <c r="AL89" s="3867"/>
      <c r="AM89" s="3867"/>
      <c r="AN89" s="3867"/>
      <c r="AO89" s="3867"/>
      <c r="AP89" s="3867"/>
      <c r="AQ89" s="3867"/>
      <c r="AR89" s="3867"/>
      <c r="AS89" s="3867"/>
      <c r="AT89" s="3867"/>
      <c r="AU89" s="3867"/>
      <c r="AV89" s="3867"/>
      <c r="AW89" s="3867"/>
      <c r="AX89" s="3867"/>
      <c r="AY89" s="3867"/>
      <c r="AZ89" s="3867"/>
      <c r="BA89" s="1459"/>
      <c r="BB89" s="1459"/>
      <c r="BC89" s="1459"/>
      <c r="BG89" s="3750"/>
      <c r="BH89" s="3773"/>
      <c r="BI89" s="3751"/>
      <c r="BJ89" s="3751"/>
      <c r="BK89" s="4897" t="s">
        <v>402</v>
      </c>
      <c r="BL89" s="4468"/>
      <c r="BM89" s="4468"/>
      <c r="BN89" s="4468"/>
      <c r="BO89" s="4468"/>
      <c r="BP89" s="4468"/>
      <c r="BQ89" s="4468"/>
      <c r="BR89" s="4468"/>
      <c r="BS89" s="4468"/>
      <c r="BT89" s="4468"/>
      <c r="BU89" s="4468"/>
      <c r="BV89" s="4468"/>
      <c r="BW89" s="4468"/>
      <c r="BX89" s="4468"/>
      <c r="BY89" s="4468"/>
      <c r="BZ89" s="4468"/>
      <c r="CA89" s="4468"/>
      <c r="CB89" s="4468"/>
      <c r="CC89" s="4468"/>
      <c r="CD89" s="4468"/>
      <c r="CE89" s="4468"/>
      <c r="CF89" s="4469"/>
    </row>
    <row r="90" spans="1:87" ht="18.75">
      <c r="A90" s="3774"/>
      <c r="B90" s="3866"/>
      <c r="C90" s="3866"/>
      <c r="D90" s="3866"/>
      <c r="E90" s="3866"/>
      <c r="F90" s="3866"/>
      <c r="G90" s="3866"/>
      <c r="H90" s="3866"/>
      <c r="I90" s="3866"/>
      <c r="J90" s="3866"/>
      <c r="K90" s="3866"/>
      <c r="L90" s="3866"/>
      <c r="M90" s="3866"/>
      <c r="N90" s="3866"/>
      <c r="O90" s="3866"/>
      <c r="P90" s="3866"/>
      <c r="Q90" s="3866"/>
      <c r="R90" s="3866"/>
      <c r="S90" s="3866"/>
      <c r="T90" s="3866"/>
      <c r="U90" s="3866"/>
      <c r="V90" s="3866"/>
      <c r="W90" s="3866"/>
      <c r="X90" s="3866"/>
      <c r="Y90" s="3866"/>
      <c r="Z90" s="3866"/>
      <c r="AA90" s="3866"/>
      <c r="AB90" s="3866"/>
      <c r="AC90" s="3866"/>
      <c r="AD90" s="3866"/>
      <c r="AE90" s="3866"/>
      <c r="AF90" s="3866"/>
      <c r="AG90" s="3866"/>
      <c r="AH90" s="3868"/>
      <c r="AI90" s="3868"/>
      <c r="AJ90" s="3868"/>
      <c r="AK90" s="3868"/>
      <c r="AL90" s="3868"/>
      <c r="AM90" s="3868"/>
      <c r="AN90" s="3868"/>
      <c r="AO90" s="3868"/>
      <c r="AP90" s="3868"/>
      <c r="AQ90" s="3868"/>
      <c r="AR90" s="3868"/>
      <c r="AS90" s="3868"/>
      <c r="AT90" s="3868"/>
      <c r="AU90" s="3868"/>
      <c r="AV90" s="3868"/>
      <c r="AW90" s="3868"/>
      <c r="AX90" s="3868"/>
      <c r="AY90" s="3868"/>
      <c r="AZ90" s="3868"/>
      <c r="BA90" s="2545"/>
      <c r="BB90" s="2545"/>
      <c r="BC90" s="1459"/>
      <c r="BG90" s="3750"/>
      <c r="BH90" s="3774"/>
      <c r="BI90" s="3751"/>
      <c r="BJ90" s="3861">
        <f t="shared" ref="BJ90:BJ94" si="45">SUM(CG90)</f>
        <v>690.79999999999973</v>
      </c>
      <c r="BK90" s="4889" t="s">
        <v>1564</v>
      </c>
      <c r="BL90" s="4900"/>
      <c r="BM90" s="4900"/>
      <c r="BN90" s="2531">
        <v>690.8</v>
      </c>
      <c r="BO90" s="2532">
        <f>SUM(BN90/12)</f>
        <v>57.566666666666663</v>
      </c>
      <c r="BP90" s="2532">
        <f>SUM(BO90)</f>
        <v>57.566666666666663</v>
      </c>
      <c r="BQ90" s="2532">
        <f>SUM(BO90)</f>
        <v>57.566666666666663</v>
      </c>
      <c r="BR90" s="2531">
        <f>SUM(BO90:BQ90)</f>
        <v>172.7</v>
      </c>
      <c r="BS90" s="2532">
        <f>SUM(BO90)</f>
        <v>57.566666666666663</v>
      </c>
      <c r="BT90" s="2532">
        <f>SUM(BO90)</f>
        <v>57.566666666666663</v>
      </c>
      <c r="BU90" s="2532">
        <f>SUM(BO90)</f>
        <v>57.566666666666663</v>
      </c>
      <c r="BV90" s="2531">
        <f>SUM(BS90:BU90)</f>
        <v>172.7</v>
      </c>
      <c r="BW90" s="2531">
        <f>SUM(BR90+BV90)</f>
        <v>345.4</v>
      </c>
      <c r="BX90" s="2532">
        <f>SUM(BO90)</f>
        <v>57.566666666666663</v>
      </c>
      <c r="BY90" s="2532">
        <f>SUM(BO90)</f>
        <v>57.566666666666663</v>
      </c>
      <c r="BZ90" s="2532">
        <f>SUM(BO90)</f>
        <v>57.566666666666663</v>
      </c>
      <c r="CA90" s="2531">
        <f>SUM(BX90:BZ90)</f>
        <v>172.7</v>
      </c>
      <c r="CB90" s="2531">
        <f>SUM(BW90+CA90)</f>
        <v>518.09999999999991</v>
      </c>
      <c r="CC90" s="2532">
        <f>SUM(BO90)</f>
        <v>57.566666666666663</v>
      </c>
      <c r="CD90" s="2532">
        <f>SUM(BO90)</f>
        <v>57.566666666666663</v>
      </c>
      <c r="CE90" s="2532">
        <f>SUM(BO90)</f>
        <v>57.566666666666663</v>
      </c>
      <c r="CF90" s="2533">
        <f>SUM(CC90:CE90)</f>
        <v>172.7</v>
      </c>
      <c r="CG90" s="2544">
        <f>SUM(BO90+BP90+BQ90+BS90+BT90+BU90+BX90+BY90+BZ90+CC90+CD90+CE90)</f>
        <v>690.79999999999973</v>
      </c>
      <c r="CH90" s="2545">
        <f>SUM(BR90+BV90+CA90+CF90)</f>
        <v>690.8</v>
      </c>
    </row>
    <row r="91" spans="1:87" ht="18.75">
      <c r="A91" s="3869"/>
      <c r="B91" s="3866"/>
      <c r="C91" s="3866"/>
      <c r="D91" s="3866"/>
      <c r="E91" s="3866"/>
      <c r="F91" s="3866"/>
      <c r="G91" s="3866"/>
      <c r="H91" s="3866"/>
      <c r="I91" s="3866"/>
      <c r="J91" s="3866"/>
      <c r="K91" s="3866"/>
      <c r="L91" s="3866"/>
      <c r="M91" s="3866"/>
      <c r="N91" s="3866"/>
      <c r="O91" s="3866"/>
      <c r="P91" s="3866"/>
      <c r="Q91" s="3866"/>
      <c r="R91" s="3866"/>
      <c r="S91" s="3866"/>
      <c r="T91" s="3866"/>
      <c r="U91" s="3866"/>
      <c r="V91" s="3866"/>
      <c r="W91" s="3866"/>
      <c r="X91" s="3866"/>
      <c r="Y91" s="3866"/>
      <c r="Z91" s="3866"/>
      <c r="AA91" s="3866"/>
      <c r="AB91" s="3866"/>
      <c r="AC91" s="3866"/>
      <c r="AD91" s="3866"/>
      <c r="AE91" s="3866"/>
      <c r="AF91" s="3866"/>
      <c r="AG91" s="3866"/>
      <c r="AH91" s="3870"/>
      <c r="AI91" s="3870"/>
      <c r="AJ91" s="3870"/>
      <c r="AK91" s="3870"/>
      <c r="AL91" s="3870"/>
      <c r="AM91" s="3870"/>
      <c r="AN91" s="3870"/>
      <c r="AO91" s="3870"/>
      <c r="AP91" s="3870"/>
      <c r="AQ91" s="3870"/>
      <c r="AR91" s="3870"/>
      <c r="AS91" s="3870"/>
      <c r="AT91" s="3870"/>
      <c r="AU91" s="3870"/>
      <c r="AV91" s="3870"/>
      <c r="AW91" s="3870"/>
      <c r="AX91" s="3870"/>
      <c r="AY91" s="3870"/>
      <c r="AZ91" s="3870"/>
      <c r="BA91" s="2547"/>
      <c r="BB91" s="2547"/>
      <c r="BC91" s="1459"/>
      <c r="BG91" s="3750"/>
      <c r="BH91" s="3775"/>
      <c r="BI91" s="3751"/>
      <c r="BJ91" s="3862">
        <f t="shared" si="45"/>
        <v>5.6443828499999995</v>
      </c>
      <c r="BK91" s="4890" t="s">
        <v>1565</v>
      </c>
      <c r="BL91" s="4865"/>
      <c r="BM91" s="4865"/>
      <c r="BN91" s="3759">
        <f>SUM(BX48)</f>
        <v>5.6443833236826872</v>
      </c>
      <c r="BO91" s="3758">
        <v>5.4535099999999996</v>
      </c>
      <c r="BP91" s="3758">
        <f>SUM(BO91)</f>
        <v>5.4535099999999996</v>
      </c>
      <c r="BQ91" s="3758">
        <f>SUM(BO91)</f>
        <v>5.4535099999999996</v>
      </c>
      <c r="BR91" s="3759">
        <f>SUM(BO91:BQ91)/3</f>
        <v>5.4535099999999987</v>
      </c>
      <c r="BS91" s="3758">
        <f>SUM(BO91)</f>
        <v>5.4535099999999996</v>
      </c>
      <c r="BT91" s="3758">
        <f>SUM(BO91)</f>
        <v>5.4535099999999996</v>
      </c>
      <c r="BU91" s="3758">
        <f>SUM(BO91)</f>
        <v>5.4535099999999996</v>
      </c>
      <c r="BV91" s="3759">
        <f>SUM(BS91:BU91)/3</f>
        <v>5.4535099999999987</v>
      </c>
      <c r="BW91" s="3759">
        <f>SUM(BO91+BP91+BQ91+BS91+BT91+BU91)/6</f>
        <v>5.4535100000000005</v>
      </c>
      <c r="BX91" s="3758">
        <f>SUM(BU91*1.07)</f>
        <v>5.8352557000000003</v>
      </c>
      <c r="BY91" s="3758">
        <f>SUM(BX91)</f>
        <v>5.8352557000000003</v>
      </c>
      <c r="BZ91" s="3758">
        <f>SUM(BX91)</f>
        <v>5.8352557000000003</v>
      </c>
      <c r="CA91" s="3759">
        <f>SUM(BX91:BZ91)/3</f>
        <v>5.8352557000000003</v>
      </c>
      <c r="CB91" s="3759">
        <f>SUM(BO91+BP91+BQ91+BS91+BT91+BU91+BX91+BY91+BZ91)/9</f>
        <v>5.5807585666666659</v>
      </c>
      <c r="CC91" s="3758">
        <f>SUM(BX91)</f>
        <v>5.8352557000000003</v>
      </c>
      <c r="CD91" s="3758">
        <f>SUM(BX91)</f>
        <v>5.8352557000000003</v>
      </c>
      <c r="CE91" s="3758">
        <f>SUM(BX91)</f>
        <v>5.8352557000000003</v>
      </c>
      <c r="CF91" s="3760">
        <f>SUM(CC91:CE91)/3</f>
        <v>5.8352557000000003</v>
      </c>
      <c r="CG91" s="2546">
        <f>SUM(BO91+BP91+BQ91+BS91+BT91+BU91+BX91+BY91+BZ91+CC91+CD91+CE91)/12</f>
        <v>5.6443828499999995</v>
      </c>
      <c r="CH91" s="2547">
        <f>SUM(BR91+BV91+CA91+CF91)/4</f>
        <v>5.6443828499999995</v>
      </c>
    </row>
    <row r="92" spans="1:87" ht="18.75">
      <c r="A92" s="3774"/>
      <c r="B92" s="3866"/>
      <c r="C92" s="3866"/>
      <c r="D92" s="3866"/>
      <c r="E92" s="3866"/>
      <c r="F92" s="3866"/>
      <c r="G92" s="3866"/>
      <c r="H92" s="3866"/>
      <c r="I92" s="3866"/>
      <c r="J92" s="3866"/>
      <c r="K92" s="3866"/>
      <c r="L92" s="3866"/>
      <c r="M92" s="3866"/>
      <c r="N92" s="3866"/>
      <c r="O92" s="3866"/>
      <c r="P92" s="3866"/>
      <c r="Q92" s="3866"/>
      <c r="R92" s="3866"/>
      <c r="S92" s="3866"/>
      <c r="T92" s="3866"/>
      <c r="U92" s="3866"/>
      <c r="V92" s="3866"/>
      <c r="W92" s="3866"/>
      <c r="X92" s="3866"/>
      <c r="Y92" s="3866"/>
      <c r="Z92" s="3866"/>
      <c r="AA92" s="3866"/>
      <c r="AB92" s="3866"/>
      <c r="AC92" s="3866"/>
      <c r="AD92" s="3866"/>
      <c r="AE92" s="3866"/>
      <c r="AF92" s="3866"/>
      <c r="AG92" s="3866"/>
      <c r="AH92" s="3868"/>
      <c r="AI92" s="3868"/>
      <c r="AJ92" s="3868"/>
      <c r="AK92" s="3868"/>
      <c r="AL92" s="3868"/>
      <c r="AM92" s="3868"/>
      <c r="AN92" s="3868"/>
      <c r="AO92" s="3868"/>
      <c r="AP92" s="3868"/>
      <c r="AQ92" s="3868"/>
      <c r="AR92" s="3868"/>
      <c r="AS92" s="3868"/>
      <c r="AT92" s="3868"/>
      <c r="AU92" s="3868"/>
      <c r="AV92" s="3868"/>
      <c r="AW92" s="3868"/>
      <c r="AX92" s="3868"/>
      <c r="AY92" s="3868"/>
      <c r="AZ92" s="3868"/>
      <c r="BA92" s="2545"/>
      <c r="BB92" s="2545"/>
      <c r="BC92" s="1459"/>
      <c r="BG92" s="3750"/>
      <c r="BH92" s="3774"/>
      <c r="BI92" s="3751"/>
      <c r="BJ92" s="3861">
        <f>SUM(CG92)</f>
        <v>3899.1396727799979</v>
      </c>
      <c r="BK92" s="4891" t="s">
        <v>1566</v>
      </c>
      <c r="BL92" s="4865"/>
      <c r="BM92" s="4865"/>
      <c r="BN92" s="3762">
        <f>SUM(BN90*BN91)</f>
        <v>3899.14</v>
      </c>
      <c r="BO92" s="3761">
        <f t="shared" ref="BO92:CG92" si="46">SUM(BO90*BO91)</f>
        <v>313.94039233333331</v>
      </c>
      <c r="BP92" s="3761">
        <f t="shared" si="46"/>
        <v>313.94039233333331</v>
      </c>
      <c r="BQ92" s="3761">
        <f t="shared" si="46"/>
        <v>313.94039233333331</v>
      </c>
      <c r="BR92" s="3762">
        <f t="shared" si="46"/>
        <v>941.82117699999969</v>
      </c>
      <c r="BS92" s="3761">
        <f t="shared" si="46"/>
        <v>313.94039233333331</v>
      </c>
      <c r="BT92" s="3761">
        <f t="shared" si="46"/>
        <v>313.94039233333331</v>
      </c>
      <c r="BU92" s="3761">
        <f t="shared" si="46"/>
        <v>313.94039233333331</v>
      </c>
      <c r="BV92" s="3762">
        <f t="shared" si="46"/>
        <v>941.82117699999969</v>
      </c>
      <c r="BW92" s="3762">
        <f t="shared" si="46"/>
        <v>1883.6423540000001</v>
      </c>
      <c r="BX92" s="3761">
        <f t="shared" si="46"/>
        <v>335.91621979666667</v>
      </c>
      <c r="BY92" s="3761">
        <f t="shared" si="46"/>
        <v>335.91621979666667</v>
      </c>
      <c r="BZ92" s="3761">
        <f t="shared" si="46"/>
        <v>335.91621979666667</v>
      </c>
      <c r="CA92" s="3762">
        <f t="shared" si="46"/>
        <v>1007.7486593899999</v>
      </c>
      <c r="CB92" s="3762">
        <f t="shared" si="46"/>
        <v>2891.391013389999</v>
      </c>
      <c r="CC92" s="3761">
        <f t="shared" si="46"/>
        <v>335.91621979666667</v>
      </c>
      <c r="CD92" s="3761">
        <f t="shared" si="46"/>
        <v>335.91621979666667</v>
      </c>
      <c r="CE92" s="3761">
        <f t="shared" si="46"/>
        <v>335.91621979666667</v>
      </c>
      <c r="CF92" s="3763">
        <f t="shared" si="46"/>
        <v>1007.7486593899999</v>
      </c>
      <c r="CG92" s="2544">
        <f t="shared" si="46"/>
        <v>3899.1396727799979</v>
      </c>
      <c r="CH92" s="2545">
        <f>SUM(BR92+BV92+CA92+CF92)</f>
        <v>3899.1396727799993</v>
      </c>
    </row>
    <row r="93" spans="1:87" ht="18.75">
      <c r="A93" s="3774"/>
      <c r="B93" s="3866"/>
      <c r="C93" s="3866"/>
      <c r="D93" s="3866"/>
      <c r="E93" s="3866"/>
      <c r="F93" s="3866"/>
      <c r="G93" s="3866"/>
      <c r="H93" s="3866"/>
      <c r="I93" s="3866"/>
      <c r="J93" s="3866"/>
      <c r="K93" s="3866"/>
      <c r="L93" s="3866"/>
      <c r="M93" s="3866"/>
      <c r="N93" s="3866"/>
      <c r="O93" s="3866"/>
      <c r="P93" s="3866"/>
      <c r="Q93" s="3866"/>
      <c r="R93" s="3866"/>
      <c r="S93" s="3866"/>
      <c r="T93" s="3866"/>
      <c r="U93" s="3866"/>
      <c r="V93" s="3866"/>
      <c r="W93" s="3866"/>
      <c r="X93" s="3866"/>
      <c r="Y93" s="3866"/>
      <c r="Z93" s="3866"/>
      <c r="AA93" s="3866"/>
      <c r="AB93" s="3866"/>
      <c r="AC93" s="3866"/>
      <c r="AD93" s="3866"/>
      <c r="AE93" s="3866"/>
      <c r="AF93" s="3866"/>
      <c r="AG93" s="3866"/>
      <c r="AH93" s="3870"/>
      <c r="AI93" s="3870"/>
      <c r="AJ93" s="3870"/>
      <c r="AK93" s="3870"/>
      <c r="AL93" s="3870"/>
      <c r="AM93" s="3870"/>
      <c r="AN93" s="3870"/>
      <c r="AO93" s="3870"/>
      <c r="AP93" s="3870"/>
      <c r="AQ93" s="3870"/>
      <c r="AR93" s="3870"/>
      <c r="AS93" s="3870"/>
      <c r="AT93" s="3870"/>
      <c r="AU93" s="3870"/>
      <c r="AV93" s="3870"/>
      <c r="AW93" s="3870"/>
      <c r="AX93" s="3870"/>
      <c r="AY93" s="3870"/>
      <c r="AZ93" s="3870"/>
      <c r="BA93" s="2545"/>
      <c r="BB93" s="2545"/>
      <c r="BC93" s="1459"/>
      <c r="BG93" s="3750"/>
      <c r="BH93" s="3774"/>
      <c r="BI93" s="3751"/>
      <c r="BJ93" s="3861">
        <f t="shared" si="45"/>
        <v>0</v>
      </c>
      <c r="BK93" s="4864" t="s">
        <v>1567</v>
      </c>
      <c r="BL93" s="4865"/>
      <c r="BM93" s="4865"/>
      <c r="BN93" s="3759">
        <f>SUM(BN90/BN97)</f>
        <v>0.12400629366047441</v>
      </c>
      <c r="BO93" s="3759">
        <f>SUM(BN93)</f>
        <v>0.12400629366047441</v>
      </c>
      <c r="BP93" s="3759">
        <f>SUM(BN93)</f>
        <v>0.12400629366047441</v>
      </c>
      <c r="BQ93" s="3759">
        <f>SUM(BN93)</f>
        <v>0.12400629366047441</v>
      </c>
      <c r="BR93" s="3759">
        <f>SUM(BN93)</f>
        <v>0.12400629366047441</v>
      </c>
      <c r="BS93" s="3759">
        <f>SUM(BN93)</f>
        <v>0.12400629366047441</v>
      </c>
      <c r="BT93" s="3759">
        <f>SUM(BN93)</f>
        <v>0.12400629366047441</v>
      </c>
      <c r="BU93" s="3759">
        <f>SUM(BN93)</f>
        <v>0.12400629366047441</v>
      </c>
      <c r="BV93" s="3759">
        <f>SUM(BN93)</f>
        <v>0.12400629366047441</v>
      </c>
      <c r="BW93" s="3759">
        <f>SUM(BN93)</f>
        <v>0.12400629366047441</v>
      </c>
      <c r="BX93" s="3759">
        <f>SUM(BN93)</f>
        <v>0.12400629366047441</v>
      </c>
      <c r="BY93" s="3759">
        <f>SUM(BN93)</f>
        <v>0.12400629366047441</v>
      </c>
      <c r="BZ93" s="3759">
        <f>SUM(BN93)</f>
        <v>0.12400629366047441</v>
      </c>
      <c r="CA93" s="3759">
        <f>SUM(BN93)</f>
        <v>0.12400629366047441</v>
      </c>
      <c r="CB93" s="3759">
        <f>SUM(BN93)</f>
        <v>0.12400629366047441</v>
      </c>
      <c r="CC93" s="3759">
        <f>SUM(BN93)</f>
        <v>0.12400629366047441</v>
      </c>
      <c r="CD93" s="3759">
        <f>SUM(BN93)</f>
        <v>0.12400629366047441</v>
      </c>
      <c r="CE93" s="3759">
        <f>SUM(BN93)</f>
        <v>0.12400629366047441</v>
      </c>
      <c r="CF93" s="3759">
        <f>SUM(BN93)</f>
        <v>0.12400629366047441</v>
      </c>
      <c r="CG93" s="2544"/>
      <c r="CH93" s="2545"/>
    </row>
    <row r="94" spans="1:87" ht="18.75">
      <c r="A94" s="3774"/>
      <c r="B94" s="3866"/>
      <c r="C94" s="3866"/>
      <c r="D94" s="3866"/>
      <c r="E94" s="3866"/>
      <c r="F94" s="3866"/>
      <c r="G94" s="3866"/>
      <c r="H94" s="3866"/>
      <c r="I94" s="3866"/>
      <c r="J94" s="3866"/>
      <c r="K94" s="3866"/>
      <c r="L94" s="3866"/>
      <c r="M94" s="3866"/>
      <c r="N94" s="3866"/>
      <c r="O94" s="3866"/>
      <c r="P94" s="3866"/>
      <c r="Q94" s="3866"/>
      <c r="R94" s="3866"/>
      <c r="S94" s="3866"/>
      <c r="T94" s="3866"/>
      <c r="U94" s="3866"/>
      <c r="V94" s="3866"/>
      <c r="W94" s="3866"/>
      <c r="X94" s="3866"/>
      <c r="Y94" s="3866"/>
      <c r="Z94" s="3866"/>
      <c r="AA94" s="3866"/>
      <c r="AB94" s="3866"/>
      <c r="AC94" s="3866"/>
      <c r="AD94" s="3866"/>
      <c r="AE94" s="3866"/>
      <c r="AF94" s="3866"/>
      <c r="AG94" s="3866"/>
      <c r="AH94" s="3868"/>
      <c r="AI94" s="3868"/>
      <c r="AJ94" s="3868"/>
      <c r="AK94" s="3868"/>
      <c r="AL94" s="3868"/>
      <c r="AM94" s="3868"/>
      <c r="AN94" s="3868"/>
      <c r="AO94" s="3868"/>
      <c r="AP94" s="3868"/>
      <c r="AQ94" s="3868"/>
      <c r="AR94" s="3868"/>
      <c r="AS94" s="3868"/>
      <c r="AT94" s="3868"/>
      <c r="AU94" s="3868"/>
      <c r="AV94" s="3868"/>
      <c r="AW94" s="3868"/>
      <c r="AX94" s="3868"/>
      <c r="AY94" s="3868"/>
      <c r="AZ94" s="3868"/>
      <c r="BA94" s="2545"/>
      <c r="BB94" s="2545"/>
      <c r="BC94" s="1459"/>
      <c r="BG94" s="3750"/>
      <c r="BH94" s="3774"/>
      <c r="BI94" s="3751"/>
      <c r="BJ94" s="3862">
        <f t="shared" si="45"/>
        <v>690.79999999999984</v>
      </c>
      <c r="BK94" s="4864" t="s">
        <v>1564</v>
      </c>
      <c r="BL94" s="4865"/>
      <c r="BM94" s="4865"/>
      <c r="BN94" s="3762">
        <f>SUM(BN93*BN97)</f>
        <v>690.8</v>
      </c>
      <c r="BO94" s="3762">
        <f t="shared" ref="BO94:CF94" si="47">SUM(BO93*BO97)</f>
        <v>58.723622404890698</v>
      </c>
      <c r="BP94" s="3762">
        <f t="shared" si="47"/>
        <v>58.810591566906666</v>
      </c>
      <c r="BQ94" s="3762">
        <f t="shared" si="47"/>
        <v>59.031356626762665</v>
      </c>
      <c r="BR94" s="3762">
        <f t="shared" si="47"/>
        <v>176.56557059856004</v>
      </c>
      <c r="BS94" s="3762">
        <f t="shared" si="47"/>
        <v>58.21592168661865</v>
      </c>
      <c r="BT94" s="3762">
        <f t="shared" si="47"/>
        <v>57.071521207770623</v>
      </c>
      <c r="BU94" s="3762">
        <f t="shared" si="47"/>
        <v>55.041151088058626</v>
      </c>
      <c r="BV94" s="3762">
        <f t="shared" si="47"/>
        <v>170.3285939824479</v>
      </c>
      <c r="BW94" s="3762">
        <f t="shared" si="47"/>
        <v>346.89416458100794</v>
      </c>
      <c r="BX94" s="3762">
        <f t="shared" si="47"/>
        <v>53.554063612661345</v>
      </c>
      <c r="BY94" s="3762">
        <f t="shared" si="47"/>
        <v>55.449812285178687</v>
      </c>
      <c r="BZ94" s="3762">
        <f t="shared" si="47"/>
        <v>57.807889640863962</v>
      </c>
      <c r="CA94" s="3762">
        <f t="shared" si="47"/>
        <v>166.81176553870398</v>
      </c>
      <c r="CB94" s="3762">
        <f t="shared" si="47"/>
        <v>513.70593011971198</v>
      </c>
      <c r="CC94" s="3762">
        <f t="shared" si="47"/>
        <v>59.031356626762665</v>
      </c>
      <c r="CD94" s="3762">
        <f t="shared" si="47"/>
        <v>59.031356626762665</v>
      </c>
      <c r="CE94" s="3762">
        <f t="shared" si="47"/>
        <v>59.031356626762665</v>
      </c>
      <c r="CF94" s="3763">
        <f t="shared" si="47"/>
        <v>177.094069880288</v>
      </c>
      <c r="CG94" s="2544">
        <f>SUM(BO94+BP94+BQ94+BS94+BT94+BU94+BX94+BY94+BZ94+CC94+CD94+CE94)</f>
        <v>690.79999999999984</v>
      </c>
      <c r="CH94" s="2545">
        <f>SUM(BR94+BV94+CA94+CF94)</f>
        <v>690.79999999999984</v>
      </c>
    </row>
    <row r="95" spans="1:87" ht="18.75">
      <c r="A95" s="3774"/>
      <c r="B95" s="3866"/>
      <c r="C95" s="3866"/>
      <c r="D95" s="3866"/>
      <c r="E95" s="3866"/>
      <c r="F95" s="3866"/>
      <c r="G95" s="3866"/>
      <c r="H95" s="3866"/>
      <c r="I95" s="3866"/>
      <c r="J95" s="3866"/>
      <c r="K95" s="3866"/>
      <c r="L95" s="3866"/>
      <c r="M95" s="3866"/>
      <c r="N95" s="3866"/>
      <c r="O95" s="3866"/>
      <c r="P95" s="3866"/>
      <c r="Q95" s="3866"/>
      <c r="R95" s="3866"/>
      <c r="S95" s="3866"/>
      <c r="T95" s="3866"/>
      <c r="U95" s="3866"/>
      <c r="V95" s="3866"/>
      <c r="W95" s="3866"/>
      <c r="X95" s="3866"/>
      <c r="Y95" s="3866"/>
      <c r="Z95" s="3866"/>
      <c r="AA95" s="3866"/>
      <c r="AB95" s="3866"/>
      <c r="AC95" s="3866"/>
      <c r="AD95" s="3866"/>
      <c r="AE95" s="3866"/>
      <c r="AF95" s="3866"/>
      <c r="AG95" s="3866"/>
      <c r="AH95" s="3870"/>
      <c r="AI95" s="3870"/>
      <c r="AJ95" s="3870"/>
      <c r="AK95" s="3870"/>
      <c r="AL95" s="3870"/>
      <c r="AM95" s="3870"/>
      <c r="AN95" s="3870"/>
      <c r="AO95" s="3870"/>
      <c r="AP95" s="3870"/>
      <c r="AQ95" s="3870"/>
      <c r="AR95" s="3870"/>
      <c r="AS95" s="3870"/>
      <c r="AT95" s="3870"/>
      <c r="AU95" s="3870"/>
      <c r="AV95" s="3870"/>
      <c r="AW95" s="3870"/>
      <c r="AX95" s="3870"/>
      <c r="AY95" s="3870"/>
      <c r="AZ95" s="3870"/>
      <c r="BA95" s="2547"/>
      <c r="BB95" s="3864"/>
      <c r="BC95" s="4853"/>
      <c r="BG95" s="3750"/>
      <c r="BH95" s="3774"/>
      <c r="BI95" s="3751"/>
      <c r="BJ95" s="3863">
        <f>SUM(CG95)</f>
        <v>5.6452054629019086</v>
      </c>
      <c r="BK95" s="4864" t="s">
        <v>1565</v>
      </c>
      <c r="BL95" s="4865"/>
      <c r="BM95" s="4865"/>
      <c r="BN95" s="3759">
        <f>SUM(BX48)</f>
        <v>5.6443833236826872</v>
      </c>
      <c r="BO95" s="3759">
        <f>SUM(BO91*CH95)</f>
        <v>5.4551552258038187</v>
      </c>
      <c r="BP95" s="3759">
        <f>SUM(BO95)</f>
        <v>5.4551552258038187</v>
      </c>
      <c r="BQ95" s="3759">
        <f>SUM(BO95)</f>
        <v>5.4551552258038187</v>
      </c>
      <c r="BR95" s="3759">
        <f>SUM(BO95:BQ95)/3</f>
        <v>5.4551552258038187</v>
      </c>
      <c r="BS95" s="3759">
        <f>SUM(BO95)</f>
        <v>5.4551552258038187</v>
      </c>
      <c r="BT95" s="3759">
        <f>SUM(BO95)</f>
        <v>5.4551552258038187</v>
      </c>
      <c r="BU95" s="3759">
        <f>SUM(BO95)</f>
        <v>5.4551552258038187</v>
      </c>
      <c r="BV95" s="3759">
        <f>SUM(BS95:BU95)/3</f>
        <v>5.4551552258038187</v>
      </c>
      <c r="BW95" s="3759">
        <f>SUM(BO95+BP95+BQ95+BS95+BT95+BU95)/6</f>
        <v>5.4551552258038187</v>
      </c>
      <c r="BX95" s="3759">
        <f>SUM(BX91)</f>
        <v>5.8352557000000003</v>
      </c>
      <c r="BY95" s="3759">
        <f>SUM(BX95)</f>
        <v>5.8352557000000003</v>
      </c>
      <c r="BZ95" s="3759">
        <f>SUM(BX95)</f>
        <v>5.8352557000000003</v>
      </c>
      <c r="CA95" s="3759">
        <f>SUM(BX95:BZ95)/3</f>
        <v>5.8352557000000003</v>
      </c>
      <c r="CB95" s="3759">
        <f>SUM(BO95+BP95+BQ95+BS95+BT95+BU95+BX95+BY95+BZ95)/9</f>
        <v>5.581855383869212</v>
      </c>
      <c r="CC95" s="3759">
        <f>SUM(BX95)</f>
        <v>5.8352557000000003</v>
      </c>
      <c r="CD95" s="3759">
        <f>SUM(BX95)</f>
        <v>5.8352557000000003</v>
      </c>
      <c r="CE95" s="3759">
        <f>SUM(BX95)</f>
        <v>5.8352557000000003</v>
      </c>
      <c r="CF95" s="3760">
        <f>SUM(CC95:CE95)/3</f>
        <v>5.8352557000000003</v>
      </c>
      <c r="CG95" s="2546">
        <f>SUM(BO95+BP95+BQ95+BS95+BT95+BU95+BX95+BY95+BZ95+CC95+CD95+CE95)/12</f>
        <v>5.6452054629019086</v>
      </c>
      <c r="CH95" s="2553">
        <v>1.0003016819999999</v>
      </c>
      <c r="CI95" s="4896" t="s">
        <v>1586</v>
      </c>
    </row>
    <row r="96" spans="1:87" ht="18.75">
      <c r="A96" s="3774"/>
      <c r="B96" s="3866"/>
      <c r="C96" s="3866"/>
      <c r="D96" s="3866"/>
      <c r="E96" s="3866"/>
      <c r="F96" s="3866"/>
      <c r="G96" s="3866"/>
      <c r="H96" s="3866"/>
      <c r="I96" s="3866"/>
      <c r="J96" s="3866"/>
      <c r="K96" s="3866"/>
      <c r="L96" s="3866"/>
      <c r="M96" s="3866"/>
      <c r="N96" s="3866"/>
      <c r="O96" s="3866"/>
      <c r="P96" s="3866"/>
      <c r="Q96" s="3866"/>
      <c r="R96" s="3866"/>
      <c r="S96" s="3866"/>
      <c r="T96" s="3866"/>
      <c r="U96" s="3866"/>
      <c r="V96" s="3866"/>
      <c r="W96" s="3866"/>
      <c r="X96" s="3866"/>
      <c r="Y96" s="3866"/>
      <c r="Z96" s="3866"/>
      <c r="AA96" s="3866"/>
      <c r="AB96" s="3866"/>
      <c r="AC96" s="3866"/>
      <c r="AD96" s="3866"/>
      <c r="AE96" s="3866"/>
      <c r="AF96" s="3866"/>
      <c r="AG96" s="3866"/>
      <c r="AH96" s="3868"/>
      <c r="AI96" s="3868"/>
      <c r="AJ96" s="3868"/>
      <c r="AK96" s="3868"/>
      <c r="AL96" s="3868"/>
      <c r="AM96" s="3868"/>
      <c r="AN96" s="3868"/>
      <c r="AO96" s="3868"/>
      <c r="AP96" s="3868"/>
      <c r="AQ96" s="3868"/>
      <c r="AR96" s="3868"/>
      <c r="AS96" s="3868"/>
      <c r="AT96" s="3868"/>
      <c r="AU96" s="3868"/>
      <c r="AV96" s="3868"/>
      <c r="AW96" s="3868"/>
      <c r="AX96" s="3868"/>
      <c r="AY96" s="3868"/>
      <c r="AZ96" s="3868"/>
      <c r="BA96" s="2545"/>
      <c r="BB96" s="3864"/>
      <c r="BC96" s="4853"/>
      <c r="BG96" s="3750"/>
      <c r="BH96" s="3774"/>
      <c r="BI96" s="3751"/>
      <c r="BJ96" s="3861">
        <f t="shared" ref="BJ96:BJ130" si="48">SUM(CG96)</f>
        <v>3899.1400011068708</v>
      </c>
      <c r="BK96" s="4864" t="s">
        <v>1568</v>
      </c>
      <c r="BL96" s="4865"/>
      <c r="BM96" s="4865"/>
      <c r="BN96" s="3762">
        <f>SUM(BN94*BN95)</f>
        <v>3899.14</v>
      </c>
      <c r="BO96" s="3762">
        <f t="shared" ref="BO96:CF96" si="49">SUM(BO94*BO95)</f>
        <v>320.34647564016973</v>
      </c>
      <c r="BP96" s="3762">
        <f t="shared" si="49"/>
        <v>320.82090591882491</v>
      </c>
      <c r="BQ96" s="3762">
        <f t="shared" si="49"/>
        <v>322.02521358877323</v>
      </c>
      <c r="BR96" s="3762">
        <f t="shared" si="49"/>
        <v>963.19259514776786</v>
      </c>
      <c r="BS96" s="3762">
        <f t="shared" si="49"/>
        <v>317.57688941374357</v>
      </c>
      <c r="BT96" s="3762">
        <f t="shared" si="49"/>
        <v>311.3340071611434</v>
      </c>
      <c r="BU96" s="3762">
        <f t="shared" si="49"/>
        <v>300.25802299228059</v>
      </c>
      <c r="BV96" s="3762">
        <f t="shared" si="49"/>
        <v>929.16891956716756</v>
      </c>
      <c r="BW96" s="3762">
        <f t="shared" si="49"/>
        <v>1892.3615147149355</v>
      </c>
      <c r="BX96" s="3762">
        <f t="shared" si="49"/>
        <v>312.50165495394469</v>
      </c>
      <c r="BY96" s="3762">
        <f t="shared" si="49"/>
        <v>323.56383320101895</v>
      </c>
      <c r="BZ96" s="3762">
        <f t="shared" si="49"/>
        <v>337.32381753182239</v>
      </c>
      <c r="CA96" s="3762">
        <f t="shared" si="49"/>
        <v>973.38930568678597</v>
      </c>
      <c r="CB96" s="3762">
        <f t="shared" si="49"/>
        <v>2867.4322117642555</v>
      </c>
      <c r="CC96" s="3762">
        <f t="shared" si="49"/>
        <v>344.46306023504962</v>
      </c>
      <c r="CD96" s="3762">
        <f t="shared" si="49"/>
        <v>344.46306023504962</v>
      </c>
      <c r="CE96" s="3762">
        <f t="shared" si="49"/>
        <v>344.46306023504962</v>
      </c>
      <c r="CF96" s="3763">
        <f t="shared" si="49"/>
        <v>1033.3891807051489</v>
      </c>
      <c r="CG96" s="2544">
        <f>SUM(BO96+BP96+BQ96+BS96+BT96+BU96+BX96+BY96+BZ96+CC96+CD96+CE96)</f>
        <v>3899.1400011068708</v>
      </c>
      <c r="CH96" s="2553">
        <f>SUM(BN96/CG96)</f>
        <v>0.9999999997161243</v>
      </c>
      <c r="CI96" s="4896"/>
    </row>
    <row r="97" spans="1:87" ht="18.75">
      <c r="A97" s="3774"/>
      <c r="B97" s="3866"/>
      <c r="C97" s="3866"/>
      <c r="D97" s="3866"/>
      <c r="E97" s="3866"/>
      <c r="F97" s="3866"/>
      <c r="G97" s="3866"/>
      <c r="H97" s="3866"/>
      <c r="I97" s="3866"/>
      <c r="J97" s="3866"/>
      <c r="K97" s="3866"/>
      <c r="L97" s="3866"/>
      <c r="M97" s="3866"/>
      <c r="N97" s="3866"/>
      <c r="O97" s="3866"/>
      <c r="P97" s="3866"/>
      <c r="Q97" s="3866"/>
      <c r="R97" s="3866"/>
      <c r="S97" s="3866"/>
      <c r="T97" s="3866"/>
      <c r="U97" s="3866"/>
      <c r="V97" s="3866"/>
      <c r="W97" s="3866"/>
      <c r="X97" s="3866"/>
      <c r="Y97" s="3866"/>
      <c r="Z97" s="3866"/>
      <c r="AA97" s="3866"/>
      <c r="AB97" s="3866"/>
      <c r="AC97" s="3866"/>
      <c r="AD97" s="3866"/>
      <c r="AE97" s="3866"/>
      <c r="AF97" s="3866"/>
      <c r="AG97" s="3866"/>
      <c r="AH97" s="3868"/>
      <c r="AI97" s="3868"/>
      <c r="AJ97" s="3868"/>
      <c r="AK97" s="3868"/>
      <c r="AL97" s="3868"/>
      <c r="AM97" s="3868"/>
      <c r="AN97" s="3868"/>
      <c r="AO97" s="3868"/>
      <c r="AP97" s="3868"/>
      <c r="AQ97" s="3868"/>
      <c r="AR97" s="3868"/>
      <c r="AS97" s="3868"/>
      <c r="AT97" s="3868"/>
      <c r="AU97" s="3868"/>
      <c r="AV97" s="3868"/>
      <c r="AW97" s="3868"/>
      <c r="AX97" s="3868"/>
      <c r="AY97" s="3868"/>
      <c r="AZ97" s="3868"/>
      <c r="BA97" s="2545"/>
      <c r="BB97" s="2545"/>
      <c r="BC97" s="1459"/>
      <c r="BG97" s="3750"/>
      <c r="BH97" s="3774"/>
      <c r="BI97" s="3751"/>
      <c r="BJ97" s="3861">
        <f t="shared" si="48"/>
        <v>5570.6850000000013</v>
      </c>
      <c r="BK97" s="4864" t="s">
        <v>1569</v>
      </c>
      <c r="BL97" s="4865"/>
      <c r="BM97" s="4865"/>
      <c r="BN97" s="3762">
        <f>SUM('Произв. прогр. Вода'!B11)</f>
        <v>5570.6850000000004</v>
      </c>
      <c r="BO97" s="3762">
        <f>SUM('Произв. прогр. Вода'!E11)</f>
        <v>473.55356467369512</v>
      </c>
      <c r="BP97" s="3762">
        <f>SUM('Произв. прогр. Вода'!F11)</f>
        <v>474.25489328733858</v>
      </c>
      <c r="BQ97" s="3762">
        <f>SUM('Произв. прогр. Вода'!G11)</f>
        <v>476.03516631493545</v>
      </c>
      <c r="BR97" s="3762">
        <f>SUM(BO97:BQ97)</f>
        <v>1423.8436242759692</v>
      </c>
      <c r="BS97" s="3762">
        <f>SUM('Произв. прогр. Вода'!I11)</f>
        <v>469.45941184253223</v>
      </c>
      <c r="BT97" s="3762">
        <f>SUM('Произв. прогр. Вода'!J11)</f>
        <v>460.230844121757</v>
      </c>
      <c r="BU97" s="3762">
        <f>SUM('Произв. прогр. Вода'!K11)</f>
        <v>443.85772256656327</v>
      </c>
      <c r="BV97" s="3762">
        <f>SUM(BS97:BU97)</f>
        <v>1373.5479785308526</v>
      </c>
      <c r="BW97" s="3762">
        <f>SUM(BR97+BV97)</f>
        <v>2797.3916028068215</v>
      </c>
      <c r="BX97" s="3762">
        <f>SUM('Произв. прогр. Вода'!N11)</f>
        <v>431.86569029545223</v>
      </c>
      <c r="BY97" s="3762">
        <f>SUM('Произв. прогр. Вода'!O11)</f>
        <v>447.15321011850125</v>
      </c>
      <c r="BZ97" s="3762">
        <f>SUM('Произв. прогр. Вода'!P11)</f>
        <v>466.16899783441852</v>
      </c>
      <c r="CA97" s="3762">
        <f>SUM(BX97:BZ97)</f>
        <v>1345.187898248372</v>
      </c>
      <c r="CB97" s="3762">
        <f>SUM(BW97+CA97)</f>
        <v>4142.5795010551938</v>
      </c>
      <c r="CC97" s="3762">
        <f>SUM('Произв. прогр. Вода'!S11)</f>
        <v>476.03516631493545</v>
      </c>
      <c r="CD97" s="3762">
        <f>SUM('Произв. прогр. Вода'!T11)</f>
        <v>476.03516631493545</v>
      </c>
      <c r="CE97" s="3762">
        <f>SUM('Произв. прогр. Вода'!U11)</f>
        <v>476.03516631493545</v>
      </c>
      <c r="CF97" s="3763">
        <f>SUM(CC97:CE97)</f>
        <v>1428.1054989448064</v>
      </c>
      <c r="CG97" s="2544">
        <f>SUM(BO97+BP97+BQ97+BS97+BT97+BU97+BX97+BY97+BZ97+CC97+CD97+CE97)</f>
        <v>5570.6850000000013</v>
      </c>
      <c r="CH97" s="2545">
        <f>SUM(BR97+BV97+CA97+CF97)</f>
        <v>5570.6850000000004</v>
      </c>
    </row>
    <row r="98" spans="1:87" ht="18.75">
      <c r="A98" s="3774"/>
      <c r="B98" s="3866"/>
      <c r="C98" s="3866"/>
      <c r="D98" s="3866"/>
      <c r="E98" s="3866"/>
      <c r="F98" s="3866"/>
      <c r="G98" s="3866"/>
      <c r="H98" s="3866"/>
      <c r="I98" s="3866"/>
      <c r="J98" s="3866"/>
      <c r="K98" s="3866"/>
      <c r="L98" s="3866"/>
      <c r="M98" s="3866"/>
      <c r="N98" s="3866"/>
      <c r="O98" s="3866"/>
      <c r="P98" s="3866"/>
      <c r="Q98" s="3866"/>
      <c r="R98" s="3866"/>
      <c r="S98" s="3866"/>
      <c r="T98" s="3866"/>
      <c r="U98" s="3866"/>
      <c r="V98" s="3866"/>
      <c r="W98" s="3866"/>
      <c r="X98" s="3866"/>
      <c r="Y98" s="3866"/>
      <c r="Z98" s="3866"/>
      <c r="AA98" s="3866"/>
      <c r="AB98" s="3866"/>
      <c r="AC98" s="3866"/>
      <c r="AD98" s="3866"/>
      <c r="AE98" s="3866"/>
      <c r="AF98" s="3866"/>
      <c r="AG98" s="3866"/>
      <c r="AH98" s="3868"/>
      <c r="AI98" s="3868"/>
      <c r="AJ98" s="3868"/>
      <c r="AK98" s="3868"/>
      <c r="AL98" s="3868"/>
      <c r="AM98" s="3868"/>
      <c r="AN98" s="3868"/>
      <c r="AO98" s="3868"/>
      <c r="AP98" s="3868"/>
      <c r="AQ98" s="3868"/>
      <c r="AR98" s="3868"/>
      <c r="AS98" s="3868"/>
      <c r="AT98" s="3868"/>
      <c r="AU98" s="3868"/>
      <c r="AV98" s="3868"/>
      <c r="AW98" s="3868"/>
      <c r="AX98" s="3868"/>
      <c r="AY98" s="3868"/>
      <c r="AZ98" s="3868"/>
      <c r="BA98" s="2545"/>
      <c r="BB98" s="2545"/>
      <c r="BC98" s="1459"/>
      <c r="BG98" s="3750"/>
      <c r="BH98" s="3774"/>
      <c r="BI98" s="3751"/>
      <c r="BJ98" s="3861">
        <f t="shared" si="48"/>
        <v>1136.5</v>
      </c>
      <c r="BK98" s="4891" t="s">
        <v>1570</v>
      </c>
      <c r="BL98" s="4865"/>
      <c r="BM98" s="4865"/>
      <c r="BN98" s="3762">
        <f>SUM(BY50)</f>
        <v>1136.5</v>
      </c>
      <c r="BO98" s="3776">
        <f>SUM(BN98/12)</f>
        <v>94.708333333333329</v>
      </c>
      <c r="BP98" s="3776">
        <f>SUM(BO98)</f>
        <v>94.708333333333329</v>
      </c>
      <c r="BQ98" s="3776">
        <f>SUM(BO98)</f>
        <v>94.708333333333329</v>
      </c>
      <c r="BR98" s="3762">
        <f>SUM(BO98:BQ98)</f>
        <v>284.125</v>
      </c>
      <c r="BS98" s="3776">
        <f>SUM(BO98)</f>
        <v>94.708333333333329</v>
      </c>
      <c r="BT98" s="3776">
        <f>SUM(BO98)</f>
        <v>94.708333333333329</v>
      </c>
      <c r="BU98" s="3776">
        <f>SUM(BO98)</f>
        <v>94.708333333333329</v>
      </c>
      <c r="BV98" s="3762">
        <f>SUM(BS98:BU98)</f>
        <v>284.125</v>
      </c>
      <c r="BW98" s="3762">
        <f>SUM(BR98+BV98)</f>
        <v>568.25</v>
      </c>
      <c r="BX98" s="3776">
        <f>SUM(BO98)</f>
        <v>94.708333333333329</v>
      </c>
      <c r="BY98" s="3776">
        <f>SUM(BO98)</f>
        <v>94.708333333333329</v>
      </c>
      <c r="BZ98" s="3776">
        <f>SUM(BO98)</f>
        <v>94.708333333333329</v>
      </c>
      <c r="CA98" s="3762">
        <f>SUM(BX98:BZ98)</f>
        <v>284.125</v>
      </c>
      <c r="CB98" s="3762">
        <f>SUM(BW98+CA98)</f>
        <v>852.375</v>
      </c>
      <c r="CC98" s="3776">
        <f>SUM(BO98)</f>
        <v>94.708333333333329</v>
      </c>
      <c r="CD98" s="3776">
        <f>SUM(BO98)</f>
        <v>94.708333333333329</v>
      </c>
      <c r="CE98" s="3776">
        <f>SUM(BO98)</f>
        <v>94.708333333333329</v>
      </c>
      <c r="CF98" s="3763">
        <f>SUM(CC98:CE98)</f>
        <v>284.125</v>
      </c>
      <c r="CG98" s="2544">
        <f>SUM(BO98+BP98+BQ98+BS98+BT98+BU98+BX98+BY98+BZ98+CC98+CD98+CE98)</f>
        <v>1136.5</v>
      </c>
      <c r="CH98" s="2545">
        <f>SUM(BR98+BV98+CA98+CF98)</f>
        <v>1136.5</v>
      </c>
    </row>
    <row r="99" spans="1:87" ht="18.75">
      <c r="A99" s="3869"/>
      <c r="B99" s="3866"/>
      <c r="C99" s="3866"/>
      <c r="D99" s="3866"/>
      <c r="E99" s="3866"/>
      <c r="F99" s="3866"/>
      <c r="G99" s="3866"/>
      <c r="H99" s="3866"/>
      <c r="I99" s="3866"/>
      <c r="J99" s="3866"/>
      <c r="K99" s="3866"/>
      <c r="L99" s="3866"/>
      <c r="M99" s="3866"/>
      <c r="N99" s="3866"/>
      <c r="O99" s="3866"/>
      <c r="P99" s="3866"/>
      <c r="Q99" s="3866"/>
      <c r="R99" s="3866"/>
      <c r="S99" s="3866"/>
      <c r="T99" s="3866"/>
      <c r="U99" s="3866"/>
      <c r="V99" s="3866"/>
      <c r="W99" s="3866"/>
      <c r="X99" s="3866"/>
      <c r="Y99" s="3866"/>
      <c r="Z99" s="3866"/>
      <c r="AA99" s="3866"/>
      <c r="AB99" s="3866"/>
      <c r="AC99" s="3866"/>
      <c r="AD99" s="3866"/>
      <c r="AE99" s="3866"/>
      <c r="AF99" s="3866"/>
      <c r="AG99" s="3866"/>
      <c r="AH99" s="3870"/>
      <c r="AI99" s="3870"/>
      <c r="AJ99" s="3870"/>
      <c r="AK99" s="3870"/>
      <c r="AL99" s="3870"/>
      <c r="AM99" s="3870"/>
      <c r="AN99" s="3870"/>
      <c r="AO99" s="3870"/>
      <c r="AP99" s="3870"/>
      <c r="AQ99" s="3870"/>
      <c r="AR99" s="3870"/>
      <c r="AS99" s="3870"/>
      <c r="AT99" s="3870"/>
      <c r="AU99" s="3870"/>
      <c r="AV99" s="3870"/>
      <c r="AW99" s="3870"/>
      <c r="AX99" s="3870"/>
      <c r="AY99" s="3870"/>
      <c r="AZ99" s="3870"/>
      <c r="BA99" s="2547"/>
      <c r="BB99" s="2547"/>
      <c r="BC99" s="1459"/>
      <c r="BG99" s="3750"/>
      <c r="BH99" s="3775"/>
      <c r="BI99" s="3751"/>
      <c r="BJ99" s="3861">
        <f t="shared" si="48"/>
        <v>4.3116754500000001</v>
      </c>
      <c r="BK99" s="4890" t="s">
        <v>1565</v>
      </c>
      <c r="BL99" s="4865"/>
      <c r="BM99" s="4865"/>
      <c r="BN99" s="3759">
        <f>SUM(BX50)</f>
        <v>4.3116761988561372</v>
      </c>
      <c r="BO99" s="3758">
        <v>4.16587</v>
      </c>
      <c r="BP99" s="3758">
        <f>SUM(BO99)</f>
        <v>4.16587</v>
      </c>
      <c r="BQ99" s="3758">
        <f>SUM(BO99)</f>
        <v>4.16587</v>
      </c>
      <c r="BR99" s="3759">
        <f>SUM(BO99:BQ99)/3</f>
        <v>4.16587</v>
      </c>
      <c r="BS99" s="3758">
        <f>SUM(BO99)</f>
        <v>4.16587</v>
      </c>
      <c r="BT99" s="3758">
        <f>SUM(BO99)</f>
        <v>4.16587</v>
      </c>
      <c r="BU99" s="3758">
        <f>SUM(BO99)</f>
        <v>4.16587</v>
      </c>
      <c r="BV99" s="3759">
        <f>SUM(BS99:BU99)/3</f>
        <v>4.16587</v>
      </c>
      <c r="BW99" s="3759">
        <f>SUM(BO99+BP99+BQ99+BS99+BT99+BU99)/6</f>
        <v>4.1658699999999991</v>
      </c>
      <c r="BX99" s="3758">
        <f>SUM(BU99*1.07)</f>
        <v>4.4574809000000002</v>
      </c>
      <c r="BY99" s="3758">
        <f>SUM(BX99)</f>
        <v>4.4574809000000002</v>
      </c>
      <c r="BZ99" s="3758">
        <f>SUM(BX99)</f>
        <v>4.4574809000000002</v>
      </c>
      <c r="CA99" s="3759">
        <f>SUM(BX99:BZ99)/3</f>
        <v>4.4574809000000002</v>
      </c>
      <c r="CB99" s="3759">
        <f>SUM(BO99+BP99+BQ99+BS99+BT99+BU99+BX99+BY99+BZ99)/9</f>
        <v>4.2630736333333328</v>
      </c>
      <c r="CC99" s="3758">
        <f>SUM(BX99)</f>
        <v>4.4574809000000002</v>
      </c>
      <c r="CD99" s="3758">
        <f>SUM(BX99)</f>
        <v>4.4574809000000002</v>
      </c>
      <c r="CE99" s="3758">
        <f>SUM(BX99)</f>
        <v>4.4574809000000002</v>
      </c>
      <c r="CF99" s="3760">
        <f>SUM(CC99:CE99)/3</f>
        <v>4.4574809000000002</v>
      </c>
      <c r="CG99" s="2546">
        <f>SUM(BO99+BP99+BQ99+BS99+BT99+BU99+BX99+BY99+BZ99+CC99+CD99+CE99)/12</f>
        <v>4.3116754500000001</v>
      </c>
      <c r="CH99" s="2547">
        <f>SUM(BR99+BV99+CA99+CF99)/4</f>
        <v>4.3116754500000001</v>
      </c>
    </row>
    <row r="100" spans="1:87" ht="18.75">
      <c r="A100" s="3774"/>
      <c r="B100" s="3866"/>
      <c r="C100" s="3866"/>
      <c r="D100" s="3866"/>
      <c r="E100" s="3866"/>
      <c r="F100" s="3866"/>
      <c r="G100" s="3866"/>
      <c r="H100" s="3866"/>
      <c r="I100" s="3866"/>
      <c r="J100" s="3866"/>
      <c r="K100" s="3866"/>
      <c r="L100" s="3866"/>
      <c r="M100" s="3866"/>
      <c r="N100" s="3866"/>
      <c r="O100" s="3866"/>
      <c r="P100" s="3866"/>
      <c r="Q100" s="3866"/>
      <c r="R100" s="3866"/>
      <c r="S100" s="3866"/>
      <c r="T100" s="3866"/>
      <c r="U100" s="3866"/>
      <c r="V100" s="3866"/>
      <c r="W100" s="3866"/>
      <c r="X100" s="3866"/>
      <c r="Y100" s="3866"/>
      <c r="Z100" s="3866"/>
      <c r="AA100" s="3866"/>
      <c r="AB100" s="3866"/>
      <c r="AC100" s="3866"/>
      <c r="AD100" s="3866"/>
      <c r="AE100" s="3866"/>
      <c r="AF100" s="3866"/>
      <c r="AG100" s="3866"/>
      <c r="AH100" s="3868"/>
      <c r="AI100" s="3868"/>
      <c r="AJ100" s="3868"/>
      <c r="AK100" s="3868"/>
      <c r="AL100" s="3868"/>
      <c r="AM100" s="3868"/>
      <c r="AN100" s="3868"/>
      <c r="AO100" s="3868"/>
      <c r="AP100" s="3868"/>
      <c r="AQ100" s="3868"/>
      <c r="AR100" s="3868"/>
      <c r="AS100" s="3868"/>
      <c r="AT100" s="3868"/>
      <c r="AU100" s="3868"/>
      <c r="AV100" s="3868"/>
      <c r="AW100" s="3868"/>
      <c r="AX100" s="3868"/>
      <c r="AY100" s="3868"/>
      <c r="AZ100" s="3868"/>
      <c r="BA100" s="2545"/>
      <c r="BB100" s="2545"/>
      <c r="BC100" s="1459"/>
      <c r="BG100" s="3750"/>
      <c r="BH100" s="3774"/>
      <c r="BI100" s="3751"/>
      <c r="BJ100" s="3861">
        <f t="shared" si="48"/>
        <v>4900.2191489249999</v>
      </c>
      <c r="BK100" s="4891" t="s">
        <v>1566</v>
      </c>
      <c r="BL100" s="4865"/>
      <c r="BM100" s="4865"/>
      <c r="BN100" s="3762">
        <f>SUM(BN98*BN99)</f>
        <v>4900.22</v>
      </c>
      <c r="BO100" s="3761">
        <f t="shared" ref="BO100:CG100" si="50">SUM(BO98*BO99)</f>
        <v>394.54260458333329</v>
      </c>
      <c r="BP100" s="3761">
        <f t="shared" si="50"/>
        <v>394.54260458333329</v>
      </c>
      <c r="BQ100" s="3761">
        <f t="shared" si="50"/>
        <v>394.54260458333329</v>
      </c>
      <c r="BR100" s="3762">
        <f t="shared" si="50"/>
        <v>1183.6278137500001</v>
      </c>
      <c r="BS100" s="3761">
        <f t="shared" si="50"/>
        <v>394.54260458333329</v>
      </c>
      <c r="BT100" s="3761">
        <f t="shared" si="50"/>
        <v>394.54260458333329</v>
      </c>
      <c r="BU100" s="3761">
        <f t="shared" si="50"/>
        <v>394.54260458333329</v>
      </c>
      <c r="BV100" s="3762">
        <f t="shared" si="50"/>
        <v>1183.6278137500001</v>
      </c>
      <c r="BW100" s="3762">
        <f t="shared" si="50"/>
        <v>2367.2556274999993</v>
      </c>
      <c r="BX100" s="3761">
        <f t="shared" si="50"/>
        <v>422.16058690416668</v>
      </c>
      <c r="BY100" s="3761">
        <f t="shared" si="50"/>
        <v>422.16058690416668</v>
      </c>
      <c r="BZ100" s="3761">
        <f t="shared" si="50"/>
        <v>422.16058690416668</v>
      </c>
      <c r="CA100" s="3762">
        <f t="shared" si="50"/>
        <v>1266.4817607125001</v>
      </c>
      <c r="CB100" s="3762">
        <f t="shared" si="50"/>
        <v>3633.7373882124994</v>
      </c>
      <c r="CC100" s="3761">
        <f t="shared" si="50"/>
        <v>422.16058690416668</v>
      </c>
      <c r="CD100" s="3761">
        <f t="shared" si="50"/>
        <v>422.16058690416668</v>
      </c>
      <c r="CE100" s="3761">
        <f t="shared" si="50"/>
        <v>422.16058690416668</v>
      </c>
      <c r="CF100" s="3763">
        <f t="shared" si="50"/>
        <v>1266.4817607125001</v>
      </c>
      <c r="CG100" s="2544">
        <f t="shared" si="50"/>
        <v>4900.2191489249999</v>
      </c>
      <c r="CH100" s="2545">
        <f>SUM(BR100+BV100+CA100+CF100)</f>
        <v>4900.2191489249999</v>
      </c>
    </row>
    <row r="101" spans="1:87" ht="18.75">
      <c r="A101" s="3774"/>
      <c r="B101" s="3866"/>
      <c r="C101" s="3866"/>
      <c r="D101" s="3866"/>
      <c r="E101" s="3866"/>
      <c r="F101" s="3866"/>
      <c r="G101" s="3866"/>
      <c r="H101" s="3866"/>
      <c r="I101" s="3866"/>
      <c r="J101" s="3866"/>
      <c r="K101" s="3866"/>
      <c r="L101" s="3866"/>
      <c r="M101" s="3866"/>
      <c r="N101" s="3866"/>
      <c r="O101" s="3866"/>
      <c r="P101" s="3866"/>
      <c r="Q101" s="3866"/>
      <c r="R101" s="3866"/>
      <c r="S101" s="3866"/>
      <c r="T101" s="3866"/>
      <c r="U101" s="3866"/>
      <c r="V101" s="3866"/>
      <c r="W101" s="3866"/>
      <c r="X101" s="3866"/>
      <c r="Y101" s="3866"/>
      <c r="Z101" s="3866"/>
      <c r="AA101" s="3866"/>
      <c r="AB101" s="3866"/>
      <c r="AC101" s="3866"/>
      <c r="AD101" s="3866"/>
      <c r="AE101" s="3866"/>
      <c r="AF101" s="3866"/>
      <c r="AG101" s="3866"/>
      <c r="AH101" s="3870"/>
      <c r="AI101" s="3870"/>
      <c r="AJ101" s="3870"/>
      <c r="AK101" s="3870"/>
      <c r="AL101" s="3870"/>
      <c r="AM101" s="3870"/>
      <c r="AN101" s="3870"/>
      <c r="AO101" s="3870"/>
      <c r="AP101" s="3870"/>
      <c r="AQ101" s="3870"/>
      <c r="AR101" s="3870"/>
      <c r="AS101" s="3870"/>
      <c r="AT101" s="3870"/>
      <c r="AU101" s="3870"/>
      <c r="AV101" s="3870"/>
      <c r="AW101" s="3870"/>
      <c r="AX101" s="3870"/>
      <c r="AY101" s="3870"/>
      <c r="AZ101" s="3870"/>
      <c r="BA101" s="3865"/>
      <c r="BB101" s="3865"/>
      <c r="BC101" s="1459"/>
      <c r="BG101" s="3750"/>
      <c r="BH101" s="3774"/>
      <c r="BI101" s="3751"/>
      <c r="BJ101" s="3861">
        <f t="shared" si="48"/>
        <v>0</v>
      </c>
      <c r="BK101" s="4864" t="s">
        <v>1571</v>
      </c>
      <c r="BL101" s="4865"/>
      <c r="BM101" s="4865"/>
      <c r="BN101" s="3759">
        <f>SUM(BN98/BN105)</f>
        <v>0.24200731707472883</v>
      </c>
      <c r="BO101" s="3759">
        <f>SUM(BN101)</f>
        <v>0.24200731707472883</v>
      </c>
      <c r="BP101" s="3759">
        <f>SUM(BN101)</f>
        <v>0.24200731707472883</v>
      </c>
      <c r="BQ101" s="3759">
        <f>SUM(BN101)</f>
        <v>0.24200731707472883</v>
      </c>
      <c r="BR101" s="3759">
        <f>SUM(BN101)</f>
        <v>0.24200731707472883</v>
      </c>
      <c r="BS101" s="3759">
        <f>SUM(BN101)</f>
        <v>0.24200731707472883</v>
      </c>
      <c r="BT101" s="3759">
        <f>SUM(BN101)</f>
        <v>0.24200731707472883</v>
      </c>
      <c r="BU101" s="3759">
        <f>SUM(BN101)</f>
        <v>0.24200731707472883</v>
      </c>
      <c r="BV101" s="3759">
        <f>SUM(BN101)</f>
        <v>0.24200731707472883</v>
      </c>
      <c r="BW101" s="3759">
        <f>SUM(BN101)</f>
        <v>0.24200731707472883</v>
      </c>
      <c r="BX101" s="3759">
        <f>SUM(BN101)</f>
        <v>0.24200731707472883</v>
      </c>
      <c r="BY101" s="3759">
        <f>SUM(BN101)</f>
        <v>0.24200731707472883</v>
      </c>
      <c r="BZ101" s="3759">
        <f>SUM(BN101)</f>
        <v>0.24200731707472883</v>
      </c>
      <c r="CA101" s="3759">
        <f>SUM(BN101)</f>
        <v>0.24200731707472883</v>
      </c>
      <c r="CB101" s="3759">
        <f>SUM(BN101)</f>
        <v>0.24200731707472883</v>
      </c>
      <c r="CC101" s="3759">
        <f>SUM(BN101)</f>
        <v>0.24200731707472883</v>
      </c>
      <c r="CD101" s="3759">
        <f>SUM(BN101)</f>
        <v>0.24200731707472883</v>
      </c>
      <c r="CE101" s="3759">
        <f>SUM(BN101)</f>
        <v>0.24200731707472883</v>
      </c>
      <c r="CF101" s="3759">
        <f>SUM(BN101)</f>
        <v>0.24200731707472883</v>
      </c>
      <c r="CG101" s="2550"/>
      <c r="CH101" s="2551"/>
    </row>
    <row r="102" spans="1:87" ht="18.75">
      <c r="A102" s="3774"/>
      <c r="B102" s="3866"/>
      <c r="C102" s="3866"/>
      <c r="D102" s="3866"/>
      <c r="E102" s="3866"/>
      <c r="F102" s="3866"/>
      <c r="G102" s="3866"/>
      <c r="H102" s="3866"/>
      <c r="I102" s="3866"/>
      <c r="J102" s="3866"/>
      <c r="K102" s="3866"/>
      <c r="L102" s="3866"/>
      <c r="M102" s="3866"/>
      <c r="N102" s="3866"/>
      <c r="O102" s="3866"/>
      <c r="P102" s="3866"/>
      <c r="Q102" s="3866"/>
      <c r="R102" s="3866"/>
      <c r="S102" s="3866"/>
      <c r="T102" s="3866"/>
      <c r="U102" s="3866"/>
      <c r="V102" s="3866"/>
      <c r="W102" s="3866"/>
      <c r="X102" s="3866"/>
      <c r="Y102" s="3866"/>
      <c r="Z102" s="3866"/>
      <c r="AA102" s="3866"/>
      <c r="AB102" s="3866"/>
      <c r="AC102" s="3866"/>
      <c r="AD102" s="3866"/>
      <c r="AE102" s="3866"/>
      <c r="AF102" s="3866"/>
      <c r="AG102" s="3866"/>
      <c r="AH102" s="3868"/>
      <c r="AI102" s="3868"/>
      <c r="AJ102" s="3868"/>
      <c r="AK102" s="3868"/>
      <c r="AL102" s="3868"/>
      <c r="AM102" s="3868"/>
      <c r="AN102" s="3868"/>
      <c r="AO102" s="3868"/>
      <c r="AP102" s="3868"/>
      <c r="AQ102" s="3868"/>
      <c r="AR102" s="3868"/>
      <c r="AS102" s="3868"/>
      <c r="AT102" s="3868"/>
      <c r="AU102" s="3868"/>
      <c r="AV102" s="3868"/>
      <c r="AW102" s="3868"/>
      <c r="AX102" s="3868"/>
      <c r="AY102" s="3868"/>
      <c r="AZ102" s="3868"/>
      <c r="BA102" s="2545"/>
      <c r="BB102" s="2545"/>
      <c r="BC102" s="1459"/>
      <c r="BG102" s="3750"/>
      <c r="BH102" s="3774"/>
      <c r="BI102" s="3751"/>
      <c r="BJ102" s="3861">
        <f t="shared" si="48"/>
        <v>1136.5000000000002</v>
      </c>
      <c r="BK102" s="4864" t="s">
        <v>1570</v>
      </c>
      <c r="BL102" s="4865"/>
      <c r="BM102" s="4865"/>
      <c r="BN102" s="3762">
        <f>SUM(BN101*BN105)</f>
        <v>1136.5</v>
      </c>
      <c r="BO102" s="3762">
        <f t="shared" ref="BO102:CF102" si="51">SUM(BO101*BO105)</f>
        <v>96.966216751318726</v>
      </c>
      <c r="BP102" s="3762">
        <f t="shared" si="51"/>
        <v>97.135943407494324</v>
      </c>
      <c r="BQ102" s="3762">
        <f t="shared" si="51"/>
        <v>97.566782506563541</v>
      </c>
      <c r="BR102" s="3762">
        <f t="shared" si="51"/>
        <v>291.66894266537656</v>
      </c>
      <c r="BS102" s="3762">
        <f t="shared" si="51"/>
        <v>95.975401808955098</v>
      </c>
      <c r="BT102" s="3762">
        <f t="shared" si="51"/>
        <v>93.74202089440783</v>
      </c>
      <c r="BU102" s="3762">
        <f t="shared" si="51"/>
        <v>89.779605674696981</v>
      </c>
      <c r="BV102" s="3762">
        <f t="shared" si="51"/>
        <v>279.49702837805989</v>
      </c>
      <c r="BW102" s="3762">
        <f t="shared" si="51"/>
        <v>571.16597104343646</v>
      </c>
      <c r="BX102" s="3762">
        <f t="shared" si="51"/>
        <v>86.877446118491832</v>
      </c>
      <c r="BY102" s="3762">
        <f t="shared" si="51"/>
        <v>90.577137775594665</v>
      </c>
      <c r="BZ102" s="3762">
        <f t="shared" si="51"/>
        <v>95.179097542786394</v>
      </c>
      <c r="CA102" s="3762">
        <f t="shared" si="51"/>
        <v>272.63368143687291</v>
      </c>
      <c r="CB102" s="3762">
        <f t="shared" si="51"/>
        <v>843.79965248030931</v>
      </c>
      <c r="CC102" s="3762">
        <f t="shared" si="51"/>
        <v>97.566782506563541</v>
      </c>
      <c r="CD102" s="3762">
        <f t="shared" si="51"/>
        <v>97.566782506563541</v>
      </c>
      <c r="CE102" s="3762">
        <f t="shared" si="51"/>
        <v>97.566782506563541</v>
      </c>
      <c r="CF102" s="3763">
        <f t="shared" si="51"/>
        <v>292.70034751969064</v>
      </c>
      <c r="CG102" s="2544">
        <f>SUM(BO102+BP102+BQ102+BS102+BT102+BU102+BX102+BY102+BZ102+CC102+CD102+CE102)</f>
        <v>1136.5000000000002</v>
      </c>
      <c r="CH102" s="2545">
        <f>SUM(BR102+BV102+CA102+CF102)</f>
        <v>1136.5</v>
      </c>
    </row>
    <row r="103" spans="1:87" ht="18.75">
      <c r="A103" s="3774"/>
      <c r="B103" s="3866"/>
      <c r="C103" s="3866"/>
      <c r="D103" s="3866"/>
      <c r="E103" s="3866"/>
      <c r="F103" s="3866"/>
      <c r="G103" s="3866"/>
      <c r="H103" s="3866"/>
      <c r="I103" s="3866"/>
      <c r="J103" s="3866"/>
      <c r="K103" s="3866"/>
      <c r="L103" s="3866"/>
      <c r="M103" s="3866"/>
      <c r="N103" s="3866"/>
      <c r="O103" s="3866"/>
      <c r="P103" s="3866"/>
      <c r="Q103" s="3866"/>
      <c r="R103" s="3866"/>
      <c r="S103" s="3866"/>
      <c r="T103" s="3866"/>
      <c r="U103" s="3866"/>
      <c r="V103" s="3866"/>
      <c r="W103" s="3866"/>
      <c r="X103" s="3866"/>
      <c r="Y103" s="3866"/>
      <c r="Z103" s="3866"/>
      <c r="AA103" s="3866"/>
      <c r="AB103" s="3866"/>
      <c r="AC103" s="3866"/>
      <c r="AD103" s="3866"/>
      <c r="AE103" s="3866"/>
      <c r="AF103" s="3866"/>
      <c r="AG103" s="3866"/>
      <c r="AH103" s="3870"/>
      <c r="AI103" s="3870"/>
      <c r="AJ103" s="3870"/>
      <c r="AK103" s="3870"/>
      <c r="AL103" s="3870"/>
      <c r="AM103" s="3870"/>
      <c r="AN103" s="3870"/>
      <c r="AO103" s="3870"/>
      <c r="AP103" s="3870"/>
      <c r="AQ103" s="3870"/>
      <c r="AR103" s="3870"/>
      <c r="AS103" s="3870"/>
      <c r="AT103" s="3870"/>
      <c r="AU103" s="3870"/>
      <c r="AV103" s="3870"/>
      <c r="AW103" s="3870"/>
      <c r="AX103" s="3870"/>
      <c r="AY103" s="3870"/>
      <c r="AZ103" s="3870"/>
      <c r="BA103" s="2547"/>
      <c r="BB103" s="3864"/>
      <c r="BC103" s="4853"/>
      <c r="BG103" s="3750"/>
      <c r="BH103" s="3774"/>
      <c r="BI103" s="3751"/>
      <c r="BJ103" s="3861">
        <f t="shared" si="48"/>
        <v>4.3124205741716795</v>
      </c>
      <c r="BK103" s="4864" t="s">
        <v>1565</v>
      </c>
      <c r="BL103" s="4865"/>
      <c r="BM103" s="4865"/>
      <c r="BN103" s="3759">
        <f>SUM(BN99)</f>
        <v>4.3116761988561372</v>
      </c>
      <c r="BO103" s="3759">
        <f>SUM(BO99*CH103)</f>
        <v>4.1673602483433596</v>
      </c>
      <c r="BP103" s="3759">
        <f>SUM(BO103)</f>
        <v>4.1673602483433596</v>
      </c>
      <c r="BQ103" s="3759">
        <f>SUM(BO103)</f>
        <v>4.1673602483433596</v>
      </c>
      <c r="BR103" s="3759">
        <f>SUM(BO103:BQ103)/3</f>
        <v>4.1673602483433596</v>
      </c>
      <c r="BS103" s="3759">
        <f>SUM(BO103)</f>
        <v>4.1673602483433596</v>
      </c>
      <c r="BT103" s="3759">
        <f>SUM(BO103)</f>
        <v>4.1673602483433596</v>
      </c>
      <c r="BU103" s="3759">
        <f>SUM(BO103)</f>
        <v>4.1673602483433596</v>
      </c>
      <c r="BV103" s="3759">
        <f>SUM(BS103:BU103)/3</f>
        <v>4.1673602483433596</v>
      </c>
      <c r="BW103" s="3759">
        <f>SUM(BO103+BP103+BQ103+BS103+BT103+BU103)/6</f>
        <v>4.1673602483433596</v>
      </c>
      <c r="BX103" s="3759">
        <f>SUM(BX99)</f>
        <v>4.4574809000000002</v>
      </c>
      <c r="BY103" s="3759">
        <f>SUM(BX103)</f>
        <v>4.4574809000000002</v>
      </c>
      <c r="BZ103" s="3759">
        <f>SUM(BX103)</f>
        <v>4.4574809000000002</v>
      </c>
      <c r="CA103" s="3759">
        <f>SUM(BX103:BZ103)/3</f>
        <v>4.4574809000000002</v>
      </c>
      <c r="CB103" s="3759">
        <f>SUM(BO103+BP103+BQ103+BS103+BT103+BU103+BX103+BY103+BZ103)/9</f>
        <v>4.2640671322289059</v>
      </c>
      <c r="CC103" s="3759">
        <f>SUM(BX103)</f>
        <v>4.4574809000000002</v>
      </c>
      <c r="CD103" s="3759">
        <f>SUM(BX103)</f>
        <v>4.4574809000000002</v>
      </c>
      <c r="CE103" s="3759">
        <f>SUM(BX103)</f>
        <v>4.4574809000000002</v>
      </c>
      <c r="CF103" s="3760">
        <f>SUM(CC103:CE103)/3</f>
        <v>4.4574809000000002</v>
      </c>
      <c r="CG103" s="2546">
        <f>SUM(BO103+BP103+BQ103+BS103+BT103+BU103+BX103+BY103+BZ103+CC103+CD103+CE103)/12</f>
        <v>4.3124205741716795</v>
      </c>
      <c r="CH103" s="2553">
        <v>1.000357728</v>
      </c>
      <c r="CI103" s="4896" t="s">
        <v>1586</v>
      </c>
    </row>
    <row r="104" spans="1:87" ht="18.75">
      <c r="A104" s="3774"/>
      <c r="B104" s="3866"/>
      <c r="C104" s="3866"/>
      <c r="D104" s="3866"/>
      <c r="E104" s="3866"/>
      <c r="F104" s="3866"/>
      <c r="G104" s="3866"/>
      <c r="H104" s="3866"/>
      <c r="I104" s="3866"/>
      <c r="J104" s="3866"/>
      <c r="K104" s="3866"/>
      <c r="L104" s="3866"/>
      <c r="M104" s="3866"/>
      <c r="N104" s="3866"/>
      <c r="O104" s="3866"/>
      <c r="P104" s="3866"/>
      <c r="Q104" s="3866"/>
      <c r="R104" s="3866"/>
      <c r="S104" s="3866"/>
      <c r="T104" s="3866"/>
      <c r="U104" s="3866"/>
      <c r="V104" s="3866"/>
      <c r="W104" s="3866"/>
      <c r="X104" s="3866"/>
      <c r="Y104" s="3866"/>
      <c r="Z104" s="3866"/>
      <c r="AA104" s="3866"/>
      <c r="AB104" s="3866"/>
      <c r="AC104" s="3866"/>
      <c r="AD104" s="3866"/>
      <c r="AE104" s="3866"/>
      <c r="AF104" s="3866"/>
      <c r="AG104" s="3866"/>
      <c r="AH104" s="3868"/>
      <c r="AI104" s="3868"/>
      <c r="AJ104" s="3868"/>
      <c r="AK104" s="3868"/>
      <c r="AL104" s="3868"/>
      <c r="AM104" s="3868"/>
      <c r="AN104" s="3868"/>
      <c r="AO104" s="3868"/>
      <c r="AP104" s="3868"/>
      <c r="AQ104" s="3868"/>
      <c r="AR104" s="3868"/>
      <c r="AS104" s="3868"/>
      <c r="AT104" s="3868"/>
      <c r="AU104" s="3868"/>
      <c r="AV104" s="3868"/>
      <c r="AW104" s="3868"/>
      <c r="AX104" s="3868"/>
      <c r="AY104" s="3868"/>
      <c r="AZ104" s="3868"/>
      <c r="BA104" s="2545"/>
      <c r="BB104" s="3864"/>
      <c r="BC104" s="4853"/>
      <c r="BG104" s="3750"/>
      <c r="BH104" s="3774"/>
      <c r="BI104" s="3751"/>
      <c r="BJ104" s="3861">
        <f t="shared" si="48"/>
        <v>4900.2199991267807</v>
      </c>
      <c r="BK104" s="4864" t="s">
        <v>1568</v>
      </c>
      <c r="BL104" s="4865"/>
      <c r="BM104" s="4865"/>
      <c r="BN104" s="3762">
        <f>SUM(BN102*BN103)</f>
        <v>4900.22</v>
      </c>
      <c r="BO104" s="3762">
        <f t="shared" ref="BO104:CF104" si="52">SUM(BO102*BO103)</f>
        <v>404.09315712169166</v>
      </c>
      <c r="BP104" s="3762">
        <f t="shared" si="52"/>
        <v>404.80046924172206</v>
      </c>
      <c r="BQ104" s="3762">
        <f t="shared" si="52"/>
        <v>406.59593097661519</v>
      </c>
      <c r="BR104" s="3762">
        <f t="shared" si="52"/>
        <v>1215.4895573400288</v>
      </c>
      <c r="BS104" s="3762">
        <f t="shared" si="52"/>
        <v>399.96407431742085</v>
      </c>
      <c r="BT104" s="3762">
        <f t="shared" si="52"/>
        <v>390.6567714747278</v>
      </c>
      <c r="BU104" s="3762">
        <f t="shared" si="52"/>
        <v>374.14395980067411</v>
      </c>
      <c r="BV104" s="3762">
        <f t="shared" si="52"/>
        <v>1164.7648055928228</v>
      </c>
      <c r="BW104" s="3762">
        <f t="shared" si="52"/>
        <v>2380.2543629328516</v>
      </c>
      <c r="BX104" s="3762">
        <f t="shared" si="52"/>
        <v>387.2545567139565</v>
      </c>
      <c r="BY104" s="3762">
        <f t="shared" si="52"/>
        <v>403.74586161138171</v>
      </c>
      <c r="BZ104" s="3762">
        <f t="shared" si="52"/>
        <v>424.2590093762073</v>
      </c>
      <c r="CA104" s="3762">
        <f t="shared" si="52"/>
        <v>1215.2594277015455</v>
      </c>
      <c r="CB104" s="3762">
        <f t="shared" si="52"/>
        <v>3598.0183643274599</v>
      </c>
      <c r="CC104" s="3762">
        <f t="shared" si="52"/>
        <v>434.90206949746113</v>
      </c>
      <c r="CD104" s="3762">
        <f t="shared" si="52"/>
        <v>434.90206949746113</v>
      </c>
      <c r="CE104" s="3762">
        <f t="shared" si="52"/>
        <v>434.90206949746113</v>
      </c>
      <c r="CF104" s="3763">
        <f t="shared" si="52"/>
        <v>1304.7062084923834</v>
      </c>
      <c r="CG104" s="2544">
        <f>SUM(BO104+BP104+BQ104+BS104+BT104+BU104+BX104+BY104+BZ104+CC104+CD104+CE104)</f>
        <v>4900.2199991267807</v>
      </c>
      <c r="CH104" s="2553">
        <f>SUM(BN104/CG104)</f>
        <v>1.0000000001782001</v>
      </c>
      <c r="CI104" s="4896"/>
    </row>
    <row r="105" spans="1:87" ht="19.5" thickBot="1">
      <c r="A105" s="3774"/>
      <c r="B105" s="3866"/>
      <c r="C105" s="3866"/>
      <c r="D105" s="3866"/>
      <c r="E105" s="3866"/>
      <c r="F105" s="3866"/>
      <c r="G105" s="3866"/>
      <c r="H105" s="3866"/>
      <c r="I105" s="3866"/>
      <c r="J105" s="3866"/>
      <c r="K105" s="3866"/>
      <c r="L105" s="3866"/>
      <c r="M105" s="3866"/>
      <c r="N105" s="3866"/>
      <c r="O105" s="3866"/>
      <c r="P105" s="3866"/>
      <c r="Q105" s="3866"/>
      <c r="R105" s="3866"/>
      <c r="S105" s="3866"/>
      <c r="T105" s="3866"/>
      <c r="U105" s="3866"/>
      <c r="V105" s="3866"/>
      <c r="W105" s="3866"/>
      <c r="X105" s="3866"/>
      <c r="Y105" s="3866"/>
      <c r="Z105" s="3866"/>
      <c r="AA105" s="3866"/>
      <c r="AB105" s="3866"/>
      <c r="AC105" s="3866"/>
      <c r="AD105" s="3866"/>
      <c r="AE105" s="3866"/>
      <c r="AF105" s="3866"/>
      <c r="AG105" s="3866"/>
      <c r="AH105" s="3868"/>
      <c r="AI105" s="3868"/>
      <c r="AJ105" s="3868"/>
      <c r="AK105" s="3868"/>
      <c r="AL105" s="3868"/>
      <c r="AM105" s="3868"/>
      <c r="AN105" s="3868"/>
      <c r="AO105" s="3868"/>
      <c r="AP105" s="3868"/>
      <c r="AQ105" s="3868"/>
      <c r="AR105" s="3868"/>
      <c r="AS105" s="3868"/>
      <c r="AT105" s="3868"/>
      <c r="AU105" s="3868"/>
      <c r="AV105" s="3868"/>
      <c r="AW105" s="3868"/>
      <c r="AX105" s="3868"/>
      <c r="AY105" s="3868"/>
      <c r="AZ105" s="3868"/>
      <c r="BA105" s="2545"/>
      <c r="BB105" s="2545"/>
      <c r="BC105" s="1459"/>
      <c r="BG105" s="3750"/>
      <c r="BH105" s="3774"/>
      <c r="BI105" s="3751"/>
      <c r="BJ105" s="3861">
        <f t="shared" si="48"/>
        <v>4696.1390000000001</v>
      </c>
      <c r="BK105" s="4898" t="s">
        <v>1572</v>
      </c>
      <c r="BL105" s="4899"/>
      <c r="BM105" s="4899"/>
      <c r="BN105" s="3764">
        <f>SUM('Произв. прогр. Вода'!C14)</f>
        <v>4696.1390000000001</v>
      </c>
      <c r="BO105" s="3764">
        <f>SUM('Произв. прогр. Вода'!E14-('Произв. прогр. Вода'!D17/12))</f>
        <v>400.6747313403618</v>
      </c>
      <c r="BP105" s="3764">
        <f>SUM('Произв. прогр. Вода'!F14-('Произв. прогр. Вода'!D17/12))</f>
        <v>401.37605995400526</v>
      </c>
      <c r="BQ105" s="3764">
        <f>SUM('Произв. прогр. Вода'!G14-('Произв. прогр. Вода'!D17/12))</f>
        <v>403.15633298160213</v>
      </c>
      <c r="BR105" s="3764">
        <f>SUM(BO105:BQ105)</f>
        <v>1205.2071242759691</v>
      </c>
      <c r="BS105" s="3764">
        <f>SUM('Произв. прогр. Вода'!I14-('Произв. прогр. Вода'!D17/12))</f>
        <v>396.58057850919892</v>
      </c>
      <c r="BT105" s="3764">
        <f>SUM('Произв. прогр. Вода'!J14-('Произв. прогр. Вода'!D17/12))</f>
        <v>387.35201078842368</v>
      </c>
      <c r="BU105" s="3764">
        <f>SUM('Произв. прогр. Вода'!K14-('Произв. прогр. Вода'!D17/12))</f>
        <v>370.97888923322995</v>
      </c>
      <c r="BV105" s="3764">
        <f>SUM(BS105:BU105)</f>
        <v>1154.9114785308525</v>
      </c>
      <c r="BW105" s="3764">
        <f>SUM(BR105+BV105)</f>
        <v>2360.1186028068214</v>
      </c>
      <c r="BX105" s="3764">
        <f>SUM('Произв. прогр. Вода'!N14-('Произв. прогр. Вода'!D14/12))</f>
        <v>358.98685696211891</v>
      </c>
      <c r="BY105" s="3764">
        <f>SUM('Произв. прогр. Вода'!O14-('Произв. прогр. Вода'!D14/12))</f>
        <v>374.27437678516793</v>
      </c>
      <c r="BZ105" s="3764">
        <f>SUM('Произв. прогр. Вода'!P14-('Произв. прогр. Вода'!D14/12))</f>
        <v>393.2901645010852</v>
      </c>
      <c r="CA105" s="3764">
        <f>SUM(BX105:BZ105)</f>
        <v>1126.5513982483722</v>
      </c>
      <c r="CB105" s="3764">
        <f>SUM(BW105+CA105)</f>
        <v>3486.6700010551936</v>
      </c>
      <c r="CC105" s="3764">
        <f>SUM('Произв. прогр. Вода'!S14-('Произв. прогр. Вода'!D14/12))</f>
        <v>403.15633298160213</v>
      </c>
      <c r="CD105" s="3764">
        <f>SUM('Произв. прогр. Вода'!T14-('Произв. прогр. Вода'!D14/12))</f>
        <v>403.15633298160213</v>
      </c>
      <c r="CE105" s="3764">
        <f>SUM('Произв. прогр. Вода'!U14-('Произв. прогр. Вода'!D14/12))</f>
        <v>403.15633298160213</v>
      </c>
      <c r="CF105" s="3771">
        <f>SUM(CC105:CE105)</f>
        <v>1209.4689989448063</v>
      </c>
      <c r="CG105" s="2544">
        <f>SUM(BO105+BP105+BQ105+BS105+BT105+BU105+BX105+BY105+BZ105+CC105+CD105+CE105)</f>
        <v>4696.1390000000001</v>
      </c>
      <c r="CH105" s="2545">
        <f>SUM(BR105+BV105+CA105+CF105)</f>
        <v>4696.1390000000001</v>
      </c>
    </row>
    <row r="106" spans="1:87" ht="19.5" thickBot="1">
      <c r="A106" s="3773"/>
      <c r="B106" s="3867"/>
      <c r="C106" s="3867"/>
      <c r="D106" s="3867"/>
      <c r="E106" s="3867"/>
      <c r="F106" s="3867"/>
      <c r="G106" s="3867"/>
      <c r="H106" s="3867"/>
      <c r="I106" s="3867"/>
      <c r="J106" s="3867"/>
      <c r="K106" s="3867"/>
      <c r="L106" s="3867"/>
      <c r="M106" s="3867"/>
      <c r="N106" s="3867"/>
      <c r="O106" s="3867"/>
      <c r="P106" s="3867"/>
      <c r="Q106" s="3867"/>
      <c r="R106" s="3867"/>
      <c r="S106" s="3867"/>
      <c r="T106" s="3867"/>
      <c r="U106" s="3867"/>
      <c r="V106" s="3867"/>
      <c r="W106" s="3867"/>
      <c r="X106" s="3867"/>
      <c r="Y106" s="3867"/>
      <c r="Z106" s="3867"/>
      <c r="AA106" s="3867"/>
      <c r="AB106" s="3867"/>
      <c r="AC106" s="3867"/>
      <c r="AD106" s="3867"/>
      <c r="AE106" s="3867"/>
      <c r="AF106" s="3867"/>
      <c r="AG106" s="3867"/>
      <c r="AH106" s="3867"/>
      <c r="AI106" s="3867"/>
      <c r="AJ106" s="3867"/>
      <c r="AK106" s="3867"/>
      <c r="AL106" s="3867"/>
      <c r="AM106" s="3867"/>
      <c r="AN106" s="3867"/>
      <c r="AO106" s="3867"/>
      <c r="AP106" s="3867"/>
      <c r="AQ106" s="3867"/>
      <c r="AR106" s="3867"/>
      <c r="AS106" s="3867"/>
      <c r="AT106" s="3867"/>
      <c r="AU106" s="3867"/>
      <c r="AV106" s="3867"/>
      <c r="AW106" s="3867"/>
      <c r="AX106" s="3867"/>
      <c r="AY106" s="3867"/>
      <c r="AZ106" s="3867"/>
      <c r="BA106" s="3865"/>
      <c r="BB106" s="3865"/>
      <c r="BC106" s="1459"/>
      <c r="BG106" s="3750"/>
      <c r="BH106" s="3773"/>
      <c r="BI106" s="3751"/>
      <c r="BJ106" s="3861">
        <f t="shared" si="48"/>
        <v>0</v>
      </c>
      <c r="BK106" s="4897" t="s">
        <v>1573</v>
      </c>
      <c r="BL106" s="4468"/>
      <c r="BM106" s="4468"/>
      <c r="BN106" s="4468"/>
      <c r="BO106" s="4468"/>
      <c r="BP106" s="4468"/>
      <c r="BQ106" s="4468"/>
      <c r="BR106" s="4468"/>
      <c r="BS106" s="4468"/>
      <c r="BT106" s="4468"/>
      <c r="BU106" s="4468"/>
      <c r="BV106" s="4468"/>
      <c r="BW106" s="4468"/>
      <c r="BX106" s="4468"/>
      <c r="BY106" s="4468"/>
      <c r="BZ106" s="4468"/>
      <c r="CA106" s="4468"/>
      <c r="CB106" s="4468"/>
      <c r="CC106" s="4468"/>
      <c r="CD106" s="4468"/>
      <c r="CE106" s="4468"/>
      <c r="CF106" s="4469"/>
      <c r="CG106" s="128"/>
      <c r="CH106" s="128"/>
    </row>
    <row r="107" spans="1:87" ht="18.75">
      <c r="A107" s="3774"/>
      <c r="B107" s="3866"/>
      <c r="C107" s="3866"/>
      <c r="D107" s="3866"/>
      <c r="E107" s="3866"/>
      <c r="F107" s="3866"/>
      <c r="G107" s="3866"/>
      <c r="H107" s="3866"/>
      <c r="I107" s="3866"/>
      <c r="J107" s="3866"/>
      <c r="K107" s="3866"/>
      <c r="L107" s="3866"/>
      <c r="M107" s="3866"/>
      <c r="N107" s="3866"/>
      <c r="O107" s="3866"/>
      <c r="P107" s="3866"/>
      <c r="Q107" s="3866"/>
      <c r="R107" s="3866"/>
      <c r="S107" s="3866"/>
      <c r="T107" s="3866"/>
      <c r="U107" s="3866"/>
      <c r="V107" s="3866"/>
      <c r="W107" s="3866"/>
      <c r="X107" s="3866"/>
      <c r="Y107" s="3866"/>
      <c r="Z107" s="3866"/>
      <c r="AA107" s="3866"/>
      <c r="AB107" s="3866"/>
      <c r="AC107" s="3866"/>
      <c r="AD107" s="3866"/>
      <c r="AE107" s="3866"/>
      <c r="AF107" s="3866"/>
      <c r="AG107" s="3866"/>
      <c r="AH107" s="3868"/>
      <c r="AI107" s="3868"/>
      <c r="AJ107" s="3868"/>
      <c r="AK107" s="3868"/>
      <c r="AL107" s="3868"/>
      <c r="AM107" s="3868"/>
      <c r="AN107" s="3868"/>
      <c r="AO107" s="3868"/>
      <c r="AP107" s="3868"/>
      <c r="AQ107" s="3868"/>
      <c r="AR107" s="3868"/>
      <c r="AS107" s="3868"/>
      <c r="AT107" s="3868"/>
      <c r="AU107" s="3868"/>
      <c r="AV107" s="3868"/>
      <c r="AW107" s="3868"/>
      <c r="AX107" s="3868"/>
      <c r="AY107" s="3868"/>
      <c r="AZ107" s="3868"/>
      <c r="BA107" s="2545"/>
      <c r="BB107" s="2545"/>
      <c r="BC107" s="1459"/>
      <c r="BG107" s="3750"/>
      <c r="BH107" s="3774"/>
      <c r="BI107" s="3751"/>
      <c r="BJ107" s="3861">
        <f t="shared" si="48"/>
        <v>1827.3</v>
      </c>
      <c r="BK107" s="4887" t="s">
        <v>1574</v>
      </c>
      <c r="BL107" s="4900"/>
      <c r="BM107" s="4900"/>
      <c r="BN107" s="2554">
        <f>SUM(BN94+BN102)</f>
        <v>1827.3</v>
      </c>
      <c r="BO107" s="2554">
        <f t="shared" ref="BO107:CF107" si="53">SUM(BO94+BO102)</f>
        <v>155.68983915620942</v>
      </c>
      <c r="BP107" s="2554">
        <f t="shared" si="53"/>
        <v>155.946534974401</v>
      </c>
      <c r="BQ107" s="2554">
        <f t="shared" si="53"/>
        <v>156.59813913332621</v>
      </c>
      <c r="BR107" s="2554">
        <f t="shared" si="53"/>
        <v>468.23451326393661</v>
      </c>
      <c r="BS107" s="2554">
        <f t="shared" si="53"/>
        <v>154.19132349557376</v>
      </c>
      <c r="BT107" s="2554">
        <f t="shared" si="53"/>
        <v>150.81354210217845</v>
      </c>
      <c r="BU107" s="2554">
        <f t="shared" si="53"/>
        <v>144.82075676275559</v>
      </c>
      <c r="BV107" s="2554">
        <f t="shared" si="53"/>
        <v>449.82562236050779</v>
      </c>
      <c r="BW107" s="2554">
        <f t="shared" si="53"/>
        <v>918.06013562444446</v>
      </c>
      <c r="BX107" s="2554">
        <f t="shared" si="53"/>
        <v>140.43150973115317</v>
      </c>
      <c r="BY107" s="2554">
        <f t="shared" si="53"/>
        <v>146.02695006077334</v>
      </c>
      <c r="BZ107" s="2554">
        <f t="shared" si="53"/>
        <v>152.98698718365034</v>
      </c>
      <c r="CA107" s="2554">
        <f t="shared" si="53"/>
        <v>439.44544697557689</v>
      </c>
      <c r="CB107" s="2554">
        <f t="shared" si="53"/>
        <v>1357.5055826000212</v>
      </c>
      <c r="CC107" s="2554">
        <f t="shared" si="53"/>
        <v>156.59813913332621</v>
      </c>
      <c r="CD107" s="2554">
        <f t="shared" si="53"/>
        <v>156.59813913332621</v>
      </c>
      <c r="CE107" s="2554">
        <f t="shared" si="53"/>
        <v>156.59813913332621</v>
      </c>
      <c r="CF107" s="2558">
        <f t="shared" si="53"/>
        <v>469.79441739997867</v>
      </c>
      <c r="CG107" s="2544">
        <f>SUM(BO107+BP107+BQ107+BS107+BT107+BU107+BX107+BY107+BZ107+CC107+CD107+CE107)</f>
        <v>1827.3</v>
      </c>
      <c r="CH107" s="2545">
        <f>SUM(BR107+BV107+CA107+CF107)</f>
        <v>1827.3000000000002</v>
      </c>
    </row>
    <row r="108" spans="1:87" ht="18.75">
      <c r="A108" s="3869"/>
      <c r="B108" s="3866"/>
      <c r="C108" s="3866"/>
      <c r="D108" s="3866"/>
      <c r="E108" s="3866"/>
      <c r="F108" s="3866"/>
      <c r="G108" s="3866"/>
      <c r="H108" s="3866"/>
      <c r="I108" s="3866"/>
      <c r="J108" s="3866"/>
      <c r="K108" s="3866"/>
      <c r="L108" s="3866"/>
      <c r="M108" s="3866"/>
      <c r="N108" s="3866"/>
      <c r="O108" s="3866"/>
      <c r="P108" s="3866"/>
      <c r="Q108" s="3866"/>
      <c r="R108" s="3866"/>
      <c r="S108" s="3866"/>
      <c r="T108" s="3866"/>
      <c r="U108" s="3866"/>
      <c r="V108" s="3866"/>
      <c r="W108" s="3866"/>
      <c r="X108" s="3866"/>
      <c r="Y108" s="3866"/>
      <c r="Z108" s="3866"/>
      <c r="AA108" s="3866"/>
      <c r="AB108" s="3866"/>
      <c r="AC108" s="3866"/>
      <c r="AD108" s="3866"/>
      <c r="AE108" s="3866"/>
      <c r="AF108" s="3866"/>
      <c r="AG108" s="3866"/>
      <c r="AH108" s="3870"/>
      <c r="AI108" s="3870"/>
      <c r="AJ108" s="3870"/>
      <c r="AK108" s="3870"/>
      <c r="AL108" s="3870"/>
      <c r="AM108" s="3870"/>
      <c r="AN108" s="3870"/>
      <c r="AO108" s="3870"/>
      <c r="AP108" s="3870"/>
      <c r="AQ108" s="3870"/>
      <c r="AR108" s="3870"/>
      <c r="AS108" s="3870"/>
      <c r="AT108" s="3870"/>
      <c r="AU108" s="3870"/>
      <c r="AV108" s="3870"/>
      <c r="AW108" s="3870"/>
      <c r="AX108" s="3870"/>
      <c r="AY108" s="3870"/>
      <c r="AZ108" s="3870"/>
      <c r="BA108" s="2547"/>
      <c r="BB108" s="2547"/>
      <c r="BC108" s="1459"/>
      <c r="BG108" s="3750"/>
      <c r="BH108" s="3775"/>
      <c r="BI108" s="3751"/>
      <c r="BJ108" s="3861">
        <f t="shared" si="48"/>
        <v>4.8163481509217112</v>
      </c>
      <c r="BK108" s="4881" t="s">
        <v>1575</v>
      </c>
      <c r="BL108" s="4865"/>
      <c r="BM108" s="4865"/>
      <c r="BN108" s="3765">
        <f>SUM(BN109/BN107)</f>
        <v>4.8154982761451324</v>
      </c>
      <c r="BO108" s="3765">
        <f t="shared" ref="BO108:CF108" si="54">SUM(BO109/BO107)</f>
        <v>4.6530951325282324</v>
      </c>
      <c r="BP108" s="3765">
        <f t="shared" si="54"/>
        <v>4.6530137734683192</v>
      </c>
      <c r="BQ108" s="3765">
        <f t="shared" si="54"/>
        <v>4.6528084471364446</v>
      </c>
      <c r="BR108" s="3765">
        <f t="shared" si="54"/>
        <v>4.6529721555568182</v>
      </c>
      <c r="BS108" s="3765">
        <f t="shared" si="54"/>
        <v>4.6535754896206099</v>
      </c>
      <c r="BT108" s="3765">
        <f t="shared" si="54"/>
        <v>4.6546932646158652</v>
      </c>
      <c r="BU108" s="3765">
        <f t="shared" si="54"/>
        <v>4.6568047141043154</v>
      </c>
      <c r="BV108" s="3765">
        <f t="shared" si="54"/>
        <v>4.6549898917981825</v>
      </c>
      <c r="BW108" s="3765">
        <f t="shared" si="54"/>
        <v>4.6539607939099188</v>
      </c>
      <c r="BX108" s="3765">
        <f t="shared" si="54"/>
        <v>4.9829002978572126</v>
      </c>
      <c r="BY108" s="3765">
        <f t="shared" si="54"/>
        <v>4.9806538759435144</v>
      </c>
      <c r="BZ108" s="3765">
        <f t="shared" si="54"/>
        <v>4.9780889272223003</v>
      </c>
      <c r="CA108" s="3765">
        <f t="shared" si="54"/>
        <v>4.9804788022072062</v>
      </c>
      <c r="CB108" s="3765">
        <f t="shared" si="54"/>
        <v>4.7627432689510432</v>
      </c>
      <c r="CC108" s="3765">
        <f t="shared" si="54"/>
        <v>4.9768479628545679</v>
      </c>
      <c r="CD108" s="3765">
        <f t="shared" si="54"/>
        <v>4.9768479628545679</v>
      </c>
      <c r="CE108" s="3765">
        <f t="shared" si="54"/>
        <v>4.9768479628545679</v>
      </c>
      <c r="CF108" s="3766">
        <f t="shared" si="54"/>
        <v>4.9768479628545679</v>
      </c>
      <c r="CG108" s="2546">
        <f>SUM(BO108+BP108+BQ108+BS108+BT108+BU108+BX108+BY108+BZ108+CC108+CD108+CE108)/12</f>
        <v>4.8163481509217112</v>
      </c>
      <c r="CH108" s="2547">
        <f>SUM(BR108+BV108+CA108+CF108)/4</f>
        <v>4.8163222031041935</v>
      </c>
    </row>
    <row r="109" spans="1:87" ht="19.5" thickBot="1">
      <c r="A109" s="3774"/>
      <c r="B109" s="3866"/>
      <c r="C109" s="3866"/>
      <c r="D109" s="3866"/>
      <c r="E109" s="3866"/>
      <c r="F109" s="3866"/>
      <c r="G109" s="3866"/>
      <c r="H109" s="3866"/>
      <c r="I109" s="3866"/>
      <c r="J109" s="3866"/>
      <c r="K109" s="3866"/>
      <c r="L109" s="3866"/>
      <c r="M109" s="3866"/>
      <c r="N109" s="3866"/>
      <c r="O109" s="3866"/>
      <c r="P109" s="3866"/>
      <c r="Q109" s="3866"/>
      <c r="R109" s="3866"/>
      <c r="S109" s="3866"/>
      <c r="T109" s="3866"/>
      <c r="U109" s="3866"/>
      <c r="V109" s="3866"/>
      <c r="W109" s="3866"/>
      <c r="X109" s="3866"/>
      <c r="Y109" s="3866"/>
      <c r="Z109" s="3866"/>
      <c r="AA109" s="3866"/>
      <c r="AB109" s="3866"/>
      <c r="AC109" s="3866"/>
      <c r="AD109" s="3866"/>
      <c r="AE109" s="3866"/>
      <c r="AF109" s="3866"/>
      <c r="AG109" s="3866"/>
      <c r="AH109" s="3868"/>
      <c r="AI109" s="3868"/>
      <c r="AJ109" s="3868"/>
      <c r="AK109" s="3868"/>
      <c r="AL109" s="3868"/>
      <c r="AM109" s="3868"/>
      <c r="AN109" s="3868"/>
      <c r="AO109" s="3868"/>
      <c r="AP109" s="3868"/>
      <c r="AQ109" s="3868"/>
      <c r="AR109" s="3868"/>
      <c r="AS109" s="3868"/>
      <c r="AT109" s="3868"/>
      <c r="AU109" s="3868"/>
      <c r="AV109" s="3868"/>
      <c r="AW109" s="3868"/>
      <c r="AX109" s="3868"/>
      <c r="AY109" s="3868"/>
      <c r="AZ109" s="3868"/>
      <c r="BA109" s="2545"/>
      <c r="BB109" s="2545"/>
      <c r="BC109" s="1459"/>
      <c r="BG109" s="3750"/>
      <c r="BH109" s="3774"/>
      <c r="BI109" s="3751"/>
      <c r="BJ109" s="3861">
        <f t="shared" si="48"/>
        <v>8799.3600002336516</v>
      </c>
      <c r="BK109" s="4901" t="s">
        <v>1576</v>
      </c>
      <c r="BL109" s="4899"/>
      <c r="BM109" s="4899"/>
      <c r="BN109" s="3767">
        <f>SUM(BN96+BN104)</f>
        <v>8799.36</v>
      </c>
      <c r="BO109" s="3767">
        <f t="shared" ref="BO109:CF109" si="55">SUM(BO96+BO104)</f>
        <v>724.43963276186139</v>
      </c>
      <c r="BP109" s="3767">
        <f t="shared" si="55"/>
        <v>725.6213751605469</v>
      </c>
      <c r="BQ109" s="3767">
        <f t="shared" si="55"/>
        <v>728.62114456538848</v>
      </c>
      <c r="BR109" s="3767">
        <f t="shared" si="55"/>
        <v>2178.6821524877969</v>
      </c>
      <c r="BS109" s="3767">
        <f t="shared" si="55"/>
        <v>717.54096373116442</v>
      </c>
      <c r="BT109" s="3767">
        <f t="shared" si="55"/>
        <v>701.99077863587127</v>
      </c>
      <c r="BU109" s="3767">
        <f t="shared" si="55"/>
        <v>674.40198279295464</v>
      </c>
      <c r="BV109" s="3767">
        <f t="shared" si="55"/>
        <v>2093.9337251599904</v>
      </c>
      <c r="BW109" s="3767">
        <f t="shared" si="55"/>
        <v>4272.6158776477869</v>
      </c>
      <c r="BX109" s="3767">
        <f t="shared" si="55"/>
        <v>699.7562116679012</v>
      </c>
      <c r="BY109" s="3767">
        <f t="shared" si="55"/>
        <v>727.30969481240072</v>
      </c>
      <c r="BZ109" s="3767">
        <f t="shared" si="55"/>
        <v>761.58282690802969</v>
      </c>
      <c r="CA109" s="3767">
        <f t="shared" si="55"/>
        <v>2188.6487333883315</v>
      </c>
      <c r="CB109" s="3767">
        <f t="shared" si="55"/>
        <v>6465.4505760917154</v>
      </c>
      <c r="CC109" s="3767">
        <f t="shared" si="55"/>
        <v>779.3651297325107</v>
      </c>
      <c r="CD109" s="3767">
        <f t="shared" si="55"/>
        <v>779.3651297325107</v>
      </c>
      <c r="CE109" s="3767">
        <f t="shared" si="55"/>
        <v>779.3651297325107</v>
      </c>
      <c r="CF109" s="3768">
        <f t="shared" si="55"/>
        <v>2338.0953891975323</v>
      </c>
      <c r="CG109" s="2544">
        <f>SUM(BO109+BP109+BQ109+BS109+BT109+BU109+BX109+BY109+BZ109+CC109+CD109+CE109)</f>
        <v>8799.3600002336516</v>
      </c>
      <c r="CH109" s="2545">
        <f>SUM(BR109+BV109+CA109+CF109)</f>
        <v>8799.3600002336516</v>
      </c>
    </row>
    <row r="110" spans="1:87" ht="19.5" thickBot="1">
      <c r="A110" s="3773"/>
      <c r="B110" s="3867"/>
      <c r="C110" s="3867"/>
      <c r="D110" s="3867"/>
      <c r="E110" s="3867"/>
      <c r="F110" s="3867"/>
      <c r="G110" s="3867"/>
      <c r="H110" s="3867"/>
      <c r="I110" s="3867"/>
      <c r="J110" s="3867"/>
      <c r="K110" s="3867"/>
      <c r="L110" s="3867"/>
      <c r="M110" s="3867"/>
      <c r="N110" s="3867"/>
      <c r="O110" s="3867"/>
      <c r="P110" s="3867"/>
      <c r="Q110" s="3867"/>
      <c r="R110" s="3867"/>
      <c r="S110" s="3867"/>
      <c r="T110" s="3867"/>
      <c r="U110" s="3867"/>
      <c r="V110" s="3867"/>
      <c r="W110" s="3867"/>
      <c r="X110" s="3867"/>
      <c r="Y110" s="3867"/>
      <c r="Z110" s="3867"/>
      <c r="AA110" s="3867"/>
      <c r="AB110" s="3867"/>
      <c r="AC110" s="3867"/>
      <c r="AD110" s="3867"/>
      <c r="AE110" s="3867"/>
      <c r="AF110" s="3867"/>
      <c r="AG110" s="3867"/>
      <c r="AH110" s="3867"/>
      <c r="AI110" s="3867"/>
      <c r="AJ110" s="3867"/>
      <c r="AK110" s="3867"/>
      <c r="AL110" s="3867"/>
      <c r="AM110" s="3867"/>
      <c r="AN110" s="3867"/>
      <c r="AO110" s="3867"/>
      <c r="AP110" s="3867"/>
      <c r="AQ110" s="3867"/>
      <c r="AR110" s="3867"/>
      <c r="AS110" s="3867"/>
      <c r="AT110" s="3867"/>
      <c r="AU110" s="3867"/>
      <c r="AV110" s="3867"/>
      <c r="AW110" s="3867"/>
      <c r="AX110" s="3867"/>
      <c r="AY110" s="3867"/>
      <c r="AZ110" s="3867"/>
      <c r="BA110" s="3865"/>
      <c r="BB110" s="3865"/>
      <c r="BC110" s="1459"/>
      <c r="BG110" s="3750"/>
      <c r="BH110" s="3773"/>
      <c r="BI110" s="3751"/>
      <c r="BJ110" s="3861">
        <f t="shared" si="48"/>
        <v>0</v>
      </c>
      <c r="BK110" s="4897" t="s">
        <v>406</v>
      </c>
      <c r="BL110" s="4468"/>
      <c r="BM110" s="4468"/>
      <c r="BN110" s="4468"/>
      <c r="BO110" s="4468"/>
      <c r="BP110" s="4468"/>
      <c r="BQ110" s="4468"/>
      <c r="BR110" s="4468"/>
      <c r="BS110" s="4468"/>
      <c r="BT110" s="4468"/>
      <c r="BU110" s="4468"/>
      <c r="BV110" s="4468"/>
      <c r="BW110" s="4468"/>
      <c r="BX110" s="4468"/>
      <c r="BY110" s="4468"/>
      <c r="BZ110" s="4468"/>
      <c r="CA110" s="4468"/>
      <c r="CB110" s="4468"/>
      <c r="CC110" s="4468"/>
      <c r="CD110" s="4468"/>
      <c r="CE110" s="4468"/>
      <c r="CF110" s="4469"/>
      <c r="CG110" s="128"/>
      <c r="CH110" s="128"/>
    </row>
    <row r="111" spans="1:87" ht="18.75">
      <c r="A111" s="3774"/>
      <c r="B111" s="3866"/>
      <c r="C111" s="3866"/>
      <c r="D111" s="3866"/>
      <c r="E111" s="3866"/>
      <c r="F111" s="3866"/>
      <c r="G111" s="3866"/>
      <c r="H111" s="3866"/>
      <c r="I111" s="3866"/>
      <c r="J111" s="3866"/>
      <c r="K111" s="3866"/>
      <c r="L111" s="3866"/>
      <c r="M111" s="3866"/>
      <c r="N111" s="3866"/>
      <c r="O111" s="3866"/>
      <c r="P111" s="3866"/>
      <c r="Q111" s="3866"/>
      <c r="R111" s="3866"/>
      <c r="S111" s="3866"/>
      <c r="T111" s="3866"/>
      <c r="U111" s="3866"/>
      <c r="V111" s="3866"/>
      <c r="W111" s="3866"/>
      <c r="X111" s="3866"/>
      <c r="Y111" s="3866"/>
      <c r="Z111" s="3866"/>
      <c r="AA111" s="3866"/>
      <c r="AB111" s="3866"/>
      <c r="AC111" s="3866"/>
      <c r="AD111" s="3866"/>
      <c r="AE111" s="3866"/>
      <c r="AF111" s="3866"/>
      <c r="AG111" s="3866"/>
      <c r="AH111" s="3868"/>
      <c r="AI111" s="3868"/>
      <c r="AJ111" s="3868"/>
      <c r="AK111" s="3868"/>
      <c r="AL111" s="3868"/>
      <c r="AM111" s="3868"/>
      <c r="AN111" s="3868"/>
      <c r="AO111" s="3868"/>
      <c r="AP111" s="3868"/>
      <c r="AQ111" s="3868"/>
      <c r="AR111" s="3868"/>
      <c r="AS111" s="3868"/>
      <c r="AT111" s="3868"/>
      <c r="AU111" s="3868"/>
      <c r="AV111" s="3868"/>
      <c r="AW111" s="3868"/>
      <c r="AX111" s="3868"/>
      <c r="AY111" s="3868"/>
      <c r="AZ111" s="3868"/>
      <c r="BA111" s="2545"/>
      <c r="BB111" s="2545"/>
      <c r="BC111" s="1459"/>
      <c r="BG111" s="3750"/>
      <c r="BH111" s="3774"/>
      <c r="BI111" s="3751"/>
      <c r="BJ111" s="3861">
        <f t="shared" si="48"/>
        <v>276.8</v>
      </c>
      <c r="BK111" s="4889" t="s">
        <v>1577</v>
      </c>
      <c r="BL111" s="4888"/>
      <c r="BM111" s="4888"/>
      <c r="BN111" s="2531">
        <f>SUM(BY52)</f>
        <v>276.8</v>
      </c>
      <c r="BO111" s="2532">
        <f>SUM(BN111/12)</f>
        <v>23.066666666666666</v>
      </c>
      <c r="BP111" s="2532">
        <f>SUM(BO111)</f>
        <v>23.066666666666666</v>
      </c>
      <c r="BQ111" s="2532">
        <f>SUM(BO111)</f>
        <v>23.066666666666666</v>
      </c>
      <c r="BR111" s="2531">
        <f>SUM(BO111:BQ111)</f>
        <v>69.2</v>
      </c>
      <c r="BS111" s="2532">
        <f>SUM(BO111)</f>
        <v>23.066666666666666</v>
      </c>
      <c r="BT111" s="2532">
        <f>SUM(BO111)</f>
        <v>23.066666666666666</v>
      </c>
      <c r="BU111" s="2532">
        <f>SUM(BO111)</f>
        <v>23.066666666666666</v>
      </c>
      <c r="BV111" s="2531">
        <f>SUM(BS111:BU111)</f>
        <v>69.2</v>
      </c>
      <c r="BW111" s="2531">
        <f>SUM(BR111+BV111)</f>
        <v>138.4</v>
      </c>
      <c r="BX111" s="2532">
        <f>SUM(BO111)</f>
        <v>23.066666666666666</v>
      </c>
      <c r="BY111" s="2532">
        <f>SUM(BO111)</f>
        <v>23.066666666666666</v>
      </c>
      <c r="BZ111" s="2532">
        <f>SUM(BO111)</f>
        <v>23.066666666666666</v>
      </c>
      <c r="CA111" s="2531">
        <f>SUM(BX111:BZ111)</f>
        <v>69.2</v>
      </c>
      <c r="CB111" s="2531">
        <f>SUM(BW111+CA111)</f>
        <v>207.60000000000002</v>
      </c>
      <c r="CC111" s="2532">
        <f>SUM(BO111)</f>
        <v>23.066666666666666</v>
      </c>
      <c r="CD111" s="2532">
        <f>SUM(BO111)</f>
        <v>23.066666666666666</v>
      </c>
      <c r="CE111" s="2532">
        <f>SUM(BO111)</f>
        <v>23.066666666666666</v>
      </c>
      <c r="CF111" s="2533">
        <f>SUM(CC111:CE111)</f>
        <v>69.2</v>
      </c>
      <c r="CG111" s="2544">
        <f>SUM(BO111+BP111+BQ111+BS111+BT111+BU111+BX111+BY111+BZ111+CC111+CD111+CE111)</f>
        <v>276.8</v>
      </c>
      <c r="CH111" s="2545">
        <f>SUM(BR111+BV111+CA111+CF111)</f>
        <v>276.8</v>
      </c>
    </row>
    <row r="112" spans="1:87" ht="18.75">
      <c r="A112" s="3869"/>
      <c r="B112" s="3866"/>
      <c r="C112" s="3866"/>
      <c r="D112" s="3866"/>
      <c r="E112" s="3866"/>
      <c r="F112" s="3866"/>
      <c r="G112" s="3866"/>
      <c r="H112" s="3866"/>
      <c r="I112" s="3866"/>
      <c r="J112" s="3866"/>
      <c r="K112" s="3866"/>
      <c r="L112" s="3866"/>
      <c r="M112" s="3866"/>
      <c r="N112" s="3866"/>
      <c r="O112" s="3866"/>
      <c r="P112" s="3866"/>
      <c r="Q112" s="3866"/>
      <c r="R112" s="3866"/>
      <c r="S112" s="3866"/>
      <c r="T112" s="3866"/>
      <c r="U112" s="3866"/>
      <c r="V112" s="3866"/>
      <c r="W112" s="3866"/>
      <c r="X112" s="3866"/>
      <c r="Y112" s="3866"/>
      <c r="Z112" s="3866"/>
      <c r="AA112" s="3866"/>
      <c r="AB112" s="3866"/>
      <c r="AC112" s="3866"/>
      <c r="AD112" s="3866"/>
      <c r="AE112" s="3866"/>
      <c r="AF112" s="3866"/>
      <c r="AG112" s="3866"/>
      <c r="AH112" s="3870"/>
      <c r="AI112" s="3870"/>
      <c r="AJ112" s="3870"/>
      <c r="AK112" s="3870"/>
      <c r="AL112" s="3870"/>
      <c r="AM112" s="3870"/>
      <c r="AN112" s="3870"/>
      <c r="AO112" s="3870"/>
      <c r="AP112" s="3870"/>
      <c r="AQ112" s="3870"/>
      <c r="AR112" s="3870"/>
      <c r="AS112" s="3870"/>
      <c r="AT112" s="3870"/>
      <c r="AU112" s="3870"/>
      <c r="AV112" s="3870"/>
      <c r="AW112" s="3870"/>
      <c r="AX112" s="3870"/>
      <c r="AY112" s="3870"/>
      <c r="AZ112" s="3870"/>
      <c r="BA112" s="2547"/>
      <c r="BB112" s="2547"/>
      <c r="BC112" s="1459"/>
      <c r="BG112" s="3750"/>
      <c r="BH112" s="3775"/>
      <c r="BI112" s="3751"/>
      <c r="BJ112" s="3861">
        <f t="shared" si="48"/>
        <v>5.6593799999999996</v>
      </c>
      <c r="BK112" s="4890" t="s">
        <v>1565</v>
      </c>
      <c r="BL112" s="4882"/>
      <c r="BM112" s="4882"/>
      <c r="BN112" s="3759">
        <f>SUM(BX52)</f>
        <v>5.6593930635838143</v>
      </c>
      <c r="BO112" s="3758">
        <v>5.468</v>
      </c>
      <c r="BP112" s="3758">
        <f>SUM(BO112)</f>
        <v>5.468</v>
      </c>
      <c r="BQ112" s="3758">
        <f>SUM(BO112)</f>
        <v>5.468</v>
      </c>
      <c r="BR112" s="3759">
        <f>SUM(BO112:BQ112)/3</f>
        <v>5.468</v>
      </c>
      <c r="BS112" s="3758">
        <f>SUM(BO112)</f>
        <v>5.468</v>
      </c>
      <c r="BT112" s="3758">
        <f>SUM(BO112)</f>
        <v>5.468</v>
      </c>
      <c r="BU112" s="3758">
        <f>SUM(BO112)</f>
        <v>5.468</v>
      </c>
      <c r="BV112" s="3759">
        <f>SUM(BS112:BU112)/3</f>
        <v>5.468</v>
      </c>
      <c r="BW112" s="3759">
        <f>SUM(BO112+BP112+BQ112+BS112+BT112+BU112)/6</f>
        <v>5.468</v>
      </c>
      <c r="BX112" s="3758">
        <f>SUM(BU112*1.07)</f>
        <v>5.8507600000000002</v>
      </c>
      <c r="BY112" s="3758">
        <f>SUM(BX112)</f>
        <v>5.8507600000000002</v>
      </c>
      <c r="BZ112" s="3758">
        <f>SUM(BX112)</f>
        <v>5.8507600000000002</v>
      </c>
      <c r="CA112" s="3759">
        <f>SUM(BX112:BZ112)/3</f>
        <v>5.8507600000000002</v>
      </c>
      <c r="CB112" s="3759">
        <f>SUM(BO112+BP112+BQ112+BS112+BT112+BU112+BX112+BY112+BZ112)/9</f>
        <v>5.5955866666666667</v>
      </c>
      <c r="CC112" s="3758">
        <f>SUM(BX112)</f>
        <v>5.8507600000000002</v>
      </c>
      <c r="CD112" s="3758">
        <f>SUM(BX112)</f>
        <v>5.8507600000000002</v>
      </c>
      <c r="CE112" s="3758">
        <f>SUM(BX112)</f>
        <v>5.8507600000000002</v>
      </c>
      <c r="CF112" s="3760">
        <f>SUM(CC112:CE112)/3</f>
        <v>5.8507600000000002</v>
      </c>
      <c r="CG112" s="2546">
        <f>SUM(BO112+BP112+BQ112+BS112+BT112+BU112+BX112+BY112+BZ112+CC112+CD112+CE112)/12</f>
        <v>5.6593799999999996</v>
      </c>
      <c r="CH112" s="2547">
        <f>SUM(BR112+BV112+CA112+CF112)/4</f>
        <v>5.6593800000000005</v>
      </c>
    </row>
    <row r="113" spans="1:87" ht="18.75">
      <c r="A113" s="3774"/>
      <c r="B113" s="3866"/>
      <c r="C113" s="3866"/>
      <c r="D113" s="3866"/>
      <c r="E113" s="3866"/>
      <c r="F113" s="3866"/>
      <c r="G113" s="3866"/>
      <c r="H113" s="3866"/>
      <c r="I113" s="3866"/>
      <c r="J113" s="3866"/>
      <c r="K113" s="3866"/>
      <c r="L113" s="3866"/>
      <c r="M113" s="3866"/>
      <c r="N113" s="3866"/>
      <c r="O113" s="3866"/>
      <c r="P113" s="3866"/>
      <c r="Q113" s="3866"/>
      <c r="R113" s="3866"/>
      <c r="S113" s="3866"/>
      <c r="T113" s="3866"/>
      <c r="U113" s="3866"/>
      <c r="V113" s="3866"/>
      <c r="W113" s="3866"/>
      <c r="X113" s="3866"/>
      <c r="Y113" s="3866"/>
      <c r="Z113" s="3866"/>
      <c r="AA113" s="3866"/>
      <c r="AB113" s="3866"/>
      <c r="AC113" s="3866"/>
      <c r="AD113" s="3866"/>
      <c r="AE113" s="3866"/>
      <c r="AF113" s="3866"/>
      <c r="AG113" s="3866"/>
      <c r="AH113" s="3868"/>
      <c r="AI113" s="3868"/>
      <c r="AJ113" s="3868"/>
      <c r="AK113" s="3868"/>
      <c r="AL113" s="3868"/>
      <c r="AM113" s="3868"/>
      <c r="AN113" s="3868"/>
      <c r="AO113" s="3868"/>
      <c r="AP113" s="3868"/>
      <c r="AQ113" s="3868"/>
      <c r="AR113" s="3868"/>
      <c r="AS113" s="3868"/>
      <c r="AT113" s="3868"/>
      <c r="AU113" s="3868"/>
      <c r="AV113" s="3868"/>
      <c r="AW113" s="3868"/>
      <c r="AX113" s="3868"/>
      <c r="AY113" s="3868"/>
      <c r="AZ113" s="3868"/>
      <c r="BA113" s="2545"/>
      <c r="BB113" s="2545"/>
      <c r="BC113" s="1459"/>
      <c r="BG113" s="3750"/>
      <c r="BH113" s="3774"/>
      <c r="BI113" s="3751"/>
      <c r="BJ113" s="3861">
        <f t="shared" si="48"/>
        <v>1566.516384</v>
      </c>
      <c r="BK113" s="4891" t="s">
        <v>1566</v>
      </c>
      <c r="BL113" s="4882"/>
      <c r="BM113" s="4882"/>
      <c r="BN113" s="3762">
        <f>SUM(BN111*BN112)</f>
        <v>1566.52</v>
      </c>
      <c r="BO113" s="3761">
        <f t="shared" ref="BO113:CG113" si="56">SUM(BO111*BO112)</f>
        <v>126.12853333333334</v>
      </c>
      <c r="BP113" s="3761">
        <f t="shared" si="56"/>
        <v>126.12853333333334</v>
      </c>
      <c r="BQ113" s="3761">
        <f t="shared" si="56"/>
        <v>126.12853333333334</v>
      </c>
      <c r="BR113" s="3762">
        <f t="shared" si="56"/>
        <v>378.38560000000001</v>
      </c>
      <c r="BS113" s="3761">
        <f t="shared" si="56"/>
        <v>126.12853333333334</v>
      </c>
      <c r="BT113" s="3761">
        <f t="shared" si="56"/>
        <v>126.12853333333334</v>
      </c>
      <c r="BU113" s="3761">
        <f t="shared" si="56"/>
        <v>126.12853333333334</v>
      </c>
      <c r="BV113" s="3762">
        <f t="shared" si="56"/>
        <v>378.38560000000001</v>
      </c>
      <c r="BW113" s="3762">
        <f t="shared" si="56"/>
        <v>756.77120000000002</v>
      </c>
      <c r="BX113" s="3761">
        <f t="shared" si="56"/>
        <v>134.95753066666666</v>
      </c>
      <c r="BY113" s="3761">
        <f t="shared" si="56"/>
        <v>134.95753066666666</v>
      </c>
      <c r="BZ113" s="3761">
        <f t="shared" si="56"/>
        <v>134.95753066666666</v>
      </c>
      <c r="CA113" s="3762">
        <f t="shared" si="56"/>
        <v>404.87259200000005</v>
      </c>
      <c r="CB113" s="3762">
        <f t="shared" si="56"/>
        <v>1161.6437920000001</v>
      </c>
      <c r="CC113" s="3761">
        <f t="shared" si="56"/>
        <v>134.95753066666666</v>
      </c>
      <c r="CD113" s="3761">
        <f t="shared" si="56"/>
        <v>134.95753066666666</v>
      </c>
      <c r="CE113" s="3761">
        <f t="shared" si="56"/>
        <v>134.95753066666666</v>
      </c>
      <c r="CF113" s="3763">
        <f t="shared" si="56"/>
        <v>404.87259200000005</v>
      </c>
      <c r="CG113" s="2544">
        <f t="shared" si="56"/>
        <v>1566.516384</v>
      </c>
      <c r="CH113" s="2545">
        <f>SUM(BR113+BV113+CA113+CF113)</f>
        <v>1566.516384</v>
      </c>
    </row>
    <row r="114" spans="1:87" ht="18.75">
      <c r="A114" s="3774"/>
      <c r="B114" s="3866"/>
      <c r="C114" s="3866"/>
      <c r="D114" s="3866"/>
      <c r="E114" s="3866"/>
      <c r="F114" s="3866"/>
      <c r="G114" s="3866"/>
      <c r="H114" s="3866"/>
      <c r="I114" s="3866"/>
      <c r="J114" s="3866"/>
      <c r="K114" s="3866"/>
      <c r="L114" s="3866"/>
      <c r="M114" s="3866"/>
      <c r="N114" s="3866"/>
      <c r="O114" s="3866"/>
      <c r="P114" s="3866"/>
      <c r="Q114" s="3866"/>
      <c r="R114" s="3866"/>
      <c r="S114" s="3866"/>
      <c r="T114" s="3866"/>
      <c r="U114" s="3866"/>
      <c r="V114" s="3866"/>
      <c r="W114" s="3866"/>
      <c r="X114" s="3866"/>
      <c r="Y114" s="3866"/>
      <c r="Z114" s="3866"/>
      <c r="AA114" s="3866"/>
      <c r="AB114" s="3866"/>
      <c r="AC114" s="3866"/>
      <c r="AD114" s="3866"/>
      <c r="AE114" s="3866"/>
      <c r="AF114" s="3866"/>
      <c r="AG114" s="3866"/>
      <c r="AH114" s="3868"/>
      <c r="AI114" s="3870"/>
      <c r="AJ114" s="3870"/>
      <c r="AK114" s="3870"/>
      <c r="AL114" s="3870"/>
      <c r="AM114" s="3870"/>
      <c r="AN114" s="3870"/>
      <c r="AO114" s="3870"/>
      <c r="AP114" s="3870"/>
      <c r="AQ114" s="3870"/>
      <c r="AR114" s="3870"/>
      <c r="AS114" s="3870"/>
      <c r="AT114" s="3870"/>
      <c r="AU114" s="3870"/>
      <c r="AV114" s="3870"/>
      <c r="AW114" s="3870"/>
      <c r="AX114" s="3870"/>
      <c r="AY114" s="3870"/>
      <c r="AZ114" s="3870"/>
      <c r="BA114" s="3865"/>
      <c r="BB114" s="3865"/>
      <c r="BC114" s="1459"/>
      <c r="BG114" s="3750"/>
      <c r="BH114" s="3774"/>
      <c r="BI114" s="3751"/>
      <c r="BJ114" s="3861">
        <f t="shared" si="48"/>
        <v>0</v>
      </c>
      <c r="BK114" s="4864" t="s">
        <v>1578</v>
      </c>
      <c r="BL114" s="4882"/>
      <c r="BM114" s="4882"/>
      <c r="BN114" s="3759">
        <f>SUM(BZ61)</f>
        <v>8.3986952893878489E-2</v>
      </c>
      <c r="BO114" s="3759">
        <f>SUM(BN114)</f>
        <v>8.3986952893878489E-2</v>
      </c>
      <c r="BP114" s="3759">
        <f>SUM(BN114)</f>
        <v>8.3986952893878489E-2</v>
      </c>
      <c r="BQ114" s="3759">
        <f>SUM(BN114)</f>
        <v>8.3986952893878489E-2</v>
      </c>
      <c r="BR114" s="3759">
        <f>SUM(BN114)</f>
        <v>8.3986952893878489E-2</v>
      </c>
      <c r="BS114" s="3759">
        <f>SUM(BN114)</f>
        <v>8.3986952893878489E-2</v>
      </c>
      <c r="BT114" s="3759">
        <f>SUM(BN114)</f>
        <v>8.3986952893878489E-2</v>
      </c>
      <c r="BU114" s="3759">
        <f>SUM(BN114)</f>
        <v>8.3986952893878489E-2</v>
      </c>
      <c r="BV114" s="3759">
        <f>SUM(BN114)</f>
        <v>8.3986952893878489E-2</v>
      </c>
      <c r="BW114" s="3759">
        <f>SUM(BN114)</f>
        <v>8.3986952893878489E-2</v>
      </c>
      <c r="BX114" s="3759">
        <f>SUM(BN114)</f>
        <v>8.3986952893878489E-2</v>
      </c>
      <c r="BY114" s="3759">
        <f>SUM(BN114)</f>
        <v>8.3986952893878489E-2</v>
      </c>
      <c r="BZ114" s="3759">
        <f>SUM(BN114)</f>
        <v>8.3986952893878489E-2</v>
      </c>
      <c r="CA114" s="3759">
        <f>SUM(BN114)</f>
        <v>8.3986952893878489E-2</v>
      </c>
      <c r="CB114" s="3759">
        <f>SUM(BN114)</f>
        <v>8.3986952893878489E-2</v>
      </c>
      <c r="CC114" s="3759">
        <f>SUM(BN114)</f>
        <v>8.3986952893878489E-2</v>
      </c>
      <c r="CD114" s="3759">
        <f>SUM(BN114)</f>
        <v>8.3986952893878489E-2</v>
      </c>
      <c r="CE114" s="3759">
        <f>SUM(BN114)</f>
        <v>8.3986952893878489E-2</v>
      </c>
      <c r="CF114" s="3760">
        <f>SUM(BN114)</f>
        <v>8.3986952893878489E-2</v>
      </c>
      <c r="CG114" s="128"/>
      <c r="CH114" s="128"/>
    </row>
    <row r="115" spans="1:87" ht="18.75">
      <c r="A115" s="3774"/>
      <c r="B115" s="3866"/>
      <c r="C115" s="3866"/>
      <c r="D115" s="3866"/>
      <c r="E115" s="3866"/>
      <c r="F115" s="3866"/>
      <c r="G115" s="3866"/>
      <c r="H115" s="3866"/>
      <c r="I115" s="3866"/>
      <c r="J115" s="3866"/>
      <c r="K115" s="3866"/>
      <c r="L115" s="3866"/>
      <c r="M115" s="3866"/>
      <c r="N115" s="3866"/>
      <c r="O115" s="3866"/>
      <c r="P115" s="3866"/>
      <c r="Q115" s="3866"/>
      <c r="R115" s="3866"/>
      <c r="S115" s="3866"/>
      <c r="T115" s="3866"/>
      <c r="U115" s="3866"/>
      <c r="V115" s="3866"/>
      <c r="W115" s="3866"/>
      <c r="X115" s="3866"/>
      <c r="Y115" s="3866"/>
      <c r="Z115" s="3866"/>
      <c r="AA115" s="3866"/>
      <c r="AB115" s="3866"/>
      <c r="AC115" s="3866"/>
      <c r="AD115" s="3866"/>
      <c r="AE115" s="3866"/>
      <c r="AF115" s="3866"/>
      <c r="AG115" s="3866"/>
      <c r="AH115" s="3868"/>
      <c r="AI115" s="3868"/>
      <c r="AJ115" s="3868"/>
      <c r="AK115" s="3868"/>
      <c r="AL115" s="3868"/>
      <c r="AM115" s="3868"/>
      <c r="AN115" s="3868"/>
      <c r="AO115" s="3868"/>
      <c r="AP115" s="3868"/>
      <c r="AQ115" s="3868"/>
      <c r="AR115" s="3868"/>
      <c r="AS115" s="3868"/>
      <c r="AT115" s="3868"/>
      <c r="AU115" s="3868"/>
      <c r="AV115" s="3868"/>
      <c r="AW115" s="3868"/>
      <c r="AX115" s="3868"/>
      <c r="AY115" s="3868"/>
      <c r="AZ115" s="3868"/>
      <c r="BA115" s="2545"/>
      <c r="BB115" s="2545"/>
      <c r="BC115" s="1459"/>
      <c r="BG115" s="3750"/>
      <c r="BH115" s="3774"/>
      <c r="BI115" s="3751"/>
      <c r="BJ115" s="3861">
        <f t="shared" si="48"/>
        <v>276.80000000000007</v>
      </c>
      <c r="BK115" s="4864" t="s">
        <v>1577</v>
      </c>
      <c r="BL115" s="4882"/>
      <c r="BM115" s="4882"/>
      <c r="BN115" s="3762">
        <f>SUM(BN114*BN118)</f>
        <v>276.8</v>
      </c>
      <c r="BO115" s="3762">
        <f t="shared" ref="BO115:CF115" si="57">SUM(BO114*BO118)</f>
        <v>23.502516258818179</v>
      </c>
      <c r="BP115" s="3762">
        <f t="shared" si="57"/>
        <v>23.568849154213765</v>
      </c>
      <c r="BQ115" s="3762">
        <f t="shared" si="57"/>
        <v>23.65505966168551</v>
      </c>
      <c r="BR115" s="3762">
        <f t="shared" si="57"/>
        <v>70.726425074717454</v>
      </c>
      <c r="BS115" s="3762">
        <f t="shared" si="57"/>
        <v>23.326070169157248</v>
      </c>
      <c r="BT115" s="3762">
        <f t="shared" si="57"/>
        <v>22.885506109383297</v>
      </c>
      <c r="BU115" s="3762">
        <f t="shared" si="57"/>
        <v>22.076445094439809</v>
      </c>
      <c r="BV115" s="3762">
        <f t="shared" si="57"/>
        <v>68.288021372980353</v>
      </c>
      <c r="BW115" s="3762">
        <f t="shared" si="57"/>
        <v>139.01444644769779</v>
      </c>
      <c r="BX115" s="3762">
        <f t="shared" si="57"/>
        <v>21.448342368201473</v>
      </c>
      <c r="BY115" s="3762">
        <f t="shared" si="57"/>
        <v>22.195215243874689</v>
      </c>
      <c r="BZ115" s="3762">
        <f t="shared" si="57"/>
        <v>23.176816955169542</v>
      </c>
      <c r="CA115" s="3762">
        <f t="shared" si="57"/>
        <v>66.820374567245693</v>
      </c>
      <c r="CB115" s="3762">
        <f t="shared" si="57"/>
        <v>205.83482101494351</v>
      </c>
      <c r="CC115" s="3762">
        <f t="shared" si="57"/>
        <v>23.65505966168551</v>
      </c>
      <c r="CD115" s="3762">
        <f t="shared" si="57"/>
        <v>23.65505966168551</v>
      </c>
      <c r="CE115" s="3762">
        <f t="shared" si="57"/>
        <v>23.65505966168551</v>
      </c>
      <c r="CF115" s="3763">
        <f t="shared" si="57"/>
        <v>70.965178985056525</v>
      </c>
      <c r="CG115" s="2544">
        <f>SUM(BO115+BP115+BQ115+BS115+BT115+BU115+BX115+BY115+BZ115+CC115+CD115+CE115)</f>
        <v>276.80000000000007</v>
      </c>
      <c r="CH115" s="2545">
        <f>SUM(BR115+BV115+CA115+CF115)</f>
        <v>276.80000000000007</v>
      </c>
    </row>
    <row r="116" spans="1:87" ht="18.75">
      <c r="A116" s="3774"/>
      <c r="B116" s="3866"/>
      <c r="C116" s="3866"/>
      <c r="D116" s="3866"/>
      <c r="E116" s="3866"/>
      <c r="F116" s="3866"/>
      <c r="G116" s="3866"/>
      <c r="H116" s="3866"/>
      <c r="I116" s="3866"/>
      <c r="J116" s="3866"/>
      <c r="K116" s="3866"/>
      <c r="L116" s="3866"/>
      <c r="M116" s="3866"/>
      <c r="N116" s="3866"/>
      <c r="O116" s="3866"/>
      <c r="P116" s="3866"/>
      <c r="Q116" s="3866"/>
      <c r="R116" s="3866"/>
      <c r="S116" s="3866"/>
      <c r="T116" s="3866"/>
      <c r="U116" s="3866"/>
      <c r="V116" s="3866"/>
      <c r="W116" s="3866"/>
      <c r="X116" s="3866"/>
      <c r="Y116" s="3866"/>
      <c r="Z116" s="3866"/>
      <c r="AA116" s="3866"/>
      <c r="AB116" s="3866"/>
      <c r="AC116" s="3866"/>
      <c r="AD116" s="3866"/>
      <c r="AE116" s="3866"/>
      <c r="AF116" s="3866"/>
      <c r="AG116" s="3866"/>
      <c r="AH116" s="3870"/>
      <c r="AI116" s="3870"/>
      <c r="AJ116" s="3870"/>
      <c r="AK116" s="3870"/>
      <c r="AL116" s="3870"/>
      <c r="AM116" s="3870"/>
      <c r="AN116" s="3870"/>
      <c r="AO116" s="3870"/>
      <c r="AP116" s="3870"/>
      <c r="AQ116" s="3870"/>
      <c r="AR116" s="3870"/>
      <c r="AS116" s="3870"/>
      <c r="AT116" s="3870"/>
      <c r="AU116" s="3870"/>
      <c r="AV116" s="3870"/>
      <c r="AW116" s="3870"/>
      <c r="AX116" s="3870"/>
      <c r="AY116" s="3870"/>
      <c r="AZ116" s="3870"/>
      <c r="BA116" s="2547"/>
      <c r="BB116" s="3864"/>
      <c r="BC116" s="4853"/>
      <c r="BG116" s="3750"/>
      <c r="BH116" s="3774"/>
      <c r="BI116" s="3751"/>
      <c r="BJ116" s="3861">
        <f t="shared" si="48"/>
        <v>5.6602389079720004</v>
      </c>
      <c r="BK116" s="4864" t="s">
        <v>1565</v>
      </c>
      <c r="BL116" s="4882"/>
      <c r="BM116" s="4882"/>
      <c r="BN116" s="3759">
        <f>SUM(BX52)</f>
        <v>5.6593930635838143</v>
      </c>
      <c r="BO116" s="3759">
        <f>SUM(BO112*CH116)</f>
        <v>5.4697178159439996</v>
      </c>
      <c r="BP116" s="3759">
        <f>SUM(BO116)</f>
        <v>5.4697178159439996</v>
      </c>
      <c r="BQ116" s="3759">
        <f>SUM(BO116)</f>
        <v>5.4697178159439996</v>
      </c>
      <c r="BR116" s="3759">
        <f>SUM(BO116:BQ116)/3</f>
        <v>5.4697178159439988</v>
      </c>
      <c r="BS116" s="3759">
        <f>SUM(BO116)</f>
        <v>5.4697178159439996</v>
      </c>
      <c r="BT116" s="3759">
        <f>SUM(BO116)</f>
        <v>5.4697178159439996</v>
      </c>
      <c r="BU116" s="3759">
        <f>SUM(BO116)</f>
        <v>5.4697178159439996</v>
      </c>
      <c r="BV116" s="3759">
        <f>SUM(BS116:BU116)/3</f>
        <v>5.4697178159439988</v>
      </c>
      <c r="BW116" s="3759">
        <f>SUM(BO116+BP116+BQ116+BS116+BT116+BU116)/6</f>
        <v>5.4697178159440005</v>
      </c>
      <c r="BX116" s="3759">
        <f>SUM(BX112)</f>
        <v>5.8507600000000002</v>
      </c>
      <c r="BY116" s="3759">
        <f>SUM(BX116)</f>
        <v>5.8507600000000002</v>
      </c>
      <c r="BZ116" s="3759">
        <f>SUM(BX116)</f>
        <v>5.8507600000000002</v>
      </c>
      <c r="CA116" s="3759">
        <f>SUM(BX116:BZ116)/3</f>
        <v>5.8507600000000002</v>
      </c>
      <c r="CB116" s="3759">
        <f>SUM(BO116+BP116+BQ116+BS116+BT116+BU116+BX116+BY116+BZ116)/9</f>
        <v>5.5967318772960004</v>
      </c>
      <c r="CC116" s="3759">
        <f>SUM(BX116)</f>
        <v>5.8507600000000002</v>
      </c>
      <c r="CD116" s="3759">
        <f>SUM(BX116)</f>
        <v>5.8507600000000002</v>
      </c>
      <c r="CE116" s="3759">
        <f>SUM(BX116)</f>
        <v>5.8507600000000002</v>
      </c>
      <c r="CF116" s="3760">
        <f>SUM(CC116:CE116)/3</f>
        <v>5.8507600000000002</v>
      </c>
      <c r="CG116" s="2546">
        <f>SUM(BO116+BP116+BQ116+BS116+BT116+BU116+BX116+BY116+BZ116+CC116+CD116+CE116)/12</f>
        <v>5.6602389079720004</v>
      </c>
      <c r="CH116" s="2553">
        <v>1.0003141579999999</v>
      </c>
      <c r="CI116" s="4896" t="s">
        <v>1586</v>
      </c>
    </row>
    <row r="117" spans="1:87" ht="18.75">
      <c r="A117" s="3774"/>
      <c r="B117" s="3866"/>
      <c r="C117" s="3866"/>
      <c r="D117" s="3866"/>
      <c r="E117" s="3866"/>
      <c r="F117" s="3866"/>
      <c r="G117" s="3866"/>
      <c r="H117" s="3866"/>
      <c r="I117" s="3866"/>
      <c r="J117" s="3866"/>
      <c r="K117" s="3866"/>
      <c r="L117" s="3866"/>
      <c r="M117" s="3866"/>
      <c r="N117" s="3866"/>
      <c r="O117" s="3866"/>
      <c r="P117" s="3866"/>
      <c r="Q117" s="3866"/>
      <c r="R117" s="3866"/>
      <c r="S117" s="3866"/>
      <c r="T117" s="3866"/>
      <c r="U117" s="3866"/>
      <c r="V117" s="3866"/>
      <c r="W117" s="3866"/>
      <c r="X117" s="3866"/>
      <c r="Y117" s="3866"/>
      <c r="Z117" s="3866"/>
      <c r="AA117" s="3866"/>
      <c r="AB117" s="3866"/>
      <c r="AC117" s="3866"/>
      <c r="AD117" s="3866"/>
      <c r="AE117" s="3866"/>
      <c r="AF117" s="3866"/>
      <c r="AG117" s="3866"/>
      <c r="AH117" s="3868"/>
      <c r="AI117" s="3868"/>
      <c r="AJ117" s="3868"/>
      <c r="AK117" s="3868"/>
      <c r="AL117" s="3868"/>
      <c r="AM117" s="3868"/>
      <c r="AN117" s="3868"/>
      <c r="AO117" s="3868"/>
      <c r="AP117" s="3868"/>
      <c r="AQ117" s="3868"/>
      <c r="AR117" s="3868"/>
      <c r="AS117" s="3868"/>
      <c r="AT117" s="3868"/>
      <c r="AU117" s="3868"/>
      <c r="AV117" s="3868"/>
      <c r="AW117" s="3868"/>
      <c r="AX117" s="3868"/>
      <c r="AY117" s="3868"/>
      <c r="AZ117" s="3868"/>
      <c r="BA117" s="2545"/>
      <c r="BB117" s="3864"/>
      <c r="BC117" s="4853"/>
      <c r="BG117" s="3750"/>
      <c r="BH117" s="3774"/>
      <c r="BI117" s="3751"/>
      <c r="BJ117" s="3861">
        <f t="shared" si="48"/>
        <v>1566.5199997102336</v>
      </c>
      <c r="BK117" s="4864" t="s">
        <v>1568</v>
      </c>
      <c r="BL117" s="4882"/>
      <c r="BM117" s="4882"/>
      <c r="BN117" s="3762">
        <f>SUM(BN115*BN116)</f>
        <v>1566.52</v>
      </c>
      <c r="BO117" s="3762">
        <f t="shared" ref="BO117:CF117" si="58">SUM(BO115*BO116)</f>
        <v>128.55213190037131</v>
      </c>
      <c r="BP117" s="3762">
        <f t="shared" si="58"/>
        <v>128.91495412009971</v>
      </c>
      <c r="BQ117" s="3762">
        <f t="shared" si="58"/>
        <v>129.38650126873947</v>
      </c>
      <c r="BR117" s="3762">
        <f t="shared" si="58"/>
        <v>386.8535872892104</v>
      </c>
      <c r="BS117" s="3762">
        <f t="shared" si="58"/>
        <v>127.58702158019926</v>
      </c>
      <c r="BT117" s="3762">
        <f t="shared" si="58"/>
        <v>125.17726049338907</v>
      </c>
      <c r="BU117" s="3762">
        <f t="shared" si="58"/>
        <v>120.75192504576694</v>
      </c>
      <c r="BV117" s="3762">
        <f t="shared" si="58"/>
        <v>373.51620711935522</v>
      </c>
      <c r="BW117" s="3762">
        <f t="shared" si="58"/>
        <v>760.36979440856578</v>
      </c>
      <c r="BX117" s="3762">
        <f t="shared" si="58"/>
        <v>125.48910359417846</v>
      </c>
      <c r="BY117" s="3762">
        <f t="shared" si="58"/>
        <v>129.85887754025228</v>
      </c>
      <c r="BZ117" s="3762">
        <f t="shared" si="58"/>
        <v>135.60199356862776</v>
      </c>
      <c r="CA117" s="3762">
        <f t="shared" si="58"/>
        <v>390.94997470305844</v>
      </c>
      <c r="CB117" s="3762">
        <f t="shared" si="58"/>
        <v>1152.002304231851</v>
      </c>
      <c r="CC117" s="3762">
        <f t="shared" si="58"/>
        <v>138.40007686620311</v>
      </c>
      <c r="CD117" s="3762">
        <f t="shared" si="58"/>
        <v>138.40007686620311</v>
      </c>
      <c r="CE117" s="3762">
        <f t="shared" si="58"/>
        <v>138.40007686620311</v>
      </c>
      <c r="CF117" s="3763">
        <f t="shared" si="58"/>
        <v>415.20023059860932</v>
      </c>
      <c r="CG117" s="2544">
        <f>SUM(BO117+BP117+BQ117+BS117+BT117+BU117+BX117+BY117+BZ117+CC117+CD117+CE117)</f>
        <v>1566.5199997102336</v>
      </c>
      <c r="CH117" s="2553">
        <f>SUM(BN117/CG117)</f>
        <v>1.0000000001849745</v>
      </c>
      <c r="CI117" s="4896"/>
    </row>
    <row r="118" spans="1:87" ht="18.75">
      <c r="A118" s="3774"/>
      <c r="B118" s="3866"/>
      <c r="C118" s="3866"/>
      <c r="D118" s="3866"/>
      <c r="E118" s="3866"/>
      <c r="F118" s="3866"/>
      <c r="G118" s="3866"/>
      <c r="H118" s="3866"/>
      <c r="I118" s="3866"/>
      <c r="J118" s="3866"/>
      <c r="K118" s="3866"/>
      <c r="L118" s="3866"/>
      <c r="M118" s="3866"/>
      <c r="N118" s="3866"/>
      <c r="O118" s="3866"/>
      <c r="P118" s="3866"/>
      <c r="Q118" s="3866"/>
      <c r="R118" s="3866"/>
      <c r="S118" s="3866"/>
      <c r="T118" s="3866"/>
      <c r="U118" s="3866"/>
      <c r="V118" s="3866"/>
      <c r="W118" s="3866"/>
      <c r="X118" s="3866"/>
      <c r="Y118" s="3866"/>
      <c r="Z118" s="3866"/>
      <c r="AA118" s="3866"/>
      <c r="AB118" s="3866"/>
      <c r="AC118" s="3866"/>
      <c r="AD118" s="3866"/>
      <c r="AE118" s="3866"/>
      <c r="AF118" s="3866"/>
      <c r="AG118" s="3866"/>
      <c r="AH118" s="3868"/>
      <c r="AI118" s="3868"/>
      <c r="AJ118" s="3868"/>
      <c r="AK118" s="3868"/>
      <c r="AL118" s="3868"/>
      <c r="AM118" s="3868"/>
      <c r="AN118" s="3868"/>
      <c r="AO118" s="3868"/>
      <c r="AP118" s="3868"/>
      <c r="AQ118" s="3868"/>
      <c r="AR118" s="3868"/>
      <c r="AS118" s="3868"/>
      <c r="AT118" s="3868"/>
      <c r="AU118" s="3868"/>
      <c r="AV118" s="3868"/>
      <c r="AW118" s="3868"/>
      <c r="AX118" s="3868"/>
      <c r="AY118" s="3868"/>
      <c r="AZ118" s="3868"/>
      <c r="BA118" s="2545"/>
      <c r="BB118" s="2545"/>
      <c r="BC118" s="1459"/>
      <c r="BG118" s="3750"/>
      <c r="BH118" s="3774"/>
      <c r="BI118" s="3751"/>
      <c r="BJ118" s="3861">
        <f t="shared" si="48"/>
        <v>3295.7500000000005</v>
      </c>
      <c r="BK118" s="4864" t="s">
        <v>1588</v>
      </c>
      <c r="BL118" s="4882"/>
      <c r="BM118" s="4882"/>
      <c r="BN118" s="3762">
        <f>SUM('Произв. прогр. Стоки'!B13)</f>
        <v>3295.75</v>
      </c>
      <c r="BO118" s="3762">
        <f>SUM('Произв. прогр. Стоки'!E13)</f>
        <v>279.83532500000001</v>
      </c>
      <c r="BP118" s="3762">
        <f>SUM('Произв. прогр. Стоки'!F13)</f>
        <v>280.62512500000003</v>
      </c>
      <c r="BQ118" s="3762">
        <f>SUM('Произв. прогр. Стоки'!G13)</f>
        <v>281.65160000000003</v>
      </c>
      <c r="BR118" s="3762">
        <f>SUM(BO118:BQ118)</f>
        <v>842.11205000000007</v>
      </c>
      <c r="BS118" s="3762">
        <f>SUM('Произв. прогр. Стоки'!I13)</f>
        <v>277.73444999999998</v>
      </c>
      <c r="BT118" s="3762">
        <f>SUM('Произв. прогр. Стоки'!J13)</f>
        <v>272.48882499999996</v>
      </c>
      <c r="BU118" s="3762">
        <f>SUM('Произв. прогр. Стоки'!K13)</f>
        <v>262.85564999999997</v>
      </c>
      <c r="BV118" s="3762">
        <f>SUM(BS118:BU118)</f>
        <v>813.07892499999991</v>
      </c>
      <c r="BW118" s="3762">
        <f>SUM(BR118+BV118)</f>
        <v>1655.190975</v>
      </c>
      <c r="BX118" s="3762">
        <f>SUM('Произв. прогр. Стоки'!N13)</f>
        <v>255.37707499999999</v>
      </c>
      <c r="BY118" s="3762">
        <f>SUM('Произв. прогр. Стоки'!O13)</f>
        <v>264.26979999999998</v>
      </c>
      <c r="BZ118" s="3762">
        <f>SUM('Произв. прогр. Стоки'!P13)</f>
        <v>275.95735000000002</v>
      </c>
      <c r="CA118" s="3762">
        <f>SUM(BX118:BZ118)</f>
        <v>795.60422499999993</v>
      </c>
      <c r="CB118" s="3762">
        <f>SUM(BW118+CA118)</f>
        <v>2450.7952</v>
      </c>
      <c r="CC118" s="3762">
        <f>SUM('Произв. прогр. Стоки'!S13)</f>
        <v>281.65160000000003</v>
      </c>
      <c r="CD118" s="3762">
        <f>SUM('Произв. прогр. Стоки'!T13)</f>
        <v>281.65160000000003</v>
      </c>
      <c r="CE118" s="3762">
        <f>SUM('Произв. прогр. Стоки'!U13)</f>
        <v>281.65160000000003</v>
      </c>
      <c r="CF118" s="3763">
        <f>SUM(CC118:CE118)</f>
        <v>844.95480000000009</v>
      </c>
      <c r="CG118" s="2544">
        <f>SUM(BO118+BP118+BQ118+BS118+BT118+BU118+BX118+BY118+BZ118+CC118+CD118+CE118)</f>
        <v>3295.7500000000005</v>
      </c>
      <c r="CH118" s="2545">
        <f>SUM(BR118+BV118+CA118+CF118)</f>
        <v>3295.75</v>
      </c>
    </row>
    <row r="119" spans="1:87" ht="18.75">
      <c r="A119" s="3774"/>
      <c r="B119" s="3866"/>
      <c r="C119" s="3866"/>
      <c r="D119" s="3866"/>
      <c r="E119" s="3866"/>
      <c r="F119" s="3866"/>
      <c r="G119" s="3866"/>
      <c r="H119" s="3866"/>
      <c r="I119" s="3866"/>
      <c r="J119" s="3866"/>
      <c r="K119" s="3866"/>
      <c r="L119" s="3866"/>
      <c r="M119" s="3866"/>
      <c r="N119" s="3866"/>
      <c r="O119" s="3866"/>
      <c r="P119" s="3866"/>
      <c r="Q119" s="3866"/>
      <c r="R119" s="3866"/>
      <c r="S119" s="3866"/>
      <c r="T119" s="3866"/>
      <c r="U119" s="3866"/>
      <c r="V119" s="3866"/>
      <c r="W119" s="3866"/>
      <c r="X119" s="3866"/>
      <c r="Y119" s="3866"/>
      <c r="Z119" s="3866"/>
      <c r="AA119" s="3866"/>
      <c r="AB119" s="3866"/>
      <c r="AC119" s="3866"/>
      <c r="AD119" s="3866"/>
      <c r="AE119" s="3866"/>
      <c r="AF119" s="3866"/>
      <c r="AG119" s="3866"/>
      <c r="AH119" s="3868"/>
      <c r="AI119" s="3868"/>
      <c r="AJ119" s="3868"/>
      <c r="AK119" s="3868"/>
      <c r="AL119" s="3868"/>
      <c r="AM119" s="3868"/>
      <c r="AN119" s="3868"/>
      <c r="AO119" s="3868"/>
      <c r="AP119" s="3868"/>
      <c r="AQ119" s="3868"/>
      <c r="AR119" s="3868"/>
      <c r="AS119" s="3868"/>
      <c r="AT119" s="3868"/>
      <c r="AU119" s="3868"/>
      <c r="AV119" s="3868"/>
      <c r="AW119" s="3868"/>
      <c r="AX119" s="3868"/>
      <c r="AY119" s="3868"/>
      <c r="AZ119" s="3868"/>
      <c r="BA119" s="2545"/>
      <c r="BB119" s="2545"/>
      <c r="BC119" s="1459"/>
      <c r="BG119" s="3750"/>
      <c r="BH119" s="3774"/>
      <c r="BI119" s="3751"/>
      <c r="BJ119" s="3861">
        <f t="shared" si="48"/>
        <v>1384.1999999999998</v>
      </c>
      <c r="BK119" s="4891" t="s">
        <v>1580</v>
      </c>
      <c r="BL119" s="4882"/>
      <c r="BM119" s="4882"/>
      <c r="BN119" s="3762">
        <f>SUM(BY54)</f>
        <v>1384.2</v>
      </c>
      <c r="BO119" s="3776">
        <f>SUM(BN119/12)</f>
        <v>115.35000000000001</v>
      </c>
      <c r="BP119" s="3776">
        <f>SUM(BO119)</f>
        <v>115.35000000000001</v>
      </c>
      <c r="BQ119" s="3776">
        <f>SUM(BO119)</f>
        <v>115.35000000000001</v>
      </c>
      <c r="BR119" s="3762">
        <f>SUM(BO119:BQ119)</f>
        <v>346.05</v>
      </c>
      <c r="BS119" s="3776">
        <f>SUM(BO119)</f>
        <v>115.35000000000001</v>
      </c>
      <c r="BT119" s="3776">
        <f>SUM(BO119)</f>
        <v>115.35000000000001</v>
      </c>
      <c r="BU119" s="3776">
        <f>SUM(BO119)</f>
        <v>115.35000000000001</v>
      </c>
      <c r="BV119" s="3762">
        <f>SUM(BS119:BU119)</f>
        <v>346.05</v>
      </c>
      <c r="BW119" s="3762">
        <f>SUM(BR119+BV119)</f>
        <v>692.1</v>
      </c>
      <c r="BX119" s="3776">
        <f>SUM(BO119)</f>
        <v>115.35000000000001</v>
      </c>
      <c r="BY119" s="3776">
        <f>SUM(BO119)</f>
        <v>115.35000000000001</v>
      </c>
      <c r="BZ119" s="3776">
        <f>SUM(BO119)</f>
        <v>115.35000000000001</v>
      </c>
      <c r="CA119" s="3762">
        <f>SUM(BX119:BZ119)</f>
        <v>346.05</v>
      </c>
      <c r="CB119" s="3762">
        <f>SUM(BW119+CA119)</f>
        <v>1038.1500000000001</v>
      </c>
      <c r="CC119" s="3776">
        <f>SUM(BO119)</f>
        <v>115.35000000000001</v>
      </c>
      <c r="CD119" s="3776">
        <f>SUM(BO119)</f>
        <v>115.35000000000001</v>
      </c>
      <c r="CE119" s="3776">
        <f>SUM(BO119)</f>
        <v>115.35000000000001</v>
      </c>
      <c r="CF119" s="3763">
        <f>SUM(CC119:CE119)</f>
        <v>346.05</v>
      </c>
      <c r="CG119" s="2544">
        <f>SUM(BO119+BP119+BQ119+BS119+BT119+BU119+BX119+BY119+BZ119+CC119+CD119+CE119)</f>
        <v>1384.1999999999998</v>
      </c>
      <c r="CH119" s="2545">
        <f>SUM(BR119+BV119+CA119+CF119)</f>
        <v>1384.2</v>
      </c>
    </row>
    <row r="120" spans="1:87" ht="18.75">
      <c r="A120" s="3869"/>
      <c r="B120" s="3866"/>
      <c r="C120" s="3866"/>
      <c r="D120" s="3866"/>
      <c r="E120" s="3866"/>
      <c r="F120" s="3866"/>
      <c r="G120" s="3866"/>
      <c r="H120" s="3866"/>
      <c r="I120" s="3866"/>
      <c r="J120" s="3866"/>
      <c r="K120" s="3866"/>
      <c r="L120" s="3866"/>
      <c r="M120" s="3866"/>
      <c r="N120" s="3866"/>
      <c r="O120" s="3866"/>
      <c r="P120" s="3866"/>
      <c r="Q120" s="3866"/>
      <c r="R120" s="3866"/>
      <c r="S120" s="3866"/>
      <c r="T120" s="3866"/>
      <c r="U120" s="3866"/>
      <c r="V120" s="3866"/>
      <c r="W120" s="3866"/>
      <c r="X120" s="3866"/>
      <c r="Y120" s="3866"/>
      <c r="Z120" s="3866"/>
      <c r="AA120" s="3866"/>
      <c r="AB120" s="3866"/>
      <c r="AC120" s="3866"/>
      <c r="AD120" s="3866"/>
      <c r="AE120" s="3866"/>
      <c r="AF120" s="3866"/>
      <c r="AG120" s="3866"/>
      <c r="AH120" s="3870"/>
      <c r="AI120" s="3870"/>
      <c r="AJ120" s="3870"/>
      <c r="AK120" s="3870"/>
      <c r="AL120" s="3870"/>
      <c r="AM120" s="3870"/>
      <c r="AN120" s="3870"/>
      <c r="AO120" s="3870"/>
      <c r="AP120" s="3870"/>
      <c r="AQ120" s="3870"/>
      <c r="AR120" s="3870"/>
      <c r="AS120" s="3870"/>
      <c r="AT120" s="3870"/>
      <c r="AU120" s="3870"/>
      <c r="AV120" s="3870"/>
      <c r="AW120" s="3870"/>
      <c r="AX120" s="3870"/>
      <c r="AY120" s="3870"/>
      <c r="AZ120" s="3870"/>
      <c r="BA120" s="2547"/>
      <c r="BB120" s="2547"/>
      <c r="BC120" s="1459"/>
      <c r="BG120" s="3750"/>
      <c r="BH120" s="3775"/>
      <c r="BI120" s="3751"/>
      <c r="BJ120" s="3861">
        <f t="shared" si="48"/>
        <v>4.3128967499999993</v>
      </c>
      <c r="BK120" s="4890" t="s">
        <v>1565</v>
      </c>
      <c r="BL120" s="4882"/>
      <c r="BM120" s="4882"/>
      <c r="BN120" s="3759">
        <f>SUM(BX54)</f>
        <v>4.3128955353272644</v>
      </c>
      <c r="BO120" s="3758">
        <v>4.1670499999999997</v>
      </c>
      <c r="BP120" s="3758">
        <f>SUM(BO120)</f>
        <v>4.1670499999999997</v>
      </c>
      <c r="BQ120" s="3758">
        <f>SUM(BO120)</f>
        <v>4.1670499999999997</v>
      </c>
      <c r="BR120" s="3759">
        <f>SUM(BO120:BQ120)/3</f>
        <v>4.1670499999999997</v>
      </c>
      <c r="BS120" s="3758">
        <f>SUM(BO120)</f>
        <v>4.1670499999999997</v>
      </c>
      <c r="BT120" s="3758">
        <f>SUM(BO120)</f>
        <v>4.1670499999999997</v>
      </c>
      <c r="BU120" s="3758">
        <f>SUM(BO120)</f>
        <v>4.1670499999999997</v>
      </c>
      <c r="BV120" s="3759">
        <f>SUM(BS120:BU120)/3</f>
        <v>4.1670499999999997</v>
      </c>
      <c r="BW120" s="3759">
        <f>SUM(BO120+BP120+BQ120+BS120+BT120+BU120)/6</f>
        <v>4.1670499999999997</v>
      </c>
      <c r="BX120" s="3758">
        <f>SUM(BU120*1.07)</f>
        <v>4.4587434999999997</v>
      </c>
      <c r="BY120" s="3758">
        <f>SUM(BX120)</f>
        <v>4.4587434999999997</v>
      </c>
      <c r="BZ120" s="3758">
        <f>SUM(BX120)</f>
        <v>4.4587434999999997</v>
      </c>
      <c r="CA120" s="3759">
        <f>SUM(BX120:BZ120)/3</f>
        <v>4.4587434999999997</v>
      </c>
      <c r="CB120" s="3759">
        <f>SUM(BO120+BP120+BQ120+BS120+BT120+BU120+BX120+BY120+BZ120)/9</f>
        <v>4.2642811666666667</v>
      </c>
      <c r="CC120" s="3758">
        <f>SUM(BX120)</f>
        <v>4.4587434999999997</v>
      </c>
      <c r="CD120" s="3758">
        <f>SUM(BX120)</f>
        <v>4.4587434999999997</v>
      </c>
      <c r="CE120" s="3758">
        <f>SUM(BX120)</f>
        <v>4.4587434999999997</v>
      </c>
      <c r="CF120" s="3760">
        <f>SUM(CC120:CE120)/3</f>
        <v>4.4587434999999997</v>
      </c>
      <c r="CG120" s="2546">
        <f>SUM(BO120+BP120+BQ120+BS120+BT120+BU120+BX120+BY120+BZ120+CC120+CD120+CE120)/12</f>
        <v>4.3128967499999993</v>
      </c>
      <c r="CH120" s="2547">
        <f>SUM(BR120+BV120+CA120+CF120)/4</f>
        <v>4.3128967500000002</v>
      </c>
    </row>
    <row r="121" spans="1:87" ht="18.75">
      <c r="A121" s="3774"/>
      <c r="B121" s="3866"/>
      <c r="C121" s="3866"/>
      <c r="D121" s="3866"/>
      <c r="E121" s="3866"/>
      <c r="F121" s="3866"/>
      <c r="G121" s="3866"/>
      <c r="H121" s="3866"/>
      <c r="I121" s="3866"/>
      <c r="J121" s="3866"/>
      <c r="K121" s="3866"/>
      <c r="L121" s="3866"/>
      <c r="M121" s="3866"/>
      <c r="N121" s="3866"/>
      <c r="O121" s="3866"/>
      <c r="P121" s="3866"/>
      <c r="Q121" s="3866"/>
      <c r="R121" s="3866"/>
      <c r="S121" s="3866"/>
      <c r="T121" s="3866"/>
      <c r="U121" s="3866"/>
      <c r="V121" s="3866"/>
      <c r="W121" s="3866"/>
      <c r="X121" s="3866"/>
      <c r="Y121" s="3866"/>
      <c r="Z121" s="3866"/>
      <c r="AA121" s="3866"/>
      <c r="AB121" s="3866"/>
      <c r="AC121" s="3866"/>
      <c r="AD121" s="3866"/>
      <c r="AE121" s="3866"/>
      <c r="AF121" s="3866"/>
      <c r="AG121" s="3866"/>
      <c r="AH121" s="3868"/>
      <c r="AI121" s="3868"/>
      <c r="AJ121" s="3868"/>
      <c r="AK121" s="3868"/>
      <c r="AL121" s="3868"/>
      <c r="AM121" s="3868"/>
      <c r="AN121" s="3868"/>
      <c r="AO121" s="3868"/>
      <c r="AP121" s="3868"/>
      <c r="AQ121" s="3868"/>
      <c r="AR121" s="3868"/>
      <c r="AS121" s="3868"/>
      <c r="AT121" s="3868"/>
      <c r="AU121" s="3868"/>
      <c r="AV121" s="3868"/>
      <c r="AW121" s="3868"/>
      <c r="AX121" s="3868"/>
      <c r="AY121" s="3868"/>
      <c r="AZ121" s="3868"/>
      <c r="BA121" s="2545"/>
      <c r="BB121" s="2545"/>
      <c r="BC121" s="1459"/>
      <c r="BG121" s="3750"/>
      <c r="BH121" s="3774"/>
      <c r="BI121" s="3751"/>
      <c r="BJ121" s="3861">
        <f t="shared" si="48"/>
        <v>5969.9116813499986</v>
      </c>
      <c r="BK121" s="4891" t="s">
        <v>1566</v>
      </c>
      <c r="BL121" s="4882"/>
      <c r="BM121" s="4882"/>
      <c r="BN121" s="3762">
        <f>SUM(BN119*BN120)</f>
        <v>5969.91</v>
      </c>
      <c r="BO121" s="3761">
        <f t="shared" ref="BO121:CG121" si="59">SUM(BO119*BO120)</f>
        <v>480.6692175</v>
      </c>
      <c r="BP121" s="3761">
        <f t="shared" si="59"/>
        <v>480.6692175</v>
      </c>
      <c r="BQ121" s="3761">
        <f t="shared" si="59"/>
        <v>480.6692175</v>
      </c>
      <c r="BR121" s="3762">
        <f t="shared" si="59"/>
        <v>1442.0076524999999</v>
      </c>
      <c r="BS121" s="3761">
        <f t="shared" si="59"/>
        <v>480.6692175</v>
      </c>
      <c r="BT121" s="3761">
        <f t="shared" si="59"/>
        <v>480.6692175</v>
      </c>
      <c r="BU121" s="3761">
        <f t="shared" si="59"/>
        <v>480.6692175</v>
      </c>
      <c r="BV121" s="3762">
        <f t="shared" si="59"/>
        <v>1442.0076524999999</v>
      </c>
      <c r="BW121" s="3762">
        <f t="shared" si="59"/>
        <v>2884.0153049999999</v>
      </c>
      <c r="BX121" s="3761">
        <f t="shared" si="59"/>
        <v>514.31606272500005</v>
      </c>
      <c r="BY121" s="3761">
        <f t="shared" si="59"/>
        <v>514.31606272500005</v>
      </c>
      <c r="BZ121" s="3761">
        <f t="shared" si="59"/>
        <v>514.31606272500005</v>
      </c>
      <c r="CA121" s="3762">
        <f t="shared" si="59"/>
        <v>1542.948188175</v>
      </c>
      <c r="CB121" s="3762">
        <f t="shared" si="59"/>
        <v>4426.9634931750006</v>
      </c>
      <c r="CC121" s="3761">
        <f t="shared" si="59"/>
        <v>514.31606272500005</v>
      </c>
      <c r="CD121" s="3761">
        <f t="shared" si="59"/>
        <v>514.31606272500005</v>
      </c>
      <c r="CE121" s="3761">
        <f t="shared" si="59"/>
        <v>514.31606272500005</v>
      </c>
      <c r="CF121" s="3763">
        <f t="shared" si="59"/>
        <v>1542.948188175</v>
      </c>
      <c r="CG121" s="2544">
        <f t="shared" si="59"/>
        <v>5969.9116813499986</v>
      </c>
      <c r="CH121" s="2545">
        <f>SUM(BR121+BV121+CA121+CF121)</f>
        <v>5969.9116813499995</v>
      </c>
    </row>
    <row r="122" spans="1:87" ht="18.75">
      <c r="A122" s="3774"/>
      <c r="B122" s="3866"/>
      <c r="C122" s="3866"/>
      <c r="D122" s="3866"/>
      <c r="E122" s="3866"/>
      <c r="F122" s="3866"/>
      <c r="G122" s="3866"/>
      <c r="H122" s="3866"/>
      <c r="I122" s="3866"/>
      <c r="J122" s="3866"/>
      <c r="K122" s="3866"/>
      <c r="L122" s="3866"/>
      <c r="M122" s="3866"/>
      <c r="N122" s="3866"/>
      <c r="O122" s="3866"/>
      <c r="P122" s="3866"/>
      <c r="Q122" s="3866"/>
      <c r="R122" s="3866"/>
      <c r="S122" s="3866"/>
      <c r="T122" s="3866"/>
      <c r="U122" s="3866"/>
      <c r="V122" s="3866"/>
      <c r="W122" s="3866"/>
      <c r="X122" s="3866"/>
      <c r="Y122" s="3866"/>
      <c r="Z122" s="3866"/>
      <c r="AA122" s="3866"/>
      <c r="AB122" s="3866"/>
      <c r="AC122" s="3866"/>
      <c r="AD122" s="3866"/>
      <c r="AE122" s="3866"/>
      <c r="AF122" s="3866"/>
      <c r="AG122" s="3866"/>
      <c r="AH122" s="3870"/>
      <c r="AI122" s="3870"/>
      <c r="AJ122" s="3870"/>
      <c r="AK122" s="3870"/>
      <c r="AL122" s="3870"/>
      <c r="AM122" s="3870"/>
      <c r="AN122" s="3870"/>
      <c r="AO122" s="3870"/>
      <c r="AP122" s="3870"/>
      <c r="AQ122" s="3870"/>
      <c r="AR122" s="3870"/>
      <c r="AS122" s="3870"/>
      <c r="AT122" s="3870"/>
      <c r="AU122" s="3870"/>
      <c r="AV122" s="3870"/>
      <c r="AW122" s="3870"/>
      <c r="AX122" s="3870"/>
      <c r="AY122" s="3870"/>
      <c r="AZ122" s="3870"/>
      <c r="BA122" s="3865"/>
      <c r="BB122" s="3865"/>
      <c r="BC122" s="1459"/>
      <c r="BG122" s="3750"/>
      <c r="BH122" s="3774"/>
      <c r="BI122" s="3751"/>
      <c r="BJ122" s="3861">
        <f t="shared" si="48"/>
        <v>0</v>
      </c>
      <c r="BK122" s="4864" t="s">
        <v>1581</v>
      </c>
      <c r="BL122" s="4882"/>
      <c r="BM122" s="4882"/>
      <c r="BN122" s="3759">
        <f>SUM(BZ62)</f>
        <v>0.41999544868391109</v>
      </c>
      <c r="BO122" s="3759">
        <f>SUM(BN122)</f>
        <v>0.41999544868391109</v>
      </c>
      <c r="BP122" s="3759">
        <f>SUM(BN122)</f>
        <v>0.41999544868391109</v>
      </c>
      <c r="BQ122" s="3759">
        <f>SUM(BN122)</f>
        <v>0.41999544868391109</v>
      </c>
      <c r="BR122" s="3759">
        <f>SUM(BN122)</f>
        <v>0.41999544868391109</v>
      </c>
      <c r="BS122" s="3759">
        <f>SUM(BN122)</f>
        <v>0.41999544868391109</v>
      </c>
      <c r="BT122" s="3759">
        <f>SUM(BN122)</f>
        <v>0.41999544868391109</v>
      </c>
      <c r="BU122" s="3759">
        <f>SUM(BN122)</f>
        <v>0.41999544868391109</v>
      </c>
      <c r="BV122" s="3759">
        <f>SUM(BN122)</f>
        <v>0.41999544868391109</v>
      </c>
      <c r="BW122" s="3759">
        <f>SUM(BN122)</f>
        <v>0.41999544868391109</v>
      </c>
      <c r="BX122" s="3759">
        <f>SUM(BN122)</f>
        <v>0.41999544868391109</v>
      </c>
      <c r="BY122" s="3759">
        <f>SUM(BN122)</f>
        <v>0.41999544868391109</v>
      </c>
      <c r="BZ122" s="3759">
        <f>SUM(BN122)</f>
        <v>0.41999544868391109</v>
      </c>
      <c r="CA122" s="3759">
        <f>SUM(BN122)</f>
        <v>0.41999544868391109</v>
      </c>
      <c r="CB122" s="3759">
        <f>SUM(BN122)</f>
        <v>0.41999544868391109</v>
      </c>
      <c r="CC122" s="3759">
        <f>SUM(BN122)</f>
        <v>0.41999544868391109</v>
      </c>
      <c r="CD122" s="3759">
        <f>SUM(BN122)</f>
        <v>0.41999544868391109</v>
      </c>
      <c r="CE122" s="3759">
        <f>SUM(BN122)</f>
        <v>0.41999544868391109</v>
      </c>
      <c r="CF122" s="3760">
        <f>SUM(BN122)</f>
        <v>0.41999544868391109</v>
      </c>
      <c r="CG122" s="128"/>
      <c r="CH122" s="128"/>
    </row>
    <row r="123" spans="1:87" ht="18.75">
      <c r="A123" s="3774"/>
      <c r="B123" s="3866"/>
      <c r="C123" s="3866"/>
      <c r="D123" s="3866"/>
      <c r="E123" s="3866"/>
      <c r="F123" s="3866"/>
      <c r="G123" s="3866"/>
      <c r="H123" s="3866"/>
      <c r="I123" s="3866"/>
      <c r="J123" s="3866"/>
      <c r="K123" s="3866"/>
      <c r="L123" s="3866"/>
      <c r="M123" s="3866"/>
      <c r="N123" s="3866"/>
      <c r="O123" s="3866"/>
      <c r="P123" s="3866"/>
      <c r="Q123" s="3866"/>
      <c r="R123" s="3866"/>
      <c r="S123" s="3866"/>
      <c r="T123" s="3866"/>
      <c r="U123" s="3866"/>
      <c r="V123" s="3866"/>
      <c r="W123" s="3866"/>
      <c r="X123" s="3866"/>
      <c r="Y123" s="3866"/>
      <c r="Z123" s="3866"/>
      <c r="AA123" s="3866"/>
      <c r="AB123" s="3866"/>
      <c r="AC123" s="3866"/>
      <c r="AD123" s="3866"/>
      <c r="AE123" s="3866"/>
      <c r="AF123" s="3866"/>
      <c r="AG123" s="3866"/>
      <c r="AH123" s="3868"/>
      <c r="AI123" s="3868"/>
      <c r="AJ123" s="3868"/>
      <c r="AK123" s="3868"/>
      <c r="AL123" s="3868"/>
      <c r="AM123" s="3868"/>
      <c r="AN123" s="3868"/>
      <c r="AO123" s="3868"/>
      <c r="AP123" s="3868"/>
      <c r="AQ123" s="3868"/>
      <c r="AR123" s="3868"/>
      <c r="AS123" s="3868"/>
      <c r="AT123" s="3868"/>
      <c r="AU123" s="3868"/>
      <c r="AV123" s="3868"/>
      <c r="AW123" s="3868"/>
      <c r="AX123" s="3868"/>
      <c r="AY123" s="3868"/>
      <c r="AZ123" s="3868"/>
      <c r="BA123" s="2545"/>
      <c r="BB123" s="2545"/>
      <c r="BC123" s="1459"/>
      <c r="BG123" s="3750"/>
      <c r="BH123" s="3774"/>
      <c r="BI123" s="3751"/>
      <c r="BJ123" s="3861">
        <f t="shared" si="48"/>
        <v>1384.1999999999998</v>
      </c>
      <c r="BK123" s="4864" t="s">
        <v>1582</v>
      </c>
      <c r="BL123" s="4882"/>
      <c r="BM123" s="4882"/>
      <c r="BN123" s="3762">
        <f>SUM(BN122*BN126)</f>
        <v>1384.2</v>
      </c>
      <c r="BO123" s="3762">
        <f t="shared" ref="BO123:CF123" si="60">SUM(BO122*BO126)</f>
        <v>117.52956288098309</v>
      </c>
      <c r="BP123" s="3762">
        <f t="shared" si="60"/>
        <v>117.86127528635365</v>
      </c>
      <c r="BQ123" s="3762">
        <f t="shared" si="60"/>
        <v>118.29239011454146</v>
      </c>
      <c r="BR123" s="3762">
        <f t="shared" si="60"/>
        <v>353.6832282818782</v>
      </c>
      <c r="BS123" s="3762">
        <f t="shared" si="60"/>
        <v>116.64720494272926</v>
      </c>
      <c r="BT123" s="3762">
        <f t="shared" si="60"/>
        <v>114.44406631722671</v>
      </c>
      <c r="BU123" s="3762">
        <f t="shared" si="60"/>
        <v>110.39817666085108</v>
      </c>
      <c r="BV123" s="3762">
        <f t="shared" si="60"/>
        <v>341.48944792080704</v>
      </c>
      <c r="BW123" s="3762">
        <f t="shared" si="60"/>
        <v>695.17267620268524</v>
      </c>
      <c r="BX123" s="3762">
        <f t="shared" si="60"/>
        <v>107.25720919820981</v>
      </c>
      <c r="BY123" s="3762">
        <f t="shared" si="60"/>
        <v>110.99211322460744</v>
      </c>
      <c r="BZ123" s="3762">
        <f t="shared" si="60"/>
        <v>115.90083103087309</v>
      </c>
      <c r="CA123" s="3762">
        <f t="shared" si="60"/>
        <v>334.15015345369034</v>
      </c>
      <c r="CB123" s="3762">
        <f t="shared" si="60"/>
        <v>1029.3228296563757</v>
      </c>
      <c r="CC123" s="3762">
        <f t="shared" si="60"/>
        <v>118.29239011454146</v>
      </c>
      <c r="CD123" s="3762">
        <f t="shared" si="60"/>
        <v>118.29239011454146</v>
      </c>
      <c r="CE123" s="3762">
        <f t="shared" si="60"/>
        <v>118.29239011454146</v>
      </c>
      <c r="CF123" s="3763">
        <f t="shared" si="60"/>
        <v>354.87717034362441</v>
      </c>
      <c r="CG123" s="2544">
        <f>SUM(BO123+BP123+BQ123+BS123+BT123+BU123+BX123+BY123+BZ123+CC123+CD123+CE123)</f>
        <v>1384.1999999999998</v>
      </c>
      <c r="CH123" s="2545">
        <f>SUM(BR123+BV123+CA123+CF123)</f>
        <v>1384.2</v>
      </c>
    </row>
    <row r="124" spans="1:87" ht="18.75">
      <c r="A124" s="3774"/>
      <c r="B124" s="3866"/>
      <c r="C124" s="3866"/>
      <c r="D124" s="3866"/>
      <c r="E124" s="3866"/>
      <c r="F124" s="3866"/>
      <c r="G124" s="3866"/>
      <c r="H124" s="3866"/>
      <c r="I124" s="3866"/>
      <c r="J124" s="3866"/>
      <c r="K124" s="3866"/>
      <c r="L124" s="3866"/>
      <c r="M124" s="3866"/>
      <c r="N124" s="3866"/>
      <c r="O124" s="3866"/>
      <c r="P124" s="3866"/>
      <c r="Q124" s="3866"/>
      <c r="R124" s="3866"/>
      <c r="S124" s="3866"/>
      <c r="T124" s="3866"/>
      <c r="U124" s="3866"/>
      <c r="V124" s="3866"/>
      <c r="W124" s="3866"/>
      <c r="X124" s="3866"/>
      <c r="Y124" s="3866"/>
      <c r="Z124" s="3866"/>
      <c r="AA124" s="3866"/>
      <c r="AB124" s="3866"/>
      <c r="AC124" s="3866"/>
      <c r="AD124" s="3866"/>
      <c r="AE124" s="3866"/>
      <c r="AF124" s="3866"/>
      <c r="AG124" s="3866"/>
      <c r="AH124" s="3870"/>
      <c r="AI124" s="3870"/>
      <c r="AJ124" s="3870"/>
      <c r="AK124" s="3870"/>
      <c r="AL124" s="3870"/>
      <c r="AM124" s="3870"/>
      <c r="AN124" s="3870"/>
      <c r="AO124" s="3870"/>
      <c r="AP124" s="3870"/>
      <c r="AQ124" s="3870"/>
      <c r="AR124" s="3870"/>
      <c r="AS124" s="3870"/>
      <c r="AT124" s="3870"/>
      <c r="AU124" s="3870"/>
      <c r="AV124" s="3870"/>
      <c r="AW124" s="3870"/>
      <c r="AX124" s="3870"/>
      <c r="AY124" s="3870"/>
      <c r="AZ124" s="3870"/>
      <c r="BA124" s="2547"/>
      <c r="BB124" s="3864"/>
      <c r="BC124" s="4853"/>
      <c r="BG124" s="3750"/>
      <c r="BH124" s="3774"/>
      <c r="BI124" s="3751"/>
      <c r="BJ124" s="3861">
        <f t="shared" si="48"/>
        <v>4.313540184190499</v>
      </c>
      <c r="BK124" s="4864" t="s">
        <v>1565</v>
      </c>
      <c r="BL124" s="4882"/>
      <c r="BM124" s="4882"/>
      <c r="BN124" s="3759">
        <f>SUM(BX54)</f>
        <v>4.3128955353272644</v>
      </c>
      <c r="BO124" s="3759">
        <f>SUM(BO120*CH124)</f>
        <v>4.168336868381</v>
      </c>
      <c r="BP124" s="3759">
        <f>SUM(BO124)</f>
        <v>4.168336868381</v>
      </c>
      <c r="BQ124" s="3759">
        <f>SUM(BO124)</f>
        <v>4.168336868381</v>
      </c>
      <c r="BR124" s="3759">
        <f>SUM(BO124:BQ124)/3</f>
        <v>4.168336868381</v>
      </c>
      <c r="BS124" s="3759">
        <f>SUM(BO124)</f>
        <v>4.168336868381</v>
      </c>
      <c r="BT124" s="3759">
        <f>SUM(BO124)</f>
        <v>4.168336868381</v>
      </c>
      <c r="BU124" s="3759">
        <f>SUM(BO124)</f>
        <v>4.168336868381</v>
      </c>
      <c r="BV124" s="3759">
        <f>SUM(BS124:BU124)/3</f>
        <v>4.168336868381</v>
      </c>
      <c r="BW124" s="3759">
        <f>SUM(BO124+BP124+BQ124+BS124+BT124+BU124)/6</f>
        <v>4.168336868381</v>
      </c>
      <c r="BX124" s="3759">
        <f>SUM(BX120)</f>
        <v>4.4587434999999997</v>
      </c>
      <c r="BY124" s="3759">
        <f>SUM(BX124)</f>
        <v>4.4587434999999997</v>
      </c>
      <c r="BZ124" s="3759">
        <f>SUM(BX124)</f>
        <v>4.4587434999999997</v>
      </c>
      <c r="CA124" s="3759">
        <f>SUM(BX124:BZ124)/3</f>
        <v>4.4587434999999997</v>
      </c>
      <c r="CB124" s="3759">
        <f>SUM(BO124+BP124+BQ124+BS124+BT124+BU124+BX124+BY124+BZ124)/9</f>
        <v>4.265139078920666</v>
      </c>
      <c r="CC124" s="3759">
        <f>SUM(BX124)</f>
        <v>4.4587434999999997</v>
      </c>
      <c r="CD124" s="3759">
        <f>SUM(BX124)</f>
        <v>4.4587434999999997</v>
      </c>
      <c r="CE124" s="3759">
        <f>SUM(BX124)</f>
        <v>4.4587434999999997</v>
      </c>
      <c r="CF124" s="3760">
        <f>SUM(CC124:CE124)/3</f>
        <v>4.4587434999999997</v>
      </c>
      <c r="CG124" s="2546">
        <f>SUM(BO124+BP124+BQ124+BS124+BT124+BU124+BX124+BY124+BZ124+CC124+CD124+CE124)/12</f>
        <v>4.313540184190499</v>
      </c>
      <c r="CH124" s="2553">
        <v>1.0003088200000001</v>
      </c>
      <c r="CI124" s="4896" t="s">
        <v>1586</v>
      </c>
    </row>
    <row r="125" spans="1:87" ht="18.75">
      <c r="A125" s="3774"/>
      <c r="B125" s="3866"/>
      <c r="C125" s="3866"/>
      <c r="D125" s="3866"/>
      <c r="E125" s="3866"/>
      <c r="F125" s="3866"/>
      <c r="G125" s="3866"/>
      <c r="H125" s="3866"/>
      <c r="I125" s="3866"/>
      <c r="J125" s="3866"/>
      <c r="K125" s="3866"/>
      <c r="L125" s="3866"/>
      <c r="M125" s="3866"/>
      <c r="N125" s="3866"/>
      <c r="O125" s="3866"/>
      <c r="P125" s="3866"/>
      <c r="Q125" s="3866"/>
      <c r="R125" s="3866"/>
      <c r="S125" s="3866"/>
      <c r="T125" s="3866"/>
      <c r="U125" s="3866"/>
      <c r="V125" s="3866"/>
      <c r="W125" s="3866"/>
      <c r="X125" s="3866"/>
      <c r="Y125" s="3866"/>
      <c r="Z125" s="3866"/>
      <c r="AA125" s="3866"/>
      <c r="AB125" s="3866"/>
      <c r="AC125" s="3866"/>
      <c r="AD125" s="3866"/>
      <c r="AE125" s="3866"/>
      <c r="AF125" s="3866"/>
      <c r="AG125" s="3866"/>
      <c r="AH125" s="3868"/>
      <c r="AI125" s="3868"/>
      <c r="AJ125" s="3868"/>
      <c r="AK125" s="3868"/>
      <c r="AL125" s="3868"/>
      <c r="AM125" s="3868"/>
      <c r="AN125" s="3868"/>
      <c r="AO125" s="3868"/>
      <c r="AP125" s="3868"/>
      <c r="AQ125" s="3868"/>
      <c r="AR125" s="3868"/>
      <c r="AS125" s="3868"/>
      <c r="AT125" s="3868"/>
      <c r="AU125" s="3868"/>
      <c r="AV125" s="3868"/>
      <c r="AW125" s="3868"/>
      <c r="AX125" s="3868"/>
      <c r="AY125" s="3868"/>
      <c r="AZ125" s="3868"/>
      <c r="BA125" s="2545"/>
      <c r="BB125" s="3864"/>
      <c r="BC125" s="4853"/>
      <c r="BG125" s="3750"/>
      <c r="BH125" s="3774"/>
      <c r="BI125" s="3751"/>
      <c r="BJ125" s="3861">
        <f t="shared" si="48"/>
        <v>5969.9099974104129</v>
      </c>
      <c r="BK125" s="4864" t="s">
        <v>1568</v>
      </c>
      <c r="BL125" s="4882"/>
      <c r="BM125" s="4882"/>
      <c r="BN125" s="3762">
        <f>SUM(BN123*BN124)</f>
        <v>5969.91</v>
      </c>
      <c r="BO125" s="3762">
        <f t="shared" ref="BO125:CF125" si="61">SUM(BO123*BO124)</f>
        <v>489.90281008150487</v>
      </c>
      <c r="BP125" s="3762">
        <f t="shared" si="61"/>
        <v>491.28549913051029</v>
      </c>
      <c r="BQ125" s="3762">
        <f t="shared" si="61"/>
        <v>493.0825309633513</v>
      </c>
      <c r="BR125" s="3762">
        <f t="shared" si="61"/>
        <v>1474.2708401753666</v>
      </c>
      <c r="BS125" s="3762">
        <f t="shared" si="61"/>
        <v>486.22484495637281</v>
      </c>
      <c r="BT125" s="3762">
        <f t="shared" si="61"/>
        <v>477.04142099753631</v>
      </c>
      <c r="BU125" s="3762">
        <f t="shared" si="61"/>
        <v>460.17678997746441</v>
      </c>
      <c r="BV125" s="3762">
        <f t="shared" si="61"/>
        <v>1423.4430559313735</v>
      </c>
      <c r="BW125" s="3762">
        <f t="shared" si="61"/>
        <v>2897.7138961067399</v>
      </c>
      <c r="BX125" s="3762">
        <f t="shared" si="61"/>
        <v>478.23238434065814</v>
      </c>
      <c r="BY125" s="3762">
        <f t="shared" si="61"/>
        <v>494.88536339148243</v>
      </c>
      <c r="BZ125" s="3762">
        <f t="shared" si="61"/>
        <v>516.77207700350368</v>
      </c>
      <c r="CA125" s="3762">
        <f t="shared" si="61"/>
        <v>1489.8898247356442</v>
      </c>
      <c r="CB125" s="3762">
        <f t="shared" si="61"/>
        <v>4390.2050255926079</v>
      </c>
      <c r="CC125" s="3762">
        <f t="shared" si="61"/>
        <v>527.43542552267593</v>
      </c>
      <c r="CD125" s="3762">
        <f t="shared" si="61"/>
        <v>527.43542552267593</v>
      </c>
      <c r="CE125" s="3762">
        <f t="shared" si="61"/>
        <v>527.43542552267593</v>
      </c>
      <c r="CF125" s="3763">
        <f t="shared" si="61"/>
        <v>1582.3062765680281</v>
      </c>
      <c r="CG125" s="2544">
        <f>SUM(BO125+BP125+BQ125+BS125+BT125+BU125+BX125+BY125+BZ125+CC125+CD125+CE125)</f>
        <v>5969.9099974104129</v>
      </c>
      <c r="CH125" s="2553">
        <f>SUM(BN125/CG125)</f>
        <v>1.0000000004337732</v>
      </c>
      <c r="CI125" s="4896"/>
    </row>
    <row r="126" spans="1:87" ht="19.5" thickBot="1">
      <c r="A126" s="3774"/>
      <c r="B126" s="3866"/>
      <c r="C126" s="3866"/>
      <c r="D126" s="3866"/>
      <c r="E126" s="3866"/>
      <c r="F126" s="3866"/>
      <c r="G126" s="3866"/>
      <c r="H126" s="3866"/>
      <c r="I126" s="3866"/>
      <c r="J126" s="3866"/>
      <c r="K126" s="3866"/>
      <c r="L126" s="3866"/>
      <c r="M126" s="3866"/>
      <c r="N126" s="3866"/>
      <c r="O126" s="3866"/>
      <c r="P126" s="3866"/>
      <c r="Q126" s="3866"/>
      <c r="R126" s="3866"/>
      <c r="S126" s="3866"/>
      <c r="T126" s="3866"/>
      <c r="U126" s="3866"/>
      <c r="V126" s="3866"/>
      <c r="W126" s="3866"/>
      <c r="X126" s="3866"/>
      <c r="Y126" s="3866"/>
      <c r="Z126" s="3866"/>
      <c r="AA126" s="3866"/>
      <c r="AB126" s="3866"/>
      <c r="AC126" s="3866"/>
      <c r="AD126" s="3866"/>
      <c r="AE126" s="3866"/>
      <c r="AF126" s="3866"/>
      <c r="AG126" s="3866"/>
      <c r="AH126" s="3868"/>
      <c r="AI126" s="3868"/>
      <c r="AJ126" s="3868"/>
      <c r="AK126" s="3868"/>
      <c r="AL126" s="3868"/>
      <c r="AM126" s="3868"/>
      <c r="AN126" s="3868"/>
      <c r="AO126" s="3868"/>
      <c r="AP126" s="3868"/>
      <c r="AQ126" s="3868"/>
      <c r="AR126" s="3868"/>
      <c r="AS126" s="3868"/>
      <c r="AT126" s="3868"/>
      <c r="AU126" s="3868"/>
      <c r="AV126" s="3868"/>
      <c r="AW126" s="3868"/>
      <c r="AX126" s="3868"/>
      <c r="AY126" s="3868"/>
      <c r="AZ126" s="3868"/>
      <c r="BA126" s="2545"/>
      <c r="BB126" s="2545"/>
      <c r="BC126" s="1459"/>
      <c r="BG126" s="3750"/>
      <c r="BH126" s="3774"/>
      <c r="BI126" s="3751"/>
      <c r="BJ126" s="3861">
        <f t="shared" si="48"/>
        <v>3295.7500000000005</v>
      </c>
      <c r="BK126" s="4898" t="s">
        <v>1579</v>
      </c>
      <c r="BL126" s="4904"/>
      <c r="BM126" s="4904"/>
      <c r="BN126" s="3764">
        <f>SUM(BN118)</f>
        <v>3295.75</v>
      </c>
      <c r="BO126" s="3764">
        <f t="shared" ref="BO126:BU126" si="62">SUM(BO118)</f>
        <v>279.83532500000001</v>
      </c>
      <c r="BP126" s="3764">
        <f t="shared" si="62"/>
        <v>280.62512500000003</v>
      </c>
      <c r="BQ126" s="3764">
        <f t="shared" si="62"/>
        <v>281.65160000000003</v>
      </c>
      <c r="BR126" s="3764">
        <f>SUM(BO126:BQ126)</f>
        <v>842.11205000000007</v>
      </c>
      <c r="BS126" s="3764">
        <f t="shared" si="62"/>
        <v>277.73444999999998</v>
      </c>
      <c r="BT126" s="3764">
        <f t="shared" si="62"/>
        <v>272.48882499999996</v>
      </c>
      <c r="BU126" s="3764">
        <f t="shared" si="62"/>
        <v>262.85564999999997</v>
      </c>
      <c r="BV126" s="3764">
        <f>SUM(BS126:BU126)</f>
        <v>813.07892499999991</v>
      </c>
      <c r="BW126" s="3764">
        <f>SUM(BR126+BV126)</f>
        <v>1655.190975</v>
      </c>
      <c r="BX126" s="3764">
        <f t="shared" ref="BX126:BZ126" si="63">SUM(BX118)</f>
        <v>255.37707499999999</v>
      </c>
      <c r="BY126" s="3764">
        <f t="shared" si="63"/>
        <v>264.26979999999998</v>
      </c>
      <c r="BZ126" s="3764">
        <f t="shared" si="63"/>
        <v>275.95735000000002</v>
      </c>
      <c r="CA126" s="3764">
        <f>SUM(BX126:BZ126)</f>
        <v>795.60422499999993</v>
      </c>
      <c r="CB126" s="3764">
        <f>SUM(BW126+CA126)</f>
        <v>2450.7952</v>
      </c>
      <c r="CC126" s="3764">
        <f t="shared" ref="CC126:CE126" si="64">SUM(CC118)</f>
        <v>281.65160000000003</v>
      </c>
      <c r="CD126" s="3764">
        <f t="shared" si="64"/>
        <v>281.65160000000003</v>
      </c>
      <c r="CE126" s="3764">
        <f t="shared" si="64"/>
        <v>281.65160000000003</v>
      </c>
      <c r="CF126" s="3771">
        <f>SUM(CC126:CE126)</f>
        <v>844.95480000000009</v>
      </c>
      <c r="CG126" s="2544">
        <f>SUM(BO126+BP126+BQ126+BS126+BT126+BU126+BX126+BY126+BZ126+CC126+CD126+CE126)</f>
        <v>3295.7500000000005</v>
      </c>
      <c r="CH126" s="2545">
        <f>SUM(BR126+BV126+CA126+CF126)</f>
        <v>3295.75</v>
      </c>
    </row>
    <row r="127" spans="1:87" ht="19.5" thickBot="1">
      <c r="A127" s="3773"/>
      <c r="B127" s="3867"/>
      <c r="C127" s="3867"/>
      <c r="D127" s="3867"/>
      <c r="E127" s="3867"/>
      <c r="F127" s="3867"/>
      <c r="G127" s="3867"/>
      <c r="H127" s="3867"/>
      <c r="I127" s="3867"/>
      <c r="J127" s="3867"/>
      <c r="K127" s="3867"/>
      <c r="L127" s="3867"/>
      <c r="M127" s="3867"/>
      <c r="N127" s="3867"/>
      <c r="O127" s="3867"/>
      <c r="P127" s="3867"/>
      <c r="Q127" s="3867"/>
      <c r="R127" s="3867"/>
      <c r="S127" s="3867"/>
      <c r="T127" s="3867"/>
      <c r="U127" s="3867"/>
      <c r="V127" s="3867"/>
      <c r="W127" s="3867"/>
      <c r="X127" s="3867"/>
      <c r="Y127" s="3867"/>
      <c r="Z127" s="3867"/>
      <c r="AA127" s="3867"/>
      <c r="AB127" s="3867"/>
      <c r="AC127" s="3867"/>
      <c r="AD127" s="3867"/>
      <c r="AE127" s="3867"/>
      <c r="AF127" s="3867"/>
      <c r="AG127" s="3867"/>
      <c r="AH127" s="3867"/>
      <c r="AI127" s="3867"/>
      <c r="AJ127" s="3867"/>
      <c r="AK127" s="3867"/>
      <c r="AL127" s="3867"/>
      <c r="AM127" s="3867"/>
      <c r="AN127" s="3867"/>
      <c r="AO127" s="3867"/>
      <c r="AP127" s="3867"/>
      <c r="AQ127" s="3867"/>
      <c r="AR127" s="3867"/>
      <c r="AS127" s="3867"/>
      <c r="AT127" s="3867"/>
      <c r="AU127" s="3867"/>
      <c r="AV127" s="3867"/>
      <c r="AW127" s="3867"/>
      <c r="AX127" s="3867"/>
      <c r="AY127" s="3867"/>
      <c r="AZ127" s="3867"/>
      <c r="BA127" s="3865"/>
      <c r="BB127" s="3865"/>
      <c r="BC127" s="1459"/>
      <c r="BG127" s="3750"/>
      <c r="BH127" s="3773"/>
      <c r="BI127" s="3751"/>
      <c r="BJ127" s="3861">
        <f t="shared" si="48"/>
        <v>0</v>
      </c>
      <c r="BK127" s="4897" t="s">
        <v>1583</v>
      </c>
      <c r="BL127" s="4902"/>
      <c r="BM127" s="4902"/>
      <c r="BN127" s="4902"/>
      <c r="BO127" s="4902"/>
      <c r="BP127" s="4902"/>
      <c r="BQ127" s="4902"/>
      <c r="BR127" s="4902"/>
      <c r="BS127" s="4902"/>
      <c r="BT127" s="4902"/>
      <c r="BU127" s="4902"/>
      <c r="BV127" s="4902"/>
      <c r="BW127" s="4902"/>
      <c r="BX127" s="4902"/>
      <c r="BY127" s="4902"/>
      <c r="BZ127" s="4902"/>
      <c r="CA127" s="4902"/>
      <c r="CB127" s="4902"/>
      <c r="CC127" s="4902"/>
      <c r="CD127" s="4902"/>
      <c r="CE127" s="4902"/>
      <c r="CF127" s="4903"/>
      <c r="CG127" s="128"/>
      <c r="CH127" s="128"/>
    </row>
    <row r="128" spans="1:87" ht="18.75">
      <c r="A128" s="3774"/>
      <c r="B128" s="3866"/>
      <c r="C128" s="3866"/>
      <c r="D128" s="3866"/>
      <c r="E128" s="3866"/>
      <c r="F128" s="3866"/>
      <c r="G128" s="3866"/>
      <c r="H128" s="3866"/>
      <c r="I128" s="3866"/>
      <c r="J128" s="3866"/>
      <c r="K128" s="3866"/>
      <c r="L128" s="3866"/>
      <c r="M128" s="3866"/>
      <c r="N128" s="3866"/>
      <c r="O128" s="3866"/>
      <c r="P128" s="3866"/>
      <c r="Q128" s="3866"/>
      <c r="R128" s="3866"/>
      <c r="S128" s="3866"/>
      <c r="T128" s="3866"/>
      <c r="U128" s="3866"/>
      <c r="V128" s="3866"/>
      <c r="W128" s="3866"/>
      <c r="X128" s="3866"/>
      <c r="Y128" s="3866"/>
      <c r="Z128" s="3866"/>
      <c r="AA128" s="3866"/>
      <c r="AB128" s="3866"/>
      <c r="AC128" s="3866"/>
      <c r="AD128" s="3866"/>
      <c r="AE128" s="3866"/>
      <c r="AF128" s="3866"/>
      <c r="AG128" s="3866"/>
      <c r="AH128" s="3868"/>
      <c r="AI128" s="3868"/>
      <c r="AJ128" s="3868"/>
      <c r="AK128" s="3868"/>
      <c r="AL128" s="3868"/>
      <c r="AM128" s="3868"/>
      <c r="AN128" s="3868"/>
      <c r="AO128" s="3868"/>
      <c r="AP128" s="3868"/>
      <c r="AQ128" s="3868"/>
      <c r="AR128" s="3868"/>
      <c r="AS128" s="3868"/>
      <c r="AT128" s="3868"/>
      <c r="AU128" s="3868"/>
      <c r="AV128" s="3868"/>
      <c r="AW128" s="3868"/>
      <c r="AX128" s="3868"/>
      <c r="AY128" s="3868"/>
      <c r="AZ128" s="3868"/>
      <c r="BA128" s="2545"/>
      <c r="BB128" s="2545"/>
      <c r="BC128" s="1459"/>
      <c r="BG128" s="3750"/>
      <c r="BH128" s="3774"/>
      <c r="BI128" s="3751"/>
      <c r="BJ128" s="3861">
        <f t="shared" si="48"/>
        <v>1660.9999999999995</v>
      </c>
      <c r="BK128" s="4887" t="s">
        <v>1574</v>
      </c>
      <c r="BL128" s="4888"/>
      <c r="BM128" s="4888"/>
      <c r="BN128" s="2554">
        <f>SUM(BN115+BN123)</f>
        <v>1661</v>
      </c>
      <c r="BO128" s="2554">
        <f t="shared" ref="BO128:CF128" si="65">SUM(BO115+BO123)</f>
        <v>141.03207913980128</v>
      </c>
      <c r="BP128" s="2554">
        <f t="shared" si="65"/>
        <v>141.4301244405674</v>
      </c>
      <c r="BQ128" s="2554">
        <f t="shared" si="65"/>
        <v>141.94744977622696</v>
      </c>
      <c r="BR128" s="2554">
        <f t="shared" si="65"/>
        <v>424.40965335659564</v>
      </c>
      <c r="BS128" s="2554">
        <f t="shared" si="65"/>
        <v>139.97327511188649</v>
      </c>
      <c r="BT128" s="2554">
        <f t="shared" si="65"/>
        <v>137.32957242661001</v>
      </c>
      <c r="BU128" s="2554">
        <f t="shared" si="65"/>
        <v>132.47462175529088</v>
      </c>
      <c r="BV128" s="2554">
        <f t="shared" si="65"/>
        <v>409.77746929378736</v>
      </c>
      <c r="BW128" s="2554">
        <f t="shared" si="65"/>
        <v>834.187122650383</v>
      </c>
      <c r="BX128" s="2554">
        <f t="shared" si="65"/>
        <v>128.70555156641129</v>
      </c>
      <c r="BY128" s="2554">
        <f t="shared" si="65"/>
        <v>133.18732846848212</v>
      </c>
      <c r="BZ128" s="2554">
        <f t="shared" si="65"/>
        <v>139.07764798604262</v>
      </c>
      <c r="CA128" s="2554">
        <f t="shared" si="65"/>
        <v>400.97052802093606</v>
      </c>
      <c r="CB128" s="2554">
        <f t="shared" si="65"/>
        <v>1235.1576506713193</v>
      </c>
      <c r="CC128" s="2554">
        <f t="shared" si="65"/>
        <v>141.94744977622696</v>
      </c>
      <c r="CD128" s="2554">
        <f t="shared" si="65"/>
        <v>141.94744977622696</v>
      </c>
      <c r="CE128" s="2554">
        <f t="shared" si="65"/>
        <v>141.94744977622696</v>
      </c>
      <c r="CF128" s="2558">
        <f t="shared" si="65"/>
        <v>425.84234932868094</v>
      </c>
      <c r="CG128" s="2544">
        <f>SUM(BO128+BP128+BQ128+BS128+BT128+BU128+BX128+BY128+BZ128+CC128+CD128+CE128)</f>
        <v>1660.9999999999995</v>
      </c>
      <c r="CH128" s="2545">
        <f>SUM(BR128+BV128+CA128+CF128)</f>
        <v>1661</v>
      </c>
    </row>
    <row r="129" spans="1:86" ht="18.75">
      <c r="A129" s="3869"/>
      <c r="B129" s="3866"/>
      <c r="C129" s="3866"/>
      <c r="D129" s="3866"/>
      <c r="E129" s="3866"/>
      <c r="F129" s="3866"/>
      <c r="G129" s="3866"/>
      <c r="H129" s="3866"/>
      <c r="I129" s="3866"/>
      <c r="J129" s="3866"/>
      <c r="K129" s="3866"/>
      <c r="L129" s="3866"/>
      <c r="M129" s="3866"/>
      <c r="N129" s="3866"/>
      <c r="O129" s="3866"/>
      <c r="P129" s="3866"/>
      <c r="Q129" s="3866"/>
      <c r="R129" s="3866"/>
      <c r="S129" s="3866"/>
      <c r="T129" s="3866"/>
      <c r="U129" s="3866"/>
      <c r="V129" s="3866"/>
      <c r="W129" s="3866"/>
      <c r="X129" s="3866"/>
      <c r="Y129" s="3866"/>
      <c r="Z129" s="3866"/>
      <c r="AA129" s="3866"/>
      <c r="AB129" s="3866"/>
      <c r="AC129" s="3866"/>
      <c r="AD129" s="3866"/>
      <c r="AE129" s="3866"/>
      <c r="AF129" s="3866"/>
      <c r="AG129" s="3866"/>
      <c r="AH129" s="3870"/>
      <c r="AI129" s="3870"/>
      <c r="AJ129" s="3870"/>
      <c r="AK129" s="3870"/>
      <c r="AL129" s="3870"/>
      <c r="AM129" s="3870"/>
      <c r="AN129" s="3870"/>
      <c r="AO129" s="3870"/>
      <c r="AP129" s="3870"/>
      <c r="AQ129" s="3870"/>
      <c r="AR129" s="3870"/>
      <c r="AS129" s="3870"/>
      <c r="AT129" s="3870"/>
      <c r="AU129" s="3870"/>
      <c r="AV129" s="3870"/>
      <c r="AW129" s="3870"/>
      <c r="AX129" s="3870"/>
      <c r="AY129" s="3870"/>
      <c r="AZ129" s="3870"/>
      <c r="BA129" s="2547"/>
      <c r="BB129" s="2547"/>
      <c r="BC129" s="1459"/>
      <c r="BG129" s="3750"/>
      <c r="BH129" s="3775"/>
      <c r="BI129" s="3751"/>
      <c r="BJ129" s="3861">
        <f t="shared" si="48"/>
        <v>4.5379629456250088</v>
      </c>
      <c r="BK129" s="4881" t="s">
        <v>1575</v>
      </c>
      <c r="BL129" s="4882"/>
      <c r="BM129" s="4882"/>
      <c r="BN129" s="3765">
        <f>SUM(BN130/BN128)</f>
        <v>4.5372847682119204</v>
      </c>
      <c r="BO129" s="3765">
        <f t="shared" ref="BO129:CF129" si="66">SUM(BO130/BO128)</f>
        <v>4.3852075765600711</v>
      </c>
      <c r="BP129" s="3765">
        <f t="shared" si="66"/>
        <v>4.3852075765600729</v>
      </c>
      <c r="BQ129" s="3765">
        <f t="shared" si="66"/>
        <v>4.385207576560072</v>
      </c>
      <c r="BR129" s="3765">
        <f t="shared" si="66"/>
        <v>4.385207576560072</v>
      </c>
      <c r="BS129" s="3765">
        <f t="shared" si="66"/>
        <v>4.3852075765600729</v>
      </c>
      <c r="BT129" s="3765">
        <f t="shared" si="66"/>
        <v>4.385207576560072</v>
      </c>
      <c r="BU129" s="3765">
        <f t="shared" si="66"/>
        <v>4.385207576560072</v>
      </c>
      <c r="BV129" s="3765">
        <f t="shared" si="66"/>
        <v>4.385207576560072</v>
      </c>
      <c r="BW129" s="3765">
        <f t="shared" si="66"/>
        <v>4.385207576560072</v>
      </c>
      <c r="BX129" s="3765">
        <f t="shared" si="66"/>
        <v>4.6907183146899456</v>
      </c>
      <c r="BY129" s="3765">
        <f t="shared" si="66"/>
        <v>4.6907183146899456</v>
      </c>
      <c r="BZ129" s="3765">
        <f t="shared" si="66"/>
        <v>4.6907183146899465</v>
      </c>
      <c r="CA129" s="3765">
        <f t="shared" si="66"/>
        <v>4.6907183146899447</v>
      </c>
      <c r="CB129" s="3765">
        <f t="shared" si="66"/>
        <v>4.487044489270029</v>
      </c>
      <c r="CC129" s="3765">
        <f t="shared" si="66"/>
        <v>4.6907183146899456</v>
      </c>
      <c r="CD129" s="3765">
        <f t="shared" si="66"/>
        <v>4.6907183146899456</v>
      </c>
      <c r="CE129" s="3765">
        <f t="shared" si="66"/>
        <v>4.6907183146899456</v>
      </c>
      <c r="CF129" s="3766">
        <f t="shared" si="66"/>
        <v>4.6907183146899456</v>
      </c>
      <c r="CG129" s="2546">
        <f>SUM(BO129+BP129+BQ129+BS129+BT129+BU129+BX129+BY129+BZ129+CC129+CD129+CE129)/12</f>
        <v>4.5379629456250088</v>
      </c>
      <c r="CH129" s="2547">
        <f>SUM(BR129+BV129+CA129+CF129)/4</f>
        <v>4.5379629456250088</v>
      </c>
    </row>
    <row r="130" spans="1:86" ht="19.5" thickBot="1">
      <c r="A130" s="3774"/>
      <c r="B130" s="3866"/>
      <c r="C130" s="3866"/>
      <c r="D130" s="3866"/>
      <c r="E130" s="3866"/>
      <c r="F130" s="3866"/>
      <c r="G130" s="3866"/>
      <c r="H130" s="3866"/>
      <c r="I130" s="3866"/>
      <c r="J130" s="3866"/>
      <c r="K130" s="3866"/>
      <c r="L130" s="3866"/>
      <c r="M130" s="3866"/>
      <c r="N130" s="3866"/>
      <c r="O130" s="3866"/>
      <c r="P130" s="3866"/>
      <c r="Q130" s="3866"/>
      <c r="R130" s="3866"/>
      <c r="S130" s="3866"/>
      <c r="T130" s="3866"/>
      <c r="U130" s="3866"/>
      <c r="V130" s="3866"/>
      <c r="W130" s="3866"/>
      <c r="X130" s="3866"/>
      <c r="Y130" s="3866"/>
      <c r="Z130" s="3866"/>
      <c r="AA130" s="3866"/>
      <c r="AB130" s="3866"/>
      <c r="AC130" s="3866"/>
      <c r="AD130" s="3866"/>
      <c r="AE130" s="3866"/>
      <c r="AF130" s="3866"/>
      <c r="AG130" s="3866"/>
      <c r="AH130" s="3868"/>
      <c r="AI130" s="3868"/>
      <c r="AJ130" s="3868"/>
      <c r="AK130" s="3868"/>
      <c r="AL130" s="3868"/>
      <c r="AM130" s="3868"/>
      <c r="AN130" s="3868"/>
      <c r="AO130" s="3868"/>
      <c r="AP130" s="3868"/>
      <c r="AQ130" s="3868"/>
      <c r="AR130" s="3868"/>
      <c r="AS130" s="3868"/>
      <c r="AT130" s="3868"/>
      <c r="AU130" s="3868"/>
      <c r="AV130" s="3868"/>
      <c r="AW130" s="3868"/>
      <c r="AX130" s="3868"/>
      <c r="AY130" s="3868"/>
      <c r="AZ130" s="3868"/>
      <c r="BA130" s="2545"/>
      <c r="BB130" s="2545"/>
      <c r="BC130" s="1459"/>
      <c r="BG130" s="3750"/>
      <c r="BH130" s="3774"/>
      <c r="BI130" s="3751"/>
      <c r="BJ130" s="3861">
        <f t="shared" si="48"/>
        <v>7536.4299971206447</v>
      </c>
      <c r="BK130" s="4883" t="s">
        <v>1576</v>
      </c>
      <c r="BL130" s="4884"/>
      <c r="BM130" s="4884"/>
      <c r="BN130" s="3769">
        <f>SUM(BN117+BN125)</f>
        <v>7536.43</v>
      </c>
      <c r="BO130" s="3769">
        <f t="shared" ref="BO130:CF130" si="67">SUM(BO117+BO125)</f>
        <v>618.45494198187612</v>
      </c>
      <c r="BP130" s="3769">
        <f t="shared" si="67"/>
        <v>620.20045325061005</v>
      </c>
      <c r="BQ130" s="3769">
        <f t="shared" si="67"/>
        <v>622.46903223209074</v>
      </c>
      <c r="BR130" s="3769">
        <f t="shared" si="67"/>
        <v>1861.1244274645769</v>
      </c>
      <c r="BS130" s="3769">
        <f t="shared" si="67"/>
        <v>613.8118665365721</v>
      </c>
      <c r="BT130" s="3769">
        <f t="shared" si="67"/>
        <v>602.21868149092541</v>
      </c>
      <c r="BU130" s="3769">
        <f t="shared" si="67"/>
        <v>580.92871502323135</v>
      </c>
      <c r="BV130" s="3769">
        <f t="shared" si="67"/>
        <v>1796.9592630507286</v>
      </c>
      <c r="BW130" s="3769">
        <f t="shared" si="67"/>
        <v>3658.0836905153055</v>
      </c>
      <c r="BX130" s="3769">
        <f t="shared" si="67"/>
        <v>603.72148793483666</v>
      </c>
      <c r="BY130" s="3769">
        <f t="shared" si="67"/>
        <v>624.74424093173468</v>
      </c>
      <c r="BZ130" s="3769">
        <f t="shared" si="67"/>
        <v>652.37407057213147</v>
      </c>
      <c r="CA130" s="3769">
        <f t="shared" si="67"/>
        <v>1880.8397994387026</v>
      </c>
      <c r="CB130" s="3769">
        <f t="shared" si="67"/>
        <v>5542.2073298244586</v>
      </c>
      <c r="CC130" s="3769">
        <f t="shared" si="67"/>
        <v>665.83550238887904</v>
      </c>
      <c r="CD130" s="3769">
        <f t="shared" si="67"/>
        <v>665.83550238887904</v>
      </c>
      <c r="CE130" s="3769">
        <f t="shared" si="67"/>
        <v>665.83550238887904</v>
      </c>
      <c r="CF130" s="3770">
        <f t="shared" si="67"/>
        <v>1997.5065071666374</v>
      </c>
      <c r="CG130" s="2544">
        <f>SUM(BO130+BP130+BQ130+BS130+BT130+BU130+BX130+BY130+BZ130+CC130+CD130+CE130)</f>
        <v>7536.4299971206447</v>
      </c>
      <c r="CH130" s="2545">
        <f>SUM(BR130+BV130+CA130+CF130)</f>
        <v>7536.4299971206456</v>
      </c>
    </row>
    <row r="131" spans="1:86">
      <c r="A131" s="1459"/>
      <c r="B131" s="1459"/>
      <c r="C131" s="1459"/>
      <c r="D131" s="1459"/>
      <c r="E131" s="1459"/>
      <c r="F131" s="1459"/>
      <c r="G131" s="1459"/>
      <c r="H131" s="1459"/>
      <c r="I131" s="1459"/>
      <c r="J131" s="1459"/>
      <c r="K131" s="1459"/>
      <c r="L131" s="1459"/>
      <c r="M131" s="1459"/>
      <c r="N131" s="1459"/>
      <c r="O131" s="1459"/>
      <c r="P131" s="1459"/>
      <c r="Q131" s="1459"/>
      <c r="R131" s="1459"/>
      <c r="S131" s="1459"/>
      <c r="T131" s="1459"/>
      <c r="U131" s="1459"/>
      <c r="V131" s="1459"/>
      <c r="W131" s="1459"/>
      <c r="X131" s="1459"/>
      <c r="Y131" s="1459"/>
      <c r="Z131" s="1459"/>
      <c r="AA131" s="1459"/>
      <c r="AB131" s="1459"/>
      <c r="AC131" s="1459"/>
      <c r="AD131" s="1459"/>
      <c r="AE131" s="1459"/>
      <c r="AF131" s="1459"/>
      <c r="AG131" s="1459"/>
      <c r="AH131" s="1459"/>
      <c r="AI131" s="1459"/>
      <c r="AJ131" s="1459"/>
      <c r="AK131" s="1459"/>
      <c r="AL131" s="1459"/>
      <c r="AM131" s="1459"/>
      <c r="AN131" s="1459"/>
      <c r="AO131" s="1459"/>
      <c r="AP131" s="1459"/>
      <c r="AQ131" s="1459"/>
      <c r="AR131" s="1459"/>
      <c r="AS131" s="1459"/>
      <c r="AT131" s="1459"/>
      <c r="AU131" s="1459"/>
      <c r="AV131" s="1459"/>
      <c r="AW131" s="1459"/>
      <c r="AX131" s="1459"/>
      <c r="AY131" s="1459"/>
      <c r="AZ131" s="1459"/>
      <c r="BA131" s="1459"/>
      <c r="BB131" s="1459"/>
      <c r="BC131" s="1459"/>
      <c r="BG131" s="3750"/>
      <c r="BH131" s="3751"/>
      <c r="BI131" s="3751"/>
      <c r="BJ131" s="3751"/>
      <c r="BK131" s="3751"/>
      <c r="BL131" s="3751"/>
      <c r="BM131" s="3751"/>
    </row>
    <row r="132" spans="1:86">
      <c r="A132" s="1459"/>
      <c r="B132" s="1459"/>
      <c r="C132" s="1459"/>
      <c r="D132" s="1459"/>
      <c r="E132" s="1459"/>
      <c r="F132" s="1459"/>
      <c r="G132" s="1459"/>
      <c r="H132" s="1459"/>
      <c r="I132" s="1459"/>
      <c r="J132" s="1459"/>
      <c r="K132" s="1459"/>
      <c r="L132" s="1459"/>
      <c r="M132" s="1459"/>
      <c r="N132" s="1459"/>
      <c r="O132" s="1459"/>
      <c r="P132" s="1459"/>
      <c r="Q132" s="1459"/>
      <c r="R132" s="1459"/>
      <c r="S132" s="1459"/>
      <c r="T132" s="1459"/>
      <c r="U132" s="1459"/>
      <c r="V132" s="1459"/>
      <c r="W132" s="1459"/>
      <c r="X132" s="1459"/>
      <c r="Y132" s="1459"/>
      <c r="Z132" s="1459"/>
      <c r="AA132" s="1459"/>
      <c r="AB132" s="1459"/>
      <c r="AC132" s="1459"/>
      <c r="AD132" s="1459"/>
      <c r="AE132" s="1459"/>
      <c r="AF132" s="1459"/>
      <c r="AG132" s="1459"/>
      <c r="AH132" s="1459"/>
      <c r="AI132" s="1459"/>
      <c r="AJ132" s="1459"/>
      <c r="AK132" s="1459"/>
      <c r="AL132" s="1459"/>
      <c r="AM132" s="1459"/>
      <c r="AN132" s="1459"/>
      <c r="AO132" s="1459"/>
      <c r="AP132" s="1459"/>
      <c r="AQ132" s="1459"/>
      <c r="AR132" s="1459"/>
      <c r="AS132" s="1459"/>
      <c r="AT132" s="1459"/>
      <c r="AU132" s="1459"/>
      <c r="AV132" s="1459"/>
      <c r="AW132" s="1459"/>
      <c r="AX132" s="1459"/>
      <c r="AY132" s="1459"/>
      <c r="AZ132" s="1459"/>
      <c r="BA132" s="1459"/>
      <c r="BB132" s="1459"/>
      <c r="BC132" s="1459"/>
      <c r="BG132" s="3750"/>
      <c r="BH132" s="3751"/>
      <c r="BI132" s="3751"/>
      <c r="BJ132" s="3751"/>
      <c r="BK132" s="3751"/>
      <c r="BL132" s="3751"/>
      <c r="BM132" s="3751"/>
    </row>
    <row r="133" spans="1:86">
      <c r="A133" s="1459"/>
      <c r="B133" s="1459"/>
      <c r="C133" s="1459"/>
      <c r="D133" s="1459"/>
      <c r="E133" s="1459"/>
      <c r="F133" s="1459"/>
      <c r="G133" s="1459"/>
      <c r="H133" s="1459"/>
      <c r="I133" s="1459"/>
      <c r="J133" s="1459"/>
      <c r="K133" s="1459"/>
      <c r="L133" s="1459"/>
      <c r="M133" s="1459"/>
      <c r="N133" s="1459"/>
      <c r="O133" s="1459"/>
      <c r="P133" s="1459"/>
      <c r="Q133" s="1459"/>
      <c r="R133" s="1459"/>
      <c r="S133" s="1459"/>
      <c r="T133" s="1459"/>
      <c r="U133" s="1459"/>
      <c r="V133" s="1459"/>
      <c r="W133" s="1459"/>
      <c r="X133" s="1459"/>
      <c r="Y133" s="1459"/>
      <c r="Z133" s="1459"/>
      <c r="AA133" s="1459"/>
      <c r="AB133" s="1459"/>
      <c r="AC133" s="1459"/>
      <c r="AD133" s="1459"/>
      <c r="AE133" s="1459"/>
      <c r="AF133" s="1459"/>
      <c r="AG133" s="1459"/>
      <c r="AH133" s="1459"/>
      <c r="AI133" s="1459"/>
      <c r="AJ133" s="1459"/>
      <c r="AK133" s="1459"/>
      <c r="AL133" s="1459"/>
      <c r="AM133" s="1459"/>
      <c r="AN133" s="1459"/>
      <c r="AO133" s="1459"/>
      <c r="AP133" s="1459"/>
      <c r="AQ133" s="1459"/>
      <c r="AR133" s="1459"/>
      <c r="AS133" s="1459"/>
      <c r="AT133" s="1459"/>
      <c r="AU133" s="1459"/>
      <c r="AV133" s="1459"/>
      <c r="AW133" s="1459"/>
      <c r="AX133" s="1459"/>
      <c r="AY133" s="1459"/>
      <c r="AZ133" s="1459"/>
      <c r="BA133" s="1459"/>
      <c r="BB133" s="1459"/>
      <c r="BC133" s="1459"/>
      <c r="BH133" s="1462"/>
      <c r="BI133" s="1462"/>
      <c r="BJ133" s="1462"/>
      <c r="BK133" s="1462"/>
      <c r="BL133" s="1462"/>
      <c r="BM133" s="1462"/>
    </row>
    <row r="134" spans="1:86" ht="27" customHeight="1">
      <c r="A134" s="1459"/>
      <c r="B134" s="1459"/>
      <c r="C134" s="1459"/>
      <c r="D134" s="1459"/>
      <c r="E134" s="1459"/>
      <c r="F134" s="1459"/>
      <c r="G134" s="1459"/>
      <c r="H134" s="1459"/>
      <c r="I134" s="1459"/>
      <c r="J134" s="1459"/>
      <c r="K134" s="1459"/>
      <c r="L134" s="1459"/>
      <c r="M134" s="1459"/>
      <c r="N134" s="1459"/>
      <c r="O134" s="1459"/>
      <c r="P134" s="1459"/>
      <c r="Q134" s="1459"/>
      <c r="R134" s="1459"/>
      <c r="S134" s="1459"/>
      <c r="T134" s="1459"/>
      <c r="U134" s="1459"/>
      <c r="V134" s="1459"/>
      <c r="W134" s="1459"/>
      <c r="X134" s="1459"/>
      <c r="Y134" s="1459"/>
      <c r="Z134" s="1459"/>
      <c r="AA134" s="1459"/>
      <c r="AB134" s="1459"/>
      <c r="AC134" s="1459"/>
      <c r="AD134" s="1459"/>
      <c r="AE134" s="1459"/>
      <c r="AF134" s="1459"/>
      <c r="AG134" s="1459"/>
      <c r="AH134" s="1459"/>
      <c r="AI134" s="1459"/>
      <c r="AJ134" s="1459"/>
      <c r="AK134" s="1459"/>
      <c r="AL134" s="1459"/>
      <c r="AM134" s="1459"/>
      <c r="AN134" s="1459"/>
      <c r="AO134" s="1459"/>
      <c r="AP134" s="1459"/>
      <c r="AQ134" s="1459"/>
      <c r="AR134" s="1459"/>
      <c r="AS134" s="3871"/>
      <c r="AT134" s="3871"/>
      <c r="AU134" s="3871"/>
      <c r="AV134" s="3872"/>
      <c r="AW134" s="3872"/>
      <c r="AX134" s="3872"/>
      <c r="AY134" s="1459"/>
      <c r="AZ134" s="1459"/>
      <c r="BA134" s="1459"/>
      <c r="BB134" s="1459"/>
      <c r="BC134" s="1459"/>
      <c r="BH134" s="1462"/>
      <c r="BI134" s="1462"/>
      <c r="BJ134" s="1462"/>
      <c r="BK134" s="1462"/>
      <c r="BL134" s="1462"/>
      <c r="BM134" s="1462"/>
      <c r="BV134" s="3873"/>
      <c r="BY134" s="3873"/>
      <c r="BZ134" s="3875" t="s">
        <v>1787</v>
      </c>
      <c r="CA134" s="3876"/>
      <c r="CB134" s="3874"/>
      <c r="CC134" s="3874">
        <f>SUM((BZ48/2)/(1+(107%*100-100)/2/100))</f>
        <v>1883.6425120772947</v>
      </c>
      <c r="CD134" s="3877">
        <f>SUM(CC134/(BY48/2))</f>
        <v>5.4535104576644322</v>
      </c>
    </row>
    <row r="135" spans="1:86" ht="18">
      <c r="AS135" s="380"/>
      <c r="AT135" s="380"/>
      <c r="AU135" s="380"/>
      <c r="AV135" s="380"/>
      <c r="AW135" s="380"/>
      <c r="AX135" s="380"/>
      <c r="BH135" s="1462"/>
      <c r="BI135" s="1462"/>
      <c r="BJ135" s="1462"/>
      <c r="BK135" s="1462"/>
      <c r="BL135" s="1462"/>
      <c r="BM135" s="1462"/>
      <c r="BN135" s="1462"/>
      <c r="BO135" s="1462"/>
      <c r="BP135" s="1462"/>
      <c r="BQ135" s="1462"/>
      <c r="BR135" s="1462"/>
      <c r="BS135" s="1462"/>
      <c r="BT135" s="1462"/>
      <c r="BU135" s="1462"/>
      <c r="BV135" s="1462"/>
      <c r="BW135" s="1462"/>
      <c r="BX135" s="1462"/>
      <c r="BY135" s="1462"/>
      <c r="BZ135" s="1462"/>
      <c r="CA135" s="1462"/>
      <c r="CB135" s="1462"/>
      <c r="CC135" s="1462"/>
      <c r="CD135" s="1462"/>
      <c r="CE135" s="1462"/>
      <c r="CF135" s="1462"/>
    </row>
    <row r="136" spans="1:86" ht="18">
      <c r="AS136" s="380"/>
      <c r="AT136" s="380"/>
      <c r="AU136" s="380"/>
      <c r="AV136" s="380"/>
      <c r="AW136" s="380"/>
      <c r="AX136" s="380"/>
    </row>
    <row r="137" spans="1:86" ht="20.25">
      <c r="CD137" s="3504"/>
    </row>
  </sheetData>
  <mergeCells count="174">
    <mergeCell ref="BK127:CF127"/>
    <mergeCell ref="BK120:BM120"/>
    <mergeCell ref="BK121:BM121"/>
    <mergeCell ref="BK122:BM122"/>
    <mergeCell ref="BK123:BM123"/>
    <mergeCell ref="BK124:BM124"/>
    <mergeCell ref="BK125:BM125"/>
    <mergeCell ref="BK126:BM126"/>
    <mergeCell ref="BK87:BM88"/>
    <mergeCell ref="BK90:BM90"/>
    <mergeCell ref="BK91:BM91"/>
    <mergeCell ref="BK92:BM92"/>
    <mergeCell ref="BK93:BM93"/>
    <mergeCell ref="BK94:BM94"/>
    <mergeCell ref="BK95:BM95"/>
    <mergeCell ref="BN87:BN88"/>
    <mergeCell ref="BK100:BM100"/>
    <mergeCell ref="BK101:BM101"/>
    <mergeCell ref="BK102:BM102"/>
    <mergeCell ref="BO87:CF87"/>
    <mergeCell ref="CG88:CH88"/>
    <mergeCell ref="CI95:CI96"/>
    <mergeCell ref="CI103:CI104"/>
    <mergeCell ref="CI116:CI117"/>
    <mergeCell ref="CI124:CI125"/>
    <mergeCell ref="BK89:CF89"/>
    <mergeCell ref="BK106:CF106"/>
    <mergeCell ref="BK110:CF110"/>
    <mergeCell ref="BK105:BM105"/>
    <mergeCell ref="BK107:BM107"/>
    <mergeCell ref="BK108:BM108"/>
    <mergeCell ref="BK109:BM109"/>
    <mergeCell ref="BK99:BM99"/>
    <mergeCell ref="BK129:BM129"/>
    <mergeCell ref="BK130:BM130"/>
    <mergeCell ref="AG46:AG47"/>
    <mergeCell ref="BI46:BI47"/>
    <mergeCell ref="BJ46:BJ47"/>
    <mergeCell ref="BK128:BM128"/>
    <mergeCell ref="BK111:BM111"/>
    <mergeCell ref="BK112:BM112"/>
    <mergeCell ref="BK113:BM113"/>
    <mergeCell ref="BK114:BM114"/>
    <mergeCell ref="BK115:BM115"/>
    <mergeCell ref="BK116:BM116"/>
    <mergeCell ref="BK117:BM117"/>
    <mergeCell ref="BK118:BM118"/>
    <mergeCell ref="BK119:BM119"/>
    <mergeCell ref="BC95:BC96"/>
    <mergeCell ref="BC103:BC104"/>
    <mergeCell ref="BA88:BB88"/>
    <mergeCell ref="AS64:AW64"/>
    <mergeCell ref="BC116:BC117"/>
    <mergeCell ref="BK103:BM103"/>
    <mergeCell ref="BK104:BM104"/>
    <mergeCell ref="BK97:BM97"/>
    <mergeCell ref="BK98:BM98"/>
    <mergeCell ref="AM6:AO6"/>
    <mergeCell ref="AM7:AM8"/>
    <mergeCell ref="AN7:AN8"/>
    <mergeCell ref="AO7:AO8"/>
    <mergeCell ref="AB7:AB8"/>
    <mergeCell ref="A41:CC41"/>
    <mergeCell ref="A40:CC40"/>
    <mergeCell ref="BK44:BS44"/>
    <mergeCell ref="BT44:CC44"/>
    <mergeCell ref="O5:Q6"/>
    <mergeCell ref="K5:N6"/>
    <mergeCell ref="BH44:BJ45"/>
    <mergeCell ref="Z6:AC6"/>
    <mergeCell ref="I7:I8"/>
    <mergeCell ref="Q7:Q8"/>
    <mergeCell ref="K7:K8"/>
    <mergeCell ref="L7:L8"/>
    <mergeCell ref="H7:H8"/>
    <mergeCell ref="S7:S8"/>
    <mergeCell ref="T7:T8"/>
    <mergeCell ref="AU45:AW45"/>
    <mergeCell ref="AE45:AG45"/>
    <mergeCell ref="BK86:CF86"/>
    <mergeCell ref="BK96:BM96"/>
    <mergeCell ref="K44:AG44"/>
    <mergeCell ref="AL45:AN45"/>
    <mergeCell ref="AM46:AM47"/>
    <mergeCell ref="AN46:AN47"/>
    <mergeCell ref="AH45:AK45"/>
    <mergeCell ref="AI46:AI47"/>
    <mergeCell ref="AB45:AD45"/>
    <mergeCell ref="AR45:AT45"/>
    <mergeCell ref="AS46:AS47"/>
    <mergeCell ref="AT46:AT47"/>
    <mergeCell ref="AK46:AK47"/>
    <mergeCell ref="AF46:AF47"/>
    <mergeCell ref="AO46:AQ46"/>
    <mergeCell ref="AX44:BG44"/>
    <mergeCell ref="AX45:BA45"/>
    <mergeCell ref="BB45:BD45"/>
    <mergeCell ref="BE45:BG45"/>
    <mergeCell ref="AY46:AY47"/>
    <mergeCell ref="AZ46:AZ47"/>
    <mergeCell ref="N46:N47"/>
    <mergeCell ref="S45:V46"/>
    <mergeCell ref="AA46:AA47"/>
    <mergeCell ref="BC124:BC125"/>
    <mergeCell ref="AI87:AZ87"/>
    <mergeCell ref="AV46:AV47"/>
    <mergeCell ref="AW46:AW47"/>
    <mergeCell ref="A87:A88"/>
    <mergeCell ref="AH87:AH88"/>
    <mergeCell ref="A86:AZ86"/>
    <mergeCell ref="A72:M72"/>
    <mergeCell ref="X68:Z68"/>
    <mergeCell ref="A44:A47"/>
    <mergeCell ref="AJ46:AJ47"/>
    <mergeCell ref="AH44:AW44"/>
    <mergeCell ref="R46:R47"/>
    <mergeCell ref="AD46:AD47"/>
    <mergeCell ref="X45:AA45"/>
    <mergeCell ref="Y46:Y47"/>
    <mergeCell ref="Z46:Z47"/>
    <mergeCell ref="Q46:Q47"/>
    <mergeCell ref="L46:L47"/>
    <mergeCell ref="AO45:AQ45"/>
    <mergeCell ref="AC46:AC47"/>
    <mergeCell ref="K45:N45"/>
    <mergeCell ref="O45:R45"/>
    <mergeCell ref="M46:M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AC7:AC8"/>
    <mergeCell ref="M7:N8"/>
    <mergeCell ref="A5:A8"/>
    <mergeCell ref="H5:J6"/>
    <mergeCell ref="O7:O8"/>
    <mergeCell ref="AD6:AI6"/>
    <mergeCell ref="AD7:AD8"/>
    <mergeCell ref="AH7:AH8"/>
    <mergeCell ref="Y7:Y8"/>
    <mergeCell ref="AI7:AI8"/>
    <mergeCell ref="J7:J8"/>
    <mergeCell ref="P46:P47"/>
    <mergeCell ref="BY46:BY47"/>
    <mergeCell ref="BA46:BA47"/>
    <mergeCell ref="BC46:BC47"/>
    <mergeCell ref="BD46:BD47"/>
    <mergeCell ref="BE46:BG46"/>
    <mergeCell ref="BV46:BV47"/>
    <mergeCell ref="BW46:BW47"/>
    <mergeCell ref="BZ46:BZ47"/>
    <mergeCell ref="CA46:CC46"/>
    <mergeCell ref="BK45:BM45"/>
    <mergeCell ref="BL46:BL47"/>
    <mergeCell ref="BM46:BM47"/>
    <mergeCell ref="BN45:BP45"/>
    <mergeCell ref="BO46:BO47"/>
    <mergeCell ref="BP46:BP47"/>
    <mergeCell ref="BQ45:BS45"/>
    <mergeCell ref="BR46:BR47"/>
    <mergeCell ref="BS46:BS47"/>
    <mergeCell ref="BX45:BZ45"/>
    <mergeCell ref="CA45:CC45"/>
    <mergeCell ref="BU46:BU47"/>
    <mergeCell ref="BT45:BW45"/>
  </mergeCells>
  <phoneticPr fontId="7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O66"/>
  <sheetViews>
    <sheetView zoomScale="80" zoomScaleNormal="80" zoomScalePageLayoutView="80" workbookViewId="0">
      <pane xSplit="5" ySplit="28" topLeftCell="BT44" activePane="bottomRight" state="frozen"/>
      <selection pane="topRight" activeCell="F1" sqref="F1"/>
      <selection pane="bottomLeft" activeCell="A28" sqref="A28"/>
      <selection pane="bottomRight" activeCell="CA61" sqref="CA61"/>
    </sheetView>
  </sheetViews>
  <sheetFormatPr defaultRowHeight="12.75" outlineLevelCol="1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hidden="1" customWidth="1"/>
    <col min="7" max="7" width="10.85546875" hidden="1" customWidth="1"/>
    <col min="8" max="8" width="10.42578125" hidden="1" customWidth="1"/>
    <col min="9" max="9" width="8" hidden="1" customWidth="1"/>
    <col min="10" max="10" width="10.140625" hidden="1" customWidth="1"/>
    <col min="11" max="11" width="11.140625" hidden="1" customWidth="1"/>
    <col min="12" max="12" width="10.140625" hidden="1" customWidth="1"/>
    <col min="13" max="13" width="10.85546875" hidden="1" customWidth="1"/>
    <col min="14" max="14" width="7.5703125" hidden="1" customWidth="1"/>
    <col min="15" max="15" width="10" hidden="1" customWidth="1"/>
    <col min="16" max="16" width="9.7109375" hidden="1" customWidth="1"/>
    <col min="17" max="17" width="10.140625" hidden="1" customWidth="1"/>
    <col min="18" max="18" width="12.28515625" hidden="1" customWidth="1"/>
    <col min="19" max="19" width="9.7109375" hidden="1" customWidth="1"/>
    <col min="20" max="20" width="8.42578125" hidden="1" customWidth="1"/>
    <col min="21" max="21" width="10.28515625" hidden="1" customWidth="1"/>
    <col min="22" max="22" width="13.5703125" hidden="1" customWidth="1"/>
    <col min="23" max="23" width="10.140625" hidden="1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9" width="9.140625" hidden="1" customWidth="1" outlineLevel="1"/>
    <col min="30" max="30" width="11.28515625" hidden="1" customWidth="1" outlineLevel="1"/>
    <col min="31" max="31" width="11" hidden="1" customWidth="1" outlineLevel="1"/>
    <col min="32" max="32" width="10.5703125" hidden="1" customWidth="1" outlineLevel="1"/>
    <col min="33" max="33" width="9.28515625" customWidth="1" collapsed="1"/>
    <col min="34" max="34" width="8.85546875" customWidth="1"/>
    <col min="35" max="35" width="9.42578125" bestFit="1" customWidth="1"/>
    <col min="36" max="36" width="10" customWidth="1"/>
    <col min="37" max="37" width="9.7109375" bestFit="1" customWidth="1"/>
    <col min="39" max="39" width="10.85546875" customWidth="1"/>
    <col min="40" max="41" width="10.140625" customWidth="1"/>
    <col min="42" max="42" width="9.7109375" customWidth="1"/>
    <col min="43" max="43" width="9.140625" hidden="1" customWidth="1"/>
    <col min="44" max="44" width="10.140625" hidden="1" customWidth="1"/>
    <col min="45" max="45" width="13" hidden="1" customWidth="1"/>
    <col min="46" max="46" width="9.7109375" hidden="1" customWidth="1"/>
    <col min="47" max="47" width="9.140625" hidden="1" customWidth="1"/>
    <col min="48" max="48" width="10.85546875" hidden="1" customWidth="1"/>
    <col min="49" max="49" width="10.42578125" hidden="1" customWidth="1"/>
    <col min="50" max="50" width="9.7109375" hidden="1" customWidth="1"/>
    <col min="51" max="54" width="9.7109375" customWidth="1"/>
    <col min="55" max="55" width="9.140625" customWidth="1"/>
    <col min="56" max="56" width="10.140625" customWidth="1"/>
    <col min="57" max="57" width="10.42578125" customWidth="1"/>
    <col min="58" max="58" width="10.5703125" customWidth="1"/>
    <col min="59" max="59" width="9.7109375" customWidth="1"/>
    <col min="60" max="60" width="9.140625" customWidth="1"/>
    <col min="61" max="61" width="10.85546875" customWidth="1"/>
    <col min="62" max="62" width="11.42578125" customWidth="1"/>
    <col min="63" max="63" width="10.140625" customWidth="1"/>
    <col min="64" max="64" width="9.7109375" customWidth="1"/>
    <col min="65" max="66" width="9.140625" hidden="1" customWidth="1"/>
    <col min="67" max="67" width="7.7109375" hidden="1" customWidth="1"/>
    <col min="68" max="68" width="9.140625" hidden="1" customWidth="1"/>
    <col min="69" max="69" width="9.140625" customWidth="1"/>
    <col min="70" max="70" width="11" customWidth="1"/>
    <col min="71" max="71" width="10.42578125" customWidth="1"/>
    <col min="72" max="72" width="9.7109375" customWidth="1"/>
    <col min="73" max="73" width="9.140625" customWidth="1"/>
    <col min="74" max="74" width="11" customWidth="1"/>
    <col min="75" max="75" width="10.42578125" customWidth="1"/>
    <col min="76" max="76" width="9.7109375" customWidth="1"/>
    <col min="77" max="77" width="9.140625" customWidth="1"/>
    <col min="78" max="78" width="11" customWidth="1"/>
    <col min="79" max="79" width="10.42578125" customWidth="1"/>
    <col min="80" max="80" width="9.7109375" customWidth="1"/>
    <col min="81" max="81" width="9.140625" customWidth="1"/>
    <col min="82" max="82" width="11" customWidth="1"/>
    <col min="83" max="83" width="10.42578125" customWidth="1"/>
    <col min="84" max="84" width="9.85546875" customWidth="1"/>
    <col min="87" max="87" width="11" customWidth="1"/>
    <col min="88" max="89" width="10.42578125" customWidth="1"/>
    <col min="90" max="90" width="9.5703125" customWidth="1"/>
    <col min="91" max="93" width="9.140625" hidden="1" customWidth="1"/>
  </cols>
  <sheetData>
    <row r="1" spans="1:93">
      <c r="A1" s="4426" t="s">
        <v>1533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  <c r="AT1" s="4426"/>
      <c r="AU1" s="4426"/>
      <c r="AV1" s="4426"/>
      <c r="AW1" s="4426"/>
      <c r="AX1" s="4426"/>
      <c r="AY1" s="4426"/>
      <c r="AZ1" s="4426"/>
      <c r="BA1" s="4426"/>
      <c r="BB1" s="4426"/>
      <c r="BC1" s="4426"/>
      <c r="BD1" s="4426"/>
      <c r="BE1" s="4426"/>
      <c r="BF1" s="4426"/>
      <c r="BG1" s="4426"/>
      <c r="BH1" s="4426"/>
      <c r="BI1" s="4426"/>
      <c r="BJ1" s="4426"/>
      <c r="BK1" s="4426"/>
      <c r="BL1" s="4426"/>
      <c r="BM1" s="4426"/>
      <c r="BN1" s="4426"/>
      <c r="BO1" s="4426"/>
      <c r="BP1" s="4426"/>
      <c r="BQ1" s="4426"/>
      <c r="BR1" s="4426"/>
      <c r="BS1" s="4426"/>
      <c r="BT1" s="4426"/>
      <c r="BU1" s="4426"/>
      <c r="BV1" s="4426"/>
      <c r="BW1" s="4426"/>
      <c r="BX1" s="4426"/>
      <c r="BY1" s="4426"/>
      <c r="BZ1" s="4426"/>
      <c r="CA1" s="4426"/>
      <c r="CB1" s="4426"/>
      <c r="CC1" s="4426"/>
      <c r="CD1" s="4426"/>
      <c r="CE1" s="4426"/>
      <c r="CF1" s="4426"/>
      <c r="CG1" s="4426"/>
      <c r="CH1" s="4426"/>
      <c r="CI1" s="4426"/>
      <c r="CJ1" s="4426"/>
      <c r="CK1" s="4426"/>
      <c r="CL1" s="4426"/>
      <c r="CM1" s="4426"/>
      <c r="CN1" s="4426"/>
      <c r="CO1" s="4426"/>
    </row>
    <row r="2" spans="1:93" ht="26.25">
      <c r="A2" s="4912" t="s">
        <v>365</v>
      </c>
      <c r="B2" s="4912"/>
      <c r="C2" s="4912"/>
      <c r="D2" s="4912"/>
      <c r="E2" s="4912"/>
      <c r="F2" s="4912"/>
      <c r="G2" s="4912"/>
      <c r="H2" s="4912"/>
      <c r="I2" s="4912"/>
      <c r="J2" s="4912"/>
      <c r="K2" s="4912"/>
      <c r="L2" s="4912"/>
      <c r="M2" s="4912"/>
      <c r="N2" s="4912"/>
      <c r="O2" s="4912"/>
      <c r="P2" s="4912"/>
      <c r="Q2" s="4912"/>
      <c r="R2" s="4912"/>
      <c r="S2" s="4912"/>
      <c r="T2" s="4912"/>
      <c r="U2" s="4912"/>
      <c r="V2" s="4912"/>
      <c r="W2" s="4912"/>
      <c r="X2" s="4912"/>
      <c r="Y2" s="4912"/>
      <c r="Z2" s="4912"/>
      <c r="AA2" s="4912"/>
      <c r="AB2" s="4912"/>
      <c r="AC2" s="4912"/>
      <c r="AD2" s="4912"/>
      <c r="AE2" s="4912"/>
      <c r="AF2" s="4912"/>
      <c r="AG2" s="4912"/>
      <c r="AH2" s="4912"/>
      <c r="AI2" s="4912"/>
      <c r="AJ2" s="4912"/>
      <c r="AK2" s="4912"/>
      <c r="AL2" s="4913"/>
      <c r="AM2" s="4913"/>
      <c r="AN2" s="4913"/>
      <c r="AO2" s="4913"/>
      <c r="AP2" s="4913"/>
      <c r="AQ2" s="4913"/>
      <c r="AR2" s="4913"/>
      <c r="AS2" s="4913"/>
      <c r="AT2" s="4913"/>
      <c r="AU2" s="4913"/>
      <c r="AV2" s="4913"/>
      <c r="AW2" s="4913"/>
      <c r="AX2" s="4913"/>
      <c r="AY2" s="4913"/>
      <c r="AZ2" s="4913"/>
      <c r="BA2" s="4913"/>
      <c r="BB2" s="4913"/>
      <c r="BC2" s="4913"/>
      <c r="BD2" s="4913"/>
      <c r="BE2" s="4913"/>
      <c r="BF2" s="4913"/>
      <c r="BG2" s="4913"/>
      <c r="BH2" s="4913"/>
      <c r="BI2" s="4913"/>
      <c r="BJ2" s="4913"/>
      <c r="BK2" s="4913"/>
      <c r="BL2" s="4913"/>
      <c r="BM2" s="4913"/>
      <c r="BN2" s="4913"/>
      <c r="BO2" s="4913"/>
      <c r="BP2" s="4356"/>
      <c r="BQ2" s="4356"/>
      <c r="BR2" s="4356"/>
      <c r="BS2" s="4356"/>
      <c r="BT2" s="4356"/>
      <c r="BU2" s="4356"/>
      <c r="BV2" s="4356"/>
      <c r="BW2" s="4356"/>
      <c r="BX2" s="4356"/>
      <c r="BY2" s="4356"/>
      <c r="BZ2" s="4356"/>
      <c r="CA2" s="4356"/>
      <c r="CB2" s="4356"/>
      <c r="CC2" s="4356"/>
      <c r="CD2" s="4356"/>
      <c r="CE2" s="4356"/>
      <c r="CF2" s="4356"/>
      <c r="CG2" s="4356"/>
      <c r="CH2" s="4356"/>
      <c r="CI2" s="4356"/>
      <c r="CJ2" s="4356"/>
      <c r="CK2" s="4356"/>
      <c r="CL2" s="4356"/>
      <c r="CM2" s="4356"/>
      <c r="CN2" s="4356"/>
      <c r="CO2" s="4356"/>
    </row>
    <row r="3" spans="1:9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93" ht="12.75" hidden="1" customHeight="1">
      <c r="A4" s="4926"/>
      <c r="B4" s="295"/>
      <c r="C4" s="295"/>
      <c r="D4" s="295"/>
      <c r="E4" s="313"/>
      <c r="F4" s="4929" t="s">
        <v>227</v>
      </c>
      <c r="G4" s="4930"/>
      <c r="H4" s="4930"/>
      <c r="I4" s="4930"/>
      <c r="J4" s="4931"/>
      <c r="K4" s="4935" t="s">
        <v>228</v>
      </c>
      <c r="L4" s="4930"/>
      <c r="M4" s="4930"/>
      <c r="N4" s="4930"/>
      <c r="O4" s="4936"/>
      <c r="P4" s="4929" t="s">
        <v>251</v>
      </c>
      <c r="Q4" s="4930"/>
      <c r="R4" s="4930"/>
      <c r="S4" s="4930"/>
      <c r="T4" s="4930"/>
      <c r="U4" s="4930"/>
      <c r="V4" s="4930"/>
      <c r="W4" s="4931"/>
      <c r="X4" s="4967" t="s">
        <v>163</v>
      </c>
      <c r="Y4" s="4968"/>
      <c r="Z4" s="4968"/>
      <c r="AA4" s="4968"/>
      <c r="AB4" s="4968"/>
      <c r="AC4" s="4968"/>
      <c r="AD4" s="4968"/>
      <c r="AE4" s="4968"/>
      <c r="AF4" s="4968"/>
      <c r="AG4" s="4968"/>
      <c r="AH4" s="4968"/>
      <c r="AI4" s="4968"/>
      <c r="AJ4" s="4968"/>
      <c r="AK4" s="4968"/>
      <c r="AL4" s="4968"/>
      <c r="AM4" s="4968"/>
      <c r="AN4" s="4968"/>
      <c r="AO4" s="4968"/>
      <c r="AP4" s="4964" t="s">
        <v>381</v>
      </c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288"/>
      <c r="BN4" s="288"/>
      <c r="BO4" s="288"/>
      <c r="BP4" s="289"/>
    </row>
    <row r="5" spans="1:93" hidden="1">
      <c r="A5" s="4927"/>
      <c r="B5" s="4819" t="s">
        <v>59</v>
      </c>
      <c r="C5" s="4819"/>
      <c r="D5" s="4819"/>
      <c r="E5" s="4939"/>
      <c r="F5" s="4932"/>
      <c r="G5" s="4933"/>
      <c r="H5" s="4933"/>
      <c r="I5" s="4933"/>
      <c r="J5" s="4934"/>
      <c r="K5" s="4937"/>
      <c r="L5" s="4933"/>
      <c r="M5" s="4933"/>
      <c r="N5" s="4933"/>
      <c r="O5" s="4938"/>
      <c r="P5" s="4932" t="s">
        <v>229</v>
      </c>
      <c r="Q5" s="4933"/>
      <c r="R5" s="4933"/>
      <c r="S5" s="4933"/>
      <c r="T5" s="4933" t="s">
        <v>252</v>
      </c>
      <c r="U5" s="4933"/>
      <c r="V5" s="4933"/>
      <c r="W5" s="4934"/>
      <c r="X5" s="4940" t="s">
        <v>168</v>
      </c>
      <c r="Y5" s="4941"/>
      <c r="Z5" s="4941"/>
      <c r="AA5" s="4941"/>
      <c r="AB5" s="4941"/>
      <c r="AC5" s="883"/>
      <c r="AD5" s="883"/>
      <c r="AE5" s="883"/>
      <c r="AF5" s="883"/>
      <c r="AG5" s="4941" t="s">
        <v>247</v>
      </c>
      <c r="AH5" s="4941"/>
      <c r="AI5" s="4941"/>
      <c r="AJ5" s="4941"/>
      <c r="AK5" s="4941"/>
      <c r="AL5" s="4942" t="s">
        <v>229</v>
      </c>
      <c r="AM5" s="4942"/>
      <c r="AN5" s="4942"/>
      <c r="AO5" s="4942"/>
      <c r="AP5" s="4965"/>
      <c r="AQ5" s="905"/>
      <c r="AR5" s="905"/>
      <c r="AS5" s="905"/>
      <c r="AT5" s="905"/>
      <c r="AU5" s="905"/>
      <c r="AV5" s="905"/>
      <c r="AW5" s="905"/>
      <c r="AX5" s="905"/>
      <c r="AY5" s="2774"/>
      <c r="AZ5" s="2774"/>
      <c r="BA5" s="2774"/>
      <c r="BB5" s="2774"/>
      <c r="BC5" s="905"/>
      <c r="BD5" s="905"/>
      <c r="BE5" s="905"/>
      <c r="BF5" s="905"/>
      <c r="BG5" s="905"/>
      <c r="BH5" s="905"/>
      <c r="BI5" s="905"/>
      <c r="BJ5" s="905"/>
      <c r="BK5" s="905"/>
      <c r="BL5" s="905"/>
      <c r="BM5" s="4942" t="s">
        <v>379</v>
      </c>
      <c r="BN5" s="4942"/>
      <c r="BO5" s="4942"/>
      <c r="BP5" s="4943"/>
    </row>
    <row r="6" spans="1:93" ht="57.75" hidden="1" customHeight="1" thickBot="1">
      <c r="A6" s="4928"/>
      <c r="B6" s="277" t="s">
        <v>100</v>
      </c>
      <c r="C6" s="277" t="s">
        <v>125</v>
      </c>
      <c r="D6" s="277" t="s">
        <v>101</v>
      </c>
      <c r="E6" s="278" t="s">
        <v>102</v>
      </c>
      <c r="F6" s="276" t="s">
        <v>100</v>
      </c>
      <c r="G6" s="277" t="s">
        <v>125</v>
      </c>
      <c r="H6" s="277" t="s">
        <v>101</v>
      </c>
      <c r="I6" s="277" t="s">
        <v>66</v>
      </c>
      <c r="J6" s="275" t="s">
        <v>102</v>
      </c>
      <c r="K6" s="318" t="s">
        <v>100</v>
      </c>
      <c r="L6" s="277" t="s">
        <v>125</v>
      </c>
      <c r="M6" s="277" t="s">
        <v>101</v>
      </c>
      <c r="N6" s="277" t="s">
        <v>112</v>
      </c>
      <c r="O6" s="278" t="s">
        <v>102</v>
      </c>
      <c r="P6" s="276" t="s">
        <v>100</v>
      </c>
      <c r="Q6" s="277" t="s">
        <v>125</v>
      </c>
      <c r="R6" s="277" t="s">
        <v>101</v>
      </c>
      <c r="S6" s="277" t="s">
        <v>102</v>
      </c>
      <c r="T6" s="277" t="s">
        <v>100</v>
      </c>
      <c r="U6" s="277" t="s">
        <v>125</v>
      </c>
      <c r="V6" s="277" t="s">
        <v>101</v>
      </c>
      <c r="W6" s="275" t="s">
        <v>102</v>
      </c>
      <c r="X6" s="276" t="s">
        <v>100</v>
      </c>
      <c r="Y6" s="277" t="s">
        <v>125</v>
      </c>
      <c r="Z6" s="277" t="s">
        <v>101</v>
      </c>
      <c r="AA6" s="277" t="s">
        <v>167</v>
      </c>
      <c r="AB6" s="277" t="s">
        <v>102</v>
      </c>
      <c r="AC6" s="277"/>
      <c r="AD6" s="277"/>
      <c r="AE6" s="277"/>
      <c r="AF6" s="277"/>
      <c r="AG6" s="277" t="s">
        <v>100</v>
      </c>
      <c r="AH6" s="277" t="s">
        <v>131</v>
      </c>
      <c r="AI6" s="277" t="s">
        <v>101</v>
      </c>
      <c r="AJ6" s="277" t="s">
        <v>123</v>
      </c>
      <c r="AK6" s="277" t="s">
        <v>102</v>
      </c>
      <c r="AL6" s="277" t="s">
        <v>100</v>
      </c>
      <c r="AM6" s="277" t="s">
        <v>125</v>
      </c>
      <c r="AN6" s="277" t="s">
        <v>101</v>
      </c>
      <c r="AO6" s="277" t="s">
        <v>102</v>
      </c>
      <c r="AP6" s="4966"/>
      <c r="AQ6" s="705"/>
      <c r="AR6" s="705"/>
      <c r="AS6" s="705"/>
      <c r="AT6" s="705"/>
      <c r="AU6" s="705"/>
      <c r="AV6" s="705"/>
      <c r="AW6" s="705"/>
      <c r="AX6" s="705"/>
      <c r="AY6" s="2775"/>
      <c r="AZ6" s="2775"/>
      <c r="BA6" s="2775"/>
      <c r="BB6" s="2775"/>
      <c r="BC6" s="705"/>
      <c r="BD6" s="705"/>
      <c r="BE6" s="705"/>
      <c r="BF6" s="705"/>
      <c r="BG6" s="705"/>
      <c r="BH6" s="705"/>
      <c r="BI6" s="705"/>
      <c r="BJ6" s="705"/>
      <c r="BK6" s="705"/>
      <c r="BL6" s="705"/>
      <c r="BM6" s="277" t="s">
        <v>100</v>
      </c>
      <c r="BN6" s="277" t="s">
        <v>125</v>
      </c>
      <c r="BO6" s="277" t="s">
        <v>101</v>
      </c>
      <c r="BP6" s="275" t="s">
        <v>102</v>
      </c>
    </row>
    <row r="7" spans="1:93" hidden="1">
      <c r="A7" s="307" t="s">
        <v>103</v>
      </c>
      <c r="B7" s="147">
        <v>12.19</v>
      </c>
      <c r="C7" s="293">
        <f>B7/C16*1000</f>
        <v>1.3791308873276085</v>
      </c>
      <c r="D7" s="308">
        <f t="shared" ref="D7:D12" si="0">E7/B7*1000</f>
        <v>40804.91714520099</v>
      </c>
      <c r="E7" s="281">
        <v>497.41194000000002</v>
      </c>
      <c r="F7" s="326">
        <v>8.9149999999999991</v>
      </c>
      <c r="G7" s="293">
        <f>F7/G16*1000</f>
        <v>1.0058784370804137</v>
      </c>
      <c r="H7" s="308">
        <f>J7/F7*1000</f>
        <v>52361.18900729109</v>
      </c>
      <c r="I7" s="291">
        <f>H7/D7*100</f>
        <v>128.32078256884591</v>
      </c>
      <c r="J7" s="312">
        <v>466.8</v>
      </c>
      <c r="K7" s="319">
        <v>7.5220000000000002</v>
      </c>
      <c r="L7" s="293">
        <f>K7/L16*1000</f>
        <v>0.89837451778953537</v>
      </c>
      <c r="M7" s="308">
        <v>65249</v>
      </c>
      <c r="N7" s="291">
        <f>M7/H7*100</f>
        <v>124.61328941730932</v>
      </c>
      <c r="O7" s="281">
        <f>K7*M7/1000</f>
        <v>490.802978</v>
      </c>
      <c r="P7" s="326">
        <v>6.18</v>
      </c>
      <c r="Q7" s="293" t="e">
        <f>P7/Q16*1000</f>
        <v>#REF!</v>
      </c>
      <c r="R7" s="308">
        <v>71300</v>
      </c>
      <c r="S7" s="293">
        <f>P7*R7/1000</f>
        <v>440.63400000000001</v>
      </c>
      <c r="T7" s="293">
        <v>7.98</v>
      </c>
      <c r="U7" s="309">
        <f>T7/$T$16*1000</f>
        <v>0.87046632124352341</v>
      </c>
      <c r="V7" s="290">
        <v>71.441000000000003</v>
      </c>
      <c r="W7" s="312">
        <f>T7*V7</f>
        <v>570.09918000000005</v>
      </c>
      <c r="X7" s="154">
        <v>50</v>
      </c>
      <c r="Y7" s="20">
        <f>X7/Y16*1000</f>
        <v>7.508522172665975</v>
      </c>
      <c r="Z7" s="147">
        <v>75500</v>
      </c>
      <c r="AA7" s="291">
        <f>Z7/R7*100</f>
        <v>105.89060308555401</v>
      </c>
      <c r="AB7" s="147">
        <f>X7*Z7/1000</f>
        <v>3775</v>
      </c>
      <c r="AC7" s="147"/>
      <c r="AD7" s="147"/>
      <c r="AE7" s="147"/>
      <c r="AF7" s="147"/>
      <c r="AG7" s="293" t="e">
        <f>AH16*AH7/1000</f>
        <v>#REF!</v>
      </c>
      <c r="AH7" s="293">
        <v>6.08</v>
      </c>
      <c r="AI7" s="147">
        <f>R7*1.069</f>
        <v>76219.7</v>
      </c>
      <c r="AJ7" s="310">
        <f>AI7/R7*100</f>
        <v>106.89999999999999</v>
      </c>
      <c r="AK7" s="20" t="e">
        <f>AG7*AI7/1000</f>
        <v>#REF!</v>
      </c>
      <c r="AL7" s="293">
        <v>3.1</v>
      </c>
      <c r="AM7" s="293">
        <f>AL7/AM16*1000</f>
        <v>0.52321558169758142</v>
      </c>
      <c r="AN7" s="292">
        <f>AO7/AL7*1000</f>
        <v>72000</v>
      </c>
      <c r="AO7" s="293">
        <v>223.2</v>
      </c>
      <c r="AP7" s="311">
        <f>(BN7+U7+L7+G7)/4</f>
        <v>0.81842936278323364</v>
      </c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293">
        <v>3.91</v>
      </c>
      <c r="BN7" s="309">
        <f>BM7/BN16*1000</f>
        <v>0.4989981750194622</v>
      </c>
      <c r="BO7" s="292">
        <f>BP7/BM7*1000</f>
        <v>71994.88491048594</v>
      </c>
      <c r="BP7" s="312">
        <v>281.5</v>
      </c>
    </row>
    <row r="8" spans="1:93" hidden="1">
      <c r="A8" s="265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14">
        <v>1702.42668</v>
      </c>
      <c r="F8" s="280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27">
        <v>1787</v>
      </c>
      <c r="K8" s="320">
        <v>36</v>
      </c>
      <c r="L8" s="23">
        <f>K8/L16*1000</f>
        <v>4.2995855677244448</v>
      </c>
      <c r="M8" s="19">
        <v>52781</v>
      </c>
      <c r="N8" s="6"/>
      <c r="O8" s="314">
        <f>K8*M8/1000</f>
        <v>1900.116</v>
      </c>
      <c r="P8" s="258">
        <v>38.5</v>
      </c>
      <c r="Q8" s="23" t="e">
        <f>P8/Q16*1000</f>
        <v>#REF!</v>
      </c>
      <c r="R8" s="133">
        <v>52490</v>
      </c>
      <c r="S8" s="15">
        <f>P8*R8/1000</f>
        <v>2020.865</v>
      </c>
      <c r="T8" s="15">
        <v>52.12</v>
      </c>
      <c r="U8" s="148">
        <f t="shared" ref="U8:U13" si="1">T8/$T$16*1000</f>
        <v>5.6853013362421594</v>
      </c>
      <c r="V8" s="57">
        <v>52.529000000000003</v>
      </c>
      <c r="W8" s="296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797"/>
      <c r="AD8" s="797"/>
      <c r="AE8" s="797"/>
      <c r="AF8" s="797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7">
        <f>AO8/AL8*1000</f>
        <v>51507.34408861064</v>
      </c>
      <c r="AO8" s="15">
        <v>2139.1</v>
      </c>
      <c r="AP8" s="173">
        <f>(BN8+U8+L8+G8)/4</f>
        <v>5.3903583785855904</v>
      </c>
      <c r="AQ8" s="906"/>
      <c r="AR8" s="906"/>
      <c r="AS8" s="906"/>
      <c r="AT8" s="906"/>
      <c r="AU8" s="906"/>
      <c r="AV8" s="906"/>
      <c r="AW8" s="906"/>
      <c r="AX8" s="906"/>
      <c r="AY8" s="2776"/>
      <c r="AZ8" s="2776"/>
      <c r="BA8" s="2776"/>
      <c r="BB8" s="2776"/>
      <c r="BC8" s="906"/>
      <c r="BD8" s="906"/>
      <c r="BE8" s="906"/>
      <c r="BF8" s="906"/>
      <c r="BG8" s="906"/>
      <c r="BH8" s="906"/>
      <c r="BI8" s="906"/>
      <c r="BJ8" s="906"/>
      <c r="BK8" s="906"/>
      <c r="BL8" s="906"/>
      <c r="BM8" s="23">
        <v>50.97</v>
      </c>
      <c r="BN8" s="287">
        <f>BM8/BN16*1000</f>
        <v>6.5048432175810706</v>
      </c>
      <c r="BO8" s="137">
        <f>BP8/BM8*1000</f>
        <v>48828.72277810477</v>
      </c>
      <c r="BP8" s="296">
        <v>2488.8000000000002</v>
      </c>
    </row>
    <row r="9" spans="1:93" hidden="1">
      <c r="A9" s="265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14">
        <v>3221.8826899999999</v>
      </c>
      <c r="F9" s="280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96">
        <v>1393.6</v>
      </c>
      <c r="K9" s="321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14">
        <v>959.8</v>
      </c>
      <c r="P9" s="280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8">
        <f t="shared" si="1"/>
        <v>49.316607581128991</v>
      </c>
      <c r="V9" s="57">
        <v>6.774</v>
      </c>
      <c r="W9" s="296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797"/>
      <c r="AD9" s="797"/>
      <c r="AE9" s="797"/>
      <c r="AF9" s="797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7">
        <f>AO9/AL9*1000</f>
        <v>6582.0114748565647</v>
      </c>
      <c r="AO9" s="15">
        <v>780.1</v>
      </c>
      <c r="AP9" s="173">
        <f>(BN9+U9+L9+G9)/4</f>
        <v>30.576811943690544</v>
      </c>
      <c r="AQ9" s="906"/>
      <c r="AR9" s="906"/>
      <c r="AS9" s="906"/>
      <c r="AT9" s="906"/>
      <c r="AU9" s="906"/>
      <c r="AV9" s="906"/>
      <c r="AW9" s="906"/>
      <c r="AX9" s="906"/>
      <c r="AY9" s="2776"/>
      <c r="AZ9" s="2776"/>
      <c r="BA9" s="2776"/>
      <c r="BB9" s="2776"/>
      <c r="BC9" s="906"/>
      <c r="BD9" s="906"/>
      <c r="BE9" s="906"/>
      <c r="BF9" s="906"/>
      <c r="BG9" s="906"/>
      <c r="BH9" s="906"/>
      <c r="BI9" s="906"/>
      <c r="BJ9" s="906"/>
      <c r="BK9" s="906"/>
      <c r="BL9" s="906"/>
      <c r="BM9" s="15">
        <v>152</v>
      </c>
      <c r="BN9" s="148">
        <f>BM9/BN16*1000</f>
        <v>19.398394527610808</v>
      </c>
      <c r="BO9" s="137">
        <f>BP9/BM9*1000</f>
        <v>6569.0789473684208</v>
      </c>
      <c r="BP9" s="296">
        <v>998.5</v>
      </c>
    </row>
    <row r="10" spans="1:93" hidden="1">
      <c r="A10" s="265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14">
        <v>284.79372000000001</v>
      </c>
      <c r="F10" s="280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96">
        <v>340.5</v>
      </c>
      <c r="K10" s="321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14">
        <f>K10*M10/1000</f>
        <v>184.49838</v>
      </c>
      <c r="P10" s="280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8">
        <f t="shared" si="1"/>
        <v>3.4033269702754292</v>
      </c>
      <c r="V10" s="57">
        <v>34.554000000000002</v>
      </c>
      <c r="W10" s="296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797"/>
      <c r="AD10" s="797"/>
      <c r="AE10" s="797"/>
      <c r="AF10" s="797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7">
        <f>AO10/AL10*1000</f>
        <v>32556.109725685794</v>
      </c>
      <c r="AO10" s="15">
        <v>261.10000000000002</v>
      </c>
      <c r="AP10" s="173">
        <f>(BN10+U10+L10+G10)/4</f>
        <v>1.8378304705924196</v>
      </c>
      <c r="AQ10" s="906"/>
      <c r="AR10" s="906"/>
      <c r="AS10" s="906"/>
      <c r="AT10" s="906"/>
      <c r="AU10" s="906"/>
      <c r="AV10" s="906"/>
      <c r="AW10" s="906"/>
      <c r="AX10" s="906"/>
      <c r="AY10" s="2776"/>
      <c r="AZ10" s="2776"/>
      <c r="BA10" s="2776"/>
      <c r="BB10" s="2776"/>
      <c r="BC10" s="906"/>
      <c r="BD10" s="906"/>
      <c r="BE10" s="906"/>
      <c r="BF10" s="906"/>
      <c r="BG10" s="906"/>
      <c r="BH10" s="906"/>
      <c r="BI10" s="906"/>
      <c r="BJ10" s="906"/>
      <c r="BK10" s="906"/>
      <c r="BL10" s="906"/>
      <c r="BM10" s="15">
        <v>13.47</v>
      </c>
      <c r="BN10" s="148">
        <f>BM10/BN16*1000</f>
        <v>1.719055093992879</v>
      </c>
      <c r="BO10" s="137">
        <f>BP10/BM10*1000</f>
        <v>23786.191536748327</v>
      </c>
      <c r="BP10" s="296">
        <v>320.39999999999998</v>
      </c>
    </row>
    <row r="11" spans="1:93" hidden="1">
      <c r="A11" s="265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14">
        <v>135.47566</v>
      </c>
      <c r="F11" s="280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96">
        <v>236.2</v>
      </c>
      <c r="K11" s="321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14">
        <f>K11*M11/1000</f>
        <v>128.99974</v>
      </c>
      <c r="P11" s="280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8">
        <f t="shared" si="1"/>
        <v>2.449959094627761</v>
      </c>
      <c r="V11" s="57">
        <v>20.271999999999998</v>
      </c>
      <c r="W11" s="296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797"/>
      <c r="AD11" s="797"/>
      <c r="AE11" s="797"/>
      <c r="AF11" s="797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7">
        <f>AO11/AL11*1000</f>
        <v>19880.924585570861</v>
      </c>
      <c r="AO11" s="15">
        <v>170.3</v>
      </c>
      <c r="AP11" s="173">
        <f>(BN11+U11+L11+G11)/4</f>
        <v>1.4416154920312136</v>
      </c>
      <c r="AQ11" s="906"/>
      <c r="AR11" s="906"/>
      <c r="AS11" s="906"/>
      <c r="AT11" s="906"/>
      <c r="AU11" s="906"/>
      <c r="AV11" s="906"/>
      <c r="AW11" s="906"/>
      <c r="AX11" s="906"/>
      <c r="AY11" s="2776"/>
      <c r="AZ11" s="2776"/>
      <c r="BA11" s="2776"/>
      <c r="BB11" s="2776"/>
      <c r="BC11" s="906"/>
      <c r="BD11" s="906"/>
      <c r="BE11" s="906"/>
      <c r="BF11" s="906"/>
      <c r="BG11" s="906"/>
      <c r="BH11" s="906"/>
      <c r="BI11" s="906"/>
      <c r="BJ11" s="906"/>
      <c r="BK11" s="906"/>
      <c r="BL11" s="906"/>
      <c r="BM11" s="15">
        <v>9.32</v>
      </c>
      <c r="BN11" s="148">
        <f>BM11/BN16*1000</f>
        <v>1.1894278749824523</v>
      </c>
      <c r="BO11" s="137">
        <f>BP11/BM11*1000</f>
        <v>19978.540772532189</v>
      </c>
      <c r="BP11" s="296">
        <v>186.2</v>
      </c>
    </row>
    <row r="12" spans="1:93" hidden="1">
      <c r="A12" s="265" t="s">
        <v>107</v>
      </c>
      <c r="B12" s="4">
        <v>0.05</v>
      </c>
      <c r="C12" s="4"/>
      <c r="D12" s="19">
        <f t="shared" si="0"/>
        <v>44000</v>
      </c>
      <c r="E12" s="314">
        <v>2.2000000000000002</v>
      </c>
      <c r="F12" s="280"/>
      <c r="G12" s="15"/>
      <c r="H12" s="15"/>
      <c r="I12" s="15"/>
      <c r="J12" s="296"/>
      <c r="K12" s="321"/>
      <c r="L12" s="15"/>
      <c r="M12" s="15"/>
      <c r="N12" s="15"/>
      <c r="O12" s="314"/>
      <c r="P12" s="280"/>
      <c r="Q12" s="15"/>
      <c r="R12" s="15"/>
      <c r="S12" s="15"/>
      <c r="T12" s="15"/>
      <c r="U12" s="148"/>
      <c r="V12" s="57"/>
      <c r="W12" s="296"/>
      <c r="X12" s="265"/>
      <c r="Y12" s="3"/>
      <c r="Z12" s="3"/>
      <c r="AA12" s="3"/>
      <c r="AB12" s="4"/>
      <c r="AC12" s="797"/>
      <c r="AD12" s="797"/>
      <c r="AE12" s="797"/>
      <c r="AF12" s="797"/>
      <c r="AG12" s="4"/>
      <c r="AH12" s="4"/>
      <c r="AI12" s="4"/>
      <c r="AJ12" s="7"/>
      <c r="AK12" s="4"/>
      <c r="AL12" s="15"/>
      <c r="AM12" s="15"/>
      <c r="AN12" s="137"/>
      <c r="AO12" s="15"/>
      <c r="AP12" s="25"/>
      <c r="AQ12" s="699"/>
      <c r="AR12" s="699"/>
      <c r="AS12" s="699"/>
      <c r="AT12" s="699"/>
      <c r="AU12" s="699"/>
      <c r="AV12" s="699"/>
      <c r="AW12" s="699"/>
      <c r="AX12" s="699"/>
      <c r="AY12" s="2777"/>
      <c r="AZ12" s="2777"/>
      <c r="BA12" s="2777"/>
      <c r="BB12" s="2777"/>
      <c r="BC12" s="699"/>
      <c r="BD12" s="699"/>
      <c r="BE12" s="699"/>
      <c r="BF12" s="699"/>
      <c r="BG12" s="699"/>
      <c r="BH12" s="699"/>
      <c r="BI12" s="699"/>
      <c r="BJ12" s="699"/>
      <c r="BK12" s="699"/>
      <c r="BL12" s="699"/>
      <c r="BM12" s="15"/>
      <c r="BN12" s="15"/>
      <c r="BO12" s="137"/>
      <c r="BP12" s="296"/>
    </row>
    <row r="13" spans="1:93" hidden="1">
      <c r="A13" s="265" t="s">
        <v>230</v>
      </c>
      <c r="B13" s="4"/>
      <c r="C13" s="4"/>
      <c r="D13" s="19"/>
      <c r="E13" s="314"/>
      <c r="F13" s="280"/>
      <c r="G13" s="15"/>
      <c r="H13" s="15"/>
      <c r="I13" s="15"/>
      <c r="J13" s="296"/>
      <c r="K13" s="321"/>
      <c r="L13" s="15"/>
      <c r="M13" s="15"/>
      <c r="N13" s="15"/>
      <c r="O13" s="314"/>
      <c r="P13" s="280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8">
        <f t="shared" si="1"/>
        <v>0.109080992637033</v>
      </c>
      <c r="V13" s="57">
        <v>44.253</v>
      </c>
      <c r="W13" s="296">
        <f t="shared" si="2"/>
        <v>44.253</v>
      </c>
      <c r="X13" s="265"/>
      <c r="Y13" s="3"/>
      <c r="Z13" s="3"/>
      <c r="AA13" s="3"/>
      <c r="AB13" s="4"/>
      <c r="AC13" s="797"/>
      <c r="AD13" s="797"/>
      <c r="AE13" s="797"/>
      <c r="AF13" s="797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7">
        <v>0</v>
      </c>
      <c r="AO13" s="15"/>
      <c r="AP13" s="25"/>
      <c r="AQ13" s="699"/>
      <c r="AR13" s="699"/>
      <c r="AS13" s="699"/>
      <c r="AT13" s="699"/>
      <c r="AU13" s="699"/>
      <c r="AV13" s="699"/>
      <c r="AW13" s="699"/>
      <c r="AX13" s="699"/>
      <c r="AY13" s="2777"/>
      <c r="AZ13" s="2777"/>
      <c r="BA13" s="2777"/>
      <c r="BB13" s="2777"/>
      <c r="BC13" s="699"/>
      <c r="BD13" s="699"/>
      <c r="BE13" s="699"/>
      <c r="BF13" s="699"/>
      <c r="BG13" s="699"/>
      <c r="BH13" s="699"/>
      <c r="BI13" s="699"/>
      <c r="BJ13" s="699"/>
      <c r="BK13" s="699"/>
      <c r="BL13" s="699"/>
      <c r="BM13" s="15">
        <v>0</v>
      </c>
      <c r="BN13" s="15">
        <f>BM13/BN16*1000</f>
        <v>0</v>
      </c>
      <c r="BO13" s="137">
        <v>0</v>
      </c>
      <c r="BP13" s="296"/>
    </row>
    <row r="14" spans="1:93" hidden="1">
      <c r="A14" s="265" t="s">
        <v>108</v>
      </c>
      <c r="B14" s="4"/>
      <c r="C14" s="4"/>
      <c r="D14" s="4"/>
      <c r="E14" s="314">
        <v>45.360750000000003</v>
      </c>
      <c r="F14" s="280"/>
      <c r="G14" s="15"/>
      <c r="H14" s="15"/>
      <c r="I14" s="15"/>
      <c r="J14" s="296">
        <v>85</v>
      </c>
      <c r="K14" s="321"/>
      <c r="L14" s="15"/>
      <c r="M14" s="15"/>
      <c r="N14" s="15"/>
      <c r="O14" s="314">
        <v>132.6</v>
      </c>
      <c r="P14" s="280"/>
      <c r="Q14" s="15"/>
      <c r="R14" s="15"/>
      <c r="S14" s="15"/>
      <c r="T14" s="15"/>
      <c r="U14" s="15"/>
      <c r="V14" s="15"/>
      <c r="W14" s="296">
        <v>115.3</v>
      </c>
      <c r="X14" s="265"/>
      <c r="Y14" s="3"/>
      <c r="Z14" s="3"/>
      <c r="AA14" s="3"/>
      <c r="AB14" s="4">
        <v>110.4</v>
      </c>
      <c r="AC14" s="797"/>
      <c r="AD14" s="797"/>
      <c r="AE14" s="797"/>
      <c r="AF14" s="797"/>
      <c r="AG14" s="4"/>
      <c r="AH14" s="4"/>
      <c r="AI14" s="4"/>
      <c r="AJ14" s="7"/>
      <c r="AK14" s="4">
        <v>110.4</v>
      </c>
      <c r="AL14" s="15"/>
      <c r="AM14" s="15"/>
      <c r="AN14" s="137"/>
      <c r="AO14" s="15">
        <v>96.2</v>
      </c>
      <c r="AP14" s="25"/>
      <c r="AQ14" s="699"/>
      <c r="AR14" s="699"/>
      <c r="AS14" s="699"/>
      <c r="AT14" s="699"/>
      <c r="AU14" s="699"/>
      <c r="AV14" s="699"/>
      <c r="AW14" s="699"/>
      <c r="AX14" s="699"/>
      <c r="AY14" s="2777"/>
      <c r="AZ14" s="2777"/>
      <c r="BA14" s="2777"/>
      <c r="BB14" s="2777"/>
      <c r="BC14" s="699"/>
      <c r="BD14" s="699"/>
      <c r="BE14" s="699"/>
      <c r="BF14" s="699"/>
      <c r="BG14" s="699"/>
      <c r="BH14" s="699"/>
      <c r="BI14" s="699"/>
      <c r="BJ14" s="699"/>
      <c r="BK14" s="699"/>
      <c r="BL14" s="699"/>
      <c r="BM14" s="15"/>
      <c r="BN14" s="15"/>
      <c r="BO14" s="137"/>
      <c r="BP14" s="296">
        <v>133</v>
      </c>
    </row>
    <row r="15" spans="1:93" hidden="1">
      <c r="A15" s="266" t="s">
        <v>90</v>
      </c>
      <c r="B15" s="9"/>
      <c r="C15" s="9"/>
      <c r="D15" s="9"/>
      <c r="E15" s="315">
        <f>SUM(E7:E14)</f>
        <v>5889.5514399999993</v>
      </c>
      <c r="F15" s="328"/>
      <c r="G15" s="13"/>
      <c r="H15" s="13"/>
      <c r="I15" s="13"/>
      <c r="J15" s="297">
        <f>SUM(J7:J14)</f>
        <v>4309.1000000000004</v>
      </c>
      <c r="K15" s="322"/>
      <c r="L15" s="13"/>
      <c r="M15" s="13"/>
      <c r="N15" s="13"/>
      <c r="O15" s="315">
        <f>SUM(O7:O14)</f>
        <v>3796.817098</v>
      </c>
      <c r="P15" s="328"/>
      <c r="Q15" s="13"/>
      <c r="R15" s="13"/>
      <c r="S15" s="13">
        <f>SUM(S7:S14)</f>
        <v>5611.8730000000005</v>
      </c>
      <c r="T15" s="13"/>
      <c r="U15" s="13"/>
      <c r="V15" s="13"/>
      <c r="W15" s="297">
        <f>SUM(W7:W14)</f>
        <v>8063.4507200000007</v>
      </c>
      <c r="X15" s="266"/>
      <c r="Y15" s="8"/>
      <c r="Z15" s="8"/>
      <c r="AA15" s="8"/>
      <c r="AB15" s="9">
        <f>SUM(AB7:AB14)</f>
        <v>6597.94</v>
      </c>
      <c r="AC15" s="883"/>
      <c r="AD15" s="883"/>
      <c r="AE15" s="883"/>
      <c r="AF15" s="883"/>
      <c r="AG15" s="4"/>
      <c r="AH15" s="4"/>
      <c r="AI15" s="4"/>
      <c r="AJ15" s="7"/>
      <c r="AK15" s="10" t="e">
        <f>SUM(AK7:AK14)</f>
        <v>#REF!</v>
      </c>
      <c r="AL15" s="13"/>
      <c r="AM15" s="13"/>
      <c r="AN15" s="136"/>
      <c r="AO15" s="13">
        <f>SUM(AO7:AO14)</f>
        <v>3669.9999999999995</v>
      </c>
      <c r="AP15" s="25"/>
      <c r="AQ15" s="699"/>
      <c r="AR15" s="699"/>
      <c r="AS15" s="699"/>
      <c r="AT15" s="699"/>
      <c r="AU15" s="699"/>
      <c r="AV15" s="699"/>
      <c r="AW15" s="699"/>
      <c r="AX15" s="699"/>
      <c r="AY15" s="2777"/>
      <c r="AZ15" s="2777"/>
      <c r="BA15" s="2777"/>
      <c r="BB15" s="2777"/>
      <c r="BC15" s="699"/>
      <c r="BD15" s="699"/>
      <c r="BE15" s="699"/>
      <c r="BF15" s="699"/>
      <c r="BG15" s="699"/>
      <c r="BH15" s="699"/>
      <c r="BI15" s="699"/>
      <c r="BJ15" s="699"/>
      <c r="BK15" s="699"/>
      <c r="BL15" s="699"/>
      <c r="BM15" s="13"/>
      <c r="BN15" s="13"/>
      <c r="BO15" s="136"/>
      <c r="BP15" s="297">
        <f>SUM(BP7:BP14)</f>
        <v>4408.4000000000005</v>
      </c>
    </row>
    <row r="16" spans="1:93" ht="25.5" hidden="1">
      <c r="A16" s="298" t="s">
        <v>132</v>
      </c>
      <c r="B16" s="22"/>
      <c r="C16" s="22">
        <f>объемы!C9</f>
        <v>8838.9000000000015</v>
      </c>
      <c r="D16" s="22"/>
      <c r="E16" s="257"/>
      <c r="F16" s="329"/>
      <c r="G16" s="18">
        <f>объемы!E9</f>
        <v>8862.9</v>
      </c>
      <c r="H16" s="58"/>
      <c r="I16" s="58"/>
      <c r="J16" s="259"/>
      <c r="K16" s="323"/>
      <c r="L16" s="59">
        <f>объемы!F9</f>
        <v>8372.9</v>
      </c>
      <c r="M16" s="58"/>
      <c r="N16" s="58"/>
      <c r="O16" s="257"/>
      <c r="P16" s="329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59"/>
      <c r="X16" s="267"/>
      <c r="Y16" s="22">
        <f>объемы!K9</f>
        <v>6659.1</v>
      </c>
      <c r="Z16" s="22"/>
      <c r="AA16" s="60"/>
      <c r="AB16" s="22"/>
      <c r="AC16" s="903"/>
      <c r="AD16" s="903"/>
      <c r="AE16" s="903"/>
      <c r="AF16" s="903"/>
      <c r="AG16" s="2"/>
      <c r="AH16" s="22" t="e">
        <f>объемы!#REF!</f>
        <v>#REF!</v>
      </c>
      <c r="AI16" s="2"/>
      <c r="AJ16" s="7"/>
      <c r="AK16" s="18"/>
      <c r="AL16" s="58"/>
      <c r="AM16" s="58">
        <v>5924.9</v>
      </c>
      <c r="AN16" s="135"/>
      <c r="AO16" s="58"/>
      <c r="AP16" s="25"/>
      <c r="AQ16" s="699"/>
      <c r="AR16" s="699"/>
      <c r="AS16" s="699"/>
      <c r="AT16" s="699"/>
      <c r="AU16" s="699"/>
      <c r="AV16" s="699"/>
      <c r="AW16" s="699"/>
      <c r="AX16" s="699"/>
      <c r="AY16" s="2777"/>
      <c r="AZ16" s="2777"/>
      <c r="BA16" s="2777"/>
      <c r="BB16" s="2777"/>
      <c r="BC16" s="699"/>
      <c r="BD16" s="699"/>
      <c r="BE16" s="699"/>
      <c r="BF16" s="699"/>
      <c r="BG16" s="699"/>
      <c r="BH16" s="699"/>
      <c r="BI16" s="699"/>
      <c r="BJ16" s="699"/>
      <c r="BK16" s="699"/>
      <c r="BL16" s="699"/>
      <c r="BM16" s="58"/>
      <c r="BN16" s="58">
        <v>7835.7</v>
      </c>
      <c r="BO16" s="135"/>
      <c r="BP16" s="259"/>
    </row>
    <row r="17" spans="1:93" hidden="1">
      <c r="A17" s="266"/>
      <c r="B17" s="9"/>
      <c r="C17" s="9"/>
      <c r="D17" s="9"/>
      <c r="E17" s="315"/>
      <c r="F17" s="328"/>
      <c r="G17" s="13"/>
      <c r="H17" s="13"/>
      <c r="I17" s="13"/>
      <c r="J17" s="297"/>
      <c r="K17" s="322"/>
      <c r="L17" s="13"/>
      <c r="M17" s="13"/>
      <c r="N17" s="13"/>
      <c r="O17" s="315"/>
      <c r="P17" s="328"/>
      <c r="Q17" s="13"/>
      <c r="R17" s="13"/>
      <c r="S17" s="13"/>
      <c r="T17" s="13"/>
      <c r="U17" s="13"/>
      <c r="V17" s="13"/>
      <c r="W17" s="297"/>
      <c r="X17" s="266"/>
      <c r="Y17" s="8"/>
      <c r="Z17" s="8"/>
      <c r="AA17" s="8"/>
      <c r="AB17" s="9"/>
      <c r="AC17" s="883"/>
      <c r="AD17" s="883"/>
      <c r="AE17" s="883"/>
      <c r="AF17" s="883"/>
      <c r="AG17" s="4"/>
      <c r="AH17" s="4"/>
      <c r="AI17" s="4"/>
      <c r="AJ17" s="7"/>
      <c r="AK17" s="10"/>
      <c r="AL17" s="168"/>
      <c r="AM17" s="168"/>
      <c r="AN17" s="174"/>
      <c r="AO17" s="168"/>
      <c r="AP17" s="25"/>
      <c r="AQ17" s="699"/>
      <c r="AR17" s="699"/>
      <c r="AS17" s="699"/>
      <c r="AT17" s="699"/>
      <c r="AU17" s="699"/>
      <c r="AV17" s="699"/>
      <c r="AW17" s="699"/>
      <c r="AX17" s="699"/>
      <c r="AY17" s="2777"/>
      <c r="AZ17" s="2777"/>
      <c r="BA17" s="2777"/>
      <c r="BB17" s="2777"/>
      <c r="BC17" s="699"/>
      <c r="BD17" s="699"/>
      <c r="BE17" s="699"/>
      <c r="BF17" s="699"/>
      <c r="BG17" s="699"/>
      <c r="BH17" s="699"/>
      <c r="BI17" s="699"/>
      <c r="BJ17" s="699"/>
      <c r="BK17" s="699"/>
      <c r="BL17" s="699"/>
      <c r="BM17" s="168"/>
      <c r="BN17" s="168"/>
      <c r="BO17" s="174"/>
      <c r="BP17" s="299"/>
    </row>
    <row r="18" spans="1:93" hidden="1">
      <c r="A18" s="265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30">
        <v>88.7</v>
      </c>
      <c r="K18" s="324"/>
      <c r="L18" s="24"/>
      <c r="M18" s="24"/>
      <c r="N18" s="24"/>
      <c r="O18" s="332"/>
      <c r="P18" s="333"/>
      <c r="Q18" s="24"/>
      <c r="R18" s="24"/>
      <c r="S18" s="24"/>
      <c r="T18" s="24"/>
      <c r="U18" s="24"/>
      <c r="V18" s="24"/>
      <c r="W18" s="330"/>
      <c r="X18" s="265"/>
      <c r="Y18" s="3"/>
      <c r="Z18" s="3"/>
      <c r="AA18" s="3"/>
      <c r="AB18" s="4"/>
      <c r="AC18" s="797"/>
      <c r="AD18" s="797"/>
      <c r="AE18" s="797"/>
      <c r="AF18" s="797"/>
      <c r="AG18" s="4"/>
      <c r="AH18" s="4"/>
      <c r="AI18" s="4"/>
      <c r="AJ18" s="7"/>
      <c r="AK18" s="4"/>
      <c r="AL18" s="169"/>
      <c r="AM18" s="169"/>
      <c r="AN18" s="175"/>
      <c r="AO18" s="169"/>
      <c r="AP18" s="25"/>
      <c r="AQ18" s="699"/>
      <c r="AR18" s="699"/>
      <c r="AS18" s="699"/>
      <c r="AT18" s="699"/>
      <c r="AU18" s="699"/>
      <c r="AV18" s="699"/>
      <c r="AW18" s="699"/>
      <c r="AX18" s="699"/>
      <c r="AY18" s="2777"/>
      <c r="AZ18" s="2777"/>
      <c r="BA18" s="2777"/>
      <c r="BB18" s="2777"/>
      <c r="BC18" s="699"/>
      <c r="BD18" s="699"/>
      <c r="BE18" s="699"/>
      <c r="BF18" s="699"/>
      <c r="BG18" s="699"/>
      <c r="BH18" s="699"/>
      <c r="BI18" s="699"/>
      <c r="BJ18" s="699"/>
      <c r="BK18" s="699"/>
      <c r="BL18" s="699"/>
      <c r="BM18" s="169"/>
      <c r="BN18" s="169"/>
      <c r="BO18" s="175"/>
      <c r="BP18" s="300"/>
    </row>
    <row r="19" spans="1:93" hidden="1">
      <c r="A19" s="265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30">
        <v>387.5</v>
      </c>
      <c r="K19" s="324">
        <v>8.76</v>
      </c>
      <c r="L19" s="24">
        <f>K19/L23*1000</f>
        <v>2.1401348578129578</v>
      </c>
      <c r="M19" s="24">
        <v>52540</v>
      </c>
      <c r="N19" s="24"/>
      <c r="O19" s="332">
        <f>K19*M19/1000</f>
        <v>460.25039999999996</v>
      </c>
      <c r="P19" s="333">
        <v>9.6</v>
      </c>
      <c r="Q19" s="24" t="e">
        <f>P19/Q23*1000</f>
        <v>#REF!</v>
      </c>
      <c r="R19" s="132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30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795"/>
      <c r="AD19" s="795"/>
      <c r="AE19" s="795"/>
      <c r="AF19" s="795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7">
        <f>AO19/AL19*1000</f>
        <v>51882.352941176468</v>
      </c>
      <c r="AO19" s="24">
        <v>220.5</v>
      </c>
      <c r="AP19" s="173">
        <f>(BN19+U19+L19+G19)/4</f>
        <v>2.1283056727349026</v>
      </c>
      <c r="AQ19" s="906"/>
      <c r="AR19" s="906"/>
      <c r="AS19" s="906"/>
      <c r="AT19" s="906"/>
      <c r="AU19" s="906"/>
      <c r="AV19" s="906"/>
      <c r="AW19" s="906"/>
      <c r="AX19" s="906"/>
      <c r="AY19" s="2776"/>
      <c r="AZ19" s="2776"/>
      <c r="BA19" s="2776"/>
      <c r="BB19" s="2776"/>
      <c r="BC19" s="906"/>
      <c r="BD19" s="906"/>
      <c r="BE19" s="906"/>
      <c r="BF19" s="906"/>
      <c r="BG19" s="906"/>
      <c r="BH19" s="906"/>
      <c r="BI19" s="906"/>
      <c r="BJ19" s="906"/>
      <c r="BK19" s="906"/>
      <c r="BL19" s="906"/>
      <c r="BM19" s="24">
        <v>9.75</v>
      </c>
      <c r="BN19" s="24">
        <f>BM19/BN23*1000</f>
        <v>2.5649794801641588</v>
      </c>
      <c r="BO19" s="137">
        <v>47190</v>
      </c>
      <c r="BP19" s="330">
        <v>460.1</v>
      </c>
    </row>
    <row r="20" spans="1:93" hidden="1">
      <c r="A20" s="301" t="s">
        <v>111</v>
      </c>
      <c r="B20" s="3"/>
      <c r="C20" s="3"/>
      <c r="D20" s="3"/>
      <c r="E20" s="79"/>
      <c r="F20" s="44"/>
      <c r="G20" s="4"/>
      <c r="H20" s="4"/>
      <c r="I20" s="3"/>
      <c r="J20" s="330"/>
      <c r="K20" s="324"/>
      <c r="L20" s="24"/>
      <c r="M20" s="24"/>
      <c r="N20" s="24"/>
      <c r="O20" s="332"/>
      <c r="P20" s="333"/>
      <c r="Q20" s="24"/>
      <c r="R20" s="24"/>
      <c r="S20" s="24"/>
      <c r="T20" s="24">
        <v>0.17</v>
      </c>
      <c r="U20" s="24"/>
      <c r="V20" s="24"/>
      <c r="W20" s="330">
        <v>2.2000000000000002</v>
      </c>
      <c r="X20" s="265"/>
      <c r="Y20" s="3"/>
      <c r="Z20" s="3"/>
      <c r="AA20" s="3"/>
      <c r="AB20" s="4"/>
      <c r="AC20" s="797"/>
      <c r="AD20" s="797"/>
      <c r="AE20" s="797"/>
      <c r="AF20" s="797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99"/>
      <c r="AR20" s="699"/>
      <c r="AS20" s="699"/>
      <c r="AT20" s="699"/>
      <c r="AU20" s="699"/>
      <c r="AV20" s="699"/>
      <c r="AW20" s="699"/>
      <c r="AX20" s="699"/>
      <c r="AY20" s="2777"/>
      <c r="AZ20" s="2777"/>
      <c r="BA20" s="2777"/>
      <c r="BB20" s="2777"/>
      <c r="BC20" s="699"/>
      <c r="BD20" s="699"/>
      <c r="BE20" s="699"/>
      <c r="BF20" s="699"/>
      <c r="BG20" s="699"/>
      <c r="BH20" s="699"/>
      <c r="BI20" s="699"/>
      <c r="BJ20" s="699"/>
      <c r="BK20" s="699"/>
      <c r="BL20" s="699"/>
      <c r="BM20" s="24"/>
      <c r="BN20" s="24"/>
      <c r="BO20" s="24"/>
      <c r="BP20" s="330"/>
    </row>
    <row r="21" spans="1:93" hidden="1">
      <c r="A21" s="302" t="s">
        <v>108</v>
      </c>
      <c r="B21" s="3"/>
      <c r="C21" s="3"/>
      <c r="D21" s="3"/>
      <c r="E21" s="79"/>
      <c r="F21" s="265"/>
      <c r="G21" s="3"/>
      <c r="H21" s="3"/>
      <c r="I21" s="3"/>
      <c r="J21" s="330">
        <v>2.9</v>
      </c>
      <c r="K21" s="324"/>
      <c r="L21" s="24"/>
      <c r="M21" s="24"/>
      <c r="N21" s="24"/>
      <c r="O21" s="332">
        <v>7.2</v>
      </c>
      <c r="P21" s="333"/>
      <c r="Q21" s="24"/>
      <c r="R21" s="24"/>
      <c r="S21" s="24"/>
      <c r="T21" s="24"/>
      <c r="U21" s="24"/>
      <c r="V21" s="24"/>
      <c r="W21" s="330"/>
      <c r="X21" s="265"/>
      <c r="Y21" s="3"/>
      <c r="Z21" s="3"/>
      <c r="AA21" s="3"/>
      <c r="AB21" s="4">
        <v>8.3000000000000007</v>
      </c>
      <c r="AC21" s="797"/>
      <c r="AD21" s="797"/>
      <c r="AE21" s="797"/>
      <c r="AF21" s="797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99"/>
      <c r="AR21" s="699"/>
      <c r="AS21" s="699"/>
      <c r="AT21" s="699"/>
      <c r="AU21" s="699"/>
      <c r="AV21" s="699"/>
      <c r="AW21" s="699"/>
      <c r="AX21" s="699"/>
      <c r="AY21" s="2777"/>
      <c r="AZ21" s="2777"/>
      <c r="BA21" s="2777"/>
      <c r="BB21" s="2777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24"/>
      <c r="BN21" s="24"/>
      <c r="BO21" s="24"/>
      <c r="BP21" s="330">
        <v>0.9</v>
      </c>
    </row>
    <row r="22" spans="1:93" hidden="1">
      <c r="A22" s="266" t="s">
        <v>94</v>
      </c>
      <c r="B22" s="8"/>
      <c r="C22" s="8"/>
      <c r="D22" s="8"/>
      <c r="E22" s="316">
        <f>стоки!C19</f>
        <v>481.5</v>
      </c>
      <c r="F22" s="266"/>
      <c r="G22" s="8"/>
      <c r="H22" s="8"/>
      <c r="I22" s="8"/>
      <c r="J22" s="297">
        <f>SUM(J18:J21)</f>
        <v>479.09999999999997</v>
      </c>
      <c r="K22" s="322"/>
      <c r="L22" s="13"/>
      <c r="M22" s="13"/>
      <c r="N22" s="13"/>
      <c r="O22" s="315">
        <f>SUM(O18:O21)</f>
        <v>467.45039999999995</v>
      </c>
      <c r="P22" s="328"/>
      <c r="Q22" s="13"/>
      <c r="R22" s="13"/>
      <c r="S22" s="13"/>
      <c r="T22" s="13"/>
      <c r="U22" s="13"/>
      <c r="V22" s="13"/>
      <c r="W22" s="297">
        <f>W19+W20+W21</f>
        <v>320.7</v>
      </c>
      <c r="X22" s="266"/>
      <c r="Y22" s="8"/>
      <c r="Z22" s="8"/>
      <c r="AA22" s="8"/>
      <c r="AB22" s="10">
        <f>SUM(AB18:AB21)</f>
        <v>591.21199999999999</v>
      </c>
      <c r="AC22" s="884"/>
      <c r="AD22" s="884"/>
      <c r="AE22" s="884"/>
      <c r="AF22" s="884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699"/>
      <c r="AR22" s="699"/>
      <c r="AS22" s="699"/>
      <c r="AT22" s="699"/>
      <c r="AU22" s="699"/>
      <c r="AV22" s="699"/>
      <c r="AW22" s="699"/>
      <c r="AX22" s="699"/>
      <c r="AY22" s="2777"/>
      <c r="AZ22" s="2777"/>
      <c r="BA22" s="2777"/>
      <c r="BB22" s="2777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13"/>
      <c r="BN22" s="13"/>
      <c r="BO22" s="13"/>
      <c r="BP22" s="303">
        <f>SUM(BP19:BP21)</f>
        <v>461</v>
      </c>
    </row>
    <row r="23" spans="1:93" ht="26.25" hidden="1" thickBot="1">
      <c r="A23" s="304" t="s">
        <v>133</v>
      </c>
      <c r="B23" s="305"/>
      <c r="C23" s="270">
        <f>объемы!C21</f>
        <v>4585.8</v>
      </c>
      <c r="D23" s="270"/>
      <c r="E23" s="317"/>
      <c r="F23" s="268"/>
      <c r="G23" s="270">
        <f>объемы!E21</f>
        <v>4415.2</v>
      </c>
      <c r="H23" s="270"/>
      <c r="I23" s="270"/>
      <c r="J23" s="331"/>
      <c r="K23" s="325"/>
      <c r="L23" s="270">
        <f>объемы!F21</f>
        <v>4093.2000000000003</v>
      </c>
      <c r="M23" s="270"/>
      <c r="N23" s="270"/>
      <c r="O23" s="317"/>
      <c r="P23" s="268"/>
      <c r="Q23" s="270" t="e">
        <f>объемы!#REF!</f>
        <v>#REF!</v>
      </c>
      <c r="R23" s="270"/>
      <c r="S23" s="270"/>
      <c r="T23" s="270">
        <v>4006.6</v>
      </c>
      <c r="U23" s="270"/>
      <c r="V23" s="270"/>
      <c r="W23" s="331"/>
      <c r="X23" s="268"/>
      <c r="Y23" s="270">
        <f>объемы!K21</f>
        <v>3695</v>
      </c>
      <c r="Z23" s="270"/>
      <c r="AA23" s="270"/>
      <c r="AB23" s="270"/>
      <c r="AC23" s="270"/>
      <c r="AD23" s="270"/>
      <c r="AE23" s="270"/>
      <c r="AF23" s="270"/>
      <c r="AG23" s="270"/>
      <c r="AH23" s="270" t="e">
        <f>объемы!#REF!</f>
        <v>#REF!</v>
      </c>
      <c r="AI23" s="270"/>
      <c r="AJ23" s="270"/>
      <c r="AK23" s="270"/>
      <c r="AL23" s="270"/>
      <c r="AM23" s="270">
        <v>2894.1</v>
      </c>
      <c r="AN23" s="270"/>
      <c r="AO23" s="270"/>
      <c r="AP23" s="306"/>
      <c r="AQ23" s="306"/>
      <c r="AR23" s="306"/>
      <c r="AS23" s="306"/>
      <c r="AT23" s="306"/>
      <c r="AU23" s="306"/>
      <c r="AV23" s="306"/>
      <c r="AW23" s="306"/>
      <c r="AX23" s="306"/>
      <c r="AY23" s="2778"/>
      <c r="AZ23" s="2778"/>
      <c r="BA23" s="2778"/>
      <c r="BB23" s="2778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270"/>
      <c r="BN23" s="270">
        <f>3801.2</f>
        <v>3801.2</v>
      </c>
      <c r="BO23" s="270"/>
      <c r="BP23" s="331"/>
    </row>
    <row r="24" spans="1:93" hidden="1"/>
    <row r="25" spans="1:93" ht="13.5" thickBot="1">
      <c r="AH25" t="s">
        <v>250</v>
      </c>
    </row>
    <row r="26" spans="1:93" ht="21" thickBot="1">
      <c r="A26" s="4959" t="s">
        <v>546</v>
      </c>
      <c r="B26" s="454"/>
      <c r="C26" s="454"/>
      <c r="D26" s="454"/>
      <c r="E26" s="454"/>
      <c r="F26" s="4969" t="s">
        <v>238</v>
      </c>
      <c r="G26" s="4970"/>
      <c r="H26" s="4970"/>
      <c r="I26" s="4970"/>
      <c r="J26" s="4970"/>
      <c r="K26" s="4970"/>
      <c r="L26" s="4970"/>
      <c r="M26" s="4970"/>
      <c r="N26" s="4970"/>
      <c r="O26" s="4970"/>
      <c r="P26" s="4970"/>
      <c r="Q26" s="4970"/>
      <c r="R26" s="4970"/>
      <c r="S26" s="4970"/>
      <c r="T26" s="4970"/>
      <c r="U26" s="4970"/>
      <c r="V26" s="4970"/>
      <c r="W26" s="4970"/>
      <c r="X26" s="4970"/>
      <c r="Y26" s="4970"/>
      <c r="Z26" s="4970"/>
      <c r="AA26" s="4970"/>
      <c r="AB26" s="4970"/>
      <c r="AC26" s="4970"/>
      <c r="AD26" s="4970"/>
      <c r="AE26" s="4970"/>
      <c r="AF26" s="4970"/>
      <c r="AG26" s="4973" t="s">
        <v>380</v>
      </c>
      <c r="AH26" s="4974"/>
      <c r="AI26" s="4974"/>
      <c r="AJ26" s="4974"/>
      <c r="AK26" s="4974"/>
      <c r="AL26" s="4974"/>
      <c r="AM26" s="4974"/>
      <c r="AN26" s="4974"/>
      <c r="AO26" s="4974"/>
      <c r="AP26" s="4974"/>
      <c r="AQ26" s="4974"/>
      <c r="AR26" s="4974"/>
      <c r="AS26" s="4974"/>
      <c r="AT26" s="4974"/>
      <c r="AU26" s="4974"/>
      <c r="AV26" s="4974"/>
      <c r="AW26" s="4974"/>
      <c r="AX26" s="4974"/>
      <c r="AY26" s="4975"/>
      <c r="AZ26" s="4975"/>
      <c r="BA26" s="4975"/>
      <c r="BB26" s="4976"/>
      <c r="BC26" s="4972" t="s">
        <v>833</v>
      </c>
      <c r="BD26" s="4972"/>
      <c r="BE26" s="4972"/>
      <c r="BF26" s="4972"/>
      <c r="BG26" s="4972"/>
      <c r="BH26" s="4972"/>
      <c r="BI26" s="4972"/>
      <c r="BJ26" s="4972"/>
      <c r="BK26" s="4972"/>
      <c r="BL26" s="4972"/>
      <c r="BM26" s="4914" t="s">
        <v>246</v>
      </c>
      <c r="BN26" s="4915"/>
      <c r="BO26" s="4916"/>
      <c r="BP26" s="28"/>
      <c r="BQ26" s="4664" t="s">
        <v>1659</v>
      </c>
      <c r="BR26" s="4665"/>
      <c r="BS26" s="4665"/>
      <c r="BT26" s="4665"/>
      <c r="BU26" s="4665"/>
      <c r="BV26" s="4665"/>
      <c r="BW26" s="4665"/>
      <c r="BX26" s="4665"/>
      <c r="BY26" s="4665"/>
      <c r="BZ26" s="4665"/>
      <c r="CA26" s="4665"/>
      <c r="CB26" s="4666"/>
      <c r="CC26" s="4925" t="s">
        <v>912</v>
      </c>
      <c r="CD26" s="4925"/>
      <c r="CE26" s="4925"/>
      <c r="CF26" s="4925"/>
      <c r="CG26" s="4925"/>
      <c r="CH26" s="4925"/>
      <c r="CI26" s="4925"/>
      <c r="CJ26" s="4925"/>
      <c r="CK26" s="4925"/>
      <c r="CL26" s="4925"/>
      <c r="CM26" s="4914" t="s">
        <v>246</v>
      </c>
      <c r="CN26" s="4915"/>
      <c r="CO26" s="4916"/>
    </row>
    <row r="27" spans="1:93" ht="16.5" thickBot="1">
      <c r="A27" s="4960"/>
      <c r="B27" s="455"/>
      <c r="C27" s="455"/>
      <c r="D27" s="455"/>
      <c r="E27" s="455"/>
      <c r="F27" s="4957" t="s">
        <v>168</v>
      </c>
      <c r="G27" s="4958"/>
      <c r="H27" s="4958"/>
      <c r="I27" s="4958"/>
      <c r="J27" s="4958"/>
      <c r="K27" s="4963" t="s">
        <v>127</v>
      </c>
      <c r="L27" s="4951"/>
      <c r="M27" s="4951"/>
      <c r="N27" s="4951"/>
      <c r="O27" s="4951"/>
      <c r="P27" s="4950" t="s">
        <v>392</v>
      </c>
      <c r="Q27" s="4951"/>
      <c r="R27" s="4951"/>
      <c r="S27" s="4951"/>
      <c r="T27" s="4950" t="s">
        <v>394</v>
      </c>
      <c r="U27" s="4951"/>
      <c r="V27" s="4951"/>
      <c r="W27" s="4951"/>
      <c r="X27" s="4951"/>
      <c r="Y27" s="4951"/>
      <c r="Z27" s="932"/>
      <c r="AA27" s="932"/>
      <c r="AB27" s="932"/>
      <c r="AC27" s="4950" t="s">
        <v>832</v>
      </c>
      <c r="AD27" s="4971"/>
      <c r="AE27" s="4971"/>
      <c r="AF27" s="4971"/>
      <c r="AG27" s="4962" t="s">
        <v>395</v>
      </c>
      <c r="AH27" s="4951"/>
      <c r="AI27" s="4951"/>
      <c r="AJ27" s="4951"/>
      <c r="AK27" s="4951"/>
      <c r="AL27" s="4963" t="s">
        <v>127</v>
      </c>
      <c r="AM27" s="4951"/>
      <c r="AN27" s="4951"/>
      <c r="AO27" s="4951"/>
      <c r="AP27" s="4951"/>
      <c r="AQ27" s="4950" t="s">
        <v>392</v>
      </c>
      <c r="AR27" s="4951"/>
      <c r="AS27" s="4951"/>
      <c r="AT27" s="4951"/>
      <c r="AU27" s="4950" t="s">
        <v>394</v>
      </c>
      <c r="AV27" s="4951"/>
      <c r="AW27" s="4951"/>
      <c r="AX27" s="4951"/>
      <c r="AY27" s="4950" t="s">
        <v>1633</v>
      </c>
      <c r="AZ27" s="4952"/>
      <c r="BA27" s="4952"/>
      <c r="BB27" s="4953"/>
      <c r="BC27" s="4962" t="s">
        <v>395</v>
      </c>
      <c r="BD27" s="4951"/>
      <c r="BE27" s="4951"/>
      <c r="BF27" s="4951"/>
      <c r="BG27" s="4951"/>
      <c r="BH27" s="4963" t="s">
        <v>127</v>
      </c>
      <c r="BI27" s="4951"/>
      <c r="BJ27" s="4951"/>
      <c r="BK27" s="4951"/>
      <c r="BL27" s="4951"/>
      <c r="BM27" s="4917"/>
      <c r="BN27" s="4918"/>
      <c r="BO27" s="4919"/>
      <c r="BP27" s="28"/>
      <c r="BQ27" s="4950" t="s">
        <v>1672</v>
      </c>
      <c r="BR27" s="4951"/>
      <c r="BS27" s="4951"/>
      <c r="BT27" s="4951"/>
      <c r="BU27" s="4950" t="s">
        <v>1673</v>
      </c>
      <c r="BV27" s="4951"/>
      <c r="BW27" s="4951"/>
      <c r="BX27" s="4951"/>
      <c r="BY27" s="4950" t="s">
        <v>1674</v>
      </c>
      <c r="BZ27" s="4952"/>
      <c r="CA27" s="4952"/>
      <c r="CB27" s="4953"/>
      <c r="CC27" s="4923" t="s">
        <v>395</v>
      </c>
      <c r="CD27" s="4924"/>
      <c r="CE27" s="4924"/>
      <c r="CF27" s="4924"/>
      <c r="CG27" s="4924"/>
      <c r="CH27" s="4923" t="s">
        <v>127</v>
      </c>
      <c r="CI27" s="4924"/>
      <c r="CJ27" s="4924"/>
      <c r="CK27" s="4924"/>
      <c r="CL27" s="4924"/>
      <c r="CM27" s="4917"/>
      <c r="CN27" s="4918"/>
      <c r="CO27" s="4919"/>
    </row>
    <row r="28" spans="1:93" ht="67.5" customHeight="1" thickBot="1">
      <c r="A28" s="4961"/>
      <c r="B28" s="456"/>
      <c r="C28" s="456"/>
      <c r="D28" s="456"/>
      <c r="E28" s="456"/>
      <c r="F28" s="933" t="s">
        <v>100</v>
      </c>
      <c r="G28" s="933" t="s">
        <v>125</v>
      </c>
      <c r="H28" s="933" t="s">
        <v>101</v>
      </c>
      <c r="I28" s="933" t="s">
        <v>167</v>
      </c>
      <c r="J28" s="933" t="s">
        <v>102</v>
      </c>
      <c r="K28" s="934" t="s">
        <v>100</v>
      </c>
      <c r="L28" s="934" t="s">
        <v>131</v>
      </c>
      <c r="M28" s="934" t="s">
        <v>101</v>
      </c>
      <c r="N28" s="934" t="s">
        <v>123</v>
      </c>
      <c r="O28" s="934" t="s">
        <v>102</v>
      </c>
      <c r="P28" s="935" t="s">
        <v>100</v>
      </c>
      <c r="Q28" s="935" t="s">
        <v>131</v>
      </c>
      <c r="R28" s="935" t="s">
        <v>101</v>
      </c>
      <c r="S28" s="935" t="s">
        <v>102</v>
      </c>
      <c r="T28" s="935" t="s">
        <v>100</v>
      </c>
      <c r="U28" s="935" t="s">
        <v>131</v>
      </c>
      <c r="V28" s="935" t="s">
        <v>101</v>
      </c>
      <c r="W28" s="935" t="s">
        <v>102</v>
      </c>
      <c r="X28" s="935" t="s">
        <v>123</v>
      </c>
      <c r="Y28" s="935" t="s">
        <v>102</v>
      </c>
      <c r="Z28" s="936"/>
      <c r="AA28" s="936"/>
      <c r="AB28" s="936"/>
      <c r="AC28" s="935" t="s">
        <v>100</v>
      </c>
      <c r="AD28" s="935" t="s">
        <v>131</v>
      </c>
      <c r="AE28" s="935" t="s">
        <v>101</v>
      </c>
      <c r="AF28" s="935" t="s">
        <v>102</v>
      </c>
      <c r="AG28" s="937" t="s">
        <v>100</v>
      </c>
      <c r="AH28" s="937" t="s">
        <v>125</v>
      </c>
      <c r="AI28" s="937" t="s">
        <v>101</v>
      </c>
      <c r="AJ28" s="937" t="s">
        <v>836</v>
      </c>
      <c r="AK28" s="937" t="s">
        <v>102</v>
      </c>
      <c r="AL28" s="934" t="s">
        <v>100</v>
      </c>
      <c r="AM28" s="934" t="s">
        <v>131</v>
      </c>
      <c r="AN28" s="934" t="s">
        <v>101</v>
      </c>
      <c r="AO28" s="934" t="s">
        <v>836</v>
      </c>
      <c r="AP28" s="934" t="s">
        <v>102</v>
      </c>
      <c r="AQ28" s="935" t="s">
        <v>100</v>
      </c>
      <c r="AR28" s="935" t="s">
        <v>131</v>
      </c>
      <c r="AS28" s="935" t="s">
        <v>101</v>
      </c>
      <c r="AT28" s="935" t="s">
        <v>102</v>
      </c>
      <c r="AU28" s="935" t="s">
        <v>100</v>
      </c>
      <c r="AV28" s="935" t="s">
        <v>131</v>
      </c>
      <c r="AW28" s="935" t="s">
        <v>101</v>
      </c>
      <c r="AX28" s="935" t="s">
        <v>102</v>
      </c>
      <c r="AY28" s="935" t="s">
        <v>100</v>
      </c>
      <c r="AZ28" s="935" t="s">
        <v>131</v>
      </c>
      <c r="BA28" s="935" t="s">
        <v>101</v>
      </c>
      <c r="BB28" s="935" t="s">
        <v>102</v>
      </c>
      <c r="BC28" s="937" t="s">
        <v>100</v>
      </c>
      <c r="BD28" s="937" t="s">
        <v>131</v>
      </c>
      <c r="BE28" s="937" t="s">
        <v>101</v>
      </c>
      <c r="BF28" s="937" t="s">
        <v>836</v>
      </c>
      <c r="BG28" s="937" t="s">
        <v>102</v>
      </c>
      <c r="BH28" s="934" t="s">
        <v>100</v>
      </c>
      <c r="BI28" s="934" t="s">
        <v>131</v>
      </c>
      <c r="BJ28" s="934" t="s">
        <v>101</v>
      </c>
      <c r="BK28" s="934" t="s">
        <v>836</v>
      </c>
      <c r="BL28" s="934" t="s">
        <v>102</v>
      </c>
      <c r="BM28" s="4920"/>
      <c r="BN28" s="4921"/>
      <c r="BO28" s="4922"/>
      <c r="BP28" s="334"/>
      <c r="BQ28" s="935" t="s">
        <v>100</v>
      </c>
      <c r="BR28" s="935" t="s">
        <v>131</v>
      </c>
      <c r="BS28" s="935" t="s">
        <v>101</v>
      </c>
      <c r="BT28" s="935" t="s">
        <v>102</v>
      </c>
      <c r="BU28" s="935" t="s">
        <v>100</v>
      </c>
      <c r="BV28" s="935" t="s">
        <v>131</v>
      </c>
      <c r="BW28" s="935" t="s">
        <v>101</v>
      </c>
      <c r="BX28" s="935" t="s">
        <v>102</v>
      </c>
      <c r="BY28" s="935" t="s">
        <v>100</v>
      </c>
      <c r="BZ28" s="935" t="s">
        <v>131</v>
      </c>
      <c r="CA28" s="935" t="s">
        <v>101</v>
      </c>
      <c r="CB28" s="935" t="s">
        <v>102</v>
      </c>
      <c r="CC28" s="3248" t="s">
        <v>100</v>
      </c>
      <c r="CD28" s="3248" t="s">
        <v>131</v>
      </c>
      <c r="CE28" s="3248" t="s">
        <v>101</v>
      </c>
      <c r="CF28" s="3248" t="s">
        <v>1675</v>
      </c>
      <c r="CG28" s="3248" t="s">
        <v>102</v>
      </c>
      <c r="CH28" s="3248" t="s">
        <v>100</v>
      </c>
      <c r="CI28" s="3248" t="s">
        <v>131</v>
      </c>
      <c r="CJ28" s="3248" t="s">
        <v>101</v>
      </c>
      <c r="CK28" s="3248" t="s">
        <v>1675</v>
      </c>
      <c r="CL28" s="3248" t="s">
        <v>102</v>
      </c>
      <c r="CM28" s="4920"/>
      <c r="CN28" s="4921"/>
      <c r="CO28" s="4922"/>
    </row>
    <row r="29" spans="1:93" ht="36.75" customHeight="1">
      <c r="A29" s="907" t="s">
        <v>103</v>
      </c>
      <c r="B29" s="457"/>
      <c r="C29" s="457"/>
      <c r="D29" s="457"/>
      <c r="E29" s="457"/>
      <c r="F29" s="917">
        <v>5.6</v>
      </c>
      <c r="G29" s="918">
        <f>F29/G40*1000</f>
        <v>1.1258544431041415</v>
      </c>
      <c r="H29" s="919">
        <v>83160</v>
      </c>
      <c r="I29" s="920" t="e">
        <f>H29/#REF!*100</f>
        <v>#REF!</v>
      </c>
      <c r="J29" s="921">
        <f>F29*H29/1000</f>
        <v>465.69599999999997</v>
      </c>
      <c r="K29" s="458">
        <f>L40*L29/1000</f>
        <v>34.224646132362579</v>
      </c>
      <c r="L29" s="459">
        <f>AP7+AP8</f>
        <v>6.2087877413688242</v>
      </c>
      <c r="M29" s="460">
        <f>AN7*1.021</f>
        <v>73512</v>
      </c>
      <c r="N29" s="461" t="e">
        <f>M29/#REF!*100</f>
        <v>#REF!</v>
      </c>
      <c r="O29" s="462">
        <f>K29*M29/1000</f>
        <v>2515.922186482238</v>
      </c>
      <c r="P29" s="463">
        <v>1.34</v>
      </c>
      <c r="Q29" s="464">
        <f>P29/Q40*1000</f>
        <v>0.38357764257597332</v>
      </c>
      <c r="R29" s="465">
        <v>72500</v>
      </c>
      <c r="S29" s="466">
        <f>R29*P29/1000</f>
        <v>97.15</v>
      </c>
      <c r="T29" s="463">
        <v>2.74</v>
      </c>
      <c r="U29" s="464">
        <f>SUM(T29/U40*1000)</f>
        <v>0.53121364870104693</v>
      </c>
      <c r="V29" s="465">
        <v>72760</v>
      </c>
      <c r="W29" s="466">
        <f>V29*T29/1000</f>
        <v>199.36240000000004</v>
      </c>
      <c r="X29" s="467" t="e">
        <f>W29/#REF!*100</f>
        <v>#REF!</v>
      </c>
      <c r="Y29" s="466">
        <f>U29*W29/1000</f>
        <v>0.10590402791779761</v>
      </c>
      <c r="Z29" s="457"/>
      <c r="AA29" s="457"/>
      <c r="AB29" s="457"/>
      <c r="AC29" s="463">
        <v>3.03</v>
      </c>
      <c r="AD29" s="464">
        <f>SUM(AC29/AD40*1000)</f>
        <v>0.43734934541937898</v>
      </c>
      <c r="AE29" s="465">
        <v>72706.600000000006</v>
      </c>
      <c r="AF29" s="466">
        <f>AE29*AC29/1000</f>
        <v>220.30099799999999</v>
      </c>
      <c r="AG29" s="468">
        <v>39.299999999999997</v>
      </c>
      <c r="AH29" s="469">
        <f>AG29/AH40*1000</f>
        <v>6.8301499852274103</v>
      </c>
      <c r="AI29" s="470">
        <f>AK29/AG29*1000</f>
        <v>74870.229007633592</v>
      </c>
      <c r="AJ29" s="471">
        <f>AI29/BO7</f>
        <v>1.0399381720065624</v>
      </c>
      <c r="AK29" s="472">
        <v>2942.4</v>
      </c>
      <c r="AL29" s="473">
        <f>AM40*AM29/1000</f>
        <v>34.52949005697117</v>
      </c>
      <c r="AM29" s="459">
        <f>AP8+AP7</f>
        <v>6.2087877413688242</v>
      </c>
      <c r="AN29" s="460">
        <f>M53</f>
        <v>77526</v>
      </c>
      <c r="AO29" s="474">
        <f>AN29/BO7</f>
        <v>1.0768265008880993</v>
      </c>
      <c r="AP29" s="462">
        <f>AL29*AN29/1000</f>
        <v>2676.9332461567469</v>
      </c>
      <c r="AQ29" s="463">
        <v>0.61499999999999999</v>
      </c>
      <c r="AR29" s="464">
        <f>AQ29/AR40*1000</f>
        <v>0.18261233627987492</v>
      </c>
      <c r="AS29" s="465">
        <v>73000</v>
      </c>
      <c r="AT29" s="466">
        <f t="shared" ref="AT29:AT35" si="3">AS29*AQ29/1000</f>
        <v>44.895000000000003</v>
      </c>
      <c r="AU29" s="463"/>
      <c r="AV29" s="464" t="e">
        <f>SUM(AU29/AV40*1000)</f>
        <v>#DIV/0!</v>
      </c>
      <c r="AW29" s="465"/>
      <c r="AX29" s="466">
        <f>AW29*AU29/1000</f>
        <v>0</v>
      </c>
      <c r="AY29" s="463">
        <v>2.0950000000000002</v>
      </c>
      <c r="AZ29" s="464">
        <f>AY29/AZ40*1000</f>
        <v>0.31278413714128739</v>
      </c>
      <c r="BA29" s="465">
        <f>SUM(BB29/AY29)</f>
        <v>73.002386634844868</v>
      </c>
      <c r="BB29" s="466">
        <v>152.94</v>
      </c>
      <c r="BC29" s="468">
        <v>3.03</v>
      </c>
      <c r="BD29" s="469">
        <f>BC29/BD40*1000</f>
        <v>0.52819663557918584</v>
      </c>
      <c r="BE29" s="470">
        <f>SUM(AN29*1.1)</f>
        <v>85278.6</v>
      </c>
      <c r="BF29" s="471">
        <f>BE29/AN29</f>
        <v>1.1000000000000001</v>
      </c>
      <c r="BG29" s="472">
        <f>SUM(BC29*BE29)/1000</f>
        <v>258.394158</v>
      </c>
      <c r="BH29" s="473">
        <f t="shared" ref="BH29:BH35" si="4">BI29*$BI$40/1000</f>
        <v>2.4729118387436664</v>
      </c>
      <c r="BI29" s="459">
        <f>AD29</f>
        <v>0.43734934541937898</v>
      </c>
      <c r="BJ29" s="460">
        <f>M62</f>
        <v>79862</v>
      </c>
      <c r="BK29" s="474">
        <f>BJ29/AN29</f>
        <v>1.0301318267419963</v>
      </c>
      <c r="BL29" s="462">
        <f>BH29*BJ29/1000</f>
        <v>197.4916852657467</v>
      </c>
      <c r="BM29" s="4944" t="s">
        <v>905</v>
      </c>
      <c r="BN29" s="4945"/>
      <c r="BO29" s="4946"/>
      <c r="BP29" s="335"/>
      <c r="BQ29" s="463">
        <v>3.2879999999999998</v>
      </c>
      <c r="BR29" s="464">
        <f>BQ29/BR40*1000</f>
        <v>1.0413763397268603</v>
      </c>
      <c r="BS29" s="465">
        <v>32558.28</v>
      </c>
      <c r="BT29" s="466">
        <f t="shared" ref="BT29:BT35" si="5">BS29*BQ29/1000</f>
        <v>107.05162464</v>
      </c>
      <c r="BU29" s="463">
        <v>7.5030000000000001</v>
      </c>
      <c r="BV29" s="464">
        <f>SUM(BU29/BV40*1000)</f>
        <v>1.6028215469802101</v>
      </c>
      <c r="BW29" s="465">
        <v>31356.98</v>
      </c>
      <c r="BX29" s="466">
        <f t="shared" ref="BX29:BX35" si="6">BW29*BU29/1000</f>
        <v>235.27142094000001</v>
      </c>
      <c r="BY29" s="463">
        <f>SUM(BU29/9*12)</f>
        <v>10.004</v>
      </c>
      <c r="BZ29" s="464">
        <f>BY29/BZ40*1000</f>
        <v>1.6028215469802101</v>
      </c>
      <c r="CA29" s="465">
        <f>(BS29+((BX29-BT29)/(BU29-BQ29))*1000)/2</f>
        <v>31489.080249110324</v>
      </c>
      <c r="CB29" s="466">
        <f>SUM(BY29*CA29)/1000</f>
        <v>315.01675881209968</v>
      </c>
      <c r="CC29" s="3249">
        <f t="shared" ref="CC29:CC35" si="7">CD29*$BI$40/1000</f>
        <v>2.4729118387436664</v>
      </c>
      <c r="CD29" s="3250">
        <f>SUM(BI29)</f>
        <v>0.43734934541937898</v>
      </c>
      <c r="CE29" s="3251">
        <f t="shared" ref="CE29:CE35" si="8">SUM(BJ29*1.1)</f>
        <v>87848.200000000012</v>
      </c>
      <c r="CF29" s="3252">
        <f>CE29/BJ29</f>
        <v>1.1000000000000001</v>
      </c>
      <c r="CG29" s="3253">
        <f>SUM(CC29*CE29)/1000</f>
        <v>217.24085379232136</v>
      </c>
      <c r="CH29" s="3249"/>
      <c r="CI29" s="3559"/>
      <c r="CJ29" s="3560"/>
      <c r="CK29" s="3561"/>
      <c r="CL29" s="3562">
        <f>BL29*(1-0.01)*(1+0.071)*(1+0)</f>
        <v>209.39845897041857</v>
      </c>
      <c r="CM29" s="4944" t="s">
        <v>1707</v>
      </c>
      <c r="CN29" s="4945"/>
      <c r="CO29" s="4946"/>
    </row>
    <row r="30" spans="1:93" ht="36.75" customHeight="1">
      <c r="A30" s="908" t="s">
        <v>104</v>
      </c>
      <c r="B30" s="457"/>
      <c r="C30" s="457"/>
      <c r="D30" s="457"/>
      <c r="E30" s="457"/>
      <c r="F30" s="922">
        <v>36.299999999999997</v>
      </c>
      <c r="G30" s="923"/>
      <c r="H30" s="924">
        <v>64900</v>
      </c>
      <c r="I30" s="925"/>
      <c r="J30" s="926">
        <f>F30*H30/1000</f>
        <v>2355.87</v>
      </c>
      <c r="K30" s="449"/>
      <c r="L30" s="475"/>
      <c r="M30" s="450"/>
      <c r="N30" s="476"/>
      <c r="O30" s="477"/>
      <c r="P30" s="478">
        <v>20.079999999999998</v>
      </c>
      <c r="Q30" s="479">
        <f>SUM(P30/Q40*1000)</f>
        <v>5.7479395991981663</v>
      </c>
      <c r="R30" s="452">
        <v>50390</v>
      </c>
      <c r="S30" s="480">
        <f>R30*P30/1000</f>
        <v>1011.8312</v>
      </c>
      <c r="T30" s="478">
        <v>32.03</v>
      </c>
      <c r="U30" s="479">
        <f>SUM(T30/U40*1000)</f>
        <v>6.2097712291585889</v>
      </c>
      <c r="V30" s="452">
        <v>51390</v>
      </c>
      <c r="W30" s="480">
        <f>V30*T30/1000</f>
        <v>1646.0217</v>
      </c>
      <c r="X30" s="481"/>
      <c r="Y30" s="480"/>
      <c r="Z30" s="457"/>
      <c r="AA30" s="457"/>
      <c r="AB30" s="457"/>
      <c r="AC30" s="478">
        <v>36.33</v>
      </c>
      <c r="AD30" s="479">
        <f>SUM(AC30/AD40*1000)</f>
        <v>5.2438619534937425</v>
      </c>
      <c r="AE30" s="452">
        <v>51794.06</v>
      </c>
      <c r="AF30" s="480">
        <f>AE30*AC30/1000</f>
        <v>1881.6781997999999</v>
      </c>
      <c r="AG30" s="482">
        <v>0</v>
      </c>
      <c r="AH30" s="483"/>
      <c r="AI30" s="484">
        <v>0</v>
      </c>
      <c r="AJ30" s="485"/>
      <c r="AK30" s="486">
        <v>0</v>
      </c>
      <c r="AL30" s="453"/>
      <c r="AM30" s="475"/>
      <c r="AN30" s="450"/>
      <c r="AO30" s="487">
        <f>AN30/BO8</f>
        <v>0</v>
      </c>
      <c r="AP30" s="477"/>
      <c r="AQ30" s="478">
        <v>11.95</v>
      </c>
      <c r="AR30" s="479">
        <f>SUM(AQ30/AR40*1000)</f>
        <v>3.5483210057634231</v>
      </c>
      <c r="AS30" s="452">
        <v>52763.7</v>
      </c>
      <c r="AT30" s="480">
        <f t="shared" si="3"/>
        <v>630.52621499999998</v>
      </c>
      <c r="AU30" s="478"/>
      <c r="AV30" s="479" t="e">
        <f>SUM(AU30/AV40*1000)</f>
        <v>#DIV/0!</v>
      </c>
      <c r="AW30" s="452"/>
      <c r="AX30" s="480">
        <f>AW30*AU30/1000</f>
        <v>0</v>
      </c>
      <c r="AY30" s="478">
        <v>38.274999999999999</v>
      </c>
      <c r="AZ30" s="479">
        <f>SUM(AY30/AZ40*1000)</f>
        <v>5.7144691403736383</v>
      </c>
      <c r="BA30" s="465">
        <f t="shared" ref="BA30:BA35" si="9">SUM(BB30/AY30)</f>
        <v>52.681645983017638</v>
      </c>
      <c r="BB30" s="480">
        <v>2016.39</v>
      </c>
      <c r="BC30" s="482">
        <v>36.33</v>
      </c>
      <c r="BD30" s="483">
        <f>BC30/BD40*1000</f>
        <v>6.3331299572910309</v>
      </c>
      <c r="BE30" s="470">
        <f>SUM(BE42)</f>
        <v>56285.032518000007</v>
      </c>
      <c r="BF30" s="471" t="e">
        <f t="shared" ref="BF30:BF33" si="10">BE30/AN30</f>
        <v>#DIV/0!</v>
      </c>
      <c r="BG30" s="472">
        <f t="shared" ref="BG30:BG33" si="11">SUM(BC30*BE30)/1000</f>
        <v>2044.8352313789401</v>
      </c>
      <c r="BH30" s="473">
        <f t="shared" si="4"/>
        <v>29.650457789292879</v>
      </c>
      <c r="BI30" s="459">
        <f t="shared" ref="BI30:BI33" si="12">AD30</f>
        <v>5.2438619534937425</v>
      </c>
      <c r="BJ30" s="450">
        <f>M61</f>
        <v>43766.393750000003</v>
      </c>
      <c r="BK30" s="474" t="e">
        <f t="shared" ref="BK30:BK33" si="13">BJ30/AN30</f>
        <v>#DIV/0!</v>
      </c>
      <c r="BL30" s="462">
        <f t="shared" ref="BL30:BL35" si="14">BH30*BJ30/1000</f>
        <v>1297.6936104739466</v>
      </c>
      <c r="BM30" s="4917"/>
      <c r="BN30" s="4918"/>
      <c r="BO30" s="4919"/>
      <c r="BP30" s="335"/>
      <c r="BQ30" s="478">
        <v>13.675000000000001</v>
      </c>
      <c r="BR30" s="479">
        <f>SUM(BQ30/BR40*1000)</f>
        <v>4.3311500747459908</v>
      </c>
      <c r="BS30" s="452">
        <v>59436.14</v>
      </c>
      <c r="BT30" s="480">
        <f t="shared" si="5"/>
        <v>812.78921449999996</v>
      </c>
      <c r="BU30" s="478">
        <v>29.875</v>
      </c>
      <c r="BV30" s="479">
        <f>SUM(BU30/BV40*1000)</f>
        <v>6.3820196875961308</v>
      </c>
      <c r="BW30" s="452">
        <v>62185.13</v>
      </c>
      <c r="BX30" s="480">
        <f t="shared" si="6"/>
        <v>1857.7807587500001</v>
      </c>
      <c r="BY30" s="463">
        <f t="shared" ref="BY30:BY34" si="15">SUM(BU30/9*12)</f>
        <v>39.833333333333336</v>
      </c>
      <c r="BZ30" s="479">
        <f>SUM(BY30/BZ40*1000)</f>
        <v>6.3820196875961317</v>
      </c>
      <c r="CA30" s="465">
        <f t="shared" ref="CA30:CA33" si="16">(BS30+((BX30-BT30)/(BU30-BQ30))*1000)/2</f>
        <v>61970.89543981482</v>
      </c>
      <c r="CB30" s="466">
        <f t="shared" ref="CB30:CB34" si="17">SUM(BY30*CA30)/1000</f>
        <v>2468.5073350192906</v>
      </c>
      <c r="CC30" s="3249">
        <f t="shared" si="7"/>
        <v>32.311420006390051</v>
      </c>
      <c r="CD30" s="3254">
        <f>SUM(AZ30)</f>
        <v>5.7144691403736383</v>
      </c>
      <c r="CE30" s="3251">
        <f t="shared" si="8"/>
        <v>48143.033125000009</v>
      </c>
      <c r="CF30" s="3252">
        <f>CE30/BJ30</f>
        <v>1.1000000000000001</v>
      </c>
      <c r="CG30" s="3253">
        <f t="shared" ref="CG30:CG33" si="18">SUM(CC30*CE30)/1000</f>
        <v>1555.5697636834243</v>
      </c>
      <c r="CH30" s="3249"/>
      <c r="CI30" s="3559"/>
      <c r="CJ30" s="3563"/>
      <c r="CK30" s="3561"/>
      <c r="CL30" s="3562">
        <f t="shared" ref="CL30:CL38" si="19">BL30*(1-0.01)*(1+0.071)*(1+0)</f>
        <v>1375.9315582494207</v>
      </c>
      <c r="CM30" s="4917"/>
      <c r="CN30" s="4918"/>
      <c r="CO30" s="4919"/>
    </row>
    <row r="31" spans="1:93" ht="36.75" customHeight="1">
      <c r="A31" s="908" t="s">
        <v>109</v>
      </c>
      <c r="B31" s="457"/>
      <c r="C31" s="457"/>
      <c r="D31" s="457"/>
      <c r="E31" s="457"/>
      <c r="F31" s="922">
        <v>314.7</v>
      </c>
      <c r="G31" s="923">
        <f>F31/G40*1000</f>
        <v>63.268998793727384</v>
      </c>
      <c r="H31" s="924">
        <v>6949</v>
      </c>
      <c r="I31" s="925" t="e">
        <f>H31/#REF!*100</f>
        <v>#REF!</v>
      </c>
      <c r="J31" s="926">
        <f>F31*H31/1000</f>
        <v>2186.8502999999996</v>
      </c>
      <c r="K31" s="488">
        <f>L40*L31/1000</f>
        <v>169.38168450309814</v>
      </c>
      <c r="L31" s="489">
        <v>30.728000000000002</v>
      </c>
      <c r="M31" s="450">
        <f>AN9*1.021</f>
        <v>6720.2337158285518</v>
      </c>
      <c r="N31" s="476" t="e">
        <f>M31/#REF!*100</f>
        <v>#REF!</v>
      </c>
      <c r="O31" s="477">
        <f>K31*M31/1000</f>
        <v>1138.2845070415547</v>
      </c>
      <c r="P31" s="478">
        <v>135.9</v>
      </c>
      <c r="Q31" s="479">
        <f>SUM(P31/Q40*1000)</f>
        <v>38.901643004533412</v>
      </c>
      <c r="R31" s="452">
        <v>4730</v>
      </c>
      <c r="S31" s="480">
        <f>R31*P31/1000</f>
        <v>642.80700000000002</v>
      </c>
      <c r="T31" s="478">
        <v>235.8</v>
      </c>
      <c r="U31" s="479">
        <f>SUM(T31/U40*1000)</f>
        <v>45.715393563396667</v>
      </c>
      <c r="V31" s="452">
        <v>4550</v>
      </c>
      <c r="W31" s="480">
        <f>V31*T31/1000</f>
        <v>1072.8900000000001</v>
      </c>
      <c r="X31" s="481" t="e">
        <f>W31/#REF!*100</f>
        <v>#REF!</v>
      </c>
      <c r="Y31" s="480">
        <f>U31*W31/1000</f>
        <v>49.04758860023265</v>
      </c>
      <c r="Z31" s="457"/>
      <c r="AA31" s="457"/>
      <c r="AB31" s="457"/>
      <c r="AC31" s="478">
        <v>255.75</v>
      </c>
      <c r="AD31" s="479">
        <f>SUM(AC31/AD40*1000)</f>
        <v>36.91488286831887</v>
      </c>
      <c r="AE31" s="452">
        <v>4532.9799999999996</v>
      </c>
      <c r="AF31" s="480">
        <f>AE31*AC31/1000</f>
        <v>1159.3096349999998</v>
      </c>
      <c r="AG31" s="482">
        <v>199.3</v>
      </c>
      <c r="AH31" s="483">
        <f>AG31/AH40*1000</f>
        <v>34.637376388188883</v>
      </c>
      <c r="AI31" s="484">
        <f>AK31/AG31*1000</f>
        <v>5302.0572002007029</v>
      </c>
      <c r="AJ31" s="490">
        <f>AI31/BO9</f>
        <v>0.80712337949975654</v>
      </c>
      <c r="AK31" s="486">
        <v>1056.7</v>
      </c>
      <c r="AL31" s="491">
        <f>AM40*AM31/1000</f>
        <v>170.04957617552117</v>
      </c>
      <c r="AM31" s="489">
        <f>AP9</f>
        <v>30.576811943690544</v>
      </c>
      <c r="AN31" s="450">
        <f>M56</f>
        <v>4544.99892</v>
      </c>
      <c r="AO31" s="487">
        <f>AN31/BO9</f>
        <v>0.69187765231847775</v>
      </c>
      <c r="AP31" s="477">
        <f>AL31*AN31/1000</f>
        <v>772.87514006420145</v>
      </c>
      <c r="AQ31" s="478">
        <v>99.2</v>
      </c>
      <c r="AR31" s="479">
        <f>SUM(AQ31/AR40*1000)</f>
        <v>29.455518307257876</v>
      </c>
      <c r="AS31" s="452">
        <v>10766.24</v>
      </c>
      <c r="AT31" s="480">
        <f t="shared" si="3"/>
        <v>1068.0110079999999</v>
      </c>
      <c r="AU31" s="478"/>
      <c r="AV31" s="479" t="e">
        <f>SUM(AU31/AV40*1000)</f>
        <v>#DIV/0!</v>
      </c>
      <c r="AW31" s="452"/>
      <c r="AX31" s="480">
        <f>AW31*AU31/1000</f>
        <v>0</v>
      </c>
      <c r="AY31" s="478">
        <v>179.1</v>
      </c>
      <c r="AZ31" s="479">
        <f>SUM(AY31/AZ40*1000)</f>
        <v>26.739684468737263</v>
      </c>
      <c r="BA31" s="465">
        <f t="shared" si="9"/>
        <v>12.323338916806254</v>
      </c>
      <c r="BB31" s="480">
        <v>2207.11</v>
      </c>
      <c r="BC31" s="482">
        <v>255.75</v>
      </c>
      <c r="BD31" s="483">
        <f>BC31/BD40*1000</f>
        <v>44.582933844678813</v>
      </c>
      <c r="BE31" s="470">
        <v>17200</v>
      </c>
      <c r="BF31" s="471">
        <f t="shared" si="10"/>
        <v>3.7843793371022407</v>
      </c>
      <c r="BG31" s="472">
        <f t="shared" si="11"/>
        <v>4398.8999999999996</v>
      </c>
      <c r="BH31" s="473">
        <f t="shared" si="4"/>
        <v>208.72844975534414</v>
      </c>
      <c r="BI31" s="459">
        <f t="shared" si="12"/>
        <v>36.91488286831887</v>
      </c>
      <c r="BJ31" s="450">
        <f>M65</f>
        <v>16644.07</v>
      </c>
      <c r="BK31" s="474">
        <f t="shared" si="13"/>
        <v>3.6620624763536798</v>
      </c>
      <c r="BL31" s="462">
        <f t="shared" si="14"/>
        <v>3474.0909287194308</v>
      </c>
      <c r="BM31" s="4917"/>
      <c r="BN31" s="4918"/>
      <c r="BO31" s="4919"/>
      <c r="BP31" s="335"/>
      <c r="BQ31" s="478">
        <v>187.63</v>
      </c>
      <c r="BR31" s="479">
        <f>SUM(BQ31/BR40*1000)</f>
        <v>59.42622950819672</v>
      </c>
      <c r="BS31" s="452">
        <v>15170.14</v>
      </c>
      <c r="BT31" s="480">
        <f t="shared" si="5"/>
        <v>2846.3733681999997</v>
      </c>
      <c r="BU31" s="478">
        <v>257.43</v>
      </c>
      <c r="BV31" s="479">
        <f>SUM(BU31/BV40*1000)</f>
        <v>54.993249478757221</v>
      </c>
      <c r="BW31" s="452">
        <v>15526.35</v>
      </c>
      <c r="BX31" s="480">
        <f t="shared" si="6"/>
        <v>3996.9482805000002</v>
      </c>
      <c r="BY31" s="463">
        <f t="shared" si="15"/>
        <v>343.24</v>
      </c>
      <c r="BZ31" s="479">
        <f>SUM(BY31/BZ40*1000)</f>
        <v>54.993249478757228</v>
      </c>
      <c r="CA31" s="465">
        <f t="shared" si="16"/>
        <v>15827.010632521493</v>
      </c>
      <c r="CB31" s="466">
        <f t="shared" si="17"/>
        <v>5432.4631295066774</v>
      </c>
      <c r="CC31" s="3249">
        <f t="shared" si="7"/>
        <v>208.72844975534414</v>
      </c>
      <c r="CD31" s="3254">
        <f>SUM(BI31)</f>
        <v>36.91488286831887</v>
      </c>
      <c r="CE31" s="3251">
        <f t="shared" si="8"/>
        <v>18308.477000000003</v>
      </c>
      <c r="CF31" s="3252">
        <f t="shared" ref="CF31:CF35" si="20">CE31/BJ31</f>
        <v>1.1000000000000001</v>
      </c>
      <c r="CG31" s="3253">
        <f t="shared" si="18"/>
        <v>3821.5000215913747</v>
      </c>
      <c r="CH31" s="3249"/>
      <c r="CI31" s="3559"/>
      <c r="CJ31" s="3563"/>
      <c r="CK31" s="3561"/>
      <c r="CL31" s="3562">
        <f t="shared" si="19"/>
        <v>3683.543870811925</v>
      </c>
      <c r="CM31" s="4917"/>
      <c r="CN31" s="4918"/>
      <c r="CO31" s="4919"/>
    </row>
    <row r="32" spans="1:93" ht="36.75" customHeight="1">
      <c r="A32" s="908" t="s">
        <v>105</v>
      </c>
      <c r="B32" s="457"/>
      <c r="C32" s="457"/>
      <c r="D32" s="457"/>
      <c r="E32" s="457"/>
      <c r="F32" s="922">
        <v>21.7</v>
      </c>
      <c r="G32" s="923">
        <f>F32/G40*1000</f>
        <v>4.3626859670285478</v>
      </c>
      <c r="H32" s="924">
        <v>36346</v>
      </c>
      <c r="I32" s="925" t="e">
        <f>H32/#REF!*100</f>
        <v>#REF!</v>
      </c>
      <c r="J32" s="926">
        <f>F32*H32/1000</f>
        <v>788.70819999999992</v>
      </c>
      <c r="K32" s="488">
        <f>L32*L40/1000</f>
        <v>9.624460464150264</v>
      </c>
      <c r="L32" s="489">
        <v>1.746</v>
      </c>
      <c r="M32" s="450">
        <f>AN10*1.021</f>
        <v>33239.788029925192</v>
      </c>
      <c r="N32" s="476" t="e">
        <f>M32/#REF!*100</f>
        <v>#REF!</v>
      </c>
      <c r="O32" s="477">
        <f>K32*M32/1000</f>
        <v>319.91502573075019</v>
      </c>
      <c r="P32" s="478">
        <v>8.52</v>
      </c>
      <c r="Q32" s="479">
        <f>SUM(P32/Q40*1000)</f>
        <v>2.4388668020502178</v>
      </c>
      <c r="R32" s="452">
        <v>19830</v>
      </c>
      <c r="S32" s="480">
        <f>R32*P32/1000</f>
        <v>168.95160000000001</v>
      </c>
      <c r="T32" s="478">
        <v>14.53</v>
      </c>
      <c r="U32" s="479">
        <f>SUM(T32/U40*1000)</f>
        <v>2.8169833268708802</v>
      </c>
      <c r="V32" s="452">
        <v>20380</v>
      </c>
      <c r="W32" s="480">
        <f>V32*T32/1000</f>
        <v>296.12139999999994</v>
      </c>
      <c r="X32" s="481" t="e">
        <f>W32/#REF!*100</f>
        <v>#REF!</v>
      </c>
      <c r="Y32" s="480">
        <f>U32*W32/1000</f>
        <v>0.83416904652966251</v>
      </c>
      <c r="Z32" s="457"/>
      <c r="AA32" s="457"/>
      <c r="AB32" s="457"/>
      <c r="AC32" s="478">
        <v>16.03</v>
      </c>
      <c r="AD32" s="479">
        <f>SUM(AC32/AD40*1000)</f>
        <v>2.3137656789018632</v>
      </c>
      <c r="AE32" s="452">
        <v>20247.09</v>
      </c>
      <c r="AF32" s="480">
        <f>AE32*AC32/1000</f>
        <v>324.56085270000005</v>
      </c>
      <c r="AG32" s="482">
        <v>14.8</v>
      </c>
      <c r="AH32" s="483">
        <f>AG32/AH40*1000</f>
        <v>2.5721684422739362</v>
      </c>
      <c r="AI32" s="484">
        <f>AK32/AG32*1000</f>
        <v>34141.891891891886</v>
      </c>
      <c r="AJ32" s="492">
        <f>AI32/BO10</f>
        <v>1.4353660542565037</v>
      </c>
      <c r="AK32" s="486">
        <v>505.3</v>
      </c>
      <c r="AL32" s="491">
        <f>AM32*AM40/1000</f>
        <v>10.220892000847977</v>
      </c>
      <c r="AM32" s="489">
        <f>AP10</f>
        <v>1.8378304705924196</v>
      </c>
      <c r="AN32" s="450">
        <f>M55</f>
        <v>25193.815380000004</v>
      </c>
      <c r="AO32" s="487">
        <f>AN32/BO10</f>
        <v>1.0591781934101125</v>
      </c>
      <c r="AP32" s="477">
        <f>AL32*AN32/1000</f>
        <v>257.50326608828277</v>
      </c>
      <c r="AQ32" s="478">
        <v>3.51</v>
      </c>
      <c r="AR32" s="479">
        <f>SUM(AQ32/AR40*1000)</f>
        <v>1.0422265046217252</v>
      </c>
      <c r="AS32" s="452">
        <v>20196.64</v>
      </c>
      <c r="AT32" s="480">
        <f t="shared" si="3"/>
        <v>70.890206399999997</v>
      </c>
      <c r="AU32" s="478"/>
      <c r="AV32" s="479" t="e">
        <f>SUM(AU32/AV40*1000)</f>
        <v>#DIV/0!</v>
      </c>
      <c r="AW32" s="452"/>
      <c r="AX32" s="480">
        <f>AW32*AU32/1000</f>
        <v>0</v>
      </c>
      <c r="AY32" s="478">
        <v>8.5150000000000006</v>
      </c>
      <c r="AZ32" s="479">
        <f>SUM(AY32/AZ40*1000)</f>
        <v>1.2712920896219868</v>
      </c>
      <c r="BA32" s="465">
        <f t="shared" si="9"/>
        <v>20.263065179095712</v>
      </c>
      <c r="BB32" s="480">
        <v>172.54</v>
      </c>
      <c r="BC32" s="482">
        <v>16.03</v>
      </c>
      <c r="BD32" s="483">
        <f>BC32/BD40*1000</f>
        <v>2.7943868212324592</v>
      </c>
      <c r="BE32" s="470">
        <f>SUM(AN32*1.1)</f>
        <v>27713.196918000005</v>
      </c>
      <c r="BF32" s="471">
        <f t="shared" si="10"/>
        <v>1.1000000000000001</v>
      </c>
      <c r="BG32" s="472">
        <f t="shared" si="11"/>
        <v>444.24254659554015</v>
      </c>
      <c r="BH32" s="473">
        <f t="shared" si="4"/>
        <v>13.082764612231347</v>
      </c>
      <c r="BI32" s="459">
        <f t="shared" si="12"/>
        <v>2.3137656789018632</v>
      </c>
      <c r="BJ32" s="450">
        <f>M64</f>
        <v>28813.56</v>
      </c>
      <c r="BK32" s="474">
        <f t="shared" si="13"/>
        <v>1.1436759206735123</v>
      </c>
      <c r="BL32" s="462">
        <f t="shared" si="14"/>
        <v>376.96102312040466</v>
      </c>
      <c r="BM32" s="4917"/>
      <c r="BN32" s="4918"/>
      <c r="BO32" s="4919"/>
      <c r="BP32" s="335"/>
      <c r="BQ32" s="478">
        <v>10.315</v>
      </c>
      <c r="BR32" s="479">
        <f>SUM(BQ32/BR40*1000)</f>
        <v>3.2669698735652566</v>
      </c>
      <c r="BS32" s="452">
        <v>25809.55</v>
      </c>
      <c r="BT32" s="480">
        <f t="shared" si="5"/>
        <v>266.22550824999996</v>
      </c>
      <c r="BU32" s="478">
        <v>14.04</v>
      </c>
      <c r="BV32" s="479">
        <f>SUM(BU32/BV40*1000)</f>
        <v>2.9992822230577296</v>
      </c>
      <c r="BW32" s="452">
        <v>27921.65</v>
      </c>
      <c r="BX32" s="480">
        <f t="shared" si="6"/>
        <v>392.01996600000001</v>
      </c>
      <c r="BY32" s="463">
        <f t="shared" si="15"/>
        <v>18.72</v>
      </c>
      <c r="BZ32" s="479">
        <f>SUM(BY32/BZ40*1000)</f>
        <v>2.9992822230577296</v>
      </c>
      <c r="CA32" s="465">
        <f t="shared" si="16"/>
        <v>29789.937114093969</v>
      </c>
      <c r="CB32" s="466">
        <f t="shared" si="17"/>
        <v>557.66762277583905</v>
      </c>
      <c r="CC32" s="3249">
        <f t="shared" si="7"/>
        <v>13.082764612231347</v>
      </c>
      <c r="CD32" s="3254">
        <f>SUM(BI32)</f>
        <v>2.3137656789018632</v>
      </c>
      <c r="CE32" s="3251">
        <f t="shared" si="8"/>
        <v>31694.916000000005</v>
      </c>
      <c r="CF32" s="3252">
        <f t="shared" si="20"/>
        <v>1.1000000000000001</v>
      </c>
      <c r="CG32" s="3253">
        <f t="shared" si="18"/>
        <v>414.65712543244518</v>
      </c>
      <c r="CH32" s="3249"/>
      <c r="CI32" s="3559"/>
      <c r="CJ32" s="3563"/>
      <c r="CK32" s="3561"/>
      <c r="CL32" s="3562">
        <f t="shared" si="19"/>
        <v>399.68800320433382</v>
      </c>
      <c r="CM32" s="4917"/>
      <c r="CN32" s="4918"/>
      <c r="CO32" s="4919"/>
    </row>
    <row r="33" spans="1:93" ht="36.75" customHeight="1">
      <c r="A33" s="908" t="s">
        <v>106</v>
      </c>
      <c r="B33" s="457"/>
      <c r="C33" s="457"/>
      <c r="D33" s="457"/>
      <c r="E33" s="457"/>
      <c r="F33" s="922">
        <v>15.6</v>
      </c>
      <c r="G33" s="923">
        <f>F33/G40*1000</f>
        <v>3.1363088057901085</v>
      </c>
      <c r="H33" s="924">
        <v>20952</v>
      </c>
      <c r="I33" s="925" t="e">
        <f>H33/#REF!*100</f>
        <v>#REF!</v>
      </c>
      <c r="J33" s="926">
        <f>F33*H33/1000</f>
        <v>326.85120000000001</v>
      </c>
      <c r="K33" s="488">
        <f>L40*L33/1000</f>
        <v>8.3015105721708462</v>
      </c>
      <c r="L33" s="489">
        <v>1.506</v>
      </c>
      <c r="M33" s="450">
        <f>AN11*1.021</f>
        <v>20298.424001867847</v>
      </c>
      <c r="N33" s="476" t="e">
        <f>M33/#REF!*100</f>
        <v>#REF!</v>
      </c>
      <c r="O33" s="477">
        <f>K33*M33/1000</f>
        <v>168.50758144991241</v>
      </c>
      <c r="P33" s="478">
        <v>12.34</v>
      </c>
      <c r="Q33" s="479">
        <f>SUM(P33/Q40*1000)</f>
        <v>3.5323493353638136</v>
      </c>
      <c r="R33" s="452">
        <v>16360</v>
      </c>
      <c r="S33" s="480">
        <f>R33*P33/1000</f>
        <v>201.88239999999999</v>
      </c>
      <c r="T33" s="478">
        <v>16.59</v>
      </c>
      <c r="U33" s="479">
        <f>SUM(T33/U40*1000)</f>
        <v>3.2163629313687476</v>
      </c>
      <c r="V33" s="452">
        <v>16560</v>
      </c>
      <c r="W33" s="480">
        <f>V33*T33/1000</f>
        <v>274.73040000000003</v>
      </c>
      <c r="X33" s="481" t="e">
        <f>W33/#REF!*100</f>
        <v>#REF!</v>
      </c>
      <c r="Y33" s="480">
        <f>U33*W33/1000</f>
        <v>0.88363267468010875</v>
      </c>
      <c r="Z33" s="457"/>
      <c r="AA33" s="457"/>
      <c r="AB33" s="457"/>
      <c r="AC33" s="478">
        <v>20.84</v>
      </c>
      <c r="AD33" s="479">
        <f>SUM(AC33/AD40*1000)</f>
        <v>3.0080397222903827</v>
      </c>
      <c r="AE33" s="452">
        <v>13955.84</v>
      </c>
      <c r="AF33" s="480">
        <f>AE33*AC33/1000</f>
        <v>290.8397056</v>
      </c>
      <c r="AG33" s="482">
        <v>10.6</v>
      </c>
      <c r="AH33" s="483">
        <f>AG33/AH40*1000</f>
        <v>1.8422287491961975</v>
      </c>
      <c r="AI33" s="484">
        <f>AK33/AG33*1000</f>
        <v>25518.867924528302</v>
      </c>
      <c r="AJ33" s="492">
        <f>AI33/BO11</f>
        <v>1.2773139047078612</v>
      </c>
      <c r="AK33" s="486">
        <v>270.5</v>
      </c>
      <c r="AL33" s="491">
        <f>AM40*AM33/1000</f>
        <v>8.0173859812274717</v>
      </c>
      <c r="AM33" s="489">
        <f>AP11</f>
        <v>1.4416154920312136</v>
      </c>
      <c r="AN33" s="450">
        <f>M54</f>
        <v>17586.72</v>
      </c>
      <c r="AO33" s="487">
        <f>AN33/BO11</f>
        <v>0.8802805069817401</v>
      </c>
      <c r="AP33" s="477">
        <f>AL33*AN33/1000</f>
        <v>140.99952238377278</v>
      </c>
      <c r="AQ33" s="478">
        <v>7.6</v>
      </c>
      <c r="AR33" s="479">
        <f>SUM(AQ33/AR40*1000)</f>
        <v>2.2566727735399179</v>
      </c>
      <c r="AS33" s="452">
        <v>18606.32</v>
      </c>
      <c r="AT33" s="480">
        <f t="shared" si="3"/>
        <v>141.40803199999999</v>
      </c>
      <c r="AU33" s="478"/>
      <c r="AV33" s="479" t="e">
        <f>SUM(AU33/AV40*1000)</f>
        <v>#DIV/0!</v>
      </c>
      <c r="AW33" s="452"/>
      <c r="AX33" s="480">
        <f>AW33*AU33/1000</f>
        <v>0</v>
      </c>
      <c r="AY33" s="478">
        <v>9.125</v>
      </c>
      <c r="AZ33" s="479">
        <f>SUM(AY33/AZ40*1000)</f>
        <v>1.3623652751380655</v>
      </c>
      <c r="BA33" s="465">
        <f t="shared" si="9"/>
        <v>18.830684931506852</v>
      </c>
      <c r="BB33" s="480">
        <v>171.83</v>
      </c>
      <c r="BC33" s="482">
        <v>20.84</v>
      </c>
      <c r="BD33" s="483">
        <f>BC33/BD40*1000</f>
        <v>3.6328771899241699</v>
      </c>
      <c r="BE33" s="470">
        <f>SUM(AN33*1.1)</f>
        <v>19345.392000000003</v>
      </c>
      <c r="BF33" s="471">
        <f t="shared" si="10"/>
        <v>1.1000000000000001</v>
      </c>
      <c r="BG33" s="472">
        <f t="shared" si="11"/>
        <v>403.15796928000009</v>
      </c>
      <c r="BH33" s="473">
        <f t="shared" si="4"/>
        <v>17.008410138421791</v>
      </c>
      <c r="BI33" s="459">
        <f t="shared" si="12"/>
        <v>3.0080397222903827</v>
      </c>
      <c r="BJ33" s="450">
        <f>M63</f>
        <v>14833.89608</v>
      </c>
      <c r="BK33" s="474">
        <f t="shared" si="13"/>
        <v>0.84347144208812097</v>
      </c>
      <c r="BL33" s="462">
        <f t="shared" si="14"/>
        <v>252.30098847936728</v>
      </c>
      <c r="BM33" s="4917"/>
      <c r="BN33" s="4918"/>
      <c r="BO33" s="4919"/>
      <c r="BP33" s="335"/>
      <c r="BQ33" s="478">
        <v>18.55</v>
      </c>
      <c r="BR33" s="479">
        <f>SUM(BQ33/BR40*1000)</f>
        <v>5.8751615273519651</v>
      </c>
      <c r="BS33" s="452">
        <v>18124.89</v>
      </c>
      <c r="BT33" s="480">
        <f t="shared" si="5"/>
        <v>336.21670949999998</v>
      </c>
      <c r="BU33" s="478">
        <v>19.25</v>
      </c>
      <c r="BV33" s="479">
        <f>SUM(BU33/BV40*1000)</f>
        <v>4.1122637317565029</v>
      </c>
      <c r="BW33" s="452">
        <v>18112.96</v>
      </c>
      <c r="BX33" s="480">
        <f t="shared" si="6"/>
        <v>348.67447999999996</v>
      </c>
      <c r="BY33" s="463">
        <f t="shared" si="15"/>
        <v>25.666666666666664</v>
      </c>
      <c r="BZ33" s="479">
        <f>SUM(BY33/BZ40*1000)</f>
        <v>4.1122637317565021</v>
      </c>
      <c r="CA33" s="465">
        <f t="shared" si="16"/>
        <v>17960.852499999994</v>
      </c>
      <c r="CB33" s="466">
        <f t="shared" si="17"/>
        <v>460.99521416666641</v>
      </c>
      <c r="CC33" s="3249">
        <f t="shared" si="7"/>
        <v>17.008410138421791</v>
      </c>
      <c r="CD33" s="3254">
        <f>SUM(BI33)</f>
        <v>3.0080397222903827</v>
      </c>
      <c r="CE33" s="3251">
        <f t="shared" si="8"/>
        <v>16317.285688000002</v>
      </c>
      <c r="CF33" s="3252">
        <f t="shared" si="20"/>
        <v>1.1000000000000001</v>
      </c>
      <c r="CG33" s="3253">
        <f t="shared" si="18"/>
        <v>277.53108732730402</v>
      </c>
      <c r="CH33" s="3249"/>
      <c r="CI33" s="3559"/>
      <c r="CJ33" s="3563"/>
      <c r="CK33" s="3561"/>
      <c r="CL33" s="3562">
        <f t="shared" si="19"/>
        <v>267.51221507478829</v>
      </c>
      <c r="CM33" s="4917"/>
      <c r="CN33" s="4918"/>
      <c r="CO33" s="4919"/>
    </row>
    <row r="34" spans="1:93" ht="36.75" customHeight="1">
      <c r="A34" s="1894" t="s">
        <v>906</v>
      </c>
      <c r="B34" s="457"/>
      <c r="C34" s="457"/>
      <c r="D34" s="457"/>
      <c r="E34" s="457"/>
      <c r="F34" s="1895"/>
      <c r="G34" s="1896"/>
      <c r="H34" s="1897"/>
      <c r="I34" s="1898"/>
      <c r="J34" s="1899"/>
      <c r="K34" s="1900"/>
      <c r="L34" s="1901"/>
      <c r="M34" s="1902"/>
      <c r="N34" s="1903"/>
      <c r="O34" s="1904"/>
      <c r="P34" s="1905"/>
      <c r="Q34" s="1906"/>
      <c r="R34" s="1907"/>
      <c r="S34" s="1908"/>
      <c r="T34" s="1905"/>
      <c r="U34" s="1906"/>
      <c r="V34" s="1907"/>
      <c r="W34" s="1908"/>
      <c r="X34" s="1909"/>
      <c r="Y34" s="1908"/>
      <c r="Z34" s="457"/>
      <c r="AA34" s="457"/>
      <c r="AB34" s="457"/>
      <c r="AC34" s="1905"/>
      <c r="AD34" s="1906"/>
      <c r="AE34" s="1907"/>
      <c r="AF34" s="1908"/>
      <c r="AG34" s="1910"/>
      <c r="AH34" s="1911"/>
      <c r="AI34" s="1912"/>
      <c r="AJ34" s="1913"/>
      <c r="AK34" s="1914"/>
      <c r="AL34" s="1915"/>
      <c r="AM34" s="1901"/>
      <c r="AN34" s="1902"/>
      <c r="AO34" s="1916"/>
      <c r="AP34" s="1904"/>
      <c r="AQ34" s="1905">
        <v>0.185</v>
      </c>
      <c r="AR34" s="1906">
        <v>5.4899999999999997E-2</v>
      </c>
      <c r="AS34" s="1907">
        <v>283530</v>
      </c>
      <c r="AT34" s="1908">
        <f t="shared" si="3"/>
        <v>52.453050000000005</v>
      </c>
      <c r="AU34" s="1905"/>
      <c r="AV34" s="1906"/>
      <c r="AW34" s="1907"/>
      <c r="AX34" s="1908"/>
      <c r="AY34" s="1905">
        <v>0.375</v>
      </c>
      <c r="AZ34" s="1906">
        <v>5.4899999999999997E-2</v>
      </c>
      <c r="BA34" s="465">
        <f t="shared" si="9"/>
        <v>274.58666666666664</v>
      </c>
      <c r="BB34" s="1908">
        <v>102.97</v>
      </c>
      <c r="BC34" s="1910"/>
      <c r="BD34" s="1911"/>
      <c r="BE34" s="470"/>
      <c r="BF34" s="471"/>
      <c r="BG34" s="472"/>
      <c r="BH34" s="473">
        <f t="shared" si="4"/>
        <v>0.31042200329999997</v>
      </c>
      <c r="BI34" s="459">
        <f>AR34</f>
        <v>5.4899999999999997E-2</v>
      </c>
      <c r="BJ34" s="1902">
        <f>AS34*1.088</f>
        <v>308480.64000000001</v>
      </c>
      <c r="BK34" s="474"/>
      <c r="BL34" s="462">
        <f t="shared" si="14"/>
        <v>95.759178248066107</v>
      </c>
      <c r="BM34" s="4917"/>
      <c r="BN34" s="4918"/>
      <c r="BO34" s="4919"/>
      <c r="BP34" s="335"/>
      <c r="BQ34" s="1905">
        <v>0.3</v>
      </c>
      <c r="BR34" s="479">
        <f>SUM(BQ34/BR40*1000)</f>
        <v>9.5016089391136899E-2</v>
      </c>
      <c r="BS34" s="3496">
        <v>328333.33</v>
      </c>
      <c r="BT34" s="1908">
        <f t="shared" si="5"/>
        <v>98.499999000000003</v>
      </c>
      <c r="BU34" s="1905">
        <v>0.3</v>
      </c>
      <c r="BV34" s="479">
        <f>SUM(BU34/BV40*1000)</f>
        <v>6.4087226988413015E-2</v>
      </c>
      <c r="BW34" s="3496">
        <v>328333.3</v>
      </c>
      <c r="BX34" s="1908">
        <f t="shared" si="6"/>
        <v>98.499989999999997</v>
      </c>
      <c r="BY34" s="463">
        <f t="shared" si="15"/>
        <v>0.4</v>
      </c>
      <c r="BZ34" s="1906">
        <v>5.4899999999999997E-2</v>
      </c>
      <c r="CA34" s="3505">
        <v>328333.3</v>
      </c>
      <c r="CB34" s="466">
        <f t="shared" si="17"/>
        <v>131.33332000000001</v>
      </c>
      <c r="CC34" s="3249">
        <f t="shared" si="7"/>
        <v>0.31042200329999997</v>
      </c>
      <c r="CD34" s="3255">
        <f>SUM(BI34)</f>
        <v>5.4899999999999997E-2</v>
      </c>
      <c r="CE34" s="3251">
        <f t="shared" si="8"/>
        <v>339328.70400000003</v>
      </c>
      <c r="CF34" s="3252">
        <f t="shared" si="20"/>
        <v>1.1000000000000001</v>
      </c>
      <c r="CG34" s="3253">
        <f t="shared" ref="CG34:CG35" si="21">SUM(CC34*CE34)/1000</f>
        <v>105.33509607287272</v>
      </c>
      <c r="CH34" s="3249"/>
      <c r="CI34" s="3559"/>
      <c r="CJ34" s="3564"/>
      <c r="CK34" s="3561"/>
      <c r="CL34" s="3562">
        <f t="shared" si="19"/>
        <v>101.532499104642</v>
      </c>
      <c r="CM34" s="4917"/>
      <c r="CN34" s="4918"/>
      <c r="CO34" s="4919"/>
    </row>
    <row r="35" spans="1:93" ht="36.75" customHeight="1">
      <c r="A35" s="1894" t="s">
        <v>907</v>
      </c>
      <c r="B35" s="457"/>
      <c r="C35" s="457"/>
      <c r="D35" s="457"/>
      <c r="E35" s="457"/>
      <c r="F35" s="1895"/>
      <c r="G35" s="1896"/>
      <c r="H35" s="1897"/>
      <c r="I35" s="1898"/>
      <c r="J35" s="1899"/>
      <c r="K35" s="1900"/>
      <c r="L35" s="1901"/>
      <c r="M35" s="1902"/>
      <c r="N35" s="1903"/>
      <c r="O35" s="1904"/>
      <c r="P35" s="1905"/>
      <c r="Q35" s="1906"/>
      <c r="R35" s="1907"/>
      <c r="S35" s="1908"/>
      <c r="T35" s="1905"/>
      <c r="U35" s="1906"/>
      <c r="V35" s="1907"/>
      <c r="W35" s="1908"/>
      <c r="X35" s="1909"/>
      <c r="Y35" s="1908"/>
      <c r="Z35" s="457"/>
      <c r="AA35" s="457"/>
      <c r="AB35" s="457"/>
      <c r="AC35" s="1905"/>
      <c r="AD35" s="1906"/>
      <c r="AE35" s="1907"/>
      <c r="AF35" s="1908"/>
      <c r="AG35" s="1910"/>
      <c r="AH35" s="1911"/>
      <c r="AI35" s="1912"/>
      <c r="AJ35" s="1913"/>
      <c r="AK35" s="1914"/>
      <c r="AL35" s="1915"/>
      <c r="AM35" s="1901"/>
      <c r="AN35" s="1902"/>
      <c r="AO35" s="1916"/>
      <c r="AP35" s="1904"/>
      <c r="AQ35" s="1905">
        <v>39</v>
      </c>
      <c r="AR35" s="1906">
        <v>11.580299999999999</v>
      </c>
      <c r="AS35" s="1907">
        <v>14901.63</v>
      </c>
      <c r="AT35" s="1908">
        <f t="shared" si="3"/>
        <v>581.16356999999994</v>
      </c>
      <c r="AU35" s="1905"/>
      <c r="AV35" s="1906"/>
      <c r="AW35" s="1907"/>
      <c r="AX35" s="1908"/>
      <c r="AY35" s="1905">
        <v>51</v>
      </c>
      <c r="AZ35" s="1906">
        <v>11.580299999999999</v>
      </c>
      <c r="BA35" s="465">
        <f t="shared" si="9"/>
        <v>15.042156862745097</v>
      </c>
      <c r="BB35" s="1908">
        <v>767.15</v>
      </c>
      <c r="BC35" s="1910"/>
      <c r="BD35" s="1911"/>
      <c r="BE35" s="470"/>
      <c r="BF35" s="471"/>
      <c r="BG35" s="472"/>
      <c r="BH35" s="473">
        <f t="shared" si="4"/>
        <v>65.47868715509999</v>
      </c>
      <c r="BI35" s="459">
        <f>AR35</f>
        <v>11.580299999999999</v>
      </c>
      <c r="BJ35" s="1902">
        <f>AS35*1.088</f>
        <v>16212.97344</v>
      </c>
      <c r="BK35" s="474"/>
      <c r="BL35" s="462">
        <f t="shared" si="14"/>
        <v>1061.6042157317054</v>
      </c>
      <c r="BM35" s="4917"/>
      <c r="BN35" s="4918"/>
      <c r="BO35" s="4919"/>
      <c r="BP35" s="335"/>
      <c r="BQ35" s="1905">
        <v>0</v>
      </c>
      <c r="BR35" s="1906">
        <v>0</v>
      </c>
      <c r="BS35" s="1907">
        <v>0</v>
      </c>
      <c r="BT35" s="1908">
        <f t="shared" si="5"/>
        <v>0</v>
      </c>
      <c r="BU35" s="1905">
        <v>0</v>
      </c>
      <c r="BV35" s="479">
        <v>0</v>
      </c>
      <c r="BW35" s="1907">
        <v>0</v>
      </c>
      <c r="BX35" s="1908">
        <f t="shared" si="6"/>
        <v>0</v>
      </c>
      <c r="BY35" s="1905">
        <v>0</v>
      </c>
      <c r="BZ35" s="1906">
        <v>0</v>
      </c>
      <c r="CA35" s="465">
        <v>0</v>
      </c>
      <c r="CB35" s="1908">
        <v>0</v>
      </c>
      <c r="CC35" s="3249">
        <f t="shared" si="7"/>
        <v>65.47868715509999</v>
      </c>
      <c r="CD35" s="3255">
        <f>SUM(BI35)</f>
        <v>11.580299999999999</v>
      </c>
      <c r="CE35" s="3251">
        <f t="shared" si="8"/>
        <v>17834.270784</v>
      </c>
      <c r="CF35" s="3252">
        <f t="shared" si="20"/>
        <v>1.1000000000000001</v>
      </c>
      <c r="CG35" s="3253">
        <f t="shared" si="21"/>
        <v>1167.7646373048758</v>
      </c>
      <c r="CH35" s="3249"/>
      <c r="CI35" s="3559"/>
      <c r="CJ35" s="3564"/>
      <c r="CK35" s="3561"/>
      <c r="CL35" s="3562">
        <f t="shared" si="19"/>
        <v>1125.6083338981698</v>
      </c>
      <c r="CM35" s="4917"/>
      <c r="CN35" s="4918"/>
      <c r="CO35" s="4919"/>
    </row>
    <row r="36" spans="1:93" ht="36.75" customHeight="1">
      <c r="A36" s="908" t="s">
        <v>107</v>
      </c>
      <c r="B36" s="457"/>
      <c r="C36" s="457"/>
      <c r="D36" s="457"/>
      <c r="E36" s="457"/>
      <c r="F36" s="927"/>
      <c r="G36" s="928"/>
      <c r="H36" s="928"/>
      <c r="I36" s="928"/>
      <c r="J36" s="929"/>
      <c r="K36" s="449"/>
      <c r="L36" s="449"/>
      <c r="M36" s="450"/>
      <c r="N36" s="476"/>
      <c r="O36" s="477"/>
      <c r="P36" s="451"/>
      <c r="Q36" s="451"/>
      <c r="R36" s="452"/>
      <c r="S36" s="480"/>
      <c r="T36" s="451"/>
      <c r="U36" s="451"/>
      <c r="V36" s="452"/>
      <c r="W36" s="480"/>
      <c r="X36" s="481"/>
      <c r="Y36" s="480"/>
      <c r="Z36" s="457"/>
      <c r="AA36" s="457"/>
      <c r="AB36" s="457"/>
      <c r="AC36" s="451"/>
      <c r="AD36" s="451"/>
      <c r="AE36" s="452"/>
      <c r="AF36" s="480"/>
      <c r="AG36" s="493"/>
      <c r="AH36" s="494"/>
      <c r="AI36" s="494"/>
      <c r="AJ36" s="494"/>
      <c r="AK36" s="495"/>
      <c r="AL36" s="453"/>
      <c r="AM36" s="449"/>
      <c r="AN36" s="450"/>
      <c r="AO36" s="476"/>
      <c r="AP36" s="477"/>
      <c r="AQ36" s="451"/>
      <c r="AR36" s="451"/>
      <c r="AS36" s="452"/>
      <c r="AT36" s="480"/>
      <c r="AU36" s="451"/>
      <c r="AV36" s="451"/>
      <c r="AW36" s="452"/>
      <c r="AX36" s="480"/>
      <c r="AY36" s="451"/>
      <c r="AZ36" s="451"/>
      <c r="BA36" s="452"/>
      <c r="BB36" s="480"/>
      <c r="BC36" s="493"/>
      <c r="BD36" s="494"/>
      <c r="BE36" s="494"/>
      <c r="BF36" s="494"/>
      <c r="BG36" s="495"/>
      <c r="BH36" s="453"/>
      <c r="BI36" s="449"/>
      <c r="BJ36" s="450"/>
      <c r="BK36" s="476"/>
      <c r="BL36" s="477"/>
      <c r="BM36" s="4917"/>
      <c r="BN36" s="4918"/>
      <c r="BO36" s="4919"/>
      <c r="BP36" s="335"/>
      <c r="BQ36" s="451"/>
      <c r="BR36" s="451"/>
      <c r="BS36" s="452"/>
      <c r="BT36" s="480"/>
      <c r="BU36" s="451"/>
      <c r="BV36" s="451"/>
      <c r="BW36" s="452"/>
      <c r="BX36" s="480"/>
      <c r="BY36" s="451"/>
      <c r="BZ36" s="451"/>
      <c r="CA36" s="452"/>
      <c r="CB36" s="480"/>
      <c r="CC36" s="3256"/>
      <c r="CD36" s="3257"/>
      <c r="CE36" s="3257"/>
      <c r="CF36" s="3257"/>
      <c r="CG36" s="3258"/>
      <c r="CH36" s="3272"/>
      <c r="CI36" s="3565"/>
      <c r="CJ36" s="3563"/>
      <c r="CK36" s="3566"/>
      <c r="CL36" s="3562">
        <f t="shared" si="19"/>
        <v>0</v>
      </c>
      <c r="CM36" s="4917"/>
      <c r="CN36" s="4918"/>
      <c r="CO36" s="4919"/>
    </row>
    <row r="37" spans="1:93" ht="36.75" customHeight="1">
      <c r="A37" s="908" t="s">
        <v>230</v>
      </c>
      <c r="B37" s="457"/>
      <c r="C37" s="457"/>
      <c r="D37" s="457"/>
      <c r="E37" s="457"/>
      <c r="F37" s="927"/>
      <c r="G37" s="928"/>
      <c r="H37" s="928"/>
      <c r="I37" s="928"/>
      <c r="J37" s="929"/>
      <c r="K37" s="449"/>
      <c r="L37" s="449"/>
      <c r="M37" s="450"/>
      <c r="N37" s="476"/>
      <c r="O37" s="477"/>
      <c r="P37" s="451"/>
      <c r="Q37" s="451"/>
      <c r="R37" s="452"/>
      <c r="S37" s="480"/>
      <c r="T37" s="451"/>
      <c r="U37" s="451"/>
      <c r="V37" s="452"/>
      <c r="W37" s="480"/>
      <c r="X37" s="481"/>
      <c r="Y37" s="480"/>
      <c r="Z37" s="457"/>
      <c r="AA37" s="457"/>
      <c r="AB37" s="457"/>
      <c r="AC37" s="451"/>
      <c r="AD37" s="451"/>
      <c r="AE37" s="452"/>
      <c r="AF37" s="480"/>
      <c r="AG37" s="493"/>
      <c r="AH37" s="494"/>
      <c r="AI37" s="494"/>
      <c r="AJ37" s="494"/>
      <c r="AK37" s="495"/>
      <c r="AL37" s="453"/>
      <c r="AM37" s="449"/>
      <c r="AN37" s="450"/>
      <c r="AO37" s="476"/>
      <c r="AP37" s="477"/>
      <c r="AQ37" s="451"/>
      <c r="AR37" s="451"/>
      <c r="AS37" s="452"/>
      <c r="AT37" s="480"/>
      <c r="AU37" s="451"/>
      <c r="AV37" s="451"/>
      <c r="AW37" s="452"/>
      <c r="AX37" s="480"/>
      <c r="AY37" s="451"/>
      <c r="AZ37" s="451"/>
      <c r="BA37" s="452"/>
      <c r="BB37" s="480"/>
      <c r="BC37" s="493"/>
      <c r="BD37" s="494"/>
      <c r="BE37" s="494"/>
      <c r="BF37" s="494"/>
      <c r="BG37" s="495"/>
      <c r="BH37" s="453"/>
      <c r="BI37" s="449"/>
      <c r="BJ37" s="450"/>
      <c r="BK37" s="476"/>
      <c r="BL37" s="477"/>
      <c r="BM37" s="4917"/>
      <c r="BN37" s="4918"/>
      <c r="BO37" s="4919"/>
      <c r="BP37" s="335"/>
      <c r="BQ37" s="451"/>
      <c r="BR37" s="451"/>
      <c r="BS37" s="452"/>
      <c r="BT37" s="480"/>
      <c r="BU37" s="451"/>
      <c r="BV37" s="451"/>
      <c r="BW37" s="452"/>
      <c r="BX37" s="480"/>
      <c r="BY37" s="451"/>
      <c r="BZ37" s="451"/>
      <c r="CA37" s="452"/>
      <c r="CB37" s="480"/>
      <c r="CC37" s="3256"/>
      <c r="CD37" s="3257"/>
      <c r="CE37" s="3257"/>
      <c r="CF37" s="3257"/>
      <c r="CG37" s="3258"/>
      <c r="CH37" s="3272"/>
      <c r="CI37" s="3565"/>
      <c r="CJ37" s="3563"/>
      <c r="CK37" s="3566"/>
      <c r="CL37" s="3562">
        <f t="shared" si="19"/>
        <v>0</v>
      </c>
      <c r="CM37" s="4917"/>
      <c r="CN37" s="4918"/>
      <c r="CO37" s="4919"/>
    </row>
    <row r="38" spans="1:93" ht="36.75" customHeight="1" thickBot="1">
      <c r="A38" s="938" t="s">
        <v>108</v>
      </c>
      <c r="B38" s="457"/>
      <c r="C38" s="457"/>
      <c r="D38" s="457"/>
      <c r="E38" s="457"/>
      <c r="F38" s="939"/>
      <c r="G38" s="940"/>
      <c r="H38" s="940"/>
      <c r="I38" s="940"/>
      <c r="J38" s="941">
        <v>110.4</v>
      </c>
      <c r="K38" s="942"/>
      <c r="L38" s="942"/>
      <c r="M38" s="943"/>
      <c r="N38" s="944"/>
      <c r="O38" s="945">
        <v>110.4</v>
      </c>
      <c r="P38" s="946"/>
      <c r="Q38" s="946"/>
      <c r="R38" s="947"/>
      <c r="S38" s="948">
        <v>63.405999999999999</v>
      </c>
      <c r="T38" s="946"/>
      <c r="U38" s="946"/>
      <c r="V38" s="947"/>
      <c r="W38" s="948">
        <v>120.18</v>
      </c>
      <c r="X38" s="949"/>
      <c r="Y38" s="948">
        <v>110.4</v>
      </c>
      <c r="Z38" s="457"/>
      <c r="AA38" s="457"/>
      <c r="AB38" s="457"/>
      <c r="AC38" s="946"/>
      <c r="AD38" s="946"/>
      <c r="AE38" s="947"/>
      <c r="AF38" s="948">
        <v>210.65</v>
      </c>
      <c r="AG38" s="950"/>
      <c r="AH38" s="951"/>
      <c r="AI38" s="951"/>
      <c r="AJ38" s="951"/>
      <c r="AK38" s="952">
        <v>120</v>
      </c>
      <c r="AL38" s="953"/>
      <c r="AM38" s="942"/>
      <c r="AN38" s="943"/>
      <c r="AO38" s="944"/>
      <c r="AP38" s="945">
        <f>AK38</f>
        <v>120</v>
      </c>
      <c r="AQ38" s="946"/>
      <c r="AR38" s="946"/>
      <c r="AS38" s="947"/>
      <c r="AT38" s="948">
        <v>50.73</v>
      </c>
      <c r="AU38" s="946"/>
      <c r="AV38" s="946"/>
      <c r="AW38" s="947"/>
      <c r="AX38" s="948"/>
      <c r="AY38" s="946"/>
      <c r="AZ38" s="946"/>
      <c r="BA38" s="947"/>
      <c r="BB38" s="948">
        <v>116.22</v>
      </c>
      <c r="BC38" s="950"/>
      <c r="BD38" s="951"/>
      <c r="BE38" s="951"/>
      <c r="BF38" s="951"/>
      <c r="BG38" s="952">
        <f>SUM(AF38*1.1)</f>
        <v>231.71500000000003</v>
      </c>
      <c r="BH38" s="953"/>
      <c r="BI38" s="942"/>
      <c r="BJ38" s="943"/>
      <c r="BK38" s="944"/>
      <c r="BL38" s="945">
        <f>AF38*1.062*1.026</f>
        <v>229.52676780000002</v>
      </c>
      <c r="BM38" s="4917"/>
      <c r="BN38" s="4918"/>
      <c r="BO38" s="4919"/>
      <c r="BP38" s="335"/>
      <c r="BQ38" s="946"/>
      <c r="BR38" s="946"/>
      <c r="BS38" s="947"/>
      <c r="BT38" s="948">
        <v>48.052999999999997</v>
      </c>
      <c r="BU38" s="946"/>
      <c r="BV38" s="946"/>
      <c r="BW38" s="947"/>
      <c r="BX38" s="948">
        <v>132.66</v>
      </c>
      <c r="BY38" s="946"/>
      <c r="BZ38" s="946"/>
      <c r="CA38" s="947"/>
      <c r="CB38" s="948">
        <f>SUM(BX38/9*12)</f>
        <v>176.88</v>
      </c>
      <c r="CC38" s="3259"/>
      <c r="CD38" s="3260"/>
      <c r="CE38" s="3260"/>
      <c r="CF38" s="3260"/>
      <c r="CG38" s="3261">
        <f>SUM(BB38*1.1)</f>
        <v>127.84200000000001</v>
      </c>
      <c r="CH38" s="3567"/>
      <c r="CI38" s="3568"/>
      <c r="CJ38" s="3569"/>
      <c r="CK38" s="3570"/>
      <c r="CL38" s="3562">
        <f t="shared" si="19"/>
        <v>243.36493663066199</v>
      </c>
      <c r="CM38" s="4917"/>
      <c r="CN38" s="4918"/>
      <c r="CO38" s="4919"/>
    </row>
    <row r="39" spans="1:93" ht="36.75" customHeight="1" thickBot="1">
      <c r="A39" s="957" t="s">
        <v>90</v>
      </c>
      <c r="B39" s="958"/>
      <c r="C39" s="958"/>
      <c r="D39" s="958"/>
      <c r="E39" s="958"/>
      <c r="F39" s="959"/>
      <c r="G39" s="960"/>
      <c r="H39" s="960"/>
      <c r="I39" s="960"/>
      <c r="J39" s="961">
        <f>SUM(J29:J38)</f>
        <v>6234.3756999999987</v>
      </c>
      <c r="K39" s="962"/>
      <c r="L39" s="962"/>
      <c r="M39" s="963"/>
      <c r="N39" s="964"/>
      <c r="O39" s="965">
        <f>SUM(O29:O38)</f>
        <v>4253.0293007044547</v>
      </c>
      <c r="P39" s="966"/>
      <c r="Q39" s="966"/>
      <c r="R39" s="967"/>
      <c r="S39" s="968">
        <f>SUM(S29:S38)</f>
        <v>2186.0282000000002</v>
      </c>
      <c r="T39" s="966"/>
      <c r="U39" s="966"/>
      <c r="V39" s="967"/>
      <c r="W39" s="968">
        <f>SUM(W29:W38)</f>
        <v>3609.3058999999998</v>
      </c>
      <c r="X39" s="969"/>
      <c r="Y39" s="968">
        <f>SUM(Y29:Y38)</f>
        <v>161.27129434936023</v>
      </c>
      <c r="Z39" s="958"/>
      <c r="AA39" s="958"/>
      <c r="AB39" s="958"/>
      <c r="AC39" s="966"/>
      <c r="AD39" s="966"/>
      <c r="AE39" s="967"/>
      <c r="AF39" s="968">
        <f>SUM(AF29:AF38)</f>
        <v>4087.3393910999998</v>
      </c>
      <c r="AG39" s="970"/>
      <c r="AH39" s="971"/>
      <c r="AI39" s="971"/>
      <c r="AJ39" s="971"/>
      <c r="AK39" s="972">
        <f>SUM(AK29:AK38)</f>
        <v>4894.9000000000005</v>
      </c>
      <c r="AL39" s="973"/>
      <c r="AM39" s="962"/>
      <c r="AN39" s="963"/>
      <c r="AO39" s="964"/>
      <c r="AP39" s="965">
        <f>SUM(AP29:AP38)</f>
        <v>3968.311174693004</v>
      </c>
      <c r="AQ39" s="966"/>
      <c r="AR39" s="966"/>
      <c r="AS39" s="967"/>
      <c r="AT39" s="968">
        <f>SUM(AT29:AT38)</f>
        <v>2640.0770813999998</v>
      </c>
      <c r="AU39" s="966"/>
      <c r="AV39" s="966"/>
      <c r="AW39" s="967"/>
      <c r="AX39" s="968">
        <f>SUM(AX29:AX38)</f>
        <v>0</v>
      </c>
      <c r="AY39" s="966"/>
      <c r="AZ39" s="966"/>
      <c r="BA39" s="967"/>
      <c r="BB39" s="968">
        <f>SUM(BB29:BB38)</f>
        <v>5707.1500000000005</v>
      </c>
      <c r="BC39" s="970"/>
      <c r="BD39" s="971"/>
      <c r="BE39" s="971"/>
      <c r="BF39" s="971"/>
      <c r="BG39" s="972">
        <f>SUM(BG29:BG38)</f>
        <v>7781.2449052544798</v>
      </c>
      <c r="BH39" s="973"/>
      <c r="BI39" s="962"/>
      <c r="BJ39" s="963"/>
      <c r="BK39" s="964"/>
      <c r="BL39" s="965">
        <f>SUM(BL29:BL38)</f>
        <v>6985.4283978386675</v>
      </c>
      <c r="BM39" s="4920"/>
      <c r="BN39" s="4921"/>
      <c r="BO39" s="4922"/>
      <c r="BP39" s="336"/>
      <c r="BQ39" s="966"/>
      <c r="BR39" s="966"/>
      <c r="BS39" s="967"/>
      <c r="BT39" s="968">
        <f>SUM(BT29:BT38)</f>
        <v>4515.2094240899987</v>
      </c>
      <c r="BU39" s="966"/>
      <c r="BV39" s="966"/>
      <c r="BW39" s="967"/>
      <c r="BX39" s="968">
        <f>SUM(BX29:BX38)</f>
        <v>7061.8548961899996</v>
      </c>
      <c r="BY39" s="966"/>
      <c r="BZ39" s="966"/>
      <c r="CA39" s="967"/>
      <c r="CB39" s="968">
        <f>SUM(CB29:CB38)</f>
        <v>9542.8633802805743</v>
      </c>
      <c r="CC39" s="3262"/>
      <c r="CD39" s="3263"/>
      <c r="CE39" s="3263"/>
      <c r="CF39" s="3263"/>
      <c r="CG39" s="3264">
        <f>SUM(CG29:CG38)</f>
        <v>7687.4405852046175</v>
      </c>
      <c r="CH39" s="3571"/>
      <c r="CI39" s="3572"/>
      <c r="CJ39" s="3573"/>
      <c r="CK39" s="3574"/>
      <c r="CL39" s="3575">
        <f>SUM(CL29:CL38)</f>
        <v>7406.5798759443596</v>
      </c>
      <c r="CM39" s="4920"/>
      <c r="CN39" s="4921"/>
      <c r="CO39" s="4922"/>
    </row>
    <row r="40" spans="1:93" ht="36.75" customHeight="1" thickBot="1">
      <c r="A40" s="957" t="s">
        <v>132</v>
      </c>
      <c r="B40" s="958"/>
      <c r="C40" s="958"/>
      <c r="D40" s="958"/>
      <c r="E40" s="958"/>
      <c r="F40" s="959"/>
      <c r="G40" s="999">
        <f>объемы!E43-объемы!E50</f>
        <v>4974</v>
      </c>
      <c r="H40" s="961"/>
      <c r="I40" s="960"/>
      <c r="J40" s="961"/>
      <c r="K40" s="962"/>
      <c r="L40" s="1000">
        <f>объемы!F38-объемы!F50</f>
        <v>5512.2912165809075</v>
      </c>
      <c r="M40" s="963"/>
      <c r="N40" s="964"/>
      <c r="O40" s="965"/>
      <c r="P40" s="966"/>
      <c r="Q40" s="1001">
        <f>[22]объемы!H37</f>
        <v>3493.4257142857145</v>
      </c>
      <c r="R40" s="967"/>
      <c r="S40" s="968"/>
      <c r="T40" s="966"/>
      <c r="U40" s="1001">
        <v>5158</v>
      </c>
      <c r="V40" s="967"/>
      <c r="W40" s="968"/>
      <c r="X40" s="969"/>
      <c r="Y40" s="968"/>
      <c r="Z40" s="958"/>
      <c r="AA40" s="958"/>
      <c r="AB40" s="958"/>
      <c r="AC40" s="966"/>
      <c r="AD40" s="1001">
        <f>SUM(объемы!I39)</f>
        <v>6928.1</v>
      </c>
      <c r="AE40" s="967"/>
      <c r="AF40" s="968"/>
      <c r="AG40" s="970"/>
      <c r="AH40" s="1002">
        <f>SUM(объемы!J39)</f>
        <v>5753.9</v>
      </c>
      <c r="AI40" s="1003"/>
      <c r="AJ40" s="971"/>
      <c r="AK40" s="972"/>
      <c r="AL40" s="973"/>
      <c r="AM40" s="1000">
        <f>SUM(объемы!K39)</f>
        <v>5561.39</v>
      </c>
      <c r="AN40" s="963"/>
      <c r="AO40" s="964"/>
      <c r="AP40" s="965"/>
      <c r="AQ40" s="966"/>
      <c r="AR40" s="1001">
        <f>SUM(объемы!N39)</f>
        <v>3367.79</v>
      </c>
      <c r="AS40" s="967"/>
      <c r="AT40" s="968"/>
      <c r="AU40" s="966"/>
      <c r="AV40" s="1001">
        <f>SUM(объемы!Q39)</f>
        <v>0</v>
      </c>
      <c r="AW40" s="967"/>
      <c r="AX40" s="968"/>
      <c r="AY40" s="966"/>
      <c r="AZ40" s="1001">
        <f>SUM(объемы!R39)</f>
        <v>6697.91</v>
      </c>
      <c r="BA40" s="967"/>
      <c r="BB40" s="968"/>
      <c r="BC40" s="970"/>
      <c r="BD40" s="1002">
        <f>SUM(объемы!T39)</f>
        <v>5736.5</v>
      </c>
      <c r="BE40" s="1003"/>
      <c r="BF40" s="971"/>
      <c r="BG40" s="972"/>
      <c r="BH40" s="973"/>
      <c r="BI40" s="1000">
        <f>SUM(объемы!U39)</f>
        <v>5654.317</v>
      </c>
      <c r="BJ40" s="963"/>
      <c r="BK40" s="964"/>
      <c r="BL40" s="965"/>
      <c r="BM40" s="4944"/>
      <c r="BN40" s="4945"/>
      <c r="BO40" s="4946"/>
      <c r="BP40" s="337"/>
      <c r="BQ40" s="966"/>
      <c r="BR40" s="1001">
        <f>SUM(объемы!AB39)</f>
        <v>3157.36</v>
      </c>
      <c r="BS40" s="967"/>
      <c r="BT40" s="968"/>
      <c r="BU40" s="966"/>
      <c r="BV40" s="1001">
        <f>SUM(объемы!AC39)</f>
        <v>4681.12</v>
      </c>
      <c r="BW40" s="967"/>
      <c r="BX40" s="968"/>
      <c r="BY40" s="966"/>
      <c r="BZ40" s="1001">
        <f>SUM(объемы!AD39)</f>
        <v>6241.4933333333329</v>
      </c>
      <c r="CA40" s="967"/>
      <c r="CB40" s="968"/>
      <c r="CC40" s="3262"/>
      <c r="CD40" s="3265">
        <f>SUM(объемы!AE39)</f>
        <v>5618.05</v>
      </c>
      <c r="CE40" s="3266"/>
      <c r="CF40" s="3263"/>
      <c r="CG40" s="3264"/>
      <c r="CH40" s="3571"/>
      <c r="CI40" s="3265"/>
      <c r="CJ40" s="3573"/>
      <c r="CK40" s="3574"/>
      <c r="CL40" s="3575"/>
      <c r="CM40" s="4944"/>
      <c r="CN40" s="4945"/>
      <c r="CO40" s="4946"/>
    </row>
    <row r="41" spans="1:93" ht="36.75" customHeight="1">
      <c r="A41" s="907" t="s">
        <v>103</v>
      </c>
      <c r="B41" s="457"/>
      <c r="C41" s="457"/>
      <c r="D41" s="457"/>
      <c r="E41" s="457"/>
      <c r="F41" s="991"/>
      <c r="G41" s="992"/>
      <c r="H41" s="992"/>
      <c r="I41" s="992"/>
      <c r="J41" s="993"/>
      <c r="K41" s="954"/>
      <c r="L41" s="954"/>
      <c r="M41" s="460"/>
      <c r="N41" s="461"/>
      <c r="O41" s="462"/>
      <c r="P41" s="955">
        <v>1</v>
      </c>
      <c r="Q41" s="955"/>
      <c r="R41" s="465">
        <v>47970</v>
      </c>
      <c r="S41" s="466">
        <f>R41*P41/1000</f>
        <v>47.97</v>
      </c>
      <c r="T41" s="955">
        <v>1</v>
      </c>
      <c r="U41" s="464">
        <f>SUM(T41/U46*1000)</f>
        <v>0.3841425937307929</v>
      </c>
      <c r="V41" s="465">
        <v>47970</v>
      </c>
      <c r="W41" s="466">
        <f>V41*T41/1000</f>
        <v>47.97</v>
      </c>
      <c r="X41" s="467"/>
      <c r="Y41" s="466"/>
      <c r="Z41" s="457"/>
      <c r="AA41" s="457"/>
      <c r="AB41" s="457"/>
      <c r="AC41" s="955">
        <v>1</v>
      </c>
      <c r="AD41" s="464">
        <f>SUM(AC41/AD46*1000)</f>
        <v>0.22761414849547051</v>
      </c>
      <c r="AE41" s="465">
        <v>47970</v>
      </c>
      <c r="AF41" s="466">
        <f>AE41*AC41/1000</f>
        <v>47.97</v>
      </c>
      <c r="AG41" s="994"/>
      <c r="AH41" s="995"/>
      <c r="AI41" s="995"/>
      <c r="AJ41" s="995"/>
      <c r="AK41" s="996"/>
      <c r="AL41" s="956"/>
      <c r="AM41" s="954"/>
      <c r="AN41" s="460"/>
      <c r="AO41" s="461"/>
      <c r="AP41" s="462"/>
      <c r="AQ41" s="955"/>
      <c r="AR41" s="464">
        <f>SUM(AQ41/AR46*1000)</f>
        <v>0</v>
      </c>
      <c r="AS41" s="465"/>
      <c r="AT41" s="466">
        <f>AS41*AQ41/1000</f>
        <v>0</v>
      </c>
      <c r="AU41" s="955"/>
      <c r="AV41" s="464">
        <f>SUM(AU41/AV46*1000)</f>
        <v>0</v>
      </c>
      <c r="AW41" s="465"/>
      <c r="AX41" s="466">
        <f>AW41*AU41/1000</f>
        <v>0</v>
      </c>
      <c r="AY41" s="955"/>
      <c r="AZ41" s="464">
        <f>SUM(AY41/AZ46*1000)</f>
        <v>0</v>
      </c>
      <c r="BA41" s="465"/>
      <c r="BB41" s="466">
        <f>BA41*AY41/1000</f>
        <v>0</v>
      </c>
      <c r="BC41" s="468">
        <v>1</v>
      </c>
      <c r="BD41" s="997">
        <f>SUM(BC41/BD46)*1000</f>
        <v>0.28868915875979134</v>
      </c>
      <c r="BE41" s="470">
        <f>SUM(BE29)</f>
        <v>85278.6</v>
      </c>
      <c r="BF41" s="471" t="e">
        <f t="shared" ref="BF41:BF43" si="22">BE41/AN41</f>
        <v>#DIV/0!</v>
      </c>
      <c r="BG41" s="998">
        <f>BC41*BE41/1000</f>
        <v>85.278600000000012</v>
      </c>
      <c r="BH41" s="956">
        <f>BI46*BI41/1000</f>
        <v>0.78413074156689599</v>
      </c>
      <c r="BI41" s="459">
        <f>AD41</f>
        <v>0.22761414849547051</v>
      </c>
      <c r="BJ41" s="460">
        <f>BJ29</f>
        <v>79862</v>
      </c>
      <c r="BK41" s="474" t="e">
        <f t="shared" ref="BK41:BK43" si="23">BJ41/AN41</f>
        <v>#DIV/0!</v>
      </c>
      <c r="BL41" s="462">
        <f>BH41*BJ41/1000</f>
        <v>62.622249283015449</v>
      </c>
      <c r="BM41" s="4917"/>
      <c r="BN41" s="4918"/>
      <c r="BO41" s="4919"/>
      <c r="BP41" s="335"/>
      <c r="BQ41" s="955"/>
      <c r="BR41" s="464">
        <f>SUM(BQ41/BR46*1000)</f>
        <v>0</v>
      </c>
      <c r="BS41" s="465"/>
      <c r="BT41" s="466">
        <f>BS41*BQ41/1000</f>
        <v>0</v>
      </c>
      <c r="BU41" s="955"/>
      <c r="BV41" s="464">
        <f>SUM(BU41/BV46*1000)</f>
        <v>0</v>
      </c>
      <c r="BW41" s="465"/>
      <c r="BX41" s="466">
        <f>BW41*BU41/1000</f>
        <v>0</v>
      </c>
      <c r="BY41" s="955"/>
      <c r="BZ41" s="464">
        <f>SUM(BY41/BZ46*1000)</f>
        <v>0</v>
      </c>
      <c r="CA41" s="465"/>
      <c r="CB41" s="466">
        <f>CA41*BY41/1000</f>
        <v>0</v>
      </c>
      <c r="CC41" s="3267">
        <f>CD46*CD41/1000</f>
        <v>0.73360040060090148</v>
      </c>
      <c r="CD41" s="3250">
        <f>SUM(BI41)</f>
        <v>0.22761414849547051</v>
      </c>
      <c r="CE41" s="3251">
        <f>SUM(BJ41*1.1)</f>
        <v>87848.200000000012</v>
      </c>
      <c r="CF41" s="3252">
        <f t="shared" ref="CF41:CF43" si="24">CE41/BJ41</f>
        <v>1.1000000000000001</v>
      </c>
      <c r="CG41" s="3268">
        <f>CC41*CE41/1000</f>
        <v>64.445474712068119</v>
      </c>
      <c r="CH41" s="3267"/>
      <c r="CI41" s="3559"/>
      <c r="CJ41" s="3560"/>
      <c r="CK41" s="3561"/>
      <c r="CL41" s="3562">
        <f t="shared" ref="CL41:CL44" si="25">BL41*(1-0.01)*(1+0.071)*(1+0)</f>
        <v>66.397744692288455</v>
      </c>
      <c r="CM41" s="4917"/>
      <c r="CN41" s="4918"/>
      <c r="CO41" s="4919"/>
    </row>
    <row r="42" spans="1:93" ht="36.75" customHeight="1">
      <c r="A42" s="908" t="s">
        <v>104</v>
      </c>
      <c r="B42" s="457"/>
      <c r="C42" s="457"/>
      <c r="D42" s="457"/>
      <c r="E42" s="457"/>
      <c r="F42" s="922">
        <v>9.08</v>
      </c>
      <c r="G42" s="930">
        <v>2.2599999999999998</v>
      </c>
      <c r="H42" s="924">
        <v>64910</v>
      </c>
      <c r="I42" s="925"/>
      <c r="J42" s="931">
        <f>F42*H42/1000</f>
        <v>589.38280000000009</v>
      </c>
      <c r="K42" s="497">
        <f>F42</f>
        <v>9.08</v>
      </c>
      <c r="L42" s="498">
        <f>AP19</f>
        <v>2.1283056727349026</v>
      </c>
      <c r="M42" s="450">
        <f>AN19*1.021</f>
        <v>52971.882352941167</v>
      </c>
      <c r="N42" s="476" t="e">
        <f>M42/#REF!*100</f>
        <v>#REF!</v>
      </c>
      <c r="O42" s="477">
        <f>K42*M42/1000</f>
        <v>480.98469176470581</v>
      </c>
      <c r="P42" s="499">
        <v>2.6</v>
      </c>
      <c r="Q42" s="496">
        <v>0</v>
      </c>
      <c r="R42" s="452">
        <v>49880</v>
      </c>
      <c r="S42" s="480">
        <f>R42*P42/1000</f>
        <v>129.68799999999999</v>
      </c>
      <c r="T42" s="499">
        <v>4.3499999999999996</v>
      </c>
      <c r="U42" s="496">
        <f>SUM(T42/U46*1000)</f>
        <v>1.6710202827289491</v>
      </c>
      <c r="V42" s="452">
        <v>51050</v>
      </c>
      <c r="W42" s="480">
        <f>V42*T42/1000</f>
        <v>222.06749999999997</v>
      </c>
      <c r="X42" s="481" t="e">
        <f>W42/#REF!*100</f>
        <v>#REF!</v>
      </c>
      <c r="Y42" s="480">
        <f>U42*W42/1000</f>
        <v>0.37107929663491085</v>
      </c>
      <c r="Z42" s="457"/>
      <c r="AA42" s="457"/>
      <c r="AB42" s="457"/>
      <c r="AC42" s="478">
        <v>6.65</v>
      </c>
      <c r="AD42" s="496">
        <f>SUM(AC42/AD46*1000)</f>
        <v>1.513634087494879</v>
      </c>
      <c r="AE42" s="452">
        <v>47870</v>
      </c>
      <c r="AF42" s="480">
        <f>AE42*AC42/1000</f>
        <v>318.33550000000002</v>
      </c>
      <c r="AG42" s="482">
        <v>9.08</v>
      </c>
      <c r="AH42" s="500">
        <v>2.2599999999999998</v>
      </c>
      <c r="AI42" s="484">
        <v>56150</v>
      </c>
      <c r="AJ42" s="492">
        <f>AI42/BO19</f>
        <v>1.1898707353252809</v>
      </c>
      <c r="AK42" s="501">
        <f>AG42*AI42/1000</f>
        <v>509.84199999999998</v>
      </c>
      <c r="AL42" s="491">
        <f>AM42*AM46/1000</f>
        <v>7.7570356854168985</v>
      </c>
      <c r="AM42" s="498">
        <f>AP19</f>
        <v>2.1283056727349026</v>
      </c>
      <c r="AN42" s="450">
        <f>BO19*1.021*1.062</f>
        <v>51168.211380000001</v>
      </c>
      <c r="AO42" s="487">
        <f>AN42/BO19</f>
        <v>1.0843020000000001</v>
      </c>
      <c r="AP42" s="477">
        <f>AL42*AN42/1000</f>
        <v>396.9136416336151</v>
      </c>
      <c r="AQ42" s="499"/>
      <c r="AR42" s="496">
        <f>SUM(AQ42/AR46*1000)</f>
        <v>0</v>
      </c>
      <c r="AS42" s="452"/>
      <c r="AT42" s="480">
        <f>AS42*AQ42/1000</f>
        <v>0</v>
      </c>
      <c r="AU42" s="499"/>
      <c r="AV42" s="496">
        <f>SUM(AU42/AV46*1000)</f>
        <v>0</v>
      </c>
      <c r="AW42" s="452"/>
      <c r="AX42" s="480">
        <f>AW42*AU42/1000</f>
        <v>0</v>
      </c>
      <c r="AY42" s="499">
        <v>6.85</v>
      </c>
      <c r="AZ42" s="496">
        <f>SUM(AY42/AZ46*1000)</f>
        <v>2.1339896260066356</v>
      </c>
      <c r="BA42" s="465">
        <f t="shared" ref="BA42:BA43" si="26">SUM(BB42/AY42)</f>
        <v>49.925547445255475</v>
      </c>
      <c r="BB42" s="480">
        <v>341.99</v>
      </c>
      <c r="BC42" s="482">
        <v>6.65</v>
      </c>
      <c r="BD42" s="500">
        <f>SUM(BC42/BD46)*1000</f>
        <v>1.9197829057526128</v>
      </c>
      <c r="BE42" s="470">
        <f>SUM(AN42*1.1)</f>
        <v>56285.032518000007</v>
      </c>
      <c r="BF42" s="471">
        <f t="shared" si="22"/>
        <v>1.1000000000000001</v>
      </c>
      <c r="BG42" s="501">
        <f>BC42*BE42/1000</f>
        <v>374.29546624470009</v>
      </c>
      <c r="BH42" s="491">
        <f>BI42*BI46/1000</f>
        <v>5.2144694314198583</v>
      </c>
      <c r="BI42" s="459">
        <f>AD42</f>
        <v>1.513634087494879</v>
      </c>
      <c r="BJ42" s="450">
        <f>BJ30</f>
        <v>43766.393750000003</v>
      </c>
      <c r="BK42" s="474">
        <f t="shared" si="23"/>
        <v>0.85534343627862031</v>
      </c>
      <c r="BL42" s="477">
        <f>BH42*BJ42/1000</f>
        <v>228.21852233286015</v>
      </c>
      <c r="BM42" s="4917"/>
      <c r="BN42" s="4918"/>
      <c r="BO42" s="4919"/>
      <c r="BP42" s="335"/>
      <c r="BQ42" s="499">
        <v>5</v>
      </c>
      <c r="BR42" s="496">
        <f>SUM(BQ42/BR46*1000)</f>
        <v>3.1691502240589204</v>
      </c>
      <c r="BS42" s="452">
        <v>53113.27</v>
      </c>
      <c r="BT42" s="480">
        <f>BS42*BQ42/1000</f>
        <v>265.56635</v>
      </c>
      <c r="BU42" s="499">
        <v>7.85</v>
      </c>
      <c r="BV42" s="496">
        <f>SUM(BU42/BV46*1000)</f>
        <v>3.4058467759430071</v>
      </c>
      <c r="BW42" s="452">
        <v>56111.54</v>
      </c>
      <c r="BX42" s="480">
        <f>BW42*BU42/1000</f>
        <v>440.47558899999996</v>
      </c>
      <c r="BY42" s="463">
        <f t="shared" ref="BY42" si="27">SUM(BU42/9*12)</f>
        <v>10.466666666666667</v>
      </c>
      <c r="BZ42" s="3531">
        <f>SUM(BY42/BZ46*1000)</f>
        <v>3.405846775943008</v>
      </c>
      <c r="CA42" s="465">
        <f t="shared" ref="CA42" si="28">(BS42+((BX42-BT42)/(BU42-BQ42))*1000)/2</f>
        <v>57242.466403508763</v>
      </c>
      <c r="CB42" s="466">
        <f t="shared" ref="CB42" si="29">SUM(BY42*CA42)/1000</f>
        <v>599.13781502339179</v>
      </c>
      <c r="CC42" s="3269">
        <f>CD42*CD46/1000</f>
        <v>6.877848564619387</v>
      </c>
      <c r="CD42" s="3270">
        <f>SUM(AZ42)</f>
        <v>2.1339896260066356</v>
      </c>
      <c r="CE42" s="3251">
        <f>SUM(BJ42*1.1)</f>
        <v>48143.033125000009</v>
      </c>
      <c r="CF42" s="3252">
        <f t="shared" si="24"/>
        <v>1.1000000000000001</v>
      </c>
      <c r="CG42" s="3271">
        <f>CC42*CE42/1000</f>
        <v>331.12049127520493</v>
      </c>
      <c r="CH42" s="3269"/>
      <c r="CI42" s="3559"/>
      <c r="CJ42" s="3563"/>
      <c r="CK42" s="3561"/>
      <c r="CL42" s="3562">
        <f t="shared" si="25"/>
        <v>241.97781704430827</v>
      </c>
      <c r="CM42" s="4917"/>
      <c r="CN42" s="4918"/>
      <c r="CO42" s="4919"/>
    </row>
    <row r="43" spans="1:93" ht="36.75" customHeight="1">
      <c r="A43" s="909" t="s">
        <v>837</v>
      </c>
      <c r="B43" s="457"/>
      <c r="C43" s="457"/>
      <c r="D43" s="457"/>
      <c r="E43" s="457"/>
      <c r="F43" s="927"/>
      <c r="G43" s="928"/>
      <c r="H43" s="928"/>
      <c r="I43" s="928"/>
      <c r="J43" s="929"/>
      <c r="K43" s="449"/>
      <c r="L43" s="449"/>
      <c r="M43" s="450"/>
      <c r="N43" s="450"/>
      <c r="O43" s="477"/>
      <c r="P43" s="451">
        <v>0.03</v>
      </c>
      <c r="Q43" s="451"/>
      <c r="R43" s="452">
        <v>45760</v>
      </c>
      <c r="S43" s="480">
        <f>R43*P43/1000</f>
        <v>1.3728</v>
      </c>
      <c r="T43" s="451">
        <v>2.5000000000000001E-2</v>
      </c>
      <c r="U43" s="496">
        <f>SUM(T43/U46*1000)</f>
        <v>9.6035648432698222E-3</v>
      </c>
      <c r="V43" s="452">
        <v>45760</v>
      </c>
      <c r="W43" s="480">
        <f>V43*T43/1000</f>
        <v>1.1439999999999999</v>
      </c>
      <c r="X43" s="452"/>
      <c r="Y43" s="480"/>
      <c r="Z43" s="457"/>
      <c r="AA43" s="457"/>
      <c r="AB43" s="457"/>
      <c r="AC43" s="451">
        <v>2.5000000000000001E-2</v>
      </c>
      <c r="AD43" s="496">
        <f>SUM(AC43/AD46*1000)</f>
        <v>5.6903537123867629E-3</v>
      </c>
      <c r="AE43" s="452">
        <v>45760</v>
      </c>
      <c r="AF43" s="480">
        <f>AE43*AC43/1000</f>
        <v>1.1439999999999999</v>
      </c>
      <c r="AG43" s="493"/>
      <c r="AH43" s="494"/>
      <c r="AI43" s="494"/>
      <c r="AJ43" s="494"/>
      <c r="AK43" s="495"/>
      <c r="AL43" s="453"/>
      <c r="AM43" s="449"/>
      <c r="AN43" s="450"/>
      <c r="AO43" s="450"/>
      <c r="AP43" s="477"/>
      <c r="AQ43" s="451"/>
      <c r="AR43" s="496">
        <f>SUM(AQ43/AR46*1000)</f>
        <v>0</v>
      </c>
      <c r="AS43" s="452"/>
      <c r="AT43" s="480">
        <f>AS43*AQ43/1000</f>
        <v>0</v>
      </c>
      <c r="AU43" s="451"/>
      <c r="AV43" s="496">
        <f>SUM(AU43/AV46*1000)</f>
        <v>0</v>
      </c>
      <c r="AW43" s="452"/>
      <c r="AX43" s="480">
        <f>AW43*AU43/1000</f>
        <v>0</v>
      </c>
      <c r="AY43" s="451">
        <v>0.05</v>
      </c>
      <c r="AZ43" s="496">
        <f>SUM(AY43/AZ46*1000)</f>
        <v>1.5576566613187123E-2</v>
      </c>
      <c r="BA43" s="465">
        <f t="shared" si="26"/>
        <v>55.999999999999993</v>
      </c>
      <c r="BB43" s="480">
        <v>2.8</v>
      </c>
      <c r="BC43" s="493">
        <v>2.5000000000000001E-2</v>
      </c>
      <c r="BD43" s="500">
        <f>SUM(BC43/BD46)*1000</f>
        <v>7.2172289689947846E-3</v>
      </c>
      <c r="BE43" s="470">
        <f>SUM(BE33)</f>
        <v>19345.392000000003</v>
      </c>
      <c r="BF43" s="471" t="e">
        <f t="shared" si="22"/>
        <v>#DIV/0!</v>
      </c>
      <c r="BG43" s="501">
        <f>BC43*BE43/1000</f>
        <v>0.48363480000000009</v>
      </c>
      <c r="BH43" s="453">
        <f>BI43*BI46/1000</f>
        <v>1.9603268539172398E-2</v>
      </c>
      <c r="BI43" s="459">
        <f>AD43</f>
        <v>5.6903537123867629E-3</v>
      </c>
      <c r="BJ43" s="450">
        <f>M63</f>
        <v>14833.89608</v>
      </c>
      <c r="BK43" s="474" t="e">
        <f t="shared" si="23"/>
        <v>#DIV/0!</v>
      </c>
      <c r="BL43" s="477">
        <f>BH43*BJ43/1000</f>
        <v>0.29079284833841679</v>
      </c>
      <c r="BM43" s="4917"/>
      <c r="BN43" s="4918"/>
      <c r="BO43" s="4919"/>
      <c r="BP43" s="335"/>
      <c r="BQ43" s="451"/>
      <c r="BR43" s="496">
        <f>SUM(BQ43/BR46*1000)</f>
        <v>0</v>
      </c>
      <c r="BS43" s="452"/>
      <c r="BT43" s="480">
        <f>BS43*BQ43/1000</f>
        <v>0</v>
      </c>
      <c r="BU43" s="451"/>
      <c r="BV43" s="496">
        <f>SUM(BU43/BV46*1000)</f>
        <v>0</v>
      </c>
      <c r="BW43" s="452"/>
      <c r="BX43" s="480">
        <f>BW43*BU43/1000</f>
        <v>0</v>
      </c>
      <c r="BY43" s="451">
        <v>0</v>
      </c>
      <c r="BZ43" s="496">
        <f>SUM(BY43/BZ46*1000)</f>
        <v>0</v>
      </c>
      <c r="CA43" s="465"/>
      <c r="CB43" s="480">
        <v>0</v>
      </c>
      <c r="CC43" s="3272">
        <f>CD43*CD46/1000</f>
        <v>5.0203274194302094E-2</v>
      </c>
      <c r="CD43" s="3270">
        <f>SUM(AZ43)</f>
        <v>1.5576566613187123E-2</v>
      </c>
      <c r="CE43" s="3251">
        <f>SUM(BJ43*1.1)</f>
        <v>16317.285688000002</v>
      </c>
      <c r="CF43" s="3252">
        <f t="shared" si="24"/>
        <v>1.1000000000000001</v>
      </c>
      <c r="CG43" s="3271">
        <f>CC43*CE43/1000</f>
        <v>0.81918116750142544</v>
      </c>
      <c r="CH43" s="3272"/>
      <c r="CI43" s="3559"/>
      <c r="CJ43" s="3563"/>
      <c r="CK43" s="3561"/>
      <c r="CL43" s="3562">
        <f t="shared" si="25"/>
        <v>0.3083247491647399</v>
      </c>
      <c r="CM43" s="4917"/>
      <c r="CN43" s="4918"/>
      <c r="CO43" s="4919"/>
    </row>
    <row r="44" spans="1:93" ht="36.75" customHeight="1" thickBot="1">
      <c r="A44" s="910" t="s">
        <v>108</v>
      </c>
      <c r="B44" s="457"/>
      <c r="C44" s="457"/>
      <c r="D44" s="457"/>
      <c r="E44" s="457"/>
      <c r="F44" s="939"/>
      <c r="G44" s="940"/>
      <c r="H44" s="940"/>
      <c r="I44" s="940"/>
      <c r="J44" s="941">
        <v>9.1</v>
      </c>
      <c r="K44" s="942"/>
      <c r="L44" s="942"/>
      <c r="M44" s="943"/>
      <c r="N44" s="943"/>
      <c r="O44" s="945">
        <v>8.3000000000000007</v>
      </c>
      <c r="P44" s="946"/>
      <c r="Q44" s="946"/>
      <c r="R44" s="947"/>
      <c r="S44" s="948">
        <v>0.23</v>
      </c>
      <c r="T44" s="946"/>
      <c r="U44" s="946"/>
      <c r="V44" s="947"/>
      <c r="W44" s="948">
        <v>0.23</v>
      </c>
      <c r="X44" s="947"/>
      <c r="Y44" s="948">
        <v>8.3000000000000007</v>
      </c>
      <c r="Z44" s="457"/>
      <c r="AA44" s="457"/>
      <c r="AB44" s="457"/>
      <c r="AC44" s="946"/>
      <c r="AD44" s="946"/>
      <c r="AE44" s="947"/>
      <c r="AF44" s="948">
        <v>1.25</v>
      </c>
      <c r="AG44" s="950"/>
      <c r="AH44" s="951"/>
      <c r="AI44" s="951"/>
      <c r="AJ44" s="951"/>
      <c r="AK44" s="952">
        <v>9.1</v>
      </c>
      <c r="AL44" s="953"/>
      <c r="AM44" s="942"/>
      <c r="AN44" s="943"/>
      <c r="AO44" s="943"/>
      <c r="AP44" s="945">
        <f>AK44</f>
        <v>9.1</v>
      </c>
      <c r="AQ44" s="946"/>
      <c r="AR44" s="946"/>
      <c r="AS44" s="947"/>
      <c r="AT44" s="948"/>
      <c r="AU44" s="946"/>
      <c r="AV44" s="946"/>
      <c r="AW44" s="947"/>
      <c r="AX44" s="948"/>
      <c r="AY44" s="946"/>
      <c r="AZ44" s="946"/>
      <c r="BA44" s="947"/>
      <c r="BB44" s="948">
        <v>12.23</v>
      </c>
      <c r="BC44" s="950"/>
      <c r="BD44" s="951"/>
      <c r="BE44" s="951"/>
      <c r="BF44" s="951"/>
      <c r="BG44" s="952">
        <f>SUM(AP44*1.1)</f>
        <v>10.01</v>
      </c>
      <c r="BH44" s="953"/>
      <c r="BI44" s="942"/>
      <c r="BJ44" s="943"/>
      <c r="BK44" s="943"/>
      <c r="BL44" s="945">
        <f>AF44</f>
        <v>1.25</v>
      </c>
      <c r="BM44" s="4917"/>
      <c r="BN44" s="4918"/>
      <c r="BO44" s="4919"/>
      <c r="BP44" s="335"/>
      <c r="BQ44" s="946"/>
      <c r="BR44" s="946"/>
      <c r="BS44" s="947"/>
      <c r="BT44" s="948">
        <v>2.69</v>
      </c>
      <c r="BU44" s="946"/>
      <c r="BV44" s="946"/>
      <c r="BW44" s="947"/>
      <c r="BX44" s="948">
        <v>2.69</v>
      </c>
      <c r="BY44" s="946"/>
      <c r="BZ44" s="946"/>
      <c r="CA44" s="947"/>
      <c r="CB44" s="948">
        <f>SUM(BX44/9*12)</f>
        <v>3.5866666666666664</v>
      </c>
      <c r="CC44" s="3259"/>
      <c r="CD44" s="3260"/>
      <c r="CE44" s="3260"/>
      <c r="CF44" s="3260"/>
      <c r="CG44" s="3261">
        <f>SUM(BB44*1.1)</f>
        <v>13.453000000000001</v>
      </c>
      <c r="CH44" s="3567"/>
      <c r="CI44" s="3568"/>
      <c r="CJ44" s="3569"/>
      <c r="CK44" s="3569"/>
      <c r="CL44" s="3562">
        <f t="shared" si="25"/>
        <v>1.3253625</v>
      </c>
      <c r="CM44" s="4917"/>
      <c r="CN44" s="4918"/>
      <c r="CO44" s="4919"/>
    </row>
    <row r="45" spans="1:93" ht="36.75" customHeight="1" thickBot="1">
      <c r="A45" s="957" t="s">
        <v>94</v>
      </c>
      <c r="B45" s="958"/>
      <c r="C45" s="958"/>
      <c r="D45" s="958"/>
      <c r="E45" s="958"/>
      <c r="F45" s="959"/>
      <c r="G45" s="960"/>
      <c r="H45" s="960"/>
      <c r="I45" s="960"/>
      <c r="J45" s="989">
        <f>SUM(J41:J44)</f>
        <v>598.48280000000011</v>
      </c>
      <c r="K45" s="962"/>
      <c r="L45" s="962"/>
      <c r="M45" s="963"/>
      <c r="N45" s="963"/>
      <c r="O45" s="965">
        <f>SUM(O42:O44)</f>
        <v>489.28469176470583</v>
      </c>
      <c r="P45" s="966"/>
      <c r="Q45" s="966"/>
      <c r="R45" s="967"/>
      <c r="S45" s="968">
        <f>SUM(S41:S44)</f>
        <v>179.26079999999999</v>
      </c>
      <c r="T45" s="966"/>
      <c r="U45" s="966"/>
      <c r="V45" s="967"/>
      <c r="W45" s="968">
        <f>SUM(W41:W44)</f>
        <v>271.41149999999999</v>
      </c>
      <c r="X45" s="967"/>
      <c r="Y45" s="968">
        <f>SUM(Y42:Y44)</f>
        <v>8.6710792966349111</v>
      </c>
      <c r="Z45" s="958"/>
      <c r="AA45" s="958"/>
      <c r="AB45" s="958"/>
      <c r="AC45" s="966"/>
      <c r="AD45" s="966"/>
      <c r="AE45" s="967"/>
      <c r="AF45" s="968">
        <f>SUM(AF41:AF44)</f>
        <v>368.69950000000006</v>
      </c>
      <c r="AG45" s="970"/>
      <c r="AH45" s="971"/>
      <c r="AI45" s="971"/>
      <c r="AJ45" s="971"/>
      <c r="AK45" s="990">
        <f>SUM(AK41:AK44)</f>
        <v>518.94200000000001</v>
      </c>
      <c r="AL45" s="973"/>
      <c r="AM45" s="962"/>
      <c r="AN45" s="963"/>
      <c r="AO45" s="963"/>
      <c r="AP45" s="965">
        <f>SUM(AP42:AP44)</f>
        <v>406.01364163361512</v>
      </c>
      <c r="AQ45" s="966"/>
      <c r="AR45" s="966"/>
      <c r="AS45" s="967"/>
      <c r="AT45" s="968">
        <f>SUM(AT41:AT44)</f>
        <v>0</v>
      </c>
      <c r="AU45" s="966"/>
      <c r="AV45" s="966"/>
      <c r="AW45" s="967"/>
      <c r="AX45" s="968">
        <f>SUM(AX41:AX44)</f>
        <v>0</v>
      </c>
      <c r="AY45" s="966"/>
      <c r="AZ45" s="966"/>
      <c r="BA45" s="967"/>
      <c r="BB45" s="968">
        <f>SUM(BB41:BB44)</f>
        <v>357.02000000000004</v>
      </c>
      <c r="BC45" s="970"/>
      <c r="BD45" s="971"/>
      <c r="BE45" s="971"/>
      <c r="BF45" s="971"/>
      <c r="BG45" s="990">
        <f>SUM(BG41:BG44)</f>
        <v>470.06770104470013</v>
      </c>
      <c r="BH45" s="973"/>
      <c r="BI45" s="962"/>
      <c r="BJ45" s="963"/>
      <c r="BK45" s="963"/>
      <c r="BL45" s="965">
        <f>SUM(BL42:BL44)</f>
        <v>229.75931518119856</v>
      </c>
      <c r="BM45" s="4917"/>
      <c r="BN45" s="4918"/>
      <c r="BO45" s="4919"/>
      <c r="BP45" s="336"/>
      <c r="BQ45" s="966"/>
      <c r="BR45" s="966"/>
      <c r="BS45" s="967"/>
      <c r="BT45" s="968">
        <f>SUM(BT41:BT44)</f>
        <v>268.25635</v>
      </c>
      <c r="BU45" s="966"/>
      <c r="BV45" s="966"/>
      <c r="BW45" s="967"/>
      <c r="BX45" s="968">
        <f>SUM(BX41:BX44)</f>
        <v>443.16558899999995</v>
      </c>
      <c r="BY45" s="966"/>
      <c r="BZ45" s="966"/>
      <c r="CA45" s="967"/>
      <c r="CB45" s="968">
        <f>SUM(CB41:CB44)</f>
        <v>602.7244816900585</v>
      </c>
      <c r="CC45" s="3262"/>
      <c r="CD45" s="3263"/>
      <c r="CE45" s="3263"/>
      <c r="CF45" s="3263"/>
      <c r="CG45" s="3273">
        <f>SUM(CG41:CG44)</f>
        <v>409.83814715477445</v>
      </c>
      <c r="CH45" s="3571"/>
      <c r="CI45" s="3572"/>
      <c r="CJ45" s="3573"/>
      <c r="CK45" s="3573"/>
      <c r="CL45" s="3575">
        <f>SUM(CL41:CL44)</f>
        <v>310.00924898576147</v>
      </c>
      <c r="CM45" s="4917"/>
      <c r="CN45" s="4918"/>
      <c r="CO45" s="4919"/>
    </row>
    <row r="46" spans="1:93" ht="36.75" customHeight="1" thickBot="1">
      <c r="A46" s="974" t="s">
        <v>133</v>
      </c>
      <c r="B46" s="457"/>
      <c r="C46" s="457"/>
      <c r="D46" s="457"/>
      <c r="E46" s="457"/>
      <c r="F46" s="975"/>
      <c r="G46" s="976">
        <f>объемы!E57</f>
        <v>3600</v>
      </c>
      <c r="H46" s="977"/>
      <c r="I46" s="977"/>
      <c r="J46" s="977"/>
      <c r="K46" s="978"/>
      <c r="L46" s="979">
        <f>объемы!F57</f>
        <v>3672.7</v>
      </c>
      <c r="M46" s="979"/>
      <c r="N46" s="979"/>
      <c r="O46" s="980"/>
      <c r="P46" s="981"/>
      <c r="Q46" s="982">
        <f>[22]объемы!H50</f>
        <v>1773.7999999999997</v>
      </c>
      <c r="R46" s="982"/>
      <c r="S46" s="983"/>
      <c r="T46" s="981"/>
      <c r="U46" s="982">
        <v>2603.1999999999998</v>
      </c>
      <c r="V46" s="982"/>
      <c r="W46" s="983"/>
      <c r="X46" s="982"/>
      <c r="Y46" s="983"/>
      <c r="Z46" s="457"/>
      <c r="AA46" s="457"/>
      <c r="AB46" s="457"/>
      <c r="AC46" s="981"/>
      <c r="AD46" s="982">
        <f>объемы!I56</f>
        <v>4393.3999999999996</v>
      </c>
      <c r="AE46" s="982"/>
      <c r="AF46" s="983"/>
      <c r="AG46" s="984"/>
      <c r="AH46" s="985">
        <f>объемы!J57</f>
        <v>3672.7</v>
      </c>
      <c r="AI46" s="986"/>
      <c r="AJ46" s="986"/>
      <c r="AK46" s="987"/>
      <c r="AL46" s="988"/>
      <c r="AM46" s="979">
        <f>объемы!K57</f>
        <v>3644.7</v>
      </c>
      <c r="AN46" s="979"/>
      <c r="AO46" s="979"/>
      <c r="AP46" s="980"/>
      <c r="AQ46" s="981"/>
      <c r="AR46" s="982">
        <f>SUM(объемы!N57)</f>
        <v>1670.74</v>
      </c>
      <c r="AS46" s="982"/>
      <c r="AT46" s="983"/>
      <c r="AU46" s="981"/>
      <c r="AV46" s="982">
        <f>SUM(объемы!Q57)</f>
        <v>14.2</v>
      </c>
      <c r="AW46" s="982"/>
      <c r="AX46" s="983"/>
      <c r="AY46" s="981"/>
      <c r="AZ46" s="982">
        <f>SUM(объемы!R57+объемы!S57)</f>
        <v>3209.95</v>
      </c>
      <c r="BA46" s="982"/>
      <c r="BB46" s="983"/>
      <c r="BC46" s="984"/>
      <c r="BD46" s="985">
        <f>SUM(объемы!T57)</f>
        <v>3463.9333333333334</v>
      </c>
      <c r="BE46" s="986"/>
      <c r="BF46" s="986"/>
      <c r="BG46" s="987"/>
      <c r="BH46" s="988"/>
      <c r="BI46" s="979">
        <f>SUM(объемы!U57)</f>
        <v>3445</v>
      </c>
      <c r="BJ46" s="979"/>
      <c r="BK46" s="979"/>
      <c r="BL46" s="980"/>
      <c r="BM46" s="4947"/>
      <c r="BN46" s="4948"/>
      <c r="BO46" s="4949"/>
      <c r="BP46" s="337"/>
      <c r="BQ46" s="981"/>
      <c r="BR46" s="982">
        <f>SUM(объемы!AB57)</f>
        <v>1577.71</v>
      </c>
      <c r="BS46" s="982"/>
      <c r="BT46" s="983"/>
      <c r="BU46" s="981"/>
      <c r="BV46" s="982">
        <f>SUM(объемы!AC57)</f>
        <v>2304.86</v>
      </c>
      <c r="BW46" s="982"/>
      <c r="BX46" s="983"/>
      <c r="BY46" s="981"/>
      <c r="BZ46" s="982">
        <f>SUM(объемы!AD57)</f>
        <v>3073.1466666666661</v>
      </c>
      <c r="CA46" s="982"/>
      <c r="CB46" s="983"/>
      <c r="CC46" s="3274"/>
      <c r="CD46" s="3275">
        <f>SUM(объемы!AE57)</f>
        <v>3223</v>
      </c>
      <c r="CE46" s="3276"/>
      <c r="CF46" s="3276"/>
      <c r="CG46" s="3277"/>
      <c r="CH46" s="3274"/>
      <c r="CI46" s="3275"/>
      <c r="CJ46" s="3275"/>
      <c r="CK46" s="3275"/>
      <c r="CL46" s="3576"/>
      <c r="CM46" s="4947"/>
      <c r="CN46" s="4948"/>
      <c r="CO46" s="4949"/>
    </row>
    <row r="47" spans="1:93">
      <c r="P47" s="176"/>
      <c r="Q47" s="176"/>
      <c r="R47" s="176"/>
    </row>
    <row r="49" spans="1:64" ht="18">
      <c r="A49" s="4956" t="s">
        <v>430</v>
      </c>
      <c r="B49" s="4956"/>
      <c r="C49" s="4956"/>
      <c r="D49" s="4956"/>
      <c r="E49" s="4956"/>
      <c r="F49" s="4956"/>
      <c r="G49" s="4956"/>
      <c r="H49" s="4956"/>
      <c r="I49" s="4956"/>
      <c r="J49" s="4956"/>
      <c r="K49" s="4956"/>
      <c r="L49" s="4956"/>
      <c r="M49" s="4956"/>
    </row>
    <row r="51" spans="1:64" ht="63.75">
      <c r="A51" s="25"/>
      <c r="B51" s="25"/>
      <c r="C51" s="25"/>
      <c r="D51" s="25"/>
      <c r="E51" s="25"/>
      <c r="F51" s="172" t="s">
        <v>422</v>
      </c>
      <c r="G51" s="172" t="s">
        <v>423</v>
      </c>
      <c r="H51" s="172" t="s">
        <v>424</v>
      </c>
      <c r="I51" s="172"/>
      <c r="J51" s="172" t="s">
        <v>425</v>
      </c>
      <c r="K51" s="343" t="s">
        <v>427</v>
      </c>
      <c r="L51" s="343" t="s">
        <v>428</v>
      </c>
      <c r="M51" s="343" t="s">
        <v>429</v>
      </c>
      <c r="BL51">
        <f>BL45*0.25</f>
        <v>57.43982879529964</v>
      </c>
    </row>
    <row r="52" spans="1:64">
      <c r="A52" s="25" t="s">
        <v>418</v>
      </c>
      <c r="B52" s="25"/>
      <c r="C52" s="25"/>
      <c r="D52" s="25"/>
      <c r="E52" s="25"/>
      <c r="F52" s="156">
        <v>40000</v>
      </c>
      <c r="G52" s="156">
        <f>81375/14000</f>
        <v>5.8125</v>
      </c>
      <c r="H52" s="149">
        <v>1.0620000000000001</v>
      </c>
      <c r="I52" s="149"/>
      <c r="J52" s="149">
        <v>1.1000000000000001</v>
      </c>
      <c r="K52" s="156">
        <f>F52*H52</f>
        <v>42480</v>
      </c>
      <c r="L52" s="156">
        <f>G52*J52</f>
        <v>6.3937500000000007</v>
      </c>
      <c r="M52" s="156">
        <f>K52+L52</f>
        <v>42486.393750000003</v>
      </c>
    </row>
    <row r="53" spans="1:64">
      <c r="A53" s="25" t="s">
        <v>419</v>
      </c>
      <c r="B53" s="25"/>
      <c r="C53" s="25"/>
      <c r="D53" s="25"/>
      <c r="E53" s="25"/>
      <c r="F53" s="156">
        <v>73000</v>
      </c>
      <c r="G53" s="156">
        <v>0</v>
      </c>
      <c r="H53" s="149">
        <v>1.0620000000000001</v>
      </c>
      <c r="I53" s="149"/>
      <c r="J53" s="149">
        <v>1.1000000000000001</v>
      </c>
      <c r="K53" s="156">
        <f>F53*H53</f>
        <v>77526</v>
      </c>
      <c r="L53" s="156">
        <f>G53*J53</f>
        <v>0</v>
      </c>
      <c r="M53" s="156">
        <f>K53+L53</f>
        <v>77526</v>
      </c>
    </row>
    <row r="54" spans="1:64">
      <c r="A54" s="25" t="s">
        <v>420</v>
      </c>
      <c r="B54" s="25"/>
      <c r="C54" s="25"/>
      <c r="D54" s="25"/>
      <c r="E54" s="25"/>
      <c r="F54" s="156">
        <v>16560</v>
      </c>
      <c r="G54" s="156">
        <v>0</v>
      </c>
      <c r="H54" s="149">
        <v>1.0620000000000001</v>
      </c>
      <c r="I54" s="149"/>
      <c r="J54" s="149">
        <v>1.1000000000000001</v>
      </c>
      <c r="K54" s="156">
        <f>F54*H54</f>
        <v>17586.72</v>
      </c>
      <c r="L54" s="156">
        <f>G54*J54</f>
        <v>0</v>
      </c>
      <c r="M54" s="156">
        <f>K54+L54</f>
        <v>17586.72</v>
      </c>
    </row>
    <row r="55" spans="1:64">
      <c r="A55" s="25" t="s">
        <v>421</v>
      </c>
      <c r="B55" s="25"/>
      <c r="C55" s="25"/>
      <c r="D55" s="25"/>
      <c r="E55" s="25"/>
      <c r="F55" s="156">
        <v>23722.99</v>
      </c>
      <c r="G55" s="156">
        <v>0</v>
      </c>
      <c r="H55" s="149">
        <v>1.0620000000000001</v>
      </c>
      <c r="I55" s="149"/>
      <c r="J55" s="149">
        <v>1.1000000000000001</v>
      </c>
      <c r="K55" s="156">
        <f>F55*H55</f>
        <v>25193.815380000004</v>
      </c>
      <c r="L55" s="156">
        <f>G55*J55</f>
        <v>0</v>
      </c>
      <c r="M55" s="156">
        <f>K55+L55</f>
        <v>25193.815380000004</v>
      </c>
    </row>
    <row r="56" spans="1:64">
      <c r="A56" s="25" t="s">
        <v>426</v>
      </c>
      <c r="B56" s="25"/>
      <c r="C56" s="25"/>
      <c r="D56" s="25"/>
      <c r="E56" s="25"/>
      <c r="F56" s="156">
        <f>4279.66</f>
        <v>4279.66</v>
      </c>
      <c r="G56" s="156">
        <v>0</v>
      </c>
      <c r="H56" s="149">
        <v>1.0620000000000001</v>
      </c>
      <c r="I56" s="149"/>
      <c r="J56" s="149">
        <v>1.1000000000000001</v>
      </c>
      <c r="K56" s="156">
        <f>F56*H56</f>
        <v>4544.99892</v>
      </c>
      <c r="L56" s="156">
        <f>G56*J56</f>
        <v>0</v>
      </c>
      <c r="M56" s="156">
        <f>K56+L56</f>
        <v>4544.99892</v>
      </c>
    </row>
    <row r="58" spans="1:64" ht="18">
      <c r="A58" s="4956" t="s">
        <v>886</v>
      </c>
      <c r="B58" s="4956"/>
      <c r="C58" s="4956"/>
      <c r="D58" s="4956"/>
      <c r="E58" s="4956"/>
      <c r="F58" s="4956"/>
      <c r="G58" s="4956"/>
      <c r="H58" s="4956"/>
      <c r="I58" s="4956"/>
      <c r="J58" s="4956"/>
      <c r="K58" s="4956"/>
      <c r="L58" s="4956"/>
      <c r="M58" s="4956"/>
    </row>
    <row r="60" spans="1:64" ht="63.75">
      <c r="A60" s="25"/>
      <c r="B60" s="25"/>
      <c r="C60" s="25"/>
      <c r="D60" s="25"/>
      <c r="E60" s="25"/>
      <c r="F60" s="1610" t="s">
        <v>883</v>
      </c>
      <c r="G60" s="1610" t="s">
        <v>423</v>
      </c>
      <c r="H60" s="1610" t="s">
        <v>884</v>
      </c>
      <c r="I60" s="1610"/>
      <c r="J60" s="1610" t="s">
        <v>885</v>
      </c>
      <c r="K60" s="343" t="s">
        <v>427</v>
      </c>
      <c r="L60" s="343" t="s">
        <v>428</v>
      </c>
      <c r="M60" s="343" t="s">
        <v>429</v>
      </c>
      <c r="O60" s="4954" t="s">
        <v>1518</v>
      </c>
      <c r="P60" s="4955"/>
      <c r="Q60" s="4955"/>
    </row>
    <row r="61" spans="1:64">
      <c r="A61" s="25" t="s">
        <v>418</v>
      </c>
      <c r="B61" s="25"/>
      <c r="C61" s="25"/>
      <c r="D61" s="25"/>
      <c r="E61" s="25"/>
      <c r="F61" s="156">
        <v>40000</v>
      </c>
      <c r="G61" s="156">
        <f>81375/14000</f>
        <v>5.8125</v>
      </c>
      <c r="H61" s="149">
        <v>1.0940000000000001</v>
      </c>
      <c r="I61" s="149"/>
      <c r="J61" s="149">
        <v>1.1000000000000001</v>
      </c>
      <c r="K61" s="156">
        <f>F61*H61</f>
        <v>43760</v>
      </c>
      <c r="L61" s="156">
        <f>G61*J61</f>
        <v>6.3937500000000007</v>
      </c>
      <c r="M61" s="156">
        <f>K61+L61</f>
        <v>43766.393750000003</v>
      </c>
      <c r="O61" s="2199">
        <v>31190</v>
      </c>
      <c r="P61" s="2199">
        <v>35000</v>
      </c>
      <c r="Q61" s="2199"/>
    </row>
    <row r="62" spans="1:64">
      <c r="A62" s="25" t="s">
        <v>419</v>
      </c>
      <c r="B62" s="25"/>
      <c r="C62" s="25"/>
      <c r="D62" s="25"/>
      <c r="E62" s="25"/>
      <c r="F62" s="156">
        <v>73000</v>
      </c>
      <c r="G62" s="156">
        <v>0</v>
      </c>
      <c r="H62" s="149">
        <f>H61</f>
        <v>1.0940000000000001</v>
      </c>
      <c r="I62" s="149"/>
      <c r="J62" s="149">
        <v>1.1000000000000001</v>
      </c>
      <c r="K62" s="156">
        <f>F62*H62</f>
        <v>79862</v>
      </c>
      <c r="L62" s="156">
        <f>G62*J62</f>
        <v>0</v>
      </c>
      <c r="M62" s="156">
        <f>K62+L62</f>
        <v>79862</v>
      </c>
      <c r="O62" s="2199"/>
      <c r="P62" s="2199"/>
      <c r="Q62" s="2199">
        <v>73000</v>
      </c>
    </row>
    <row r="63" spans="1:64">
      <c r="A63" s="25" t="s">
        <v>420</v>
      </c>
      <c r="B63" s="25"/>
      <c r="C63" s="25"/>
      <c r="D63" s="25"/>
      <c r="E63" s="25"/>
      <c r="F63" s="156">
        <v>13559.32</v>
      </c>
      <c r="G63" s="156">
        <v>0</v>
      </c>
      <c r="H63" s="149">
        <f t="shared" ref="H63:H65" si="30">H62</f>
        <v>1.0940000000000001</v>
      </c>
      <c r="I63" s="149"/>
      <c r="J63" s="149">
        <v>1.1000000000000001</v>
      </c>
      <c r="K63" s="156">
        <f>F63*H63</f>
        <v>14833.89608</v>
      </c>
      <c r="L63" s="156">
        <f>G63*J63</f>
        <v>0</v>
      </c>
      <c r="M63" s="156">
        <f>K63+L63</f>
        <v>14833.89608</v>
      </c>
      <c r="O63" s="2199">
        <v>12838</v>
      </c>
      <c r="P63" s="2199">
        <v>22000</v>
      </c>
      <c r="Q63" s="2199">
        <v>13600</v>
      </c>
    </row>
    <row r="64" spans="1:64" ht="38.25">
      <c r="A64" s="25" t="s">
        <v>421</v>
      </c>
      <c r="B64" s="25"/>
      <c r="C64" s="25"/>
      <c r="D64" s="25"/>
      <c r="E64" s="25"/>
      <c r="F64" s="156">
        <f>24000/1.18</f>
        <v>20338.983050847459</v>
      </c>
      <c r="G64" s="156">
        <v>0</v>
      </c>
      <c r="H64" s="2305" t="s">
        <v>1547</v>
      </c>
      <c r="I64" s="149"/>
      <c r="J64" s="149">
        <v>1.1000000000000001</v>
      </c>
      <c r="K64" s="156">
        <f>28813.56</f>
        <v>28813.56</v>
      </c>
      <c r="L64" s="156">
        <f>G64*J64</f>
        <v>0</v>
      </c>
      <c r="M64" s="156">
        <f>K64+L64</f>
        <v>28813.56</v>
      </c>
      <c r="O64" s="2199"/>
      <c r="P64" s="2199"/>
      <c r="Q64" s="2199"/>
    </row>
    <row r="65" spans="1:17" ht="38.25">
      <c r="A65" s="25" t="s">
        <v>426</v>
      </c>
      <c r="B65" s="25"/>
      <c r="C65" s="25"/>
      <c r="D65" s="25"/>
      <c r="E65" s="25"/>
      <c r="F65" s="156">
        <f>17200/1.18</f>
        <v>14576.271186440679</v>
      </c>
      <c r="G65" s="156">
        <v>0</v>
      </c>
      <c r="H65" s="2305" t="str">
        <f t="shared" si="30"/>
        <v>цена производителя</v>
      </c>
      <c r="I65" s="149"/>
      <c r="J65" s="149">
        <v>1.1000000000000001</v>
      </c>
      <c r="K65" s="156">
        <f>16644.07</f>
        <v>16644.07</v>
      </c>
      <c r="L65" s="156">
        <f>G65*J65</f>
        <v>0</v>
      </c>
      <c r="M65" s="156">
        <f>K65+L65</f>
        <v>16644.07</v>
      </c>
      <c r="O65" s="2199">
        <v>7500</v>
      </c>
      <c r="P65" s="2199"/>
      <c r="Q65" s="2199">
        <v>8000</v>
      </c>
    </row>
    <row r="66" spans="1:17">
      <c r="O66" t="s">
        <v>1519</v>
      </c>
      <c r="P66" t="s">
        <v>1520</v>
      </c>
      <c r="Q66" t="s">
        <v>1521</v>
      </c>
    </row>
  </sheetData>
  <mergeCells count="47">
    <mergeCell ref="AP4:AP6"/>
    <mergeCell ref="AL5:AO5"/>
    <mergeCell ref="X4:AO4"/>
    <mergeCell ref="BM29:BO39"/>
    <mergeCell ref="F26:AF26"/>
    <mergeCell ref="AC27:AF27"/>
    <mergeCell ref="AG5:AK5"/>
    <mergeCell ref="BH27:BL27"/>
    <mergeCell ref="BC26:BL26"/>
    <mergeCell ref="AQ27:AT27"/>
    <mergeCell ref="AU27:AX27"/>
    <mergeCell ref="BC27:BG27"/>
    <mergeCell ref="AG26:BB26"/>
    <mergeCell ref="AY27:BB27"/>
    <mergeCell ref="BM40:BO46"/>
    <mergeCell ref="AG27:AK27"/>
    <mergeCell ref="AL27:AP27"/>
    <mergeCell ref="BM26:BO28"/>
    <mergeCell ref="K27:O27"/>
    <mergeCell ref="O60:Q60"/>
    <mergeCell ref="A58:M58"/>
    <mergeCell ref="A49:M49"/>
    <mergeCell ref="P27:S27"/>
    <mergeCell ref="T27:Y27"/>
    <mergeCell ref="F27:J27"/>
    <mergeCell ref="A26:A28"/>
    <mergeCell ref="CM29:CO39"/>
    <mergeCell ref="CM40:CO46"/>
    <mergeCell ref="BQ27:BT27"/>
    <mergeCell ref="BU27:BX27"/>
    <mergeCell ref="BY27:CB27"/>
    <mergeCell ref="A2:CO2"/>
    <mergeCell ref="A1:CO1"/>
    <mergeCell ref="CM26:CO28"/>
    <mergeCell ref="CC27:CG27"/>
    <mergeCell ref="CH27:CL27"/>
    <mergeCell ref="BQ26:CB26"/>
    <mergeCell ref="CC26:CL26"/>
    <mergeCell ref="A4:A6"/>
    <mergeCell ref="F4:J5"/>
    <mergeCell ref="K4:O5"/>
    <mergeCell ref="B5:E5"/>
    <mergeCell ref="X5:AB5"/>
    <mergeCell ref="P4:W4"/>
    <mergeCell ref="T5:W5"/>
    <mergeCell ref="P5:S5"/>
    <mergeCell ref="BM5:BP5"/>
  </mergeCells>
  <phoneticPr fontId="7" type="noConversion"/>
  <printOptions horizontalCentered="1"/>
  <pageMargins left="0" right="0" top="1.1417322834645669" bottom="0.35433070866141736" header="0.31496062992125984" footer="0.31496062992125984"/>
  <pageSetup paperSize="9" scale="3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I31"/>
  <sheetViews>
    <sheetView zoomScale="84" zoomScaleNormal="84" workbookViewId="0">
      <pane xSplit="4" ySplit="20" topLeftCell="T21" activePane="bottomRight" state="frozen"/>
      <selection pane="topRight" activeCell="E1" sqref="E1"/>
      <selection pane="bottomLeft" activeCell="A21" sqref="A21"/>
      <selection pane="bottomRight" activeCell="AL36" sqref="AL36"/>
    </sheetView>
  </sheetViews>
  <sheetFormatPr defaultRowHeight="12.75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4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customWidth="1"/>
    <col min="14" max="14" width="10" hidden="1" customWidth="1"/>
    <col min="15" max="15" width="13.5703125" customWidth="1"/>
    <col min="16" max="16" width="11" customWidth="1"/>
    <col min="17" max="17" width="13.5703125" customWidth="1"/>
    <col min="18" max="18" width="12.42578125" customWidth="1"/>
    <col min="19" max="20" width="15.5703125" customWidth="1"/>
    <col min="21" max="21" width="14.28515625" customWidth="1"/>
    <col min="22" max="22" width="14.140625" customWidth="1"/>
    <col min="23" max="23" width="11" customWidth="1"/>
    <col min="24" max="24" width="8" hidden="1" customWidth="1"/>
    <col min="25" max="25" width="4.140625" hidden="1" customWidth="1"/>
    <col min="26" max="26" width="12.5703125" hidden="1" customWidth="1"/>
    <col min="27" max="27" width="12.42578125" hidden="1" customWidth="1"/>
    <col min="28" max="33" width="15.7109375" customWidth="1"/>
    <col min="34" max="34" width="0" hidden="1" customWidth="1"/>
    <col min="35" max="35" width="2.28515625" hidden="1" customWidth="1"/>
  </cols>
  <sheetData>
    <row r="1" spans="1:35">
      <c r="A1" s="4426" t="s">
        <v>1535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</row>
    <row r="2" spans="1:35" ht="15.75" customHeight="1">
      <c r="A2" s="4982" t="s">
        <v>370</v>
      </c>
      <c r="B2" s="4982"/>
      <c r="C2" s="4982"/>
      <c r="D2" s="4982"/>
      <c r="E2" s="4982"/>
      <c r="F2" s="4982"/>
      <c r="G2" s="4982"/>
      <c r="H2" s="4982"/>
      <c r="I2" s="4982"/>
      <c r="J2" s="4982"/>
      <c r="K2" s="4982"/>
      <c r="L2" s="4982"/>
      <c r="M2" s="4982"/>
      <c r="N2" s="4982"/>
      <c r="O2" s="4982"/>
      <c r="P2" s="4982"/>
      <c r="Q2" s="4982"/>
      <c r="R2" s="4982"/>
      <c r="S2" s="4982"/>
      <c r="T2" s="4982"/>
      <c r="U2" s="4982"/>
      <c r="V2" s="4982"/>
      <c r="W2" s="4982"/>
      <c r="X2" s="4982"/>
      <c r="Y2" s="4982"/>
      <c r="Z2" s="4983"/>
      <c r="AA2" s="4983"/>
      <c r="AB2" s="4983"/>
      <c r="AC2" s="4983"/>
      <c r="AD2" s="4983"/>
      <c r="AE2" s="4983"/>
      <c r="AF2" s="4983"/>
      <c r="AG2" s="4983"/>
      <c r="AH2" s="4983"/>
      <c r="AI2" s="4983"/>
    </row>
    <row r="3" spans="1:35" ht="15.75" hidden="1">
      <c r="A3" s="4533"/>
      <c r="B3" s="4574" t="s">
        <v>58</v>
      </c>
      <c r="C3" s="4819" t="s">
        <v>59</v>
      </c>
      <c r="D3" s="4819"/>
      <c r="E3" s="5017" t="s">
        <v>67</v>
      </c>
      <c r="F3" s="5017"/>
      <c r="G3" s="5021" t="s">
        <v>95</v>
      </c>
      <c r="H3" s="5022"/>
      <c r="I3" s="5021" t="s">
        <v>124</v>
      </c>
      <c r="J3" s="5023"/>
      <c r="K3" s="5023"/>
      <c r="L3" s="5024"/>
      <c r="M3" s="5023"/>
      <c r="N3" s="5022"/>
      <c r="O3" s="5017" t="s">
        <v>163</v>
      </c>
      <c r="P3" s="5017"/>
      <c r="Q3" s="5018"/>
      <c r="R3" s="5018"/>
      <c r="S3" s="5019"/>
      <c r="T3" s="5020"/>
      <c r="U3" s="5018"/>
      <c r="V3" s="5018"/>
      <c r="W3" s="5018"/>
      <c r="X3" s="5017"/>
      <c r="Y3" s="5017"/>
      <c r="Z3" s="5017"/>
      <c r="AA3" s="5017"/>
    </row>
    <row r="4" spans="1:35" ht="12.75" hidden="1" customHeight="1">
      <c r="A4" s="4533"/>
      <c r="B4" s="4575"/>
      <c r="C4" s="5016" t="s">
        <v>61</v>
      </c>
      <c r="D4" s="5016" t="s">
        <v>62</v>
      </c>
      <c r="E4" s="5016" t="s">
        <v>61</v>
      </c>
      <c r="F4" s="5016" t="s">
        <v>66</v>
      </c>
      <c r="G4" s="4574" t="s">
        <v>61</v>
      </c>
      <c r="H4" s="4574" t="s">
        <v>112</v>
      </c>
      <c r="I4" s="5016" t="s">
        <v>86</v>
      </c>
      <c r="J4" s="4574" t="s">
        <v>63</v>
      </c>
      <c r="K4" s="4574" t="s">
        <v>110</v>
      </c>
      <c r="L4" s="794"/>
      <c r="M4" s="4574" t="s">
        <v>61</v>
      </c>
      <c r="N4" s="4574" t="s">
        <v>169</v>
      </c>
      <c r="O4" s="5016" t="s">
        <v>96</v>
      </c>
      <c r="P4" s="5016" t="s">
        <v>161</v>
      </c>
      <c r="Q4" s="886"/>
      <c r="R4" s="886"/>
      <c r="S4" s="2470"/>
      <c r="T4" s="2779"/>
      <c r="U4" s="886"/>
      <c r="V4" s="886"/>
      <c r="W4" s="886"/>
      <c r="X4" s="5016" t="s">
        <v>247</v>
      </c>
      <c r="Y4" s="5016" t="s">
        <v>248</v>
      </c>
      <c r="Z4" s="4574" t="s">
        <v>249</v>
      </c>
      <c r="AA4" s="4574" t="s">
        <v>61</v>
      </c>
    </row>
    <row r="5" spans="1:35" ht="27.75" hidden="1" customHeight="1">
      <c r="A5" s="4533"/>
      <c r="B5" s="5015"/>
      <c r="C5" s="5016"/>
      <c r="D5" s="5016"/>
      <c r="E5" s="5016"/>
      <c r="F5" s="5016"/>
      <c r="G5" s="5015"/>
      <c r="H5" s="5015"/>
      <c r="I5" s="5016"/>
      <c r="J5" s="5015"/>
      <c r="K5" s="5015"/>
      <c r="L5" s="704"/>
      <c r="M5" s="5015"/>
      <c r="N5" s="5015"/>
      <c r="O5" s="5016"/>
      <c r="P5" s="5016"/>
      <c r="Q5" s="886"/>
      <c r="R5" s="886"/>
      <c r="S5" s="2470"/>
      <c r="T5" s="2779"/>
      <c r="U5" s="886"/>
      <c r="V5" s="886"/>
      <c r="W5" s="886"/>
      <c r="X5" s="5016"/>
      <c r="Y5" s="5016"/>
      <c r="Z5" s="5015"/>
      <c r="AA5" s="5015"/>
    </row>
    <row r="6" spans="1:35" hidden="1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797"/>
      <c r="M6" s="137">
        <v>3765.8</v>
      </c>
      <c r="N6" s="6">
        <f>M6/G6*100</f>
        <v>185.19720664896232</v>
      </c>
      <c r="O6" s="137">
        <v>3856</v>
      </c>
      <c r="P6" s="6">
        <f>O6/M6*100</f>
        <v>102.39524138297307</v>
      </c>
      <c r="Q6" s="799"/>
      <c r="R6" s="799"/>
      <c r="S6" s="2471"/>
      <c r="T6" s="2780"/>
      <c r="U6" s="799"/>
      <c r="V6" s="799"/>
      <c r="W6" s="799"/>
      <c r="X6" s="137">
        <f>вода!Q10</f>
        <v>3772</v>
      </c>
      <c r="Y6" s="137">
        <v>2819.3</v>
      </c>
      <c r="Z6" s="137">
        <v>3772</v>
      </c>
      <c r="AA6" s="137">
        <v>3756.7</v>
      </c>
    </row>
    <row r="7" spans="1:35" hidden="1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797"/>
      <c r="M7" s="137">
        <v>535</v>
      </c>
      <c r="N7" s="6">
        <f>M7/G7*100</f>
        <v>102.86483368582964</v>
      </c>
      <c r="O7" s="137">
        <v>638</v>
      </c>
      <c r="P7" s="6">
        <f t="shared" ref="P7:P15" si="3">O7/M7*100</f>
        <v>119.25233644859814</v>
      </c>
      <c r="Q7" s="799"/>
      <c r="R7" s="799"/>
      <c r="S7" s="2471"/>
      <c r="T7" s="2780"/>
      <c r="U7" s="799"/>
      <c r="V7" s="799"/>
      <c r="W7" s="799"/>
      <c r="X7" s="137">
        <f>вода!Q20</f>
        <v>542</v>
      </c>
      <c r="Y7" s="137">
        <v>461.2</v>
      </c>
      <c r="Z7" s="137">
        <v>564</v>
      </c>
      <c r="AA7" s="137">
        <v>635.20000000000005</v>
      </c>
    </row>
    <row r="8" spans="1:35" hidden="1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797"/>
      <c r="M8" s="137">
        <v>272.89999999999998</v>
      </c>
      <c r="N8" s="6">
        <f>M8/G8*100</f>
        <v>105.69326103795507</v>
      </c>
      <c r="O8" s="137">
        <v>257</v>
      </c>
      <c r="P8" s="6">
        <f t="shared" si="3"/>
        <v>94.173689996335668</v>
      </c>
      <c r="Q8" s="799"/>
      <c r="R8" s="799"/>
      <c r="S8" s="2471"/>
      <c r="T8" s="2780"/>
      <c r="U8" s="799"/>
      <c r="V8" s="799"/>
      <c r="W8" s="799"/>
      <c r="X8" s="137">
        <f>вода!Q29</f>
        <v>257</v>
      </c>
      <c r="Y8" s="137">
        <v>205.4</v>
      </c>
      <c r="Z8" s="137">
        <v>293</v>
      </c>
      <c r="AA8" s="137">
        <v>272.89999999999998</v>
      </c>
    </row>
    <row r="9" spans="1:35" hidden="1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797"/>
      <c r="M9" s="137">
        <v>2598.4</v>
      </c>
      <c r="N9" s="6">
        <f>M9/G9*100</f>
        <v>115.30508098513424</v>
      </c>
      <c r="O9" s="137">
        <v>3264</v>
      </c>
      <c r="P9" s="6">
        <f t="shared" si="3"/>
        <v>125.61576354679802</v>
      </c>
      <c r="Q9" s="799"/>
      <c r="R9" s="799"/>
      <c r="S9" s="2471"/>
      <c r="T9" s="2780"/>
      <c r="U9" s="799"/>
      <c r="V9" s="799"/>
      <c r="W9" s="799"/>
      <c r="X9" s="137">
        <f>вода!Q36</f>
        <v>2628</v>
      </c>
      <c r="Y9" s="137">
        <v>2012.2</v>
      </c>
      <c r="Z9" s="137">
        <v>2662</v>
      </c>
      <c r="AA9" s="137">
        <v>2690.2</v>
      </c>
    </row>
    <row r="10" spans="1:35" hidden="1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883"/>
      <c r="M10" s="136">
        <f>SUM(M6:M9)</f>
        <v>7172.1</v>
      </c>
      <c r="N10" s="6">
        <f>M10/G10*100</f>
        <v>141.59559346126511</v>
      </c>
      <c r="O10" s="136">
        <f>SUM(O6:O9)</f>
        <v>8015</v>
      </c>
      <c r="P10" s="6">
        <f t="shared" si="3"/>
        <v>111.75248532507911</v>
      </c>
      <c r="Q10" s="799"/>
      <c r="R10" s="799"/>
      <c r="S10" s="2471"/>
      <c r="T10" s="2780"/>
      <c r="U10" s="799"/>
      <c r="V10" s="799"/>
      <c r="W10" s="799"/>
      <c r="X10" s="136">
        <f>SUM(X6:X9)</f>
        <v>7199</v>
      </c>
      <c r="Y10" s="136">
        <f>SUM(Y6:Y9)</f>
        <v>5498.1</v>
      </c>
      <c r="Z10" s="136">
        <f>SUM(Z6:Z9)</f>
        <v>7291</v>
      </c>
      <c r="AA10" s="136">
        <f>SUM(AA6:AA9)</f>
        <v>7354.9999999999991</v>
      </c>
    </row>
    <row r="11" spans="1:35" hidden="1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795"/>
      <c r="M11" s="137">
        <v>247.9</v>
      </c>
      <c r="N11" s="6">
        <f>M11/E11*100</f>
        <v>117.48815165876778</v>
      </c>
      <c r="O11" s="137">
        <v>216.8</v>
      </c>
      <c r="P11" s="6">
        <f t="shared" si="3"/>
        <v>87.454618797902384</v>
      </c>
      <c r="Q11" s="799"/>
      <c r="R11" s="799"/>
      <c r="S11" s="2471"/>
      <c r="T11" s="2780"/>
      <c r="U11" s="799"/>
      <c r="V11" s="799"/>
      <c r="W11" s="799"/>
      <c r="X11" s="137">
        <f>стоки!P10</f>
        <v>206.5</v>
      </c>
      <c r="Y11" s="137">
        <v>192.7</v>
      </c>
      <c r="Z11" s="137">
        <v>267.60000000000002</v>
      </c>
      <c r="AA11" s="137">
        <v>256.93</v>
      </c>
    </row>
    <row r="12" spans="1:35" hidden="1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797"/>
      <c r="M12" s="137">
        <v>994.7</v>
      </c>
      <c r="N12" s="6">
        <f>M12/E12*100</f>
        <v>89.548073460568972</v>
      </c>
      <c r="O12" s="137">
        <v>1312.5</v>
      </c>
      <c r="P12" s="6">
        <f t="shared" si="3"/>
        <v>131.94933145672061</v>
      </c>
      <c r="Q12" s="799"/>
      <c r="R12" s="799"/>
      <c r="S12" s="2471"/>
      <c r="T12" s="2780"/>
      <c r="U12" s="799"/>
      <c r="V12" s="799"/>
      <c r="W12" s="799"/>
      <c r="X12" s="137">
        <f>стоки!P20</f>
        <v>1281</v>
      </c>
      <c r="Y12" s="137">
        <v>720.7</v>
      </c>
      <c r="Z12" s="137">
        <v>1281</v>
      </c>
      <c r="AA12" s="137">
        <v>960.93</v>
      </c>
    </row>
    <row r="13" spans="1:35" hidden="1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797"/>
      <c r="M13" s="137">
        <v>25.5</v>
      </c>
      <c r="N13" s="6">
        <f>M13/E13*100</f>
        <v>134.92063492063494</v>
      </c>
      <c r="O13" s="137">
        <v>27.7</v>
      </c>
      <c r="P13" s="6">
        <f t="shared" si="3"/>
        <v>108.62745098039215</v>
      </c>
      <c r="Q13" s="799"/>
      <c r="R13" s="799"/>
      <c r="S13" s="2471"/>
      <c r="T13" s="2780"/>
      <c r="U13" s="799"/>
      <c r="V13" s="799"/>
      <c r="W13" s="799"/>
      <c r="X13" s="137">
        <f>стоки!P32</f>
        <v>26.4</v>
      </c>
      <c r="Y13" s="137">
        <v>18.899999999999999</v>
      </c>
      <c r="Z13" s="137">
        <v>26.4</v>
      </c>
      <c r="AA13" s="137">
        <v>25.2</v>
      </c>
    </row>
    <row r="14" spans="1:35" hidden="1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797"/>
      <c r="M14" s="137">
        <v>3595</v>
      </c>
      <c r="N14" s="6">
        <f>M14/E14*100</f>
        <v>329.81651376146789</v>
      </c>
      <c r="O14" s="137">
        <v>3791.1</v>
      </c>
      <c r="P14" s="6">
        <f t="shared" si="3"/>
        <v>105.4547983310153</v>
      </c>
      <c r="Q14" s="799"/>
      <c r="R14" s="799"/>
      <c r="S14" s="2471"/>
      <c r="T14" s="2780"/>
      <c r="U14" s="799"/>
      <c r="V14" s="799"/>
      <c r="W14" s="799"/>
      <c r="X14" s="137">
        <f>стоки!P35</f>
        <v>2025</v>
      </c>
      <c r="Y14" s="137">
        <v>2658.5</v>
      </c>
      <c r="Z14" s="137">
        <v>3595</v>
      </c>
      <c r="AA14" s="137">
        <v>3544.67</v>
      </c>
    </row>
    <row r="15" spans="1:35" hidden="1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884"/>
      <c r="M15" s="136">
        <f>SUM(M11:M14)</f>
        <v>4863.1000000000004</v>
      </c>
      <c r="N15" s="6">
        <f>M15/E15*100</f>
        <v>200.06993870078583</v>
      </c>
      <c r="O15" s="136">
        <f>SUM(O11:O14)</f>
        <v>5348.1</v>
      </c>
      <c r="P15" s="6">
        <f t="shared" si="3"/>
        <v>109.97306244987766</v>
      </c>
      <c r="Q15" s="799"/>
      <c r="R15" s="799"/>
      <c r="S15" s="2471"/>
      <c r="T15" s="2780"/>
      <c r="U15" s="799"/>
      <c r="V15" s="799"/>
      <c r="W15" s="799"/>
      <c r="X15" s="136">
        <f>SUM(X11:X14)</f>
        <v>3538.9</v>
      </c>
      <c r="Y15" s="136">
        <f>SUM(Y11:Y14)</f>
        <v>3590.8</v>
      </c>
      <c r="Z15" s="136">
        <f>SUM(Z11:Z14)</f>
        <v>5170</v>
      </c>
      <c r="AA15" s="136">
        <f>SUM(AA11:AA14)</f>
        <v>4787.7299999999996</v>
      </c>
    </row>
    <row r="16" spans="1:35" hidden="1"/>
    <row r="17" spans="1:35" ht="13.5" thickBot="1"/>
    <row r="18" spans="1:35" ht="19.5" thickBot="1">
      <c r="A18" s="4554" t="s">
        <v>546</v>
      </c>
      <c r="B18" s="2181"/>
      <c r="C18" s="2181"/>
      <c r="D18" s="2181"/>
      <c r="E18" s="5027" t="s">
        <v>238</v>
      </c>
      <c r="F18" s="5028"/>
      <c r="G18" s="5028"/>
      <c r="H18" s="5028"/>
      <c r="I18" s="5028"/>
      <c r="J18" s="5028"/>
      <c r="K18" s="5028"/>
      <c r="L18" s="5029"/>
      <c r="M18" s="5010" t="s">
        <v>380</v>
      </c>
      <c r="N18" s="5011"/>
      <c r="O18" s="5011"/>
      <c r="P18" s="5011"/>
      <c r="Q18" s="4636"/>
      <c r="R18" s="4636"/>
      <c r="S18" s="4636"/>
      <c r="T18" s="4637"/>
      <c r="U18" s="5027" t="s">
        <v>833</v>
      </c>
      <c r="V18" s="5030"/>
      <c r="W18" s="5031"/>
      <c r="X18" s="4995" t="s">
        <v>246</v>
      </c>
      <c r="Y18" s="4996"/>
      <c r="Z18" s="294"/>
      <c r="AA18" s="294"/>
      <c r="AB18" s="4979" t="s">
        <v>1659</v>
      </c>
      <c r="AC18" s="4980"/>
      <c r="AD18" s="4981"/>
      <c r="AE18" s="4992" t="s">
        <v>912</v>
      </c>
      <c r="AF18" s="4993"/>
      <c r="AG18" s="4994"/>
      <c r="AH18" s="4995" t="s">
        <v>246</v>
      </c>
      <c r="AI18" s="4996"/>
    </row>
    <row r="19" spans="1:35" ht="12.75" customHeight="1">
      <c r="A19" s="5003"/>
      <c r="B19" s="2182"/>
      <c r="C19" s="2182"/>
      <c r="D19" s="2182"/>
      <c r="E19" s="5004" t="s">
        <v>573</v>
      </c>
      <c r="F19" s="2772" t="s">
        <v>170</v>
      </c>
      <c r="G19" s="4988" t="s">
        <v>574</v>
      </c>
      <c r="H19" s="4988" t="s">
        <v>575</v>
      </c>
      <c r="I19" s="4988" t="s">
        <v>388</v>
      </c>
      <c r="J19" s="2772" t="s">
        <v>249</v>
      </c>
      <c r="K19" s="2772"/>
      <c r="L19" s="4990" t="s">
        <v>832</v>
      </c>
      <c r="M19" s="5035" t="s">
        <v>573</v>
      </c>
      <c r="N19" s="5008" t="s">
        <v>170</v>
      </c>
      <c r="O19" s="5008" t="s">
        <v>574</v>
      </c>
      <c r="P19" s="5008" t="s">
        <v>836</v>
      </c>
      <c r="Q19" s="5008" t="s">
        <v>575</v>
      </c>
      <c r="R19" s="5008" t="s">
        <v>388</v>
      </c>
      <c r="S19" s="5008" t="s">
        <v>1650</v>
      </c>
      <c r="T19" s="5012" t="s">
        <v>1651</v>
      </c>
      <c r="U19" s="5004" t="s">
        <v>573</v>
      </c>
      <c r="V19" s="4988" t="s">
        <v>574</v>
      </c>
      <c r="W19" s="4990" t="s">
        <v>835</v>
      </c>
      <c r="X19" s="4997"/>
      <c r="Y19" s="4998"/>
      <c r="Z19" s="294"/>
      <c r="AA19" s="294"/>
      <c r="AB19" s="4988" t="s">
        <v>575</v>
      </c>
      <c r="AC19" s="4990" t="s">
        <v>388</v>
      </c>
      <c r="AD19" s="4990" t="s">
        <v>1676</v>
      </c>
      <c r="AE19" s="4648" t="s">
        <v>573</v>
      </c>
      <c r="AF19" s="4652" t="s">
        <v>574</v>
      </c>
      <c r="AG19" s="5001" t="s">
        <v>1677</v>
      </c>
      <c r="AH19" s="4997"/>
      <c r="AI19" s="4998"/>
    </row>
    <row r="20" spans="1:35" ht="23.25" customHeight="1" thickBot="1">
      <c r="A20" s="4592"/>
      <c r="B20" s="2183"/>
      <c r="C20" s="2183"/>
      <c r="D20" s="2183"/>
      <c r="E20" s="4565"/>
      <c r="F20" s="2773"/>
      <c r="G20" s="5005"/>
      <c r="H20" s="5005"/>
      <c r="I20" s="5005"/>
      <c r="J20" s="2773"/>
      <c r="K20" s="2773"/>
      <c r="L20" s="5009"/>
      <c r="M20" s="5032"/>
      <c r="N20" s="4989"/>
      <c r="O20" s="4989"/>
      <c r="P20" s="4989"/>
      <c r="Q20" s="4989"/>
      <c r="R20" s="4989"/>
      <c r="S20" s="4989"/>
      <c r="T20" s="4991"/>
      <c r="U20" s="5032"/>
      <c r="V20" s="4989"/>
      <c r="W20" s="4991"/>
      <c r="X20" s="5013"/>
      <c r="Y20" s="5014"/>
      <c r="Z20" s="853"/>
      <c r="AA20" s="853"/>
      <c r="AB20" s="4989"/>
      <c r="AC20" s="4991"/>
      <c r="AD20" s="4991"/>
      <c r="AE20" s="4999"/>
      <c r="AF20" s="5000"/>
      <c r="AG20" s="5002"/>
      <c r="AH20" s="4437"/>
      <c r="AI20" s="4438"/>
    </row>
    <row r="21" spans="1:35" ht="24.95" customHeight="1">
      <c r="A21" s="2175" t="s">
        <v>85</v>
      </c>
      <c r="B21" s="443"/>
      <c r="C21" s="443"/>
      <c r="D21" s="443"/>
      <c r="E21" s="2176">
        <v>3847.4</v>
      </c>
      <c r="F21" s="2177" t="e">
        <f>E21/#REF!*100</f>
        <v>#REF!</v>
      </c>
      <c r="G21" s="2178">
        <f>AA6</f>
        <v>3756.7</v>
      </c>
      <c r="H21" s="2178">
        <v>1903.22</v>
      </c>
      <c r="I21" s="2178">
        <v>2781.7</v>
      </c>
      <c r="J21" s="2178">
        <v>3772</v>
      </c>
      <c r="K21" s="2178"/>
      <c r="L21" s="2179">
        <v>3695.7</v>
      </c>
      <c r="M21" s="2176">
        <v>3759.1</v>
      </c>
      <c r="N21" s="2177"/>
      <c r="O21" s="2178">
        <f>M21</f>
        <v>3759.1</v>
      </c>
      <c r="P21" s="2180">
        <f>O21/G21</f>
        <v>1.0006388585726835</v>
      </c>
      <c r="Q21" s="2178">
        <v>1827.75</v>
      </c>
      <c r="R21" s="2178">
        <v>2733.41</v>
      </c>
      <c r="S21" s="2472">
        <f>R21/3*4</f>
        <v>3644.5466666666666</v>
      </c>
      <c r="T21" s="2472">
        <v>3621.84</v>
      </c>
      <c r="U21" s="3278">
        <v>3759.1</v>
      </c>
      <c r="V21" s="3279">
        <f>S21</f>
        <v>3644.5466666666666</v>
      </c>
      <c r="W21" s="3280">
        <f>SUM(V21/O21)</f>
        <v>0.96952639372899541</v>
      </c>
      <c r="X21" s="5006"/>
      <c r="Y21" s="5007"/>
      <c r="AB21" s="2178">
        <v>1784.48</v>
      </c>
      <c r="AC21" s="2178">
        <v>2673.44</v>
      </c>
      <c r="AD21" s="2472">
        <f>AC21/3*4</f>
        <v>3564.5866666666666</v>
      </c>
      <c r="AE21" s="3293">
        <f>SUM(T21)</f>
        <v>3621.84</v>
      </c>
      <c r="AF21" s="3585">
        <v>3621.84</v>
      </c>
      <c r="AG21" s="3586">
        <f>SUM(AF21/V21)</f>
        <v>0.99376968694780521</v>
      </c>
      <c r="AH21" s="4984"/>
      <c r="AI21" s="4985"/>
    </row>
    <row r="22" spans="1:35" ht="24.95" customHeight="1">
      <c r="A22" s="893" t="s">
        <v>87</v>
      </c>
      <c r="B22" s="443"/>
      <c r="C22" s="443"/>
      <c r="D22" s="443"/>
      <c r="E22" s="889">
        <v>575.29999999999995</v>
      </c>
      <c r="F22" s="890" t="e">
        <f>E22/#REF!*100</f>
        <v>#REF!</v>
      </c>
      <c r="G22" s="885">
        <f>E22</f>
        <v>575.29999999999995</v>
      </c>
      <c r="H22" s="885">
        <v>445.93</v>
      </c>
      <c r="I22" s="885">
        <v>753.9</v>
      </c>
      <c r="J22" s="885">
        <v>564</v>
      </c>
      <c r="K22" s="885"/>
      <c r="L22" s="350">
        <v>1043.5999999999999</v>
      </c>
      <c r="M22" s="889">
        <v>721.2</v>
      </c>
      <c r="N22" s="890"/>
      <c r="O22" s="885">
        <f>M22</f>
        <v>721.2</v>
      </c>
      <c r="P22" s="887">
        <f t="shared" ref="P22:P31" si="4">O22/G22</f>
        <v>1.2536068138362595</v>
      </c>
      <c r="Q22" s="885">
        <v>725.7</v>
      </c>
      <c r="R22" s="2168">
        <v>1151.78</v>
      </c>
      <c r="S22" s="2472">
        <f t="shared" ref="S22:S24" si="5">R22/3*4</f>
        <v>1535.7066666666667</v>
      </c>
      <c r="T22" s="2472">
        <v>1561.14</v>
      </c>
      <c r="U22" s="3281">
        <v>721.2</v>
      </c>
      <c r="V22" s="2178">
        <f t="shared" ref="V22:V24" si="6">S22</f>
        <v>1535.7066666666667</v>
      </c>
      <c r="W22" s="3282">
        <f t="shared" ref="W22:W30" si="7">SUM(V22/O22)</f>
        <v>2.1293769643187281</v>
      </c>
      <c r="X22" s="4984"/>
      <c r="Y22" s="4985"/>
      <c r="AB22" s="885">
        <v>808.9</v>
      </c>
      <c r="AC22" s="2168">
        <v>1040.5899999999999</v>
      </c>
      <c r="AD22" s="2472">
        <f t="shared" ref="AD22:AD24" si="8">AC22/3*4</f>
        <v>1387.4533333333331</v>
      </c>
      <c r="AE22" s="3289">
        <f>SUM(T22)</f>
        <v>1561.14</v>
      </c>
      <c r="AF22" s="3587">
        <v>1561.17</v>
      </c>
      <c r="AG22" s="3588">
        <f t="shared" ref="AG22:AG31" si="9">SUM(AF22/V22)</f>
        <v>1.0165808574554169</v>
      </c>
      <c r="AH22" s="4984"/>
      <c r="AI22" s="4985"/>
    </row>
    <row r="23" spans="1:35" ht="24.95" customHeight="1">
      <c r="A23" s="893" t="s">
        <v>88</v>
      </c>
      <c r="B23" s="443"/>
      <c r="C23" s="443"/>
      <c r="D23" s="443"/>
      <c r="E23" s="889">
        <v>298.89999999999998</v>
      </c>
      <c r="F23" s="890" t="e">
        <f>E23/#REF!*100</f>
        <v>#REF!</v>
      </c>
      <c r="G23" s="885">
        <f>AA8</f>
        <v>272.89999999999998</v>
      </c>
      <c r="H23" s="885">
        <v>100.67</v>
      </c>
      <c r="I23" s="885">
        <v>58.6</v>
      </c>
      <c r="J23" s="885">
        <v>293</v>
      </c>
      <c r="K23" s="885"/>
      <c r="L23" s="350">
        <v>72.099999999999994</v>
      </c>
      <c r="M23" s="889">
        <v>273</v>
      </c>
      <c r="N23" s="890"/>
      <c r="O23" s="885">
        <f>M23</f>
        <v>273</v>
      </c>
      <c r="P23" s="887">
        <f t="shared" si="4"/>
        <v>1.0003664345914256</v>
      </c>
      <c r="Q23" s="885">
        <v>26.95</v>
      </c>
      <c r="R23" s="2168">
        <v>40.42</v>
      </c>
      <c r="S23" s="2472">
        <f t="shared" si="5"/>
        <v>53.893333333333338</v>
      </c>
      <c r="T23" s="2472">
        <v>53.89</v>
      </c>
      <c r="U23" s="3281">
        <v>273</v>
      </c>
      <c r="V23" s="2178">
        <f t="shared" si="6"/>
        <v>53.893333333333338</v>
      </c>
      <c r="W23" s="3282">
        <f t="shared" si="7"/>
        <v>0.19741147741147744</v>
      </c>
      <c r="X23" s="4984"/>
      <c r="Y23" s="4985"/>
      <c r="AB23" s="885">
        <v>26.94</v>
      </c>
      <c r="AC23" s="2168">
        <v>40.409999999999997</v>
      </c>
      <c r="AD23" s="2472">
        <f t="shared" si="8"/>
        <v>53.879999999999995</v>
      </c>
      <c r="AE23" s="3289">
        <f t="shared" ref="AE23:AE29" si="10">SUM(T23)</f>
        <v>53.89</v>
      </c>
      <c r="AF23" s="3587">
        <v>53.89</v>
      </c>
      <c r="AG23" s="3588">
        <f t="shared" si="9"/>
        <v>0.9999381494309747</v>
      </c>
      <c r="AH23" s="4984"/>
      <c r="AI23" s="4985"/>
    </row>
    <row r="24" spans="1:35" ht="24.95" customHeight="1">
      <c r="A24" s="893" t="s">
        <v>89</v>
      </c>
      <c r="B24" s="443"/>
      <c r="C24" s="443"/>
      <c r="D24" s="443"/>
      <c r="E24" s="889">
        <v>2715.2</v>
      </c>
      <c r="F24" s="890" t="e">
        <f>E24/#REF!*100</f>
        <v>#REF!</v>
      </c>
      <c r="G24" s="885">
        <f>AA9</f>
        <v>2690.2</v>
      </c>
      <c r="H24" s="885">
        <v>1397.95</v>
      </c>
      <c r="I24" s="885">
        <v>2094.3000000000002</v>
      </c>
      <c r="J24" s="885">
        <v>2662</v>
      </c>
      <c r="K24" s="885"/>
      <c r="L24" s="350">
        <v>2798.4</v>
      </c>
      <c r="M24" s="889">
        <v>2797</v>
      </c>
      <c r="N24" s="890"/>
      <c r="O24" s="885">
        <f>M24</f>
        <v>2797</v>
      </c>
      <c r="P24" s="887">
        <f t="shared" si="4"/>
        <v>1.0396996505835998</v>
      </c>
      <c r="Q24" s="885">
        <v>1412.82</v>
      </c>
      <c r="R24" s="2168">
        <v>2176.46</v>
      </c>
      <c r="S24" s="2472">
        <f t="shared" si="5"/>
        <v>2901.9466666666667</v>
      </c>
      <c r="T24" s="2472">
        <v>3059.78</v>
      </c>
      <c r="U24" s="3281">
        <v>2797</v>
      </c>
      <c r="V24" s="2178">
        <f t="shared" si="6"/>
        <v>2901.9466666666667</v>
      </c>
      <c r="W24" s="3282">
        <f t="shared" si="7"/>
        <v>1.0375211536169706</v>
      </c>
      <c r="X24" s="4984"/>
      <c r="Y24" s="4985"/>
      <c r="AB24" s="885">
        <v>1766.64</v>
      </c>
      <c r="AC24" s="2168">
        <v>2649.96</v>
      </c>
      <c r="AD24" s="2472">
        <f t="shared" si="8"/>
        <v>3533.28</v>
      </c>
      <c r="AE24" s="3289">
        <f t="shared" si="10"/>
        <v>3059.78</v>
      </c>
      <c r="AF24" s="3587">
        <v>3059.78</v>
      </c>
      <c r="AG24" s="3588">
        <f t="shared" si="9"/>
        <v>1.0543887781075691</v>
      </c>
      <c r="AH24" s="4984"/>
      <c r="AI24" s="4985"/>
    </row>
    <row r="25" spans="1:35" ht="24.95" customHeight="1">
      <c r="A25" s="894" t="s">
        <v>90</v>
      </c>
      <c r="B25" s="443"/>
      <c r="C25" s="443"/>
      <c r="D25" s="443"/>
      <c r="E25" s="409">
        <f>SUM(E21:E24)</f>
        <v>7436.7999999999993</v>
      </c>
      <c r="F25" s="890" t="e">
        <f>E25/#REF!*100</f>
        <v>#REF!</v>
      </c>
      <c r="G25" s="891">
        <f>SUM(G21:G24)</f>
        <v>7295.0999999999995</v>
      </c>
      <c r="H25" s="891">
        <f>SUM(H21:H24)</f>
        <v>3847.7700000000004</v>
      </c>
      <c r="I25" s="891">
        <f>SUM(I21:I24)</f>
        <v>5688.5</v>
      </c>
      <c r="J25" s="891">
        <f>SUM(J21:J24)</f>
        <v>7291</v>
      </c>
      <c r="K25" s="885"/>
      <c r="L25" s="408">
        <f>SUM(L21:L24)</f>
        <v>7609.7999999999993</v>
      </c>
      <c r="M25" s="409">
        <f>SUM(M21:M24)</f>
        <v>7550.3</v>
      </c>
      <c r="N25" s="890"/>
      <c r="O25" s="891">
        <f>SUM(O21:O24)</f>
        <v>7550.3</v>
      </c>
      <c r="P25" s="888">
        <f t="shared" si="4"/>
        <v>1.0349823854368001</v>
      </c>
      <c r="Q25" s="891">
        <f t="shared" ref="Q25:T25" si="11">SUM(Q21:Q24)</f>
        <v>3993.2199999999993</v>
      </c>
      <c r="R25" s="891">
        <f t="shared" si="11"/>
        <v>6102.07</v>
      </c>
      <c r="S25" s="891">
        <f t="shared" si="11"/>
        <v>8136.0933333333332</v>
      </c>
      <c r="T25" s="891">
        <f t="shared" si="11"/>
        <v>8296.6500000000015</v>
      </c>
      <c r="U25" s="3283">
        <f>SUM(U21:U24)</f>
        <v>7550.3</v>
      </c>
      <c r="V25" s="3284">
        <f>SUM(V21:V24)</f>
        <v>8136.0933333333332</v>
      </c>
      <c r="W25" s="3282">
        <f t="shared" si="7"/>
        <v>1.077585438106212</v>
      </c>
      <c r="X25" s="4984"/>
      <c r="Y25" s="4985"/>
      <c r="AB25" s="891">
        <f t="shared" ref="AB25:AD25" si="12">SUM(AB21:AB24)</f>
        <v>4386.96</v>
      </c>
      <c r="AC25" s="891">
        <f t="shared" si="12"/>
        <v>6404.4</v>
      </c>
      <c r="AD25" s="891">
        <f t="shared" si="12"/>
        <v>8539.2000000000007</v>
      </c>
      <c r="AE25" s="3290">
        <f>SUM(AE21:AE24)</f>
        <v>8296.6500000000015</v>
      </c>
      <c r="AF25" s="3589">
        <f>SUM(AF21:AF24)</f>
        <v>8296.68</v>
      </c>
      <c r="AG25" s="3588">
        <f t="shared" si="9"/>
        <v>1.0197375644658289</v>
      </c>
      <c r="AH25" s="4984"/>
      <c r="AI25" s="4985"/>
    </row>
    <row r="26" spans="1:35" ht="24.95" customHeight="1">
      <c r="A26" s="893" t="s">
        <v>91</v>
      </c>
      <c r="B26" s="443"/>
      <c r="C26" s="443"/>
      <c r="D26" s="443"/>
      <c r="E26" s="889">
        <v>267.89999999999998</v>
      </c>
      <c r="F26" s="890" t="e">
        <f>E26/#REF!*100</f>
        <v>#REF!</v>
      </c>
      <c r="G26" s="885">
        <f>AA11</f>
        <v>256.93</v>
      </c>
      <c r="H26" s="885">
        <v>136.63</v>
      </c>
      <c r="I26" s="885">
        <v>205.2</v>
      </c>
      <c r="J26" s="885">
        <v>267.60000000000002</v>
      </c>
      <c r="K26" s="885"/>
      <c r="L26" s="350">
        <v>275.8</v>
      </c>
      <c r="M26" s="889">
        <v>273.60000000000002</v>
      </c>
      <c r="N26" s="890"/>
      <c r="O26" s="885">
        <f>M26</f>
        <v>273.60000000000002</v>
      </c>
      <c r="P26" s="887">
        <f t="shared" si="4"/>
        <v>1.0648814852294399</v>
      </c>
      <c r="Q26" s="885">
        <v>189.68</v>
      </c>
      <c r="R26" s="2168">
        <v>307.45999999999998</v>
      </c>
      <c r="S26" s="2473">
        <f>R26/3*4</f>
        <v>409.94666666666666</v>
      </c>
      <c r="T26" s="2781">
        <v>425.24</v>
      </c>
      <c r="U26" s="3281">
        <v>273.60000000000002</v>
      </c>
      <c r="V26" s="3285">
        <f>U26</f>
        <v>273.60000000000002</v>
      </c>
      <c r="W26" s="3282">
        <f t="shared" si="7"/>
        <v>1</v>
      </c>
      <c r="X26" s="4984"/>
      <c r="Y26" s="4985"/>
      <c r="AB26" s="885">
        <v>247.01</v>
      </c>
      <c r="AC26" s="2168">
        <v>369.43</v>
      </c>
      <c r="AD26" s="2473">
        <f>AC26/3*4</f>
        <v>492.57333333333332</v>
      </c>
      <c r="AE26" s="3289">
        <f t="shared" si="10"/>
        <v>425.24</v>
      </c>
      <c r="AF26" s="3590">
        <v>425.24</v>
      </c>
      <c r="AG26" s="3588">
        <f t="shared" si="9"/>
        <v>1.5542397660818712</v>
      </c>
      <c r="AH26" s="4984"/>
      <c r="AI26" s="4985"/>
    </row>
    <row r="27" spans="1:35" ht="24.95" customHeight="1">
      <c r="A27" s="893" t="s">
        <v>92</v>
      </c>
      <c r="B27" s="443"/>
      <c r="C27" s="443"/>
      <c r="D27" s="443"/>
      <c r="E27" s="889">
        <v>1281</v>
      </c>
      <c r="F27" s="892" t="e">
        <f>E27/#REF!*100</f>
        <v>#REF!</v>
      </c>
      <c r="G27" s="885">
        <f>AA12</f>
        <v>960.93</v>
      </c>
      <c r="H27" s="885">
        <v>412.35</v>
      </c>
      <c r="I27" s="885">
        <v>632.5</v>
      </c>
      <c r="J27" s="885">
        <v>1281</v>
      </c>
      <c r="K27" s="885"/>
      <c r="L27" s="350">
        <v>833.9</v>
      </c>
      <c r="M27" s="889">
        <v>960.9</v>
      </c>
      <c r="N27" s="892"/>
      <c r="O27" s="885">
        <f>M27</f>
        <v>960.9</v>
      </c>
      <c r="P27" s="887">
        <f t="shared" si="4"/>
        <v>0.99996878024413849</v>
      </c>
      <c r="Q27" s="885">
        <v>407.8</v>
      </c>
      <c r="R27" s="2168">
        <v>588.73</v>
      </c>
      <c r="S27" s="2473">
        <f t="shared" ref="S27:S29" si="13">R27/3*4</f>
        <v>784.97333333333336</v>
      </c>
      <c r="T27" s="2781">
        <v>717.01</v>
      </c>
      <c r="U27" s="3281">
        <v>960.9</v>
      </c>
      <c r="V27" s="3285">
        <f t="shared" ref="V27:V29" si="14">U27</f>
        <v>960.9</v>
      </c>
      <c r="W27" s="3282">
        <f t="shared" si="7"/>
        <v>1</v>
      </c>
      <c r="X27" s="4984"/>
      <c r="Y27" s="4985"/>
      <c r="AB27" s="885">
        <v>290.64999999999998</v>
      </c>
      <c r="AC27" s="2168">
        <v>439.48</v>
      </c>
      <c r="AD27" s="2473">
        <f t="shared" ref="AD27:AD29" si="15">AC27/3*4</f>
        <v>585.97333333333336</v>
      </c>
      <c r="AE27" s="3289">
        <f t="shared" si="10"/>
        <v>717.01</v>
      </c>
      <c r="AF27" s="3590">
        <v>717.01</v>
      </c>
      <c r="AG27" s="3588">
        <f t="shared" si="9"/>
        <v>0.74618586741596415</v>
      </c>
      <c r="AH27" s="4984"/>
      <c r="AI27" s="4985"/>
    </row>
    <row r="28" spans="1:35" ht="24.95" customHeight="1">
      <c r="A28" s="893" t="s">
        <v>834</v>
      </c>
      <c r="B28" s="443"/>
      <c r="C28" s="443"/>
      <c r="D28" s="443"/>
      <c r="E28" s="889">
        <v>26.4</v>
      </c>
      <c r="F28" s="890" t="e">
        <f>E28/#REF!*100</f>
        <v>#REF!</v>
      </c>
      <c r="G28" s="885">
        <f>AA13</f>
        <v>25.2</v>
      </c>
      <c r="H28" s="885">
        <v>0</v>
      </c>
      <c r="I28" s="885">
        <v>18.899999999999999</v>
      </c>
      <c r="J28" s="885">
        <v>26.4</v>
      </c>
      <c r="K28" s="885"/>
      <c r="L28" s="350">
        <v>25.2</v>
      </c>
      <c r="M28" s="889">
        <v>25.2</v>
      </c>
      <c r="N28" s="890"/>
      <c r="O28" s="885">
        <f>M28</f>
        <v>25.2</v>
      </c>
      <c r="P28" s="887">
        <f t="shared" si="4"/>
        <v>1</v>
      </c>
      <c r="Q28" s="885">
        <v>12.72</v>
      </c>
      <c r="R28" s="2168">
        <v>19.11</v>
      </c>
      <c r="S28" s="2473">
        <f t="shared" si="13"/>
        <v>25.48</v>
      </c>
      <c r="T28" s="2781">
        <v>25.5</v>
      </c>
      <c r="U28" s="3281">
        <v>25.2</v>
      </c>
      <c r="V28" s="3285">
        <f t="shared" si="14"/>
        <v>25.2</v>
      </c>
      <c r="W28" s="3282">
        <f t="shared" si="7"/>
        <v>1</v>
      </c>
      <c r="X28" s="4984"/>
      <c r="Y28" s="4985"/>
      <c r="AB28" s="885">
        <v>12.78</v>
      </c>
      <c r="AC28" s="2168">
        <v>19.170000000000002</v>
      </c>
      <c r="AD28" s="2473">
        <f t="shared" si="15"/>
        <v>25.560000000000002</v>
      </c>
      <c r="AE28" s="3289">
        <f t="shared" si="10"/>
        <v>25.5</v>
      </c>
      <c r="AF28" s="3590">
        <v>25.5</v>
      </c>
      <c r="AG28" s="3588">
        <f t="shared" si="9"/>
        <v>1.0119047619047619</v>
      </c>
      <c r="AH28" s="4984"/>
      <c r="AI28" s="4985"/>
    </row>
    <row r="29" spans="1:35" ht="24.95" customHeight="1">
      <c r="A29" s="893" t="s">
        <v>89</v>
      </c>
      <c r="B29" s="443"/>
      <c r="C29" s="443"/>
      <c r="D29" s="443"/>
      <c r="E29" s="889">
        <v>3595</v>
      </c>
      <c r="F29" s="890" t="e">
        <f>E29/#REF!*100</f>
        <v>#REF!</v>
      </c>
      <c r="G29" s="885">
        <f>AA14</f>
        <v>3544.67</v>
      </c>
      <c r="H29" s="885">
        <v>1755.33</v>
      </c>
      <c r="I29" s="885">
        <v>2673.6</v>
      </c>
      <c r="J29" s="885">
        <v>3595</v>
      </c>
      <c r="K29" s="885"/>
      <c r="L29" s="350">
        <v>3567.6</v>
      </c>
      <c r="M29" s="889">
        <v>3562.4</v>
      </c>
      <c r="N29" s="890"/>
      <c r="O29" s="885">
        <f>M29</f>
        <v>3562.4</v>
      </c>
      <c r="P29" s="887">
        <f t="shared" si="4"/>
        <v>1.0050018760561632</v>
      </c>
      <c r="Q29" s="885">
        <v>1790.52</v>
      </c>
      <c r="R29" s="2168">
        <v>2713.05</v>
      </c>
      <c r="S29" s="2473">
        <f t="shared" si="13"/>
        <v>3617.4</v>
      </c>
      <c r="T29" s="2781">
        <v>4015.93</v>
      </c>
      <c r="U29" s="3281">
        <v>3562.4</v>
      </c>
      <c r="V29" s="3285">
        <f t="shared" si="14"/>
        <v>3562.4</v>
      </c>
      <c r="W29" s="3282">
        <f t="shared" si="7"/>
        <v>1</v>
      </c>
      <c r="X29" s="4984"/>
      <c r="Y29" s="4985"/>
      <c r="AB29" s="885">
        <v>1954.32</v>
      </c>
      <c r="AC29" s="2168">
        <v>2931.48</v>
      </c>
      <c r="AD29" s="2473">
        <f t="shared" si="15"/>
        <v>3908.64</v>
      </c>
      <c r="AE29" s="3289">
        <f t="shared" si="10"/>
        <v>4015.93</v>
      </c>
      <c r="AF29" s="3590">
        <v>4015.93</v>
      </c>
      <c r="AG29" s="3588">
        <f t="shared" si="9"/>
        <v>1.1273102402874466</v>
      </c>
      <c r="AH29" s="4984"/>
      <c r="AI29" s="4985"/>
    </row>
    <row r="30" spans="1:35" ht="24.95" customHeight="1" thickBot="1">
      <c r="A30" s="895" t="s">
        <v>94</v>
      </c>
      <c r="B30" s="443"/>
      <c r="C30" s="443"/>
      <c r="D30" s="443"/>
      <c r="E30" s="896">
        <f>SUM(E26:E29)</f>
        <v>5170.3</v>
      </c>
      <c r="F30" s="897" t="e">
        <f>E30/#REF!*100</f>
        <v>#REF!</v>
      </c>
      <c r="G30" s="898">
        <f>SUM(G26:G29)</f>
        <v>4787.7299999999996</v>
      </c>
      <c r="H30" s="898">
        <f>SUM(H26:H29)</f>
        <v>2304.31</v>
      </c>
      <c r="I30" s="898">
        <f>SUM(I26:I29)</f>
        <v>3530.2</v>
      </c>
      <c r="J30" s="898">
        <f>SUM(J26:J29)</f>
        <v>5170</v>
      </c>
      <c r="K30" s="899"/>
      <c r="L30" s="900">
        <f>SUM(L26:L29)</f>
        <v>4702.5</v>
      </c>
      <c r="M30" s="896">
        <f>SUM(M26:M29)</f>
        <v>4822.1000000000004</v>
      </c>
      <c r="N30" s="897"/>
      <c r="O30" s="898">
        <f>SUM(O26:O29)</f>
        <v>4822.1000000000004</v>
      </c>
      <c r="P30" s="901">
        <f t="shared" si="4"/>
        <v>1.0071787673908097</v>
      </c>
      <c r="Q30" s="898">
        <f t="shared" ref="Q30:V30" si="16">SUM(Q26:Q29)</f>
        <v>2400.7200000000003</v>
      </c>
      <c r="R30" s="898">
        <f t="shared" si="16"/>
        <v>3628.3500000000004</v>
      </c>
      <c r="S30" s="898">
        <f t="shared" si="16"/>
        <v>4837.8</v>
      </c>
      <c r="T30" s="898">
        <f t="shared" si="16"/>
        <v>5183.68</v>
      </c>
      <c r="U30" s="3286">
        <f t="shared" si="16"/>
        <v>4822.1000000000004</v>
      </c>
      <c r="V30" s="3287">
        <f t="shared" si="16"/>
        <v>4822.1000000000004</v>
      </c>
      <c r="W30" s="3288">
        <f t="shared" si="7"/>
        <v>1</v>
      </c>
      <c r="X30" s="5033"/>
      <c r="Y30" s="5034"/>
      <c r="Z30" s="3490"/>
      <c r="AA30" s="3490"/>
      <c r="AB30" s="898">
        <f t="shared" ref="AB30:AF30" si="17">SUM(AB26:AB29)</f>
        <v>2504.7599999999998</v>
      </c>
      <c r="AC30" s="898">
        <f t="shared" si="17"/>
        <v>3759.56</v>
      </c>
      <c r="AD30" s="898">
        <f t="shared" si="17"/>
        <v>5012.746666666666</v>
      </c>
      <c r="AE30" s="3291">
        <f t="shared" si="17"/>
        <v>5183.68</v>
      </c>
      <c r="AF30" s="3591">
        <f t="shared" si="17"/>
        <v>5183.68</v>
      </c>
      <c r="AG30" s="3592">
        <f t="shared" si="9"/>
        <v>1.0749839281640778</v>
      </c>
      <c r="AH30" s="4986"/>
      <c r="AI30" s="4987"/>
    </row>
    <row r="31" spans="1:35" ht="27" customHeight="1" thickBot="1">
      <c r="A31" s="3295" t="s">
        <v>632</v>
      </c>
      <c r="B31" s="3296"/>
      <c r="C31" s="3297"/>
      <c r="D31" s="3297"/>
      <c r="E31" s="3294">
        <f>SUM(E30,E25)</f>
        <v>12607.099999999999</v>
      </c>
      <c r="F31" s="3298" t="e">
        <f>E31/#REF!*100</f>
        <v>#REF!</v>
      </c>
      <c r="G31" s="3294">
        <f t="shared" ref="G31:O31" si="18">SUM(G30,G25)</f>
        <v>12082.829999999998</v>
      </c>
      <c r="H31" s="3294">
        <f t="shared" si="18"/>
        <v>6152.08</v>
      </c>
      <c r="I31" s="3294">
        <f t="shared" si="18"/>
        <v>9218.7000000000007</v>
      </c>
      <c r="J31" s="3294">
        <f t="shared" si="18"/>
        <v>12461</v>
      </c>
      <c r="K31" s="3294">
        <f t="shared" si="18"/>
        <v>0</v>
      </c>
      <c r="L31" s="3299">
        <f t="shared" si="18"/>
        <v>12312.3</v>
      </c>
      <c r="M31" s="3497">
        <f t="shared" si="18"/>
        <v>12372.400000000001</v>
      </c>
      <c r="N31" s="1141">
        <f t="shared" si="18"/>
        <v>0</v>
      </c>
      <c r="O31" s="1141">
        <f t="shared" si="18"/>
        <v>12372.400000000001</v>
      </c>
      <c r="P31" s="902">
        <f t="shared" si="4"/>
        <v>1.0239654120764758</v>
      </c>
      <c r="Q31" s="1141">
        <f t="shared" ref="Q31" si="19">SUM(Q30,Q25)</f>
        <v>6393.94</v>
      </c>
      <c r="R31" s="1141">
        <f t="shared" ref="R31:U31" si="20">SUM(R30,R25)</f>
        <v>9730.42</v>
      </c>
      <c r="S31" s="1141">
        <f t="shared" si="20"/>
        <v>12973.893333333333</v>
      </c>
      <c r="T31" s="1141">
        <f t="shared" si="20"/>
        <v>13480.330000000002</v>
      </c>
      <c r="U31" s="3497">
        <f t="shared" si="20"/>
        <v>12372.400000000001</v>
      </c>
      <c r="V31" s="1141">
        <f t="shared" ref="V31" si="21">SUM(V30,V25)</f>
        <v>12958.193333333333</v>
      </c>
      <c r="W31" s="3292">
        <f>V31/O31</f>
        <v>1.0473467826236891</v>
      </c>
      <c r="X31" s="5025"/>
      <c r="Y31" s="5026"/>
      <c r="Z31" s="3498"/>
      <c r="AA31" s="3498"/>
      <c r="AB31" s="1141">
        <f t="shared" ref="AB31:AF31" si="22">SUM(AB30,AB25)</f>
        <v>6891.7199999999993</v>
      </c>
      <c r="AC31" s="1141">
        <f t="shared" si="22"/>
        <v>10163.959999999999</v>
      </c>
      <c r="AD31" s="1141">
        <f t="shared" si="22"/>
        <v>13551.946666666667</v>
      </c>
      <c r="AE31" s="3317">
        <f t="shared" si="22"/>
        <v>13480.330000000002</v>
      </c>
      <c r="AF31" s="3593">
        <f t="shared" si="22"/>
        <v>13480.36</v>
      </c>
      <c r="AG31" s="3594">
        <f t="shared" si="9"/>
        <v>1.0402962552907324</v>
      </c>
      <c r="AH31" s="4977"/>
      <c r="AI31" s="4978"/>
    </row>
  </sheetData>
  <mergeCells count="78">
    <mergeCell ref="X31:Y31"/>
    <mergeCell ref="E18:L18"/>
    <mergeCell ref="U18:W18"/>
    <mergeCell ref="U19:U20"/>
    <mergeCell ref="V19:V20"/>
    <mergeCell ref="W19:W20"/>
    <mergeCell ref="X22:Y22"/>
    <mergeCell ref="X23:Y23"/>
    <mergeCell ref="X30:Y30"/>
    <mergeCell ref="X24:Y24"/>
    <mergeCell ref="X25:Y25"/>
    <mergeCell ref="X26:Y26"/>
    <mergeCell ref="X27:Y27"/>
    <mergeCell ref="X28:Y28"/>
    <mergeCell ref="X29:Y29"/>
    <mergeCell ref="M19:M20"/>
    <mergeCell ref="B3:B5"/>
    <mergeCell ref="O3:AA3"/>
    <mergeCell ref="AA4:AA5"/>
    <mergeCell ref="E3:F3"/>
    <mergeCell ref="A3:A5"/>
    <mergeCell ref="G3:H3"/>
    <mergeCell ref="H4:H5"/>
    <mergeCell ref="C3:D3"/>
    <mergeCell ref="O4:O5"/>
    <mergeCell ref="Z4:Z5"/>
    <mergeCell ref="P4:P5"/>
    <mergeCell ref="C4:C5"/>
    <mergeCell ref="F4:F5"/>
    <mergeCell ref="D4:D5"/>
    <mergeCell ref="E4:E5"/>
    <mergeCell ref="I3:N3"/>
    <mergeCell ref="G4:G5"/>
    <mergeCell ref="Y4:Y5"/>
    <mergeCell ref="N4:N5"/>
    <mergeCell ref="I4:I5"/>
    <mergeCell ref="X4:X5"/>
    <mergeCell ref="J4:J5"/>
    <mergeCell ref="K4:K5"/>
    <mergeCell ref="M4:M5"/>
    <mergeCell ref="X21:Y21"/>
    <mergeCell ref="Q19:Q20"/>
    <mergeCell ref="R19:R20"/>
    <mergeCell ref="L19:L20"/>
    <mergeCell ref="M18:T18"/>
    <mergeCell ref="S19:S20"/>
    <mergeCell ref="T19:T20"/>
    <mergeCell ref="N19:N20"/>
    <mergeCell ref="O19:O20"/>
    <mergeCell ref="P19:P20"/>
    <mergeCell ref="X18:Y20"/>
    <mergeCell ref="A18:A20"/>
    <mergeCell ref="E19:E20"/>
    <mergeCell ref="G19:G20"/>
    <mergeCell ref="I19:I20"/>
    <mergeCell ref="H19:H20"/>
    <mergeCell ref="AD19:AD20"/>
    <mergeCell ref="AE18:AG18"/>
    <mergeCell ref="AH18:AI20"/>
    <mergeCell ref="AE19:AE20"/>
    <mergeCell ref="AF19:AF20"/>
    <mergeCell ref="AG19:AG20"/>
    <mergeCell ref="AH31:AI31"/>
    <mergeCell ref="AB18:AD18"/>
    <mergeCell ref="A2:AI2"/>
    <mergeCell ref="A1:AI1"/>
    <mergeCell ref="AH26:AI26"/>
    <mergeCell ref="AH27:AI27"/>
    <mergeCell ref="AH28:AI28"/>
    <mergeCell ref="AH29:AI29"/>
    <mergeCell ref="AH30:AI30"/>
    <mergeCell ref="AH21:AI21"/>
    <mergeCell ref="AH22:AI22"/>
    <mergeCell ref="AH23:AI23"/>
    <mergeCell ref="AH24:AI24"/>
    <mergeCell ref="AH25:AI25"/>
    <mergeCell ref="AB19:AB20"/>
    <mergeCell ref="AC19:AC20"/>
  </mergeCells>
  <phoneticPr fontId="7" type="noConversion"/>
  <printOptions horizontalCentered="1"/>
  <pageMargins left="0.31496062992125984" right="0.31496062992125984" top="1.5354330708661419" bottom="0.35433070866141736" header="0" footer="0"/>
  <pageSetup paperSize="9" scale="54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T47"/>
  <sheetViews>
    <sheetView zoomScale="80" zoomScaleNormal="80" workbookViewId="0">
      <pane xSplit="12" ySplit="23" topLeftCell="CE31" activePane="bottomRight" state="frozen"/>
      <selection pane="topRight" activeCell="M1" sqref="M1"/>
      <selection pane="bottomLeft" activeCell="A23" sqref="A23"/>
      <selection pane="bottomRight" activeCell="CR25" sqref="CR25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hidden="1" customWidth="1"/>
    <col min="14" max="14" width="14.85546875" hidden="1" customWidth="1"/>
    <col min="15" max="15" width="13.140625" hidden="1" customWidth="1"/>
    <col min="16" max="16" width="12.5703125" hidden="1" customWidth="1"/>
    <col min="17" max="17" width="9.5703125" hidden="1" customWidth="1"/>
    <col min="18" max="18" width="0" hidden="1" customWidth="1"/>
    <col min="19" max="19" width="9.5703125" hidden="1" customWidth="1"/>
    <col min="20" max="20" width="14.7109375" hidden="1" customWidth="1"/>
    <col min="21" max="21" width="13.140625" hidden="1" customWidth="1"/>
    <col min="22" max="22" width="11.7109375" hidden="1" customWidth="1"/>
    <col min="23" max="23" width="14" hidden="1" customWidth="1"/>
    <col min="24" max="24" width="9.7109375" hidden="1" customWidth="1"/>
    <col min="25" max="25" width="14.85546875" hidden="1" customWidth="1"/>
    <col min="26" max="26" width="13.140625" hidden="1" customWidth="1"/>
    <col min="27" max="27" width="12.140625" hidden="1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hidden="1" customWidth="1" collapsed="1"/>
    <col min="39" max="39" width="14.85546875" hidden="1" customWidth="1"/>
    <col min="40" max="40" width="13.140625" hidden="1" customWidth="1"/>
    <col min="41" max="41" width="12.7109375" hidden="1" customWidth="1"/>
    <col min="42" max="42" width="0" hidden="1" customWidth="1"/>
    <col min="43" max="43" width="9.7109375" hidden="1" customWidth="1"/>
    <col min="44" max="44" width="14.7109375" hidden="1" customWidth="1"/>
    <col min="45" max="45" width="13.140625" hidden="1" customWidth="1"/>
    <col min="46" max="46" width="12.7109375" hidden="1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4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4.5703125" customWidth="1"/>
    <col min="59" max="59" width="13.140625" customWidth="1"/>
    <col min="60" max="60" width="12.7109375" customWidth="1"/>
    <col min="61" max="61" width="9.7109375" customWidth="1"/>
    <col min="62" max="62" width="14.85546875" customWidth="1"/>
    <col min="63" max="63" width="13.140625" customWidth="1"/>
    <col min="64" max="65" width="12.7109375" customWidth="1"/>
    <col min="66" max="66" width="14.85546875" customWidth="1"/>
    <col min="67" max="68" width="12.7109375" customWidth="1"/>
    <col min="69" max="69" width="9.7109375" customWidth="1"/>
    <col min="70" max="70" width="14.7109375" customWidth="1"/>
    <col min="71" max="71" width="13.140625" customWidth="1"/>
    <col min="72" max="72" width="12.7109375" customWidth="1"/>
    <col min="73" max="73" width="9.7109375" customWidth="1"/>
    <col min="74" max="74" width="16.85546875" customWidth="1"/>
    <col min="75" max="75" width="13.140625" customWidth="1"/>
    <col min="76" max="77" width="12.7109375" customWidth="1"/>
    <col min="78" max="78" width="9.7109375" customWidth="1"/>
    <col min="79" max="79" width="14.85546875" customWidth="1"/>
    <col min="80" max="80" width="13.28515625" customWidth="1"/>
    <col min="81" max="81" width="12.7109375" customWidth="1"/>
    <col min="82" max="82" width="9.85546875" customWidth="1"/>
    <col min="83" max="83" width="14.85546875" customWidth="1"/>
    <col min="84" max="84" width="13.28515625" customWidth="1"/>
    <col min="85" max="85" width="12.7109375" customWidth="1"/>
    <col min="86" max="86" width="9.85546875" customWidth="1"/>
    <col min="87" max="87" width="14.85546875" customWidth="1"/>
    <col min="88" max="88" width="13.28515625" customWidth="1"/>
    <col min="89" max="89" width="12.7109375" customWidth="1"/>
    <col min="90" max="90" width="9.85546875" customWidth="1"/>
    <col min="91" max="91" width="17.42578125" customWidth="1"/>
    <col min="92" max="93" width="12.7109375" customWidth="1"/>
    <col min="94" max="94" width="9.85546875" customWidth="1"/>
    <col min="95" max="95" width="14.85546875" customWidth="1"/>
    <col min="96" max="96" width="12.7109375" customWidth="1"/>
    <col min="97" max="97" width="12.5703125" customWidth="1"/>
    <col min="98" max="98" width="12.7109375" customWidth="1"/>
  </cols>
  <sheetData>
    <row r="1" spans="1:98" ht="15">
      <c r="A1" s="5103" t="s">
        <v>1536</v>
      </c>
      <c r="B1" s="5103"/>
      <c r="C1" s="5103"/>
      <c r="D1" s="5103"/>
      <c r="E1" s="5103"/>
      <c r="F1" s="5103"/>
      <c r="G1" s="5103"/>
      <c r="H1" s="5103"/>
      <c r="I1" s="5103"/>
      <c r="J1" s="5103"/>
      <c r="K1" s="5103"/>
      <c r="L1" s="5103"/>
      <c r="M1" s="5103"/>
      <c r="N1" s="5103"/>
      <c r="O1" s="5103"/>
      <c r="P1" s="5103"/>
      <c r="Q1" s="5103"/>
      <c r="R1" s="5103"/>
      <c r="S1" s="5103"/>
      <c r="T1" s="5103"/>
      <c r="U1" s="5103"/>
      <c r="V1" s="5103"/>
      <c r="W1" s="5103"/>
      <c r="X1" s="5103"/>
      <c r="Y1" s="5103"/>
      <c r="Z1" s="5103"/>
      <c r="AA1" s="5103"/>
      <c r="AB1" s="5103"/>
      <c r="AC1" s="5103"/>
      <c r="AD1" s="5103"/>
      <c r="AE1" s="5103"/>
      <c r="AF1" s="5103"/>
      <c r="AG1" s="5103"/>
      <c r="AH1" s="5103"/>
      <c r="AI1" s="5103"/>
      <c r="AJ1" s="5103"/>
      <c r="AK1" s="5103"/>
      <c r="AL1" s="5103"/>
      <c r="AM1" s="5103"/>
      <c r="AN1" s="5103"/>
      <c r="AO1" s="5103"/>
      <c r="AP1" s="5103"/>
      <c r="AQ1" s="5103"/>
      <c r="AR1" s="5103"/>
      <c r="AS1" s="5103"/>
      <c r="AT1" s="5103"/>
      <c r="AU1" s="5103"/>
      <c r="AV1" s="5103"/>
      <c r="AW1" s="5103"/>
      <c r="AX1" s="5103"/>
      <c r="AY1" s="5103"/>
      <c r="AZ1" s="5103"/>
      <c r="BA1" s="5103"/>
      <c r="BB1" s="5103"/>
      <c r="BC1" s="5103"/>
      <c r="BD1" s="5103"/>
      <c r="BE1" s="5103"/>
      <c r="BF1" s="5103"/>
      <c r="BG1" s="5103"/>
      <c r="BH1" s="5103"/>
      <c r="BI1" s="5103"/>
      <c r="BJ1" s="5103"/>
      <c r="BK1" s="5103"/>
      <c r="BL1" s="5103"/>
      <c r="BM1" s="5103"/>
      <c r="BN1" s="5103"/>
      <c r="BO1" s="5103"/>
      <c r="BP1" s="5103"/>
      <c r="BQ1" s="5103"/>
      <c r="BR1" s="5103"/>
      <c r="BS1" s="5103"/>
      <c r="BT1" s="5103"/>
      <c r="BU1" s="5103"/>
      <c r="BV1" s="5103"/>
      <c r="BW1" s="5103"/>
      <c r="BX1" s="5103"/>
      <c r="BY1" s="5103"/>
      <c r="BZ1" s="5103"/>
      <c r="CA1" s="5103"/>
      <c r="CB1" s="5103"/>
      <c r="CC1" s="5103"/>
      <c r="CD1" s="5103"/>
      <c r="CE1" s="5103"/>
      <c r="CF1" s="5103"/>
      <c r="CG1" s="5103"/>
      <c r="CH1" s="5103"/>
      <c r="CI1" s="5103"/>
      <c r="CJ1" s="5103"/>
      <c r="CK1" s="5103"/>
      <c r="CL1" s="5103"/>
      <c r="CM1" s="5103"/>
      <c r="CN1" s="5103"/>
      <c r="CO1" s="5103"/>
      <c r="CP1" s="5103"/>
      <c r="CQ1" s="5103"/>
      <c r="CR1" s="5103"/>
      <c r="CS1" s="5103"/>
      <c r="CT1" s="5103"/>
    </row>
    <row r="2" spans="1:98" ht="30">
      <c r="A2" s="5111" t="s">
        <v>233</v>
      </c>
      <c r="B2" s="5111"/>
      <c r="C2" s="5111"/>
      <c r="D2" s="5111"/>
      <c r="E2" s="5111"/>
      <c r="F2" s="5111"/>
      <c r="G2" s="5111"/>
      <c r="H2" s="5111"/>
      <c r="I2" s="5111"/>
      <c r="J2" s="5111"/>
      <c r="K2" s="5111"/>
      <c r="L2" s="5111"/>
      <c r="M2" s="5111"/>
      <c r="N2" s="5111"/>
      <c r="O2" s="5111"/>
      <c r="P2" s="5111"/>
      <c r="Q2" s="5111"/>
      <c r="R2" s="5111"/>
      <c r="S2" s="5111"/>
      <c r="T2" s="5111"/>
      <c r="U2" s="5111"/>
      <c r="V2" s="5111"/>
      <c r="W2" s="5111"/>
      <c r="X2" s="5111"/>
      <c r="Y2" s="5111"/>
      <c r="Z2" s="5111"/>
      <c r="AA2" s="5111"/>
      <c r="AB2" s="5111"/>
      <c r="AC2" s="5111"/>
      <c r="AD2" s="5111"/>
      <c r="AE2" s="5111"/>
      <c r="AF2" s="5111"/>
      <c r="AG2" s="5111"/>
      <c r="AH2" s="5111"/>
      <c r="AI2" s="5111"/>
      <c r="AJ2" s="5111"/>
      <c r="AK2" s="5111"/>
      <c r="AL2" s="5111"/>
      <c r="AM2" s="5111"/>
      <c r="AN2" s="5111"/>
      <c r="AO2" s="5111"/>
      <c r="AP2" s="5111"/>
      <c r="AQ2" s="5111"/>
      <c r="AR2" s="5111"/>
      <c r="AS2" s="5111"/>
      <c r="AT2" s="5111"/>
      <c r="AU2" s="5112"/>
      <c r="AV2" s="5112"/>
      <c r="AW2" s="5112"/>
      <c r="AX2" s="5112"/>
      <c r="AY2" s="5112"/>
      <c r="AZ2" s="5112"/>
      <c r="BA2" s="5112"/>
      <c r="BB2" s="5112"/>
      <c r="BC2" s="5112"/>
      <c r="BD2" s="5112"/>
      <c r="BE2" s="5112"/>
      <c r="BF2" s="5112"/>
      <c r="BG2" s="5112"/>
      <c r="BH2" s="5112"/>
      <c r="BI2" s="5112"/>
      <c r="BJ2" s="5112"/>
      <c r="BK2" s="5112"/>
      <c r="BL2" s="5112"/>
      <c r="BM2" s="5112"/>
      <c r="BN2" s="5112"/>
      <c r="BO2" s="5112"/>
      <c r="BP2" s="5112"/>
      <c r="BQ2" s="5112"/>
      <c r="BR2" s="5112"/>
      <c r="BS2" s="5112"/>
      <c r="BT2" s="5112"/>
      <c r="BU2" s="5112"/>
      <c r="BV2" s="5112"/>
      <c r="BW2" s="5112"/>
      <c r="BX2" s="5112"/>
      <c r="BY2" s="5112"/>
      <c r="BZ2" s="4356"/>
      <c r="CA2" s="4356"/>
      <c r="CB2" s="4356"/>
      <c r="CC2" s="4356"/>
      <c r="CD2" s="4356"/>
      <c r="CE2" s="4356"/>
      <c r="CF2" s="4356"/>
      <c r="CG2" s="4356"/>
      <c r="CH2" s="4356"/>
      <c r="CI2" s="4356"/>
      <c r="CJ2" s="4356"/>
      <c r="CK2" s="4356"/>
      <c r="CL2" s="4356"/>
      <c r="CM2" s="4356"/>
      <c r="CN2" s="4356"/>
      <c r="CO2" s="4356"/>
      <c r="CP2" s="4356"/>
      <c r="CQ2" s="4356"/>
      <c r="CR2" s="4356"/>
      <c r="CS2" s="4356"/>
      <c r="CT2" s="4356"/>
    </row>
    <row r="3" spans="1:98" ht="19.5" hidden="1" thickBot="1">
      <c r="A3" s="5126"/>
      <c r="B3" s="5126"/>
      <c r="C3" s="5126"/>
      <c r="D3" s="5126"/>
      <c r="E3" s="5126"/>
      <c r="F3" s="5126"/>
      <c r="G3" s="5126"/>
      <c r="H3" s="5126"/>
      <c r="I3" s="5126"/>
      <c r="J3" s="5126"/>
      <c r="K3" s="5126"/>
      <c r="L3" s="5126"/>
      <c r="M3" s="5126"/>
      <c r="N3" s="5126"/>
      <c r="O3" s="5126"/>
      <c r="P3" s="5126"/>
      <c r="Q3" s="5126"/>
      <c r="R3" s="5126"/>
      <c r="S3" s="5126"/>
      <c r="T3" s="5126"/>
      <c r="U3" s="5126"/>
      <c r="V3" s="5126"/>
      <c r="W3" s="5126"/>
      <c r="X3" s="5126"/>
      <c r="Y3" s="5126"/>
      <c r="Z3" s="5126"/>
      <c r="AA3" s="5126"/>
      <c r="AB3" s="5126"/>
      <c r="AC3" s="5126"/>
      <c r="AD3" s="5126"/>
      <c r="AE3" s="5126"/>
      <c r="AF3" s="5126"/>
      <c r="AG3" s="5126"/>
      <c r="AH3" s="5126"/>
      <c r="AI3" s="5126"/>
      <c r="AJ3" s="5126"/>
      <c r="AK3" s="5126"/>
      <c r="AL3" s="5126"/>
      <c r="AM3" s="5126"/>
      <c r="AN3" s="5126"/>
      <c r="AO3" s="5126"/>
      <c r="AP3" s="5126"/>
      <c r="AQ3" s="502"/>
      <c r="AR3" s="502"/>
      <c r="AS3" s="502"/>
      <c r="AT3" s="502"/>
      <c r="AU3" s="502"/>
      <c r="AV3" s="502"/>
      <c r="AW3" s="502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380"/>
      <c r="BQ3" s="380"/>
      <c r="BR3" s="380"/>
      <c r="BS3" s="380"/>
      <c r="BT3" s="380"/>
      <c r="BU3" s="380"/>
      <c r="BV3" s="380"/>
      <c r="BW3" s="380"/>
      <c r="BX3" s="380"/>
      <c r="BY3" s="380"/>
    </row>
    <row r="4" spans="1:98" ht="23.25" hidden="1" customHeight="1" thickBot="1">
      <c r="A4" s="5120" t="s">
        <v>175</v>
      </c>
      <c r="B4" s="5123" t="s">
        <v>176</v>
      </c>
      <c r="C4" s="5068" t="s">
        <v>177</v>
      </c>
      <c r="D4" s="5069"/>
      <c r="E4" s="5070"/>
      <c r="F4" s="5064" t="s">
        <v>178</v>
      </c>
      <c r="G4" s="5065"/>
      <c r="H4" s="5065"/>
      <c r="I4" s="5084" t="s">
        <v>179</v>
      </c>
      <c r="J4" s="5084"/>
      <c r="K4" s="5084"/>
      <c r="L4" s="5084"/>
      <c r="M4" s="5068" t="s">
        <v>180</v>
      </c>
      <c r="N4" s="5069"/>
      <c r="O4" s="5070"/>
      <c r="P4" s="5068" t="s">
        <v>198</v>
      </c>
      <c r="Q4" s="5069"/>
      <c r="R4" s="5070"/>
      <c r="S4" s="5074" t="s">
        <v>199</v>
      </c>
      <c r="T4" s="5075"/>
      <c r="U4" s="5076"/>
      <c r="V4" s="5074" t="s">
        <v>200</v>
      </c>
      <c r="W4" s="5075"/>
      <c r="X4" s="5076"/>
      <c r="Y4" s="5074" t="s">
        <v>253</v>
      </c>
      <c r="Z4" s="5075"/>
      <c r="AA4" s="5076"/>
      <c r="AB4" s="5053" t="s">
        <v>201</v>
      </c>
      <c r="AC4" s="5054"/>
      <c r="AD4" s="5054"/>
      <c r="AE4" s="5054"/>
      <c r="AF4" s="5058"/>
      <c r="AG4" s="4745" t="s">
        <v>181</v>
      </c>
      <c r="AH4" s="4746"/>
      <c r="AI4" s="4746"/>
      <c r="AJ4" s="4746"/>
      <c r="AK4" s="4747"/>
      <c r="AL4" s="5053" t="s">
        <v>234</v>
      </c>
      <c r="AM4" s="5054"/>
      <c r="AN4" s="5054"/>
      <c r="AO4" s="5054"/>
      <c r="AP4" s="5058"/>
      <c r="AQ4" s="1041"/>
      <c r="AR4" s="1041"/>
      <c r="AS4" s="1041"/>
      <c r="AT4" s="1041"/>
      <c r="AU4" s="5053" t="s">
        <v>235</v>
      </c>
      <c r="AV4" s="5054"/>
      <c r="AW4" s="5058"/>
      <c r="AX4" s="5053" t="s">
        <v>366</v>
      </c>
      <c r="AY4" s="5054"/>
      <c r="AZ4" s="5058"/>
      <c r="BA4" s="5053" t="s">
        <v>382</v>
      </c>
      <c r="BB4" s="5054"/>
      <c r="BC4" s="5054"/>
      <c r="BD4" s="5089" t="s">
        <v>390</v>
      </c>
      <c r="BE4" s="1316"/>
      <c r="BF4" s="1316"/>
      <c r="BG4" s="1316"/>
      <c r="BH4" s="1316"/>
      <c r="BI4" s="1316"/>
      <c r="BJ4" s="1316"/>
      <c r="BK4" s="1316"/>
      <c r="BL4" s="1316"/>
      <c r="BM4" s="1316"/>
      <c r="BN4" s="1316"/>
      <c r="BO4" s="1316"/>
      <c r="BP4" s="1316"/>
      <c r="BQ4" s="1316"/>
      <c r="BR4" s="1316"/>
      <c r="BS4" s="1316"/>
      <c r="BT4" s="1316"/>
      <c r="BU4" s="1316"/>
      <c r="BV4" s="1316"/>
      <c r="BW4" s="1316"/>
      <c r="BX4" s="1316"/>
      <c r="BY4" s="1316"/>
    </row>
    <row r="5" spans="1:98" ht="22.5" hidden="1" customHeight="1">
      <c r="A5" s="5121"/>
      <c r="B5" s="5124"/>
      <c r="C5" s="5071"/>
      <c r="D5" s="5072"/>
      <c r="E5" s="5073"/>
      <c r="F5" s="5066"/>
      <c r="G5" s="5067"/>
      <c r="H5" s="5067"/>
      <c r="I5" s="503"/>
      <c r="J5" s="503"/>
      <c r="K5" s="503"/>
      <c r="L5" s="504"/>
      <c r="M5" s="5071"/>
      <c r="N5" s="5072"/>
      <c r="O5" s="5073"/>
      <c r="P5" s="5071"/>
      <c r="Q5" s="5072"/>
      <c r="R5" s="5073"/>
      <c r="S5" s="5077"/>
      <c r="T5" s="5078"/>
      <c r="U5" s="5079"/>
      <c r="V5" s="5077"/>
      <c r="W5" s="5078"/>
      <c r="X5" s="5079"/>
      <c r="Y5" s="5077"/>
      <c r="Z5" s="5078"/>
      <c r="AA5" s="5079"/>
      <c r="AB5" s="5055"/>
      <c r="AC5" s="5056"/>
      <c r="AD5" s="5056"/>
      <c r="AE5" s="5056"/>
      <c r="AF5" s="5059"/>
      <c r="AG5" s="5119" t="s">
        <v>182</v>
      </c>
      <c r="AH5" s="4699" t="s">
        <v>183</v>
      </c>
      <c r="AI5" s="4699"/>
      <c r="AJ5" s="4699" t="s">
        <v>184</v>
      </c>
      <c r="AK5" s="5085"/>
      <c r="AL5" s="5055"/>
      <c r="AM5" s="5056"/>
      <c r="AN5" s="5056"/>
      <c r="AO5" s="5056"/>
      <c r="AP5" s="5059"/>
      <c r="AQ5" s="1042"/>
      <c r="AR5" s="1042"/>
      <c r="AS5" s="1042"/>
      <c r="AT5" s="1042"/>
      <c r="AU5" s="5055"/>
      <c r="AV5" s="5056"/>
      <c r="AW5" s="5059"/>
      <c r="AX5" s="5055"/>
      <c r="AY5" s="5056"/>
      <c r="AZ5" s="5059"/>
      <c r="BA5" s="5055"/>
      <c r="BB5" s="5056"/>
      <c r="BC5" s="5056"/>
      <c r="BD5" s="5090"/>
      <c r="BE5" s="1316"/>
      <c r="BF5" s="1316"/>
      <c r="BG5" s="1316"/>
      <c r="BH5" s="1316"/>
      <c r="BI5" s="1316"/>
      <c r="BJ5" s="1316"/>
      <c r="BK5" s="1316"/>
      <c r="BL5" s="1316"/>
      <c r="BM5" s="1316"/>
      <c r="BN5" s="1316"/>
      <c r="BO5" s="1316"/>
      <c r="BP5" s="1316"/>
      <c r="BQ5" s="1316"/>
      <c r="BR5" s="1316"/>
      <c r="BS5" s="1316"/>
      <c r="BT5" s="1316"/>
      <c r="BU5" s="1316"/>
      <c r="BV5" s="1316"/>
      <c r="BW5" s="1316"/>
      <c r="BX5" s="1316"/>
      <c r="BY5" s="1316"/>
    </row>
    <row r="6" spans="1:98" ht="63" hidden="1" customHeight="1" thickBot="1">
      <c r="A6" s="5122"/>
      <c r="B6" s="5125"/>
      <c r="C6" s="505" t="s">
        <v>182</v>
      </c>
      <c r="D6" s="431" t="s">
        <v>185</v>
      </c>
      <c r="E6" s="506" t="s">
        <v>186</v>
      </c>
      <c r="F6" s="507" t="s">
        <v>182</v>
      </c>
      <c r="G6" s="508" t="s">
        <v>185</v>
      </c>
      <c r="H6" s="509" t="s">
        <v>186</v>
      </c>
      <c r="I6" s="505" t="s">
        <v>182</v>
      </c>
      <c r="J6" s="431" t="s">
        <v>185</v>
      </c>
      <c r="K6" s="431" t="s">
        <v>187</v>
      </c>
      <c r="L6" s="506" t="s">
        <v>186</v>
      </c>
      <c r="M6" s="510" t="s">
        <v>182</v>
      </c>
      <c r="N6" s="431" t="s">
        <v>185</v>
      </c>
      <c r="O6" s="511" t="s">
        <v>186</v>
      </c>
      <c r="P6" s="510" t="s">
        <v>182</v>
      </c>
      <c r="Q6" s="413" t="s">
        <v>185</v>
      </c>
      <c r="R6" s="511" t="s">
        <v>186</v>
      </c>
      <c r="S6" s="512" t="s">
        <v>182</v>
      </c>
      <c r="T6" s="513" t="s">
        <v>185</v>
      </c>
      <c r="U6" s="514" t="s">
        <v>186</v>
      </c>
      <c r="V6" s="515" t="s">
        <v>182</v>
      </c>
      <c r="W6" s="513" t="s">
        <v>185</v>
      </c>
      <c r="X6" s="514" t="s">
        <v>186</v>
      </c>
      <c r="Y6" s="512" t="s">
        <v>182</v>
      </c>
      <c r="Z6" s="513" t="s">
        <v>185</v>
      </c>
      <c r="AA6" s="514" t="s">
        <v>186</v>
      </c>
      <c r="AB6" s="430" t="s">
        <v>182</v>
      </c>
      <c r="AC6" s="421" t="s">
        <v>185</v>
      </c>
      <c r="AD6" s="516" t="s">
        <v>209</v>
      </c>
      <c r="AE6" s="516" t="s">
        <v>210</v>
      </c>
      <c r="AF6" s="429" t="s">
        <v>186</v>
      </c>
      <c r="AG6" s="4488"/>
      <c r="AH6" s="421" t="s">
        <v>188</v>
      </c>
      <c r="AI6" s="421" t="s">
        <v>189</v>
      </c>
      <c r="AJ6" s="421" t="s">
        <v>190</v>
      </c>
      <c r="AK6" s="429" t="s">
        <v>191</v>
      </c>
      <c r="AL6" s="430" t="s">
        <v>182</v>
      </c>
      <c r="AM6" s="421" t="s">
        <v>185</v>
      </c>
      <c r="AN6" s="516" t="s">
        <v>209</v>
      </c>
      <c r="AO6" s="516" t="s">
        <v>210</v>
      </c>
      <c r="AP6" s="429" t="s">
        <v>186</v>
      </c>
      <c r="AQ6" s="1304"/>
      <c r="AR6" s="1304"/>
      <c r="AS6" s="1304"/>
      <c r="AT6" s="1304"/>
      <c r="AU6" s="430" t="s">
        <v>182</v>
      </c>
      <c r="AV6" s="421" t="s">
        <v>185</v>
      </c>
      <c r="AW6" s="429" t="s">
        <v>186</v>
      </c>
      <c r="AX6" s="430" t="s">
        <v>182</v>
      </c>
      <c r="AY6" s="421" t="s">
        <v>185</v>
      </c>
      <c r="AZ6" s="429" t="s">
        <v>186</v>
      </c>
      <c r="BA6" s="430" t="s">
        <v>182</v>
      </c>
      <c r="BB6" s="421" t="s">
        <v>185</v>
      </c>
      <c r="BC6" s="516" t="s">
        <v>186</v>
      </c>
      <c r="BD6" s="5091"/>
      <c r="BE6" s="1316"/>
      <c r="BF6" s="1316"/>
      <c r="BG6" s="1316"/>
      <c r="BH6" s="1316"/>
      <c r="BI6" s="1316"/>
      <c r="BJ6" s="1316"/>
      <c r="BK6" s="1316"/>
      <c r="BL6" s="1316"/>
      <c r="BM6" s="1316"/>
      <c r="BN6" s="1316"/>
      <c r="BO6" s="1316"/>
      <c r="BP6" s="1316"/>
      <c r="BQ6" s="1316"/>
      <c r="BR6" s="1316"/>
      <c r="BS6" s="1316"/>
      <c r="BT6" s="1316"/>
      <c r="BU6" s="1316"/>
      <c r="BV6" s="1316"/>
      <c r="BW6" s="1316"/>
      <c r="BX6" s="1316"/>
      <c r="BY6" s="1316"/>
    </row>
    <row r="7" spans="1:98" ht="18.75" hidden="1">
      <c r="A7" s="517"/>
      <c r="B7" s="424"/>
      <c r="C7" s="518"/>
      <c r="D7" s="422"/>
      <c r="E7" s="424"/>
      <c r="F7" s="519"/>
      <c r="G7" s="520"/>
      <c r="H7" s="521"/>
      <c r="I7" s="522"/>
      <c r="J7" s="422"/>
      <c r="K7" s="422"/>
      <c r="L7" s="523"/>
      <c r="M7" s="524"/>
      <c r="N7" s="525"/>
      <c r="O7" s="526"/>
      <c r="P7" s="527"/>
      <c r="Q7" s="415"/>
      <c r="R7" s="527"/>
      <c r="S7" s="528"/>
      <c r="T7" s="529"/>
      <c r="U7" s="530"/>
      <c r="V7" s="531"/>
      <c r="W7" s="529"/>
      <c r="X7" s="530"/>
      <c r="Y7" s="528"/>
      <c r="Z7" s="529"/>
      <c r="AA7" s="530"/>
      <c r="AB7" s="532"/>
      <c r="AC7" s="533"/>
      <c r="AD7" s="534"/>
      <c r="AE7" s="534"/>
      <c r="AF7" s="535"/>
      <c r="AG7" s="532"/>
      <c r="AH7" s="533"/>
      <c r="AI7" s="533"/>
      <c r="AJ7" s="533"/>
      <c r="AK7" s="536"/>
      <c r="AL7" s="532"/>
      <c r="AM7" s="533"/>
      <c r="AN7" s="534"/>
      <c r="AO7" s="534"/>
      <c r="AP7" s="535"/>
      <c r="AQ7" s="1305"/>
      <c r="AR7" s="1305"/>
      <c r="AS7" s="1305"/>
      <c r="AT7" s="1305"/>
      <c r="AU7" s="532"/>
      <c r="AV7" s="533"/>
      <c r="AW7" s="535"/>
      <c r="AX7" s="532"/>
      <c r="AY7" s="533"/>
      <c r="AZ7" s="535"/>
      <c r="BA7" s="532"/>
      <c r="BB7" s="533"/>
      <c r="BC7" s="534"/>
      <c r="BD7" s="537"/>
      <c r="BE7" s="1317"/>
      <c r="BF7" s="1317"/>
      <c r="BG7" s="1317"/>
      <c r="BH7" s="1317"/>
      <c r="BI7" s="1317"/>
      <c r="BJ7" s="1317"/>
      <c r="BK7" s="1317"/>
      <c r="BL7" s="1317"/>
      <c r="BM7" s="1317"/>
      <c r="BN7" s="1317"/>
      <c r="BO7" s="1317"/>
      <c r="BP7" s="1317"/>
      <c r="BQ7" s="1317"/>
      <c r="BR7" s="1317"/>
      <c r="BS7" s="1317"/>
      <c r="BT7" s="1317"/>
      <c r="BU7" s="1317"/>
      <c r="BV7" s="1317"/>
      <c r="BW7" s="1317"/>
      <c r="BX7" s="1317"/>
      <c r="BY7" s="1317"/>
    </row>
    <row r="8" spans="1:98" ht="56.25" hidden="1">
      <c r="A8" s="538" t="s">
        <v>192</v>
      </c>
      <c r="B8" s="539" t="s">
        <v>204</v>
      </c>
      <c r="C8" s="540">
        <v>840</v>
      </c>
      <c r="D8" s="541">
        <v>12146</v>
      </c>
      <c r="E8" s="542">
        <v>122429.8</v>
      </c>
      <c r="F8" s="543">
        <f>F9+F10</f>
        <v>813</v>
      </c>
      <c r="G8" s="544">
        <f>(G9*F9+G10*F10)/(F9+F10)</f>
        <v>12443.442804428045</v>
      </c>
      <c r="H8" s="545">
        <f>H10+H9</f>
        <v>121398.228</v>
      </c>
      <c r="I8" s="546">
        <v>799</v>
      </c>
      <c r="J8" s="541">
        <v>13361</v>
      </c>
      <c r="K8" s="547">
        <f>J8/G8</f>
        <v>1.07373820975377</v>
      </c>
      <c r="L8" s="548">
        <v>128108.9</v>
      </c>
      <c r="M8" s="546">
        <f>M9+M10+M11+M12</f>
        <v>155.5</v>
      </c>
      <c r="N8" s="541">
        <f>O8/M8/12*1000</f>
        <v>17474.049303322616</v>
      </c>
      <c r="O8" s="542">
        <f>O9+O10+O11+O12</f>
        <v>32606.576000000001</v>
      </c>
      <c r="P8" s="549">
        <f>SUM(P9:P12)</f>
        <v>150</v>
      </c>
      <c r="Q8" s="550">
        <f>R8/P8/12*1000</f>
        <v>20234.871111111108</v>
      </c>
      <c r="R8" s="549">
        <f>SUM(R9:R12)</f>
        <v>36422.767999999996</v>
      </c>
      <c r="S8" s="551">
        <f>S9+S10+S11+S12</f>
        <v>155</v>
      </c>
      <c r="T8" s="447">
        <f>U8/S8/12*1000</f>
        <v>19690.870967741936</v>
      </c>
      <c r="U8" s="406">
        <f>U9+U10+U11+U12</f>
        <v>36625.020000000004</v>
      </c>
      <c r="V8" s="432">
        <f>V9+V10+V11+V12</f>
        <v>149</v>
      </c>
      <c r="W8" s="447">
        <f>X8/V8/12*1000</f>
        <v>8464.3176733780765</v>
      </c>
      <c r="X8" s="552">
        <f>X9+X10</f>
        <v>15134.2</v>
      </c>
      <c r="Y8" s="553">
        <f>Y9+Y10+Y11+Y12</f>
        <v>155</v>
      </c>
      <c r="Z8" s="554">
        <f>AA8/Y8/12*1000</f>
        <v>19376.075268817203</v>
      </c>
      <c r="AA8" s="555">
        <f>AA9+AA10+AA11+AA12</f>
        <v>36039.5</v>
      </c>
      <c r="AB8" s="553">
        <f>AB9+AB10+AB11+AB12</f>
        <v>155</v>
      </c>
      <c r="AC8" s="554">
        <f>AF8/AB8/12*1000</f>
        <v>24645.696774193548</v>
      </c>
      <c r="AD8" s="556">
        <f>AC8/T8*100</f>
        <v>125.16306066180987</v>
      </c>
      <c r="AE8" s="556">
        <f>AC8/Z8*100</f>
        <v>127.19653713286812</v>
      </c>
      <c r="AF8" s="555">
        <f>AF9+AF10+AF11+AF12</f>
        <v>45840.995999999999</v>
      </c>
      <c r="AG8" s="557">
        <f>AG9+AG10</f>
        <v>94</v>
      </c>
      <c r="AH8" s="554">
        <f>AJ8/AG8/12*1000</f>
        <v>19182.659183059011</v>
      </c>
      <c r="AI8" s="558">
        <f>AH8/Z8*100</f>
        <v>99.001778827369307</v>
      </c>
      <c r="AJ8" s="559">
        <f>AJ9+AJ10</f>
        <v>21638.039558490564</v>
      </c>
      <c r="AK8" s="560">
        <f>AJ8/U8*100</f>
        <v>59.079939228676359</v>
      </c>
      <c r="AL8" s="553">
        <f>AL9+AL10+AL11+AL12</f>
        <v>155</v>
      </c>
      <c r="AM8" s="554">
        <f>AP8/AL8/12*1000</f>
        <v>21088.92280645161</v>
      </c>
      <c r="AN8" s="561">
        <f>AM8/T8*100</f>
        <v>107.1</v>
      </c>
      <c r="AO8" s="556">
        <f>AM8/AJ8*100</f>
        <v>97.462262001348989</v>
      </c>
      <c r="AP8" s="555">
        <f>AP9+AP10+AP11+AP12</f>
        <v>39225.396419999997</v>
      </c>
      <c r="AQ8" s="1306"/>
      <c r="AR8" s="1306"/>
      <c r="AS8" s="1306"/>
      <c r="AT8" s="1306"/>
      <c r="AU8" s="553">
        <f>AU9+AU10+AU11+AU12</f>
        <v>151</v>
      </c>
      <c r="AV8" s="554">
        <f>AW8/AU8/9*1000</f>
        <v>22518.469462840323</v>
      </c>
      <c r="AW8" s="555">
        <f>AW9+AW10+AW11+AW12</f>
        <v>30602.6</v>
      </c>
      <c r="AX8" s="553">
        <f>AX9+AX10+AX11+AX12</f>
        <v>151</v>
      </c>
      <c r="AY8" s="554">
        <f>AZ8/AX8/3*1000</f>
        <v>25066.88741721855</v>
      </c>
      <c r="AZ8" s="555">
        <f>AZ9+AZ10+AZ11+AZ12</f>
        <v>11355.300000000001</v>
      </c>
      <c r="BA8" s="553">
        <f>BA9+BA10+BA11+BA12</f>
        <v>150</v>
      </c>
      <c r="BB8" s="554">
        <f>BC8/BA8/12*1000</f>
        <v>22582.944444444442</v>
      </c>
      <c r="BC8" s="562">
        <f>BC9+BC10+BC11+BC12</f>
        <v>40649.299999999996</v>
      </c>
      <c r="BD8" s="563">
        <f>(M8+P8+Y8+BA8)/4</f>
        <v>152.625</v>
      </c>
      <c r="BE8" s="1318"/>
      <c r="BF8" s="1318"/>
      <c r="BG8" s="1318"/>
      <c r="BH8" s="1318"/>
      <c r="BI8" s="1318"/>
      <c r="BJ8" s="1318"/>
      <c r="BK8" s="1318"/>
      <c r="BL8" s="1318"/>
      <c r="BM8" s="1318"/>
      <c r="BN8" s="1318"/>
      <c r="BO8" s="1318"/>
      <c r="BP8" s="1318"/>
      <c r="BQ8" s="1318"/>
      <c r="BR8" s="1318"/>
      <c r="BS8" s="1318"/>
      <c r="BT8" s="1318"/>
      <c r="BU8" s="1318"/>
      <c r="BV8" s="1318"/>
      <c r="BW8" s="1318"/>
      <c r="BX8" s="1318"/>
      <c r="BY8" s="1318"/>
    </row>
    <row r="9" spans="1:98" ht="18.75" hidden="1">
      <c r="A9" s="564" t="s">
        <v>193</v>
      </c>
      <c r="B9" s="419" t="s">
        <v>85</v>
      </c>
      <c r="C9" s="565">
        <v>456</v>
      </c>
      <c r="D9" s="566">
        <v>12405</v>
      </c>
      <c r="E9" s="567">
        <v>67882.600000000006</v>
      </c>
      <c r="F9" s="568">
        <v>444</v>
      </c>
      <c r="G9" s="569">
        <v>12620</v>
      </c>
      <c r="H9" s="570">
        <f>F9*G9*12/1000</f>
        <v>67239.360000000001</v>
      </c>
      <c r="I9" s="571">
        <v>435</v>
      </c>
      <c r="J9" s="566">
        <v>13646</v>
      </c>
      <c r="K9" s="547">
        <f>J9/G9</f>
        <v>1.0812995245641839</v>
      </c>
      <c r="L9" s="572">
        <v>71232.100000000006</v>
      </c>
      <c r="M9" s="571">
        <v>26</v>
      </c>
      <c r="N9" s="566">
        <f>O9/M9/12*1000</f>
        <v>16771.474358974359</v>
      </c>
      <c r="O9" s="567">
        <v>5232.7</v>
      </c>
      <c r="P9" s="573">
        <v>22</v>
      </c>
      <c r="Q9" s="566">
        <v>20793</v>
      </c>
      <c r="R9" s="574">
        <f>P9*Q9*12/1000</f>
        <v>5489.3519999999999</v>
      </c>
      <c r="S9" s="349">
        <v>26.5</v>
      </c>
      <c r="T9" s="446">
        <f>U9/12/S9*1000</f>
        <v>17888.993710691826</v>
      </c>
      <c r="U9" s="407">
        <f>вода!I13</f>
        <v>5688.7</v>
      </c>
      <c r="V9" s="436">
        <v>22</v>
      </c>
      <c r="W9" s="575">
        <f>X9/9/V9*1000</f>
        <v>17417.171717171717</v>
      </c>
      <c r="X9" s="576">
        <v>3448.6</v>
      </c>
      <c r="Y9" s="577">
        <v>26.5</v>
      </c>
      <c r="Z9" s="575">
        <f>AA9/12/Y9*1000</f>
        <v>15450.943396226414</v>
      </c>
      <c r="AA9" s="578">
        <v>4913.3999999999996</v>
      </c>
      <c r="AB9" s="577">
        <v>26.5</v>
      </c>
      <c r="AC9" s="575">
        <v>21852</v>
      </c>
      <c r="AD9" s="579">
        <f t="shared" ref="AD9:AD18" si="0">AC9/T9*100</f>
        <v>122.15332149700282</v>
      </c>
      <c r="AE9" s="579">
        <f t="shared" ref="AE9:AE18" si="1">AC9/Z9*100</f>
        <v>141.42825741848824</v>
      </c>
      <c r="AF9" s="578">
        <f>AB9*AC9*12/1000</f>
        <v>6948.9359999999997</v>
      </c>
      <c r="AG9" s="577">
        <f>V9</f>
        <v>22</v>
      </c>
      <c r="AH9" s="575">
        <f>Z9*1.051</f>
        <v>16238.94150943396</v>
      </c>
      <c r="AI9" s="580">
        <f>AH9/Z9*100</f>
        <v>105.1</v>
      </c>
      <c r="AJ9" s="581">
        <f>AH9*12*AG9/1000</f>
        <v>4287.0805584905647</v>
      </c>
      <c r="AK9" s="582">
        <f>AJ9/U9*100</f>
        <v>75.361340174214931</v>
      </c>
      <c r="AL9" s="577">
        <v>26.5</v>
      </c>
      <c r="AM9" s="583">
        <f>T9*1.071</f>
        <v>19159.112264150946</v>
      </c>
      <c r="AN9" s="561">
        <f>AM9/T9*100</f>
        <v>107.1</v>
      </c>
      <c r="AO9" s="584">
        <f>AM9/Z9*100</f>
        <v>123.99962754915133</v>
      </c>
      <c r="AP9" s="578">
        <f>AL9*AM9*12/1000</f>
        <v>6092.5977000000012</v>
      </c>
      <c r="AQ9" s="1307"/>
      <c r="AR9" s="1307"/>
      <c r="AS9" s="1307"/>
      <c r="AT9" s="1307"/>
      <c r="AU9" s="577">
        <v>22</v>
      </c>
      <c r="AV9" s="575">
        <f>AW9/9/AU9*1000</f>
        <v>21411.616161616163</v>
      </c>
      <c r="AW9" s="578">
        <v>4239.5</v>
      </c>
      <c r="AX9" s="577">
        <v>22</v>
      </c>
      <c r="AY9" s="575">
        <f>AZ9/3/AX9*1000</f>
        <v>23621.21212121212</v>
      </c>
      <c r="AZ9" s="578">
        <v>1559</v>
      </c>
      <c r="BA9" s="577">
        <v>22</v>
      </c>
      <c r="BB9" s="583">
        <f>BC9/BA9/12*1000</f>
        <v>21159.469696969696</v>
      </c>
      <c r="BC9" s="585">
        <v>5586.1</v>
      </c>
      <c r="BD9" s="563">
        <f>(M9+P9+Y9+BA9)/4</f>
        <v>24.125</v>
      </c>
      <c r="BE9" s="1318"/>
      <c r="BF9" s="1318"/>
      <c r="BG9" s="1318"/>
      <c r="BH9" s="1318"/>
      <c r="BI9" s="1318"/>
      <c r="BJ9" s="1318"/>
      <c r="BK9" s="1318"/>
      <c r="BL9" s="1318"/>
      <c r="BM9" s="1318"/>
      <c r="BN9" s="1318"/>
      <c r="BO9" s="1318"/>
      <c r="BP9" s="1318"/>
      <c r="BQ9" s="1318"/>
      <c r="BR9" s="1318"/>
      <c r="BS9" s="1318"/>
      <c r="BT9" s="1318"/>
      <c r="BU9" s="1318"/>
      <c r="BV9" s="1318"/>
      <c r="BW9" s="1318"/>
      <c r="BX9" s="1318"/>
      <c r="BY9" s="1318"/>
    </row>
    <row r="10" spans="1:98" ht="18.75" hidden="1">
      <c r="A10" s="564" t="s">
        <v>194</v>
      </c>
      <c r="B10" s="419" t="s">
        <v>87</v>
      </c>
      <c r="C10" s="565">
        <v>384</v>
      </c>
      <c r="D10" s="566">
        <v>11838</v>
      </c>
      <c r="E10" s="567">
        <v>54547.199999999997</v>
      </c>
      <c r="F10" s="568">
        <v>369</v>
      </c>
      <c r="G10" s="569">
        <v>12231</v>
      </c>
      <c r="H10" s="570">
        <f>F10*G10*12/1000</f>
        <v>54158.868000000002</v>
      </c>
      <c r="I10" s="571">
        <v>364</v>
      </c>
      <c r="J10" s="566">
        <v>13021</v>
      </c>
      <c r="K10" s="547">
        <f>J10/G10</f>
        <v>1.0645899762897555</v>
      </c>
      <c r="L10" s="572">
        <v>56876.800000000003</v>
      </c>
      <c r="M10" s="586">
        <v>71.5</v>
      </c>
      <c r="N10" s="566">
        <f>O10/M10/12*1000</f>
        <v>16952.564102564102</v>
      </c>
      <c r="O10" s="567">
        <v>14545.3</v>
      </c>
      <c r="P10" s="573">
        <v>70</v>
      </c>
      <c r="Q10" s="566">
        <f>R10/P10/12*1000</f>
        <v>18740.238095238095</v>
      </c>
      <c r="R10" s="574">
        <v>15741.8</v>
      </c>
      <c r="S10" s="349">
        <v>72.5</v>
      </c>
      <c r="T10" s="446">
        <f>U10/S10/12*1000</f>
        <v>18462.988505747122</v>
      </c>
      <c r="U10" s="407">
        <f>вода!I23</f>
        <v>16062.8</v>
      </c>
      <c r="V10" s="436">
        <v>72</v>
      </c>
      <c r="W10" s="575">
        <f>X10/V10/12*1000</f>
        <v>13525</v>
      </c>
      <c r="X10" s="576">
        <v>11685.6</v>
      </c>
      <c r="Y10" s="577">
        <v>72.5</v>
      </c>
      <c r="Z10" s="575">
        <f>AA10/12/72*1000</f>
        <v>19107.638888888891</v>
      </c>
      <c r="AA10" s="578">
        <v>16509</v>
      </c>
      <c r="AB10" s="577">
        <v>72.5</v>
      </c>
      <c r="AC10" s="575">
        <v>23802</v>
      </c>
      <c r="AD10" s="579">
        <f t="shared" si="0"/>
        <v>128.91737430584956</v>
      </c>
      <c r="AE10" s="579">
        <f t="shared" si="1"/>
        <v>124.56798110121751</v>
      </c>
      <c r="AF10" s="578">
        <f>AB10*AC10*12/1000</f>
        <v>20707.740000000002</v>
      </c>
      <c r="AG10" s="577">
        <f>V10</f>
        <v>72</v>
      </c>
      <c r="AH10" s="575">
        <f>Z10*1.051</f>
        <v>20082.128472222223</v>
      </c>
      <c r="AI10" s="580">
        <f>AH10/Z10*100</f>
        <v>105.1</v>
      </c>
      <c r="AJ10" s="581">
        <f>AH10*12*AG10/1000</f>
        <v>17350.958999999999</v>
      </c>
      <c r="AK10" s="582">
        <f>AJ10/U10*100</f>
        <v>108.01951714520506</v>
      </c>
      <c r="AL10" s="577">
        <v>72.5</v>
      </c>
      <c r="AM10" s="583">
        <f>T10*1.071</f>
        <v>19773.860689655168</v>
      </c>
      <c r="AN10" s="561">
        <f>AM10/T10*100</f>
        <v>107.1</v>
      </c>
      <c r="AO10" s="584">
        <f t="shared" ref="AO10:AO18" si="2">AM10/Z10*100</f>
        <v>103.48667778703775</v>
      </c>
      <c r="AP10" s="578">
        <f>AL10*AM10*12/1000</f>
        <v>17203.258799999996</v>
      </c>
      <c r="AQ10" s="1307"/>
      <c r="AR10" s="1307"/>
      <c r="AS10" s="1307"/>
      <c r="AT10" s="1307"/>
      <c r="AU10" s="577">
        <v>72</v>
      </c>
      <c r="AV10" s="575">
        <f>AW10/9/AU10*1000</f>
        <v>21503.703703703704</v>
      </c>
      <c r="AW10" s="578">
        <v>13934.4</v>
      </c>
      <c r="AX10" s="577">
        <v>72</v>
      </c>
      <c r="AY10" s="575">
        <f>AZ10/3/AX10*1000</f>
        <v>23650.925925925927</v>
      </c>
      <c r="AZ10" s="578">
        <v>5108.6000000000004</v>
      </c>
      <c r="BA10" s="577">
        <v>72</v>
      </c>
      <c r="BB10" s="583">
        <f>BC10/BA10/12*1000</f>
        <v>21402.199074074077</v>
      </c>
      <c r="BC10" s="585">
        <v>18491.5</v>
      </c>
      <c r="BD10" s="563">
        <f>(M10+P10+Y10+BA10)/4</f>
        <v>71.5</v>
      </c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  <c r="BY10" s="1318"/>
    </row>
    <row r="11" spans="1:98" ht="18.75" hidden="1">
      <c r="A11" s="564" t="s">
        <v>202</v>
      </c>
      <c r="B11" s="419" t="s">
        <v>88</v>
      </c>
      <c r="C11" s="565"/>
      <c r="D11" s="566"/>
      <c r="E11" s="567"/>
      <c r="F11" s="568"/>
      <c r="G11" s="569"/>
      <c r="H11" s="570"/>
      <c r="I11" s="571"/>
      <c r="J11" s="566"/>
      <c r="K11" s="547"/>
      <c r="L11" s="572"/>
      <c r="M11" s="571">
        <v>33</v>
      </c>
      <c r="N11" s="566">
        <v>18981</v>
      </c>
      <c r="O11" s="567">
        <f>M11*N11*12/1000</f>
        <v>7516.4759999999997</v>
      </c>
      <c r="P11" s="587">
        <v>32</v>
      </c>
      <c r="Q11" s="588">
        <v>21797</v>
      </c>
      <c r="R11" s="574">
        <f>P11*Q11*12/1000</f>
        <v>8370.0480000000007</v>
      </c>
      <c r="S11" s="349">
        <v>31</v>
      </c>
      <c r="T11" s="348">
        <v>23385</v>
      </c>
      <c r="U11" s="407">
        <f>S11*T11*12/1000</f>
        <v>8699.2199999999993</v>
      </c>
      <c r="V11" s="436">
        <v>30</v>
      </c>
      <c r="W11" s="575">
        <v>21786</v>
      </c>
      <c r="X11" s="576">
        <f>V11*W11*9/1000</f>
        <v>5882.22</v>
      </c>
      <c r="Y11" s="577">
        <v>31</v>
      </c>
      <c r="Z11" s="575">
        <v>24160</v>
      </c>
      <c r="AA11" s="578">
        <v>8778.6</v>
      </c>
      <c r="AB11" s="577">
        <v>31</v>
      </c>
      <c r="AC11" s="575">
        <v>28610</v>
      </c>
      <c r="AD11" s="579">
        <f t="shared" si="0"/>
        <v>122.34338251015609</v>
      </c>
      <c r="AE11" s="579">
        <f t="shared" si="1"/>
        <v>118.41887417218544</v>
      </c>
      <c r="AF11" s="578">
        <f>AB11*AC11*12/1000</f>
        <v>10642.92</v>
      </c>
      <c r="AG11" s="577"/>
      <c r="AH11" s="575"/>
      <c r="AI11" s="580"/>
      <c r="AJ11" s="581"/>
      <c r="AK11" s="582"/>
      <c r="AL11" s="577">
        <v>31</v>
      </c>
      <c r="AM11" s="583">
        <f>T11*1.071</f>
        <v>25045.334999999999</v>
      </c>
      <c r="AN11" s="561">
        <f>AM11/T11*100</f>
        <v>107.1</v>
      </c>
      <c r="AO11" s="584">
        <f t="shared" si="2"/>
        <v>103.66446605960265</v>
      </c>
      <c r="AP11" s="578">
        <f>AL11*AM11*12/1000</f>
        <v>9316.8646200000003</v>
      </c>
      <c r="AQ11" s="1307"/>
      <c r="AR11" s="1307"/>
      <c r="AS11" s="1307"/>
      <c r="AT11" s="1307"/>
      <c r="AU11" s="577">
        <v>32</v>
      </c>
      <c r="AV11" s="575">
        <f>AW11/9/AU11*1000</f>
        <v>25180.902777777777</v>
      </c>
      <c r="AW11" s="578">
        <v>7252.1</v>
      </c>
      <c r="AX11" s="577">
        <v>32</v>
      </c>
      <c r="AY11" s="575">
        <f>AZ11/3/AX11*1000</f>
        <v>28734.375</v>
      </c>
      <c r="AZ11" s="578">
        <v>2758.5</v>
      </c>
      <c r="BA11" s="577">
        <v>31</v>
      </c>
      <c r="BB11" s="583">
        <f>BC11/BA11/12*1000</f>
        <v>26139.247311827956</v>
      </c>
      <c r="BC11" s="585">
        <v>9723.7999999999993</v>
      </c>
      <c r="BD11" s="563">
        <f>(M11+P11+Y11+BA11)/4</f>
        <v>31.75</v>
      </c>
      <c r="BE11" s="1318"/>
      <c r="BF11" s="1318"/>
      <c r="BG11" s="1318"/>
      <c r="BH11" s="1318"/>
      <c r="BI11" s="1318"/>
      <c r="BJ11" s="1318"/>
      <c r="BK11" s="1318"/>
      <c r="BL11" s="1318"/>
      <c r="BM11" s="1318"/>
      <c r="BN11" s="1318"/>
      <c r="BO11" s="1318"/>
      <c r="BP11" s="1318"/>
      <c r="BQ11" s="1318"/>
      <c r="BR11" s="1318"/>
      <c r="BS11" s="1318"/>
      <c r="BT11" s="1318"/>
      <c r="BU11" s="1318"/>
      <c r="BV11" s="1318"/>
      <c r="BW11" s="1318"/>
      <c r="BX11" s="1318"/>
      <c r="BY11" s="1318"/>
    </row>
    <row r="12" spans="1:98" ht="18.75" hidden="1">
      <c r="A12" s="564" t="s">
        <v>203</v>
      </c>
      <c r="B12" s="419" t="s">
        <v>89</v>
      </c>
      <c r="C12" s="565"/>
      <c r="D12" s="566"/>
      <c r="E12" s="567"/>
      <c r="F12" s="568"/>
      <c r="G12" s="569"/>
      <c r="H12" s="570"/>
      <c r="I12" s="571"/>
      <c r="J12" s="566"/>
      <c r="K12" s="547"/>
      <c r="L12" s="572"/>
      <c r="M12" s="571">
        <v>25</v>
      </c>
      <c r="N12" s="566">
        <v>17707</v>
      </c>
      <c r="O12" s="567">
        <f>M12*N12*12/1000</f>
        <v>5312.1</v>
      </c>
      <c r="P12" s="587">
        <v>26</v>
      </c>
      <c r="Q12" s="588">
        <v>21864</v>
      </c>
      <c r="R12" s="574">
        <f>P12*Q12*12/1000</f>
        <v>6821.5680000000002</v>
      </c>
      <c r="S12" s="349">
        <v>25</v>
      </c>
      <c r="T12" s="348">
        <v>20581</v>
      </c>
      <c r="U12" s="407">
        <f>S12*T12*12/1000</f>
        <v>6174.3</v>
      </c>
      <c r="V12" s="436">
        <v>25</v>
      </c>
      <c r="W12" s="575">
        <v>18220</v>
      </c>
      <c r="X12" s="576">
        <f>V12*W12*9/1000</f>
        <v>4099.5</v>
      </c>
      <c r="Y12" s="577">
        <v>25</v>
      </c>
      <c r="Z12" s="575">
        <v>20570</v>
      </c>
      <c r="AA12" s="578">
        <v>5838.5</v>
      </c>
      <c r="AB12" s="577">
        <v>25</v>
      </c>
      <c r="AC12" s="575">
        <v>25138</v>
      </c>
      <c r="AD12" s="579">
        <f t="shared" si="0"/>
        <v>122.14178125455517</v>
      </c>
      <c r="AE12" s="579">
        <f t="shared" si="1"/>
        <v>122.2070977151191</v>
      </c>
      <c r="AF12" s="578">
        <f>AB12*AC12*12/1000</f>
        <v>7541.4</v>
      </c>
      <c r="AG12" s="577"/>
      <c r="AH12" s="575"/>
      <c r="AI12" s="580"/>
      <c r="AJ12" s="581"/>
      <c r="AK12" s="582"/>
      <c r="AL12" s="577">
        <v>25</v>
      </c>
      <c r="AM12" s="583">
        <f>T12*1.071</f>
        <v>22042.251</v>
      </c>
      <c r="AN12" s="561">
        <f>AM12/T12*100</f>
        <v>107.1</v>
      </c>
      <c r="AO12" s="584">
        <f t="shared" si="2"/>
        <v>107.15727272727274</v>
      </c>
      <c r="AP12" s="578">
        <f>AL12*AM12*12/1000</f>
        <v>6612.6753000000008</v>
      </c>
      <c r="AQ12" s="1307"/>
      <c r="AR12" s="1307"/>
      <c r="AS12" s="1307"/>
      <c r="AT12" s="1307"/>
      <c r="AU12" s="577">
        <v>25</v>
      </c>
      <c r="AV12" s="575">
        <f>AW12/9/AU12*1000</f>
        <v>23007.111111111113</v>
      </c>
      <c r="AW12" s="578">
        <v>5176.6000000000004</v>
      </c>
      <c r="AX12" s="577">
        <v>25</v>
      </c>
      <c r="AY12" s="575">
        <f>AZ12/3/AX12*1000</f>
        <v>25722.666666666668</v>
      </c>
      <c r="AZ12" s="578">
        <v>1929.2</v>
      </c>
      <c r="BA12" s="577">
        <v>25</v>
      </c>
      <c r="BB12" s="583">
        <f>BC12/BA12/12*1000</f>
        <v>22826.333333333336</v>
      </c>
      <c r="BC12" s="585">
        <v>6847.9</v>
      </c>
      <c r="BD12" s="563">
        <f>(M12+P12+Y12+BA12)/4</f>
        <v>25.25</v>
      </c>
      <c r="BE12" s="1318"/>
      <c r="BF12" s="1318"/>
      <c r="BG12" s="1318"/>
      <c r="BH12" s="1318"/>
      <c r="BI12" s="1318"/>
      <c r="BJ12" s="1318"/>
      <c r="BK12" s="1318"/>
      <c r="BL12" s="1318"/>
      <c r="BM12" s="1318"/>
      <c r="BN12" s="1318"/>
      <c r="BO12" s="1318"/>
      <c r="BP12" s="1318"/>
      <c r="BQ12" s="1318"/>
      <c r="BR12" s="1318"/>
      <c r="BS12" s="1318"/>
      <c r="BT12" s="1318"/>
      <c r="BU12" s="1318"/>
      <c r="BV12" s="1318"/>
      <c r="BW12" s="1318"/>
      <c r="BX12" s="1318"/>
      <c r="BY12" s="1318"/>
    </row>
    <row r="13" spans="1:98" ht="18.75" hidden="1">
      <c r="A13" s="564"/>
      <c r="B13" s="419"/>
      <c r="C13" s="565"/>
      <c r="D13" s="566"/>
      <c r="E13" s="567"/>
      <c r="F13" s="568"/>
      <c r="G13" s="569"/>
      <c r="H13" s="570"/>
      <c r="I13" s="571"/>
      <c r="J13" s="566"/>
      <c r="K13" s="547"/>
      <c r="L13" s="572"/>
      <c r="M13" s="571"/>
      <c r="N13" s="566"/>
      <c r="O13" s="567"/>
      <c r="P13" s="574"/>
      <c r="Q13" s="589"/>
      <c r="R13" s="574"/>
      <c r="S13" s="349"/>
      <c r="T13" s="348"/>
      <c r="U13" s="407"/>
      <c r="V13" s="436"/>
      <c r="W13" s="575"/>
      <c r="X13" s="576"/>
      <c r="Y13" s="577"/>
      <c r="Z13" s="575"/>
      <c r="AA13" s="578"/>
      <c r="AB13" s="577"/>
      <c r="AC13" s="575"/>
      <c r="AD13" s="556"/>
      <c r="AE13" s="579"/>
      <c r="AF13" s="578"/>
      <c r="AG13" s="577"/>
      <c r="AH13" s="575"/>
      <c r="AI13" s="580"/>
      <c r="AJ13" s="581"/>
      <c r="AK13" s="582"/>
      <c r="AL13" s="577"/>
      <c r="AM13" s="575"/>
      <c r="AN13" s="561"/>
      <c r="AO13" s="584"/>
      <c r="AP13" s="578"/>
      <c r="AQ13" s="1307"/>
      <c r="AR13" s="1307"/>
      <c r="AS13" s="1307"/>
      <c r="AT13" s="1307"/>
      <c r="AU13" s="577"/>
      <c r="AV13" s="590"/>
      <c r="AW13" s="578"/>
      <c r="AX13" s="577"/>
      <c r="AY13" s="590"/>
      <c r="AZ13" s="578"/>
      <c r="BA13" s="577"/>
      <c r="BB13" s="575"/>
      <c r="BC13" s="585"/>
      <c r="BD13" s="563"/>
      <c r="BE13" s="1318"/>
      <c r="BF13" s="1318"/>
      <c r="BG13" s="1318"/>
      <c r="BH13" s="1318"/>
      <c r="BI13" s="1318"/>
      <c r="BJ13" s="1318"/>
      <c r="BK13" s="1318"/>
      <c r="BL13" s="1318"/>
      <c r="BM13" s="1318"/>
      <c r="BN13" s="1318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8"/>
      <c r="BY13" s="1318"/>
    </row>
    <row r="14" spans="1:98" ht="56.25" hidden="1">
      <c r="A14" s="538" t="s">
        <v>195</v>
      </c>
      <c r="B14" s="539" t="s">
        <v>205</v>
      </c>
      <c r="C14" s="540">
        <v>840</v>
      </c>
      <c r="D14" s="541">
        <v>12146</v>
      </c>
      <c r="E14" s="542">
        <v>122429.8</v>
      </c>
      <c r="F14" s="543">
        <f>F15+F16</f>
        <v>813</v>
      </c>
      <c r="G14" s="544">
        <f>(G15*F15+G16*F16)/(F15+F16)</f>
        <v>12443.442804428045</v>
      </c>
      <c r="H14" s="545">
        <f>H16+H15</f>
        <v>121398.228</v>
      </c>
      <c r="I14" s="546">
        <v>799</v>
      </c>
      <c r="J14" s="541">
        <v>13361</v>
      </c>
      <c r="K14" s="547">
        <f>J14/G14</f>
        <v>1.07373820975377</v>
      </c>
      <c r="L14" s="548">
        <v>128108.9</v>
      </c>
      <c r="M14" s="546">
        <f>M15+M16+M17+M18</f>
        <v>109</v>
      </c>
      <c r="N14" s="541">
        <f>O14/M14/12*1000</f>
        <v>18196.483180428135</v>
      </c>
      <c r="O14" s="542">
        <f>O15+O16+O17+O18</f>
        <v>23801.000000000004</v>
      </c>
      <c r="P14" s="549">
        <f>SUM(P15:P18)</f>
        <v>95</v>
      </c>
      <c r="Q14" s="550">
        <f>R14/P14/12*1000</f>
        <v>21844.621052631581</v>
      </c>
      <c r="R14" s="549">
        <f>SUM(R15:R18)</f>
        <v>24902.868000000002</v>
      </c>
      <c r="S14" s="551">
        <f>S15+S16+S17+S18</f>
        <v>105</v>
      </c>
      <c r="T14" s="447">
        <f>U14/S14/12*1000</f>
        <v>22144.31111111111</v>
      </c>
      <c r="U14" s="406">
        <f>U15+U16+U17+U18</f>
        <v>27901.832000000002</v>
      </c>
      <c r="V14" s="432">
        <f>V15+V16+V17+V18</f>
        <v>98</v>
      </c>
      <c r="W14" s="447">
        <f>X14/V14/12*1000</f>
        <v>15199.064625850338</v>
      </c>
      <c r="X14" s="552">
        <f>X15+X16+X17+X18</f>
        <v>17874.099999999999</v>
      </c>
      <c r="Y14" s="591">
        <f>Y15+Y16+Y17+Y18</f>
        <v>94</v>
      </c>
      <c r="Z14" s="592">
        <f>AA14/Y14/12*1000</f>
        <v>22720.301418439718</v>
      </c>
      <c r="AA14" s="593">
        <f>AA15+AA16+AA17+AA18</f>
        <v>25628.5</v>
      </c>
      <c r="AB14" s="553">
        <f>AB15+AB16+AB17+AB18</f>
        <v>105</v>
      </c>
      <c r="AC14" s="554">
        <f>AF14/AB14/12*1000</f>
        <v>27439.161904761906</v>
      </c>
      <c r="AD14" s="556">
        <f t="shared" si="0"/>
        <v>123.91065934308546</v>
      </c>
      <c r="AE14" s="579">
        <f t="shared" si="1"/>
        <v>120.76935688226555</v>
      </c>
      <c r="AF14" s="555">
        <f>AF15+AF16+AF17+AF18</f>
        <v>34573.344000000005</v>
      </c>
      <c r="AG14" s="577"/>
      <c r="AH14" s="575"/>
      <c r="AI14" s="580"/>
      <c r="AJ14" s="581"/>
      <c r="AK14" s="582"/>
      <c r="AL14" s="553">
        <f>AL15+AL16+AL17+AL18</f>
        <v>105</v>
      </c>
      <c r="AM14" s="554">
        <f>AP14/AL14/12*1000</f>
        <v>23716.557199999999</v>
      </c>
      <c r="AN14" s="561">
        <f>AM14/T14*100</f>
        <v>107.1</v>
      </c>
      <c r="AO14" s="584">
        <f t="shared" si="2"/>
        <v>104.38487044345162</v>
      </c>
      <c r="AP14" s="555">
        <f>AP15+AP16+AP17+AP18</f>
        <v>29882.862072</v>
      </c>
      <c r="AQ14" s="1306"/>
      <c r="AR14" s="1306"/>
      <c r="AS14" s="1306"/>
      <c r="AT14" s="1306"/>
      <c r="AU14" s="553">
        <f>AU15+AU16+AU17+AU18</f>
        <v>98</v>
      </c>
      <c r="AV14" s="554">
        <f>AW14/AU14/9*1000</f>
        <v>24623.582766439908</v>
      </c>
      <c r="AW14" s="555">
        <f>AW15+AW16+AW17+AW18</f>
        <v>21717.999999999996</v>
      </c>
      <c r="AX14" s="553">
        <f>AX15+AX16+AX17+AX18</f>
        <v>98</v>
      </c>
      <c r="AY14" s="554">
        <f>AZ14/AX14/3*1000</f>
        <v>27260.884353741498</v>
      </c>
      <c r="AZ14" s="555">
        <f>AZ15+AZ16+AZ17+AZ18</f>
        <v>8014.7000000000007</v>
      </c>
      <c r="BA14" s="553">
        <f>BA15+BA16+BA17+BA18</f>
        <v>98</v>
      </c>
      <c r="BB14" s="554">
        <f>BC14/BA14/12*1000</f>
        <v>24748.639455782311</v>
      </c>
      <c r="BC14" s="562">
        <f>BC15+BC16+BC17+BC18</f>
        <v>29104.399999999998</v>
      </c>
      <c r="BD14" s="563">
        <f>(M14+P14+Y14+BA14)/4</f>
        <v>99</v>
      </c>
      <c r="BE14" s="1318"/>
      <c r="BF14" s="1318"/>
      <c r="BG14" s="1318"/>
      <c r="BH14" s="1318"/>
      <c r="BI14" s="1318"/>
      <c r="BJ14" s="1318"/>
      <c r="BK14" s="1318"/>
      <c r="BL14" s="1318"/>
      <c r="BM14" s="1318"/>
      <c r="BN14" s="1318"/>
      <c r="BO14" s="1318"/>
      <c r="BP14" s="1318"/>
      <c r="BQ14" s="1318"/>
      <c r="BR14" s="1318"/>
      <c r="BS14" s="1318"/>
      <c r="BT14" s="1318"/>
      <c r="BU14" s="1318"/>
      <c r="BV14" s="1318"/>
      <c r="BW14" s="1318"/>
      <c r="BX14" s="1318"/>
      <c r="BY14" s="1318"/>
    </row>
    <row r="15" spans="1:98" ht="18.75" hidden="1">
      <c r="A15" s="564" t="s">
        <v>196</v>
      </c>
      <c r="B15" s="419" t="s">
        <v>91</v>
      </c>
      <c r="C15" s="565">
        <v>456</v>
      </c>
      <c r="D15" s="566">
        <v>12405</v>
      </c>
      <c r="E15" s="567">
        <v>67882.600000000006</v>
      </c>
      <c r="F15" s="568">
        <v>444</v>
      </c>
      <c r="G15" s="569">
        <v>12620</v>
      </c>
      <c r="H15" s="570">
        <f>F15*G15*12/1000</f>
        <v>67239.360000000001</v>
      </c>
      <c r="I15" s="571">
        <v>435</v>
      </c>
      <c r="J15" s="566">
        <v>13646</v>
      </c>
      <c r="K15" s="547">
        <f>J15/G15</f>
        <v>1.0812995245641839</v>
      </c>
      <c r="L15" s="572">
        <v>71232.100000000006</v>
      </c>
      <c r="M15" s="571">
        <v>26</v>
      </c>
      <c r="N15" s="566">
        <f>O15/M15/12*1000</f>
        <v>18108.974358974363</v>
      </c>
      <c r="O15" s="567">
        <v>5650</v>
      </c>
      <c r="P15" s="573">
        <v>26</v>
      </c>
      <c r="Q15" s="566">
        <f>R15/P15/12*1000</f>
        <v>19295.833333333336</v>
      </c>
      <c r="R15" s="574">
        <v>6020.3</v>
      </c>
      <c r="S15" s="349">
        <v>30</v>
      </c>
      <c r="T15" s="446">
        <f>U15/S15/12*1000</f>
        <v>18746.388888888887</v>
      </c>
      <c r="U15" s="407">
        <v>6748.7</v>
      </c>
      <c r="V15" s="436">
        <v>27</v>
      </c>
      <c r="W15" s="446">
        <f>X15/V15/9*1000</f>
        <v>17960.905349794237</v>
      </c>
      <c r="X15" s="576">
        <v>4364.5</v>
      </c>
      <c r="Y15" s="577">
        <v>26</v>
      </c>
      <c r="Z15" s="575">
        <f>AA15/12/Y15*1000</f>
        <v>19381.410256410254</v>
      </c>
      <c r="AA15" s="578">
        <v>6047</v>
      </c>
      <c r="AB15" s="577">
        <v>30</v>
      </c>
      <c r="AC15" s="575">
        <v>23903</v>
      </c>
      <c r="AD15" s="579">
        <f t="shared" si="0"/>
        <v>127.50722361343666</v>
      </c>
      <c r="AE15" s="579">
        <f t="shared" si="1"/>
        <v>123.32951876963784</v>
      </c>
      <c r="AF15" s="578">
        <f>AB15*AC15*12/1000</f>
        <v>8605.08</v>
      </c>
      <c r="AG15" s="577"/>
      <c r="AH15" s="575"/>
      <c r="AI15" s="580"/>
      <c r="AJ15" s="581"/>
      <c r="AK15" s="582"/>
      <c r="AL15" s="577">
        <v>30</v>
      </c>
      <c r="AM15" s="583">
        <f>T15*1.071</f>
        <v>20077.382499999996</v>
      </c>
      <c r="AN15" s="561">
        <f>AM15/T15*100</f>
        <v>107.1</v>
      </c>
      <c r="AO15" s="584">
        <f t="shared" si="2"/>
        <v>103.5909267405325</v>
      </c>
      <c r="AP15" s="578">
        <f>AL15*AM15*12/1000</f>
        <v>7227.8576999999987</v>
      </c>
      <c r="AQ15" s="1307"/>
      <c r="AR15" s="1307"/>
      <c r="AS15" s="1307"/>
      <c r="AT15" s="1307"/>
      <c r="AU15" s="577">
        <v>26</v>
      </c>
      <c r="AV15" s="575">
        <f>AW15/9/AU15*1000</f>
        <v>22458.119658119656</v>
      </c>
      <c r="AW15" s="578">
        <v>5255.2</v>
      </c>
      <c r="AX15" s="577">
        <v>26</v>
      </c>
      <c r="AY15" s="575">
        <f>AZ15/3/AX15*1000</f>
        <v>23894.871794871793</v>
      </c>
      <c r="AZ15" s="578">
        <v>1863.8</v>
      </c>
      <c r="BA15" s="577">
        <v>26</v>
      </c>
      <c r="BB15" s="583">
        <f>BC15/12/BA15*1000</f>
        <v>22598.076923076926</v>
      </c>
      <c r="BC15" s="585">
        <v>7050.6</v>
      </c>
      <c r="BD15" s="563">
        <f>(M15+P15+Y15+BA15)/4</f>
        <v>26</v>
      </c>
      <c r="BE15" s="1318"/>
      <c r="BF15" s="1318"/>
      <c r="BG15" s="1318"/>
      <c r="BH15" s="1318"/>
      <c r="BI15" s="1318"/>
      <c r="BJ15" s="1318"/>
      <c r="BK15" s="1318"/>
      <c r="BL15" s="1318"/>
      <c r="BM15" s="1318"/>
      <c r="BN15" s="1318"/>
      <c r="BO15" s="1318"/>
      <c r="BP15" s="1318"/>
      <c r="BQ15" s="1318"/>
      <c r="BR15" s="1318"/>
      <c r="BS15" s="1318"/>
      <c r="BT15" s="1318"/>
      <c r="BU15" s="1318"/>
      <c r="BV15" s="1318"/>
      <c r="BW15" s="1318"/>
      <c r="BX15" s="1318"/>
      <c r="BY15" s="1318"/>
    </row>
    <row r="16" spans="1:98" ht="18.75" hidden="1">
      <c r="A16" s="564" t="s">
        <v>197</v>
      </c>
      <c r="B16" s="419" t="s">
        <v>92</v>
      </c>
      <c r="C16" s="565">
        <v>384</v>
      </c>
      <c r="D16" s="566">
        <v>11838</v>
      </c>
      <c r="E16" s="567">
        <v>54547.199999999997</v>
      </c>
      <c r="F16" s="568">
        <v>369</v>
      </c>
      <c r="G16" s="569">
        <v>12231</v>
      </c>
      <c r="H16" s="570">
        <f>F16*G16*12/1000</f>
        <v>54158.868000000002</v>
      </c>
      <c r="I16" s="571">
        <v>364</v>
      </c>
      <c r="J16" s="566">
        <v>13021</v>
      </c>
      <c r="K16" s="547">
        <f>J16/G16</f>
        <v>1.0645899762897555</v>
      </c>
      <c r="L16" s="572">
        <v>56876.800000000003</v>
      </c>
      <c r="M16" s="571">
        <v>60</v>
      </c>
      <c r="N16" s="566">
        <v>19277</v>
      </c>
      <c r="O16" s="567">
        <f>M16*N16*12/1000</f>
        <v>13879.44</v>
      </c>
      <c r="P16" s="573">
        <v>48</v>
      </c>
      <c r="Q16" s="566">
        <v>22603</v>
      </c>
      <c r="R16" s="574">
        <f>P16*Q16*12/1000</f>
        <v>13019.328</v>
      </c>
      <c r="S16" s="349">
        <v>49</v>
      </c>
      <c r="T16" s="348">
        <v>24500</v>
      </c>
      <c r="U16" s="407">
        <f>S16*T16*12/1000</f>
        <v>14406</v>
      </c>
      <c r="V16" s="436">
        <v>48</v>
      </c>
      <c r="W16" s="446">
        <f>X16/V16/9*1000</f>
        <v>21462.037037037036</v>
      </c>
      <c r="X16" s="576">
        <v>9271.6</v>
      </c>
      <c r="Y16" s="577">
        <v>48</v>
      </c>
      <c r="Z16" s="575">
        <f>AA16/12/Y16*1000</f>
        <v>23137.326388888891</v>
      </c>
      <c r="AA16" s="578">
        <v>13327.1</v>
      </c>
      <c r="AB16" s="577">
        <v>49</v>
      </c>
      <c r="AC16" s="575">
        <v>28797</v>
      </c>
      <c r="AD16" s="579">
        <f t="shared" si="0"/>
        <v>117.53877551020409</v>
      </c>
      <c r="AE16" s="579">
        <f t="shared" si="1"/>
        <v>124.46122562297874</v>
      </c>
      <c r="AF16" s="578">
        <f>AB16*AC16*12/1000</f>
        <v>16932.635999999999</v>
      </c>
      <c r="AG16" s="577"/>
      <c r="AH16" s="575"/>
      <c r="AI16" s="580"/>
      <c r="AJ16" s="581"/>
      <c r="AK16" s="582"/>
      <c r="AL16" s="577">
        <v>49</v>
      </c>
      <c r="AM16" s="583">
        <f>T16*1.071</f>
        <v>26239.5</v>
      </c>
      <c r="AN16" s="561">
        <f>AM16/T16*100</f>
        <v>107.1</v>
      </c>
      <c r="AO16" s="584">
        <f t="shared" si="2"/>
        <v>113.40765808015247</v>
      </c>
      <c r="AP16" s="578">
        <f>AL16*AM16*12/1000</f>
        <v>15428.825999999999</v>
      </c>
      <c r="AQ16" s="1307"/>
      <c r="AR16" s="1307"/>
      <c r="AS16" s="1307"/>
      <c r="AT16" s="1307"/>
      <c r="AU16" s="577">
        <v>49</v>
      </c>
      <c r="AV16" s="575">
        <f>AW16/9/AU16*1000</f>
        <v>25834.24036281179</v>
      </c>
      <c r="AW16" s="578">
        <v>11392.9</v>
      </c>
      <c r="AX16" s="577">
        <v>49</v>
      </c>
      <c r="AY16" s="575">
        <f>AZ16/3/AX16*1000</f>
        <v>28514.285714285717</v>
      </c>
      <c r="AZ16" s="578">
        <v>4191.6000000000004</v>
      </c>
      <c r="BA16" s="577">
        <v>49</v>
      </c>
      <c r="BB16" s="583">
        <f>BC16/12/BA16*1000</f>
        <v>26018.707482993199</v>
      </c>
      <c r="BC16" s="585">
        <v>15299</v>
      </c>
      <c r="BD16" s="563">
        <f>(M16+P16+Y16+BA16)/4</f>
        <v>51.25</v>
      </c>
      <c r="BE16" s="1318"/>
      <c r="BF16" s="1318"/>
      <c r="BG16" s="1318"/>
      <c r="BH16" s="1318"/>
      <c r="BI16" s="1318"/>
      <c r="BJ16" s="1318"/>
      <c r="BK16" s="1318"/>
      <c r="BL16" s="1318"/>
      <c r="BM16" s="1318"/>
      <c r="BN16" s="1318"/>
      <c r="BO16" s="1318"/>
      <c r="BP16" s="1318"/>
      <c r="BQ16" s="1318"/>
      <c r="BR16" s="1318"/>
      <c r="BS16" s="1318"/>
      <c r="BT16" s="1318"/>
      <c r="BU16" s="1318"/>
      <c r="BV16" s="1318"/>
      <c r="BW16" s="1318"/>
      <c r="BX16" s="1318"/>
      <c r="BY16" s="1318"/>
    </row>
    <row r="17" spans="1:98" ht="75" hidden="1">
      <c r="A17" s="564" t="s">
        <v>206</v>
      </c>
      <c r="B17" s="594" t="s">
        <v>208</v>
      </c>
      <c r="C17" s="565"/>
      <c r="D17" s="566"/>
      <c r="E17" s="567"/>
      <c r="F17" s="568"/>
      <c r="G17" s="569"/>
      <c r="H17" s="570"/>
      <c r="I17" s="571"/>
      <c r="J17" s="566"/>
      <c r="K17" s="547"/>
      <c r="L17" s="572"/>
      <c r="M17" s="571">
        <v>6</v>
      </c>
      <c r="N17" s="541">
        <f>O17/M17/12*1000</f>
        <v>18130.555555555555</v>
      </c>
      <c r="O17" s="567">
        <v>1305.4000000000001</v>
      </c>
      <c r="P17" s="587">
        <v>6</v>
      </c>
      <c r="Q17" s="588">
        <f>R17/P17/12*1000</f>
        <v>22363.888888888891</v>
      </c>
      <c r="R17" s="574">
        <v>1610.2</v>
      </c>
      <c r="S17" s="349">
        <v>7</v>
      </c>
      <c r="T17" s="348">
        <v>22943</v>
      </c>
      <c r="U17" s="407">
        <f>S17*T17*12/1000</f>
        <v>1927.212</v>
      </c>
      <c r="V17" s="436">
        <v>7</v>
      </c>
      <c r="W17" s="446">
        <f>X17/V17/9*1000</f>
        <v>18404.761904761905</v>
      </c>
      <c r="X17" s="576">
        <v>1159.5</v>
      </c>
      <c r="Y17" s="577">
        <v>5</v>
      </c>
      <c r="Z17" s="575">
        <f>AA17/12/Y17*1000</f>
        <v>28281.666666666668</v>
      </c>
      <c r="AA17" s="578">
        <v>1696.9</v>
      </c>
      <c r="AB17" s="577">
        <v>7</v>
      </c>
      <c r="AC17" s="575">
        <v>29211</v>
      </c>
      <c r="AD17" s="579">
        <f t="shared" si="0"/>
        <v>127.31987970186984</v>
      </c>
      <c r="AE17" s="579">
        <f t="shared" si="1"/>
        <v>103.2859921032471</v>
      </c>
      <c r="AF17" s="578">
        <f>AB17*AC17*12/1000</f>
        <v>2453.7240000000002</v>
      </c>
      <c r="AG17" s="577"/>
      <c r="AH17" s="575"/>
      <c r="AI17" s="580"/>
      <c r="AJ17" s="581"/>
      <c r="AK17" s="582"/>
      <c r="AL17" s="577">
        <v>7</v>
      </c>
      <c r="AM17" s="583">
        <f>T17*1.071</f>
        <v>24571.952999999998</v>
      </c>
      <c r="AN17" s="561">
        <f>AM17/T17*100</f>
        <v>107.1</v>
      </c>
      <c r="AO17" s="584">
        <f t="shared" si="2"/>
        <v>86.882973657846648</v>
      </c>
      <c r="AP17" s="578">
        <f>AL17*AM17*12/1000</f>
        <v>2064.0440519999997</v>
      </c>
      <c r="AQ17" s="1307"/>
      <c r="AR17" s="1307"/>
      <c r="AS17" s="1307"/>
      <c r="AT17" s="1307"/>
      <c r="AU17" s="577">
        <v>6</v>
      </c>
      <c r="AV17" s="575">
        <f>AW17/9/AU17*1000</f>
        <v>23866.666666666664</v>
      </c>
      <c r="AW17" s="578">
        <v>1288.8</v>
      </c>
      <c r="AX17" s="577">
        <v>6</v>
      </c>
      <c r="AY17" s="575">
        <f>AZ17/3/AX17*1000</f>
        <v>29477.777777777777</v>
      </c>
      <c r="AZ17" s="578">
        <v>530.6</v>
      </c>
      <c r="BA17" s="577">
        <v>6</v>
      </c>
      <c r="BB17" s="583">
        <f>BC17/12/BA17*1000</f>
        <v>24416.666666666668</v>
      </c>
      <c r="BC17" s="585">
        <v>1758</v>
      </c>
      <c r="BD17" s="563">
        <f>(M17+P17+Y17+BA17)/4</f>
        <v>5.75</v>
      </c>
      <c r="BE17" s="1318"/>
      <c r="BF17" s="1318"/>
      <c r="BG17" s="1318"/>
      <c r="BH17" s="1318"/>
      <c r="BI17" s="1318"/>
      <c r="BJ17" s="1318"/>
      <c r="BK17" s="1318"/>
      <c r="BL17" s="1318"/>
      <c r="BM17" s="1318"/>
      <c r="BN17" s="1318"/>
      <c r="BO17" s="1318"/>
      <c r="BP17" s="1318"/>
      <c r="BQ17" s="1318"/>
      <c r="BR17" s="1318"/>
      <c r="BS17" s="1318"/>
      <c r="BT17" s="1318"/>
      <c r="BU17" s="1318"/>
      <c r="BV17" s="1318"/>
      <c r="BW17" s="1318"/>
      <c r="BX17" s="1318"/>
      <c r="BY17" s="1318"/>
    </row>
    <row r="18" spans="1:98" ht="19.5" hidden="1" thickBot="1">
      <c r="A18" s="595" t="s">
        <v>207</v>
      </c>
      <c r="B18" s="420" t="s">
        <v>89</v>
      </c>
      <c r="C18" s="596"/>
      <c r="D18" s="597"/>
      <c r="E18" s="598"/>
      <c r="F18" s="599"/>
      <c r="G18" s="600"/>
      <c r="H18" s="601"/>
      <c r="I18" s="602"/>
      <c r="J18" s="597"/>
      <c r="K18" s="603"/>
      <c r="L18" s="604"/>
      <c r="M18" s="602">
        <v>17</v>
      </c>
      <c r="N18" s="597">
        <v>14540</v>
      </c>
      <c r="O18" s="598">
        <f>M18*N18*12/1000</f>
        <v>2966.16</v>
      </c>
      <c r="P18" s="605">
        <v>15</v>
      </c>
      <c r="Q18" s="606">
        <v>23628</v>
      </c>
      <c r="R18" s="607">
        <f>P18*Q18*12/1000</f>
        <v>4253.04</v>
      </c>
      <c r="S18" s="608">
        <v>19</v>
      </c>
      <c r="T18" s="410">
        <v>21140</v>
      </c>
      <c r="U18" s="609">
        <f>S18*T18*12/1000</f>
        <v>4819.92</v>
      </c>
      <c r="V18" s="610">
        <v>16</v>
      </c>
      <c r="W18" s="611">
        <f>X18/V18/9*1000</f>
        <v>21378.472222222223</v>
      </c>
      <c r="X18" s="612">
        <v>3078.5</v>
      </c>
      <c r="Y18" s="613">
        <v>15</v>
      </c>
      <c r="Z18" s="611">
        <f>AA18/12/Y18*1000</f>
        <v>25319.444444444445</v>
      </c>
      <c r="AA18" s="614">
        <v>4557.5</v>
      </c>
      <c r="AB18" s="613">
        <v>19</v>
      </c>
      <c r="AC18" s="611">
        <v>28868</v>
      </c>
      <c r="AD18" s="615">
        <f t="shared" si="0"/>
        <v>136.55629139072846</v>
      </c>
      <c r="AE18" s="615">
        <f t="shared" si="1"/>
        <v>114.01513987931979</v>
      </c>
      <c r="AF18" s="614">
        <f>AB18*AC18*12/1000</f>
        <v>6581.9040000000005</v>
      </c>
      <c r="AG18" s="577"/>
      <c r="AH18" s="575"/>
      <c r="AI18" s="580"/>
      <c r="AJ18" s="581"/>
      <c r="AK18" s="582"/>
      <c r="AL18" s="613">
        <v>19</v>
      </c>
      <c r="AM18" s="616">
        <f>T18*1.071</f>
        <v>22640.94</v>
      </c>
      <c r="AN18" s="617">
        <f>AM18/T18*100</f>
        <v>107.1</v>
      </c>
      <c r="AO18" s="618">
        <f t="shared" si="2"/>
        <v>89.421156335710364</v>
      </c>
      <c r="AP18" s="614">
        <f>AL18*AM18*12/1000</f>
        <v>5162.1343200000001</v>
      </c>
      <c r="AQ18" s="1308"/>
      <c r="AR18" s="1308"/>
      <c r="AS18" s="1308"/>
      <c r="AT18" s="1308"/>
      <c r="AU18" s="613">
        <v>17</v>
      </c>
      <c r="AV18" s="611">
        <f>AW18/9/AU18*1000</f>
        <v>24713.071895424837</v>
      </c>
      <c r="AW18" s="614">
        <v>3781.1</v>
      </c>
      <c r="AX18" s="613">
        <v>17</v>
      </c>
      <c r="AY18" s="611">
        <f>AZ18/3/AX18*1000</f>
        <v>28013.725490196081</v>
      </c>
      <c r="AZ18" s="614">
        <v>1428.7</v>
      </c>
      <c r="BA18" s="613">
        <v>17</v>
      </c>
      <c r="BB18" s="616">
        <f>BC18/12/BA18*1000</f>
        <v>24494.117647058825</v>
      </c>
      <c r="BC18" s="619">
        <v>4996.8</v>
      </c>
      <c r="BD18" s="563">
        <f>(M18+P18+Y18+BA18)/4</f>
        <v>16</v>
      </c>
      <c r="BE18" s="1318"/>
      <c r="BF18" s="1318"/>
      <c r="BG18" s="1318"/>
      <c r="BH18" s="1318"/>
      <c r="BI18" s="1318"/>
      <c r="BJ18" s="1318"/>
      <c r="BK18" s="1318"/>
      <c r="BL18" s="1318"/>
      <c r="BM18" s="1318"/>
      <c r="BN18" s="1318"/>
      <c r="BO18" s="1318"/>
      <c r="BP18" s="1318"/>
      <c r="BQ18" s="1318"/>
      <c r="BR18" s="1318"/>
      <c r="BS18" s="1318"/>
      <c r="BT18" s="1318"/>
      <c r="BU18" s="1318"/>
      <c r="BV18" s="1318"/>
      <c r="BW18" s="1318"/>
      <c r="BX18" s="1318"/>
      <c r="BY18" s="1318"/>
    </row>
    <row r="19" spans="1:98" ht="18.75" thickBot="1">
      <c r="A19" s="380"/>
      <c r="B19" s="380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380"/>
      <c r="AQ19" s="380"/>
      <c r="AR19" s="380"/>
      <c r="AS19" s="380"/>
      <c r="AT19" s="380"/>
      <c r="AU19" s="380"/>
      <c r="AV19" s="380"/>
      <c r="AW19" s="380"/>
      <c r="AX19" s="380"/>
      <c r="AY19" s="380"/>
      <c r="AZ19" s="380"/>
      <c r="BA19" s="380"/>
      <c r="BB19" s="380"/>
      <c r="BC19" s="380"/>
      <c r="BD19" s="380"/>
      <c r="BE19" s="380"/>
      <c r="BF19" s="380"/>
      <c r="BG19" s="380"/>
      <c r="BH19" s="380"/>
      <c r="BI19" s="380"/>
      <c r="BJ19" s="380"/>
      <c r="BK19" s="380"/>
      <c r="BL19" s="380"/>
      <c r="BM19" s="380"/>
      <c r="BN19" s="380"/>
      <c r="BO19" s="380"/>
      <c r="BP19" s="380"/>
      <c r="BQ19" s="380"/>
      <c r="BR19" s="380"/>
      <c r="BS19" s="380"/>
      <c r="BT19" s="380"/>
      <c r="BU19" s="380"/>
      <c r="BV19" s="380"/>
      <c r="BW19" s="380"/>
      <c r="BX19" s="380"/>
      <c r="BY19" s="380"/>
    </row>
    <row r="20" spans="1:98" ht="27" customHeight="1" thickBot="1">
      <c r="A20" s="5087" t="s">
        <v>175</v>
      </c>
      <c r="B20" s="5085" t="s">
        <v>176</v>
      </c>
      <c r="C20" s="1309"/>
      <c r="D20" s="1309"/>
      <c r="E20" s="1309"/>
      <c r="F20" s="1309"/>
      <c r="G20" s="1309"/>
      <c r="H20" s="1309"/>
      <c r="I20" s="1309"/>
      <c r="J20" s="1309"/>
      <c r="K20" s="1309"/>
      <c r="L20" s="1309"/>
      <c r="M20" s="5037" t="s">
        <v>238</v>
      </c>
      <c r="N20" s="5037"/>
      <c r="O20" s="5037"/>
      <c r="P20" s="5037"/>
      <c r="Q20" s="5037"/>
      <c r="R20" s="5037"/>
      <c r="S20" s="5037"/>
      <c r="T20" s="5037"/>
      <c r="U20" s="5037"/>
      <c r="V20" s="5037"/>
      <c r="W20" s="5037"/>
      <c r="X20" s="5037"/>
      <c r="Y20" s="5037"/>
      <c r="Z20" s="5037"/>
      <c r="AA20" s="5037"/>
      <c r="AB20" s="5037"/>
      <c r="AC20" s="5037"/>
      <c r="AD20" s="5037"/>
      <c r="AE20" s="5037"/>
      <c r="AF20" s="5037"/>
      <c r="AG20" s="5037"/>
      <c r="AH20" s="5037"/>
      <c r="AI20" s="5037"/>
      <c r="AJ20" s="5037"/>
      <c r="AK20" s="5037"/>
      <c r="AL20" s="5037"/>
      <c r="AM20" s="5037"/>
      <c r="AN20" s="5037"/>
      <c r="AO20" s="5037"/>
      <c r="AP20" s="5037"/>
      <c r="AQ20" s="5037"/>
      <c r="AR20" s="5037"/>
      <c r="AS20" s="5037"/>
      <c r="AT20" s="5037"/>
      <c r="AU20" s="5036" t="s">
        <v>380</v>
      </c>
      <c r="AV20" s="5037"/>
      <c r="AW20" s="5037"/>
      <c r="AX20" s="5037"/>
      <c r="AY20" s="5037"/>
      <c r="AZ20" s="5037"/>
      <c r="BA20" s="5037"/>
      <c r="BB20" s="5037"/>
      <c r="BC20" s="5037"/>
      <c r="BD20" s="5037"/>
      <c r="BE20" s="5037"/>
      <c r="BF20" s="5037"/>
      <c r="BG20" s="5037"/>
      <c r="BH20" s="5037"/>
      <c r="BI20" s="5037"/>
      <c r="BJ20" s="5037"/>
      <c r="BK20" s="5037"/>
      <c r="BL20" s="5037"/>
      <c r="BM20" s="5038"/>
      <c r="BN20" s="5038"/>
      <c r="BO20" s="5038"/>
      <c r="BP20" s="5039"/>
      <c r="BQ20" s="5036" t="s">
        <v>833</v>
      </c>
      <c r="BR20" s="5037"/>
      <c r="BS20" s="5037"/>
      <c r="BT20" s="5037"/>
      <c r="BU20" s="5037"/>
      <c r="BV20" s="5037"/>
      <c r="BW20" s="5037"/>
      <c r="BX20" s="5037"/>
      <c r="BY20" s="5039"/>
      <c r="BZ20" s="5116" t="s">
        <v>1596</v>
      </c>
      <c r="CA20" s="5117"/>
      <c r="CB20" s="5117"/>
      <c r="CC20" s="5117"/>
      <c r="CD20" s="5117"/>
      <c r="CE20" s="5117"/>
      <c r="CF20" s="5117"/>
      <c r="CG20" s="5117"/>
      <c r="CH20" s="5117"/>
      <c r="CI20" s="5117"/>
      <c r="CJ20" s="5117"/>
      <c r="CK20" s="5118"/>
      <c r="CL20" s="5113" t="s">
        <v>912</v>
      </c>
      <c r="CM20" s="5114"/>
      <c r="CN20" s="5114"/>
      <c r="CO20" s="5114"/>
      <c r="CP20" s="5114"/>
      <c r="CQ20" s="5114"/>
      <c r="CR20" s="5114"/>
      <c r="CS20" s="5114"/>
      <c r="CT20" s="5115"/>
    </row>
    <row r="21" spans="1:98" ht="12.75" customHeight="1">
      <c r="A21" s="5088"/>
      <c r="B21" s="5086"/>
      <c r="C21" s="5054" t="s">
        <v>177</v>
      </c>
      <c r="D21" s="5054"/>
      <c r="E21" s="5058"/>
      <c r="F21" s="5053" t="s">
        <v>178</v>
      </c>
      <c r="G21" s="5054"/>
      <c r="H21" s="5054"/>
      <c r="I21" s="5057" t="s">
        <v>179</v>
      </c>
      <c r="J21" s="5057"/>
      <c r="K21" s="5057"/>
      <c r="L21" s="4534"/>
      <c r="M21" s="5092" t="s">
        <v>236</v>
      </c>
      <c r="N21" s="5098"/>
      <c r="O21" s="5098"/>
      <c r="P21" s="5098"/>
      <c r="Q21" s="5099"/>
      <c r="R21" s="4760"/>
      <c r="S21" s="5040" t="s">
        <v>237</v>
      </c>
      <c r="T21" s="5041"/>
      <c r="U21" s="5041"/>
      <c r="V21" s="5041"/>
      <c r="W21" s="5062"/>
      <c r="X21" s="5040" t="s">
        <v>431</v>
      </c>
      <c r="Y21" s="5041"/>
      <c r="Z21" s="5041"/>
      <c r="AA21" s="5041"/>
      <c r="AB21" s="5044"/>
      <c r="AC21" s="628"/>
      <c r="AD21" s="628"/>
      <c r="AE21" s="628"/>
      <c r="AF21" s="628"/>
      <c r="AG21" s="628"/>
      <c r="AH21" s="628"/>
      <c r="AI21" s="628"/>
      <c r="AJ21" s="628"/>
      <c r="AK21" s="628"/>
      <c r="AL21" s="5040" t="s">
        <v>432</v>
      </c>
      <c r="AM21" s="5041"/>
      <c r="AN21" s="5041"/>
      <c r="AO21" s="5041"/>
      <c r="AP21" s="5044"/>
      <c r="AQ21" s="5092" t="s">
        <v>832</v>
      </c>
      <c r="AR21" s="5093"/>
      <c r="AS21" s="5093"/>
      <c r="AT21" s="5094"/>
      <c r="AU21" s="5040" t="s">
        <v>383</v>
      </c>
      <c r="AV21" s="5041"/>
      <c r="AW21" s="5041"/>
      <c r="AX21" s="5041"/>
      <c r="AY21" s="5044"/>
      <c r="AZ21" s="5040" t="s">
        <v>387</v>
      </c>
      <c r="BA21" s="5041"/>
      <c r="BB21" s="5041"/>
      <c r="BC21" s="5041"/>
      <c r="BD21" s="5044"/>
      <c r="BE21" s="5040" t="s">
        <v>860</v>
      </c>
      <c r="BF21" s="5041"/>
      <c r="BG21" s="5041"/>
      <c r="BH21" s="5041"/>
      <c r="BI21" s="5040" t="s">
        <v>859</v>
      </c>
      <c r="BJ21" s="5041"/>
      <c r="BK21" s="5041"/>
      <c r="BL21" s="5041"/>
      <c r="BM21" s="5040" t="s">
        <v>1633</v>
      </c>
      <c r="BN21" s="5041"/>
      <c r="BO21" s="5041"/>
      <c r="BP21" s="5041"/>
      <c r="BQ21" s="5060" t="s">
        <v>861</v>
      </c>
      <c r="BR21" s="5061"/>
      <c r="BS21" s="5061"/>
      <c r="BT21" s="5061"/>
      <c r="BU21" s="5081" t="s">
        <v>862</v>
      </c>
      <c r="BV21" s="5082"/>
      <c r="BW21" s="5082"/>
      <c r="BX21" s="5082"/>
      <c r="BY21" s="5083"/>
      <c r="BZ21" s="5092" t="s">
        <v>1679</v>
      </c>
      <c r="CA21" s="5098"/>
      <c r="CB21" s="5098"/>
      <c r="CC21" s="5099"/>
      <c r="CD21" s="5040" t="s">
        <v>1673</v>
      </c>
      <c r="CE21" s="5041"/>
      <c r="CF21" s="5041"/>
      <c r="CG21" s="5041"/>
      <c r="CH21" s="5040" t="s">
        <v>1674</v>
      </c>
      <c r="CI21" s="5041"/>
      <c r="CJ21" s="5041"/>
      <c r="CK21" s="5041"/>
      <c r="CL21" s="5104" t="s">
        <v>1680</v>
      </c>
      <c r="CM21" s="5105"/>
      <c r="CN21" s="5105"/>
      <c r="CO21" s="5105"/>
      <c r="CP21" s="5108" t="s">
        <v>1681</v>
      </c>
      <c r="CQ21" s="5109"/>
      <c r="CR21" s="5109"/>
      <c r="CS21" s="5109"/>
      <c r="CT21" s="5110"/>
    </row>
    <row r="22" spans="1:98" ht="18.75" customHeight="1">
      <c r="A22" s="5088"/>
      <c r="B22" s="5086"/>
      <c r="C22" s="5056"/>
      <c r="D22" s="5056"/>
      <c r="E22" s="5059"/>
      <c r="F22" s="5055"/>
      <c r="G22" s="5056"/>
      <c r="H22" s="5056"/>
      <c r="I22" s="2928"/>
      <c r="J22" s="2928"/>
      <c r="K22" s="2928"/>
      <c r="L22" s="2928"/>
      <c r="M22" s="5100"/>
      <c r="N22" s="5101"/>
      <c r="O22" s="5101"/>
      <c r="P22" s="5101"/>
      <c r="Q22" s="5102"/>
      <c r="R22" s="4761"/>
      <c r="S22" s="5042"/>
      <c r="T22" s="5043"/>
      <c r="U22" s="5043"/>
      <c r="V22" s="5043"/>
      <c r="W22" s="5063"/>
      <c r="X22" s="5042"/>
      <c r="Y22" s="5043"/>
      <c r="Z22" s="5043"/>
      <c r="AA22" s="5043"/>
      <c r="AB22" s="5045"/>
      <c r="AC22" s="621"/>
      <c r="AD22" s="621"/>
      <c r="AE22" s="621"/>
      <c r="AF22" s="621"/>
      <c r="AG22" s="621"/>
      <c r="AH22" s="621"/>
      <c r="AI22" s="621"/>
      <c r="AJ22" s="621"/>
      <c r="AK22" s="621"/>
      <c r="AL22" s="5042"/>
      <c r="AM22" s="5043"/>
      <c r="AN22" s="5043"/>
      <c r="AO22" s="5043"/>
      <c r="AP22" s="5045"/>
      <c r="AQ22" s="5095"/>
      <c r="AR22" s="5096"/>
      <c r="AS22" s="5096"/>
      <c r="AT22" s="5097"/>
      <c r="AU22" s="5042"/>
      <c r="AV22" s="5043"/>
      <c r="AW22" s="5043"/>
      <c r="AX22" s="5043"/>
      <c r="AY22" s="5045"/>
      <c r="AZ22" s="5042"/>
      <c r="BA22" s="5043"/>
      <c r="BB22" s="5043"/>
      <c r="BC22" s="5043"/>
      <c r="BD22" s="5045"/>
      <c r="BE22" s="5042"/>
      <c r="BF22" s="5043"/>
      <c r="BG22" s="5043"/>
      <c r="BH22" s="5043"/>
      <c r="BI22" s="5042"/>
      <c r="BJ22" s="5043"/>
      <c r="BK22" s="5043"/>
      <c r="BL22" s="5043"/>
      <c r="BM22" s="5042"/>
      <c r="BN22" s="5043"/>
      <c r="BO22" s="5043"/>
      <c r="BP22" s="5043"/>
      <c r="BQ22" s="5042"/>
      <c r="BR22" s="5043"/>
      <c r="BS22" s="5043"/>
      <c r="BT22" s="5043"/>
      <c r="BU22" s="5081"/>
      <c r="BV22" s="5082"/>
      <c r="BW22" s="5082"/>
      <c r="BX22" s="5082"/>
      <c r="BY22" s="5083"/>
      <c r="BZ22" s="5100"/>
      <c r="CA22" s="5101"/>
      <c r="CB22" s="5101"/>
      <c r="CC22" s="5102"/>
      <c r="CD22" s="5042"/>
      <c r="CE22" s="5043"/>
      <c r="CF22" s="5043"/>
      <c r="CG22" s="5043"/>
      <c r="CH22" s="5042"/>
      <c r="CI22" s="5043"/>
      <c r="CJ22" s="5043"/>
      <c r="CK22" s="5043"/>
      <c r="CL22" s="5106"/>
      <c r="CM22" s="5107"/>
      <c r="CN22" s="5107"/>
      <c r="CO22" s="5107"/>
      <c r="CP22" s="5108"/>
      <c r="CQ22" s="5109"/>
      <c r="CR22" s="5109"/>
      <c r="CS22" s="5109"/>
      <c r="CT22" s="5110"/>
    </row>
    <row r="23" spans="1:98" ht="150.75" thickBot="1">
      <c r="A23" s="5088"/>
      <c r="B23" s="5086"/>
      <c r="C23" s="3056" t="s">
        <v>182</v>
      </c>
      <c r="D23" s="3057" t="s">
        <v>185</v>
      </c>
      <c r="E23" s="3058" t="s">
        <v>186</v>
      </c>
      <c r="F23" s="3056" t="s">
        <v>182</v>
      </c>
      <c r="G23" s="3057" t="s">
        <v>185</v>
      </c>
      <c r="H23" s="3059" t="s">
        <v>186</v>
      </c>
      <c r="I23" s="3056" t="s">
        <v>182</v>
      </c>
      <c r="J23" s="3057" t="s">
        <v>185</v>
      </c>
      <c r="K23" s="3057" t="s">
        <v>187</v>
      </c>
      <c r="L23" s="3059" t="s">
        <v>186</v>
      </c>
      <c r="M23" s="3060" t="s">
        <v>182</v>
      </c>
      <c r="N23" s="3061" t="s">
        <v>185</v>
      </c>
      <c r="O23" s="3061" t="s">
        <v>186</v>
      </c>
      <c r="P23" s="3061" t="s">
        <v>254</v>
      </c>
      <c r="Q23" s="3062" t="s">
        <v>255</v>
      </c>
      <c r="R23" s="4761"/>
      <c r="S23" s="3060" t="s">
        <v>182</v>
      </c>
      <c r="T23" s="3061" t="s">
        <v>185</v>
      </c>
      <c r="U23" s="3061" t="s">
        <v>186</v>
      </c>
      <c r="V23" s="3061" t="s">
        <v>254</v>
      </c>
      <c r="W23" s="3063" t="s">
        <v>255</v>
      </c>
      <c r="X23" s="3060" t="s">
        <v>182</v>
      </c>
      <c r="Y23" s="3061" t="s">
        <v>185</v>
      </c>
      <c r="Z23" s="3061" t="s">
        <v>186</v>
      </c>
      <c r="AA23" s="3061" t="s">
        <v>254</v>
      </c>
      <c r="AB23" s="3062" t="s">
        <v>255</v>
      </c>
      <c r="AC23" s="621"/>
      <c r="AD23" s="621"/>
      <c r="AE23" s="621"/>
      <c r="AF23" s="621"/>
      <c r="AG23" s="621"/>
      <c r="AH23" s="621"/>
      <c r="AI23" s="621"/>
      <c r="AJ23" s="621"/>
      <c r="AK23" s="621"/>
      <c r="AL23" s="3060" t="s">
        <v>182</v>
      </c>
      <c r="AM23" s="3061" t="s">
        <v>185</v>
      </c>
      <c r="AN23" s="3061" t="s">
        <v>186</v>
      </c>
      <c r="AO23" s="3061" t="s">
        <v>254</v>
      </c>
      <c r="AP23" s="3064"/>
      <c r="AQ23" s="3060" t="s">
        <v>182</v>
      </c>
      <c r="AR23" s="3061" t="s">
        <v>185</v>
      </c>
      <c r="AS23" s="3061" t="s">
        <v>186</v>
      </c>
      <c r="AT23" s="3061" t="s">
        <v>254</v>
      </c>
      <c r="AU23" s="3060" t="s">
        <v>182</v>
      </c>
      <c r="AV23" s="3061" t="s">
        <v>185</v>
      </c>
      <c r="AW23" s="3061" t="s">
        <v>186</v>
      </c>
      <c r="AX23" s="3061" t="s">
        <v>254</v>
      </c>
      <c r="AY23" s="3062" t="s">
        <v>454</v>
      </c>
      <c r="AZ23" s="3060" t="s">
        <v>182</v>
      </c>
      <c r="BA23" s="3061" t="s">
        <v>185</v>
      </c>
      <c r="BB23" s="3061" t="s">
        <v>186</v>
      </c>
      <c r="BC23" s="3061" t="s">
        <v>254</v>
      </c>
      <c r="BD23" s="3064"/>
      <c r="BE23" s="3060" t="s">
        <v>182</v>
      </c>
      <c r="BF23" s="3061" t="s">
        <v>185</v>
      </c>
      <c r="BG23" s="3061" t="s">
        <v>186</v>
      </c>
      <c r="BH23" s="3061" t="s">
        <v>254</v>
      </c>
      <c r="BI23" s="3060" t="s">
        <v>182</v>
      </c>
      <c r="BJ23" s="3061" t="s">
        <v>185</v>
      </c>
      <c r="BK23" s="3061" t="s">
        <v>186</v>
      </c>
      <c r="BL23" s="3061" t="s">
        <v>254</v>
      </c>
      <c r="BM23" s="3060" t="s">
        <v>182</v>
      </c>
      <c r="BN23" s="3061" t="s">
        <v>185</v>
      </c>
      <c r="BO23" s="3061" t="s">
        <v>186</v>
      </c>
      <c r="BP23" s="3061" t="s">
        <v>254</v>
      </c>
      <c r="BQ23" s="3060" t="s">
        <v>182</v>
      </c>
      <c r="BR23" s="3061" t="s">
        <v>185</v>
      </c>
      <c r="BS23" s="3061" t="s">
        <v>186</v>
      </c>
      <c r="BT23" s="3061" t="s">
        <v>254</v>
      </c>
      <c r="BU23" s="3060" t="s">
        <v>182</v>
      </c>
      <c r="BV23" s="3061" t="s">
        <v>185</v>
      </c>
      <c r="BW23" s="3061" t="s">
        <v>186</v>
      </c>
      <c r="BX23" s="3061" t="s">
        <v>254</v>
      </c>
      <c r="BY23" s="3061" t="s">
        <v>1040</v>
      </c>
      <c r="BZ23" s="3060" t="s">
        <v>182</v>
      </c>
      <c r="CA23" s="3061" t="s">
        <v>185</v>
      </c>
      <c r="CB23" s="3061" t="s">
        <v>186</v>
      </c>
      <c r="CC23" s="3061" t="s">
        <v>254</v>
      </c>
      <c r="CD23" s="3060" t="s">
        <v>182</v>
      </c>
      <c r="CE23" s="3061" t="s">
        <v>185</v>
      </c>
      <c r="CF23" s="3061" t="s">
        <v>186</v>
      </c>
      <c r="CG23" s="3061" t="s">
        <v>254</v>
      </c>
      <c r="CH23" s="3060" t="s">
        <v>182</v>
      </c>
      <c r="CI23" s="3061" t="s">
        <v>185</v>
      </c>
      <c r="CJ23" s="3061" t="s">
        <v>186</v>
      </c>
      <c r="CK23" s="3061" t="s">
        <v>254</v>
      </c>
      <c r="CL23" s="3300" t="s">
        <v>182</v>
      </c>
      <c r="CM23" s="3301" t="s">
        <v>185</v>
      </c>
      <c r="CN23" s="3301" t="s">
        <v>186</v>
      </c>
      <c r="CO23" s="3301" t="s">
        <v>254</v>
      </c>
      <c r="CP23" s="3300" t="s">
        <v>182</v>
      </c>
      <c r="CQ23" s="3301" t="s">
        <v>185</v>
      </c>
      <c r="CR23" s="3301" t="s">
        <v>186</v>
      </c>
      <c r="CS23" s="3301" t="s">
        <v>254</v>
      </c>
      <c r="CT23" s="3577" t="s">
        <v>1678</v>
      </c>
    </row>
    <row r="24" spans="1:98" ht="72.75" customHeight="1">
      <c r="A24" s="3065" t="s">
        <v>192</v>
      </c>
      <c r="B24" s="3066" t="s">
        <v>204</v>
      </c>
      <c r="C24" s="3067">
        <v>840</v>
      </c>
      <c r="D24" s="3068">
        <v>12146</v>
      </c>
      <c r="E24" s="3069">
        <v>122429.8</v>
      </c>
      <c r="F24" s="3070">
        <f>F25+F26</f>
        <v>813</v>
      </c>
      <c r="G24" s="3068">
        <f>(G25*F25+G26*F26)/(F25+F26)</f>
        <v>12443.442804428045</v>
      </c>
      <c r="H24" s="3071">
        <f>H26+H25</f>
        <v>121398.228</v>
      </c>
      <c r="I24" s="3072">
        <v>799</v>
      </c>
      <c r="J24" s="3068">
        <v>13361</v>
      </c>
      <c r="K24" s="3073">
        <f>J24/G24</f>
        <v>1.07373820975377</v>
      </c>
      <c r="L24" s="3071">
        <v>128108.9</v>
      </c>
      <c r="M24" s="3072">
        <f>M25+M26+M27+M28</f>
        <v>155</v>
      </c>
      <c r="N24" s="3068">
        <f t="shared" ref="N24:N33" si="3">O24/M24/12*1000</f>
        <v>25754.516129032254</v>
      </c>
      <c r="O24" s="3074">
        <f>O25+O26+O27+O28</f>
        <v>47903.399999999994</v>
      </c>
      <c r="P24" s="3075">
        <f>N24/AM8</f>
        <v>1.2212343117474604</v>
      </c>
      <c r="Q24" s="3064"/>
      <c r="R24" s="4761"/>
      <c r="S24" s="3076">
        <f>SUM(S25:S28)</f>
        <v>155</v>
      </c>
      <c r="T24" s="3077">
        <f>U24/S24/12*1000</f>
        <v>22269.902483612907</v>
      </c>
      <c r="U24" s="3078">
        <f>SUM(U25:U28)</f>
        <v>41422.018619520008</v>
      </c>
      <c r="V24" s="3075">
        <f>T24/AM8</f>
        <v>1.0560000000000003</v>
      </c>
      <c r="W24" s="3079"/>
      <c r="X24" s="3072">
        <f>X25+X26+X27+X28</f>
        <v>148.32999999999998</v>
      </c>
      <c r="Y24" s="3068">
        <f t="shared" ref="Y24:Y33" si="4">Z24/X24/6*1000</f>
        <v>21580.822040944742</v>
      </c>
      <c r="Z24" s="3074">
        <f>Z25+Z26+Z27+Z28</f>
        <v>19206.5</v>
      </c>
      <c r="AA24" s="3075">
        <f>Y24/BB8</f>
        <v>0.95562481208041816</v>
      </c>
      <c r="AB24" s="3064"/>
      <c r="AC24" s="621"/>
      <c r="AD24" s="621"/>
      <c r="AE24" s="621"/>
      <c r="AF24" s="621"/>
      <c r="AG24" s="621"/>
      <c r="AH24" s="621"/>
      <c r="AI24" s="621"/>
      <c r="AJ24" s="621"/>
      <c r="AK24" s="621"/>
      <c r="AL24" s="3072">
        <f>AL25+AL26+AL27+AL28</f>
        <v>148</v>
      </c>
      <c r="AM24" s="3068">
        <f t="shared" ref="AM24:AM33" si="5">AN24/AL24/9*1000</f>
        <v>22609.909909909911</v>
      </c>
      <c r="AN24" s="3074">
        <f>AN25+AN26+AN27+AN28</f>
        <v>30116.400000000001</v>
      </c>
      <c r="AO24" s="3075">
        <f>AM24/BB8</f>
        <v>1.0011940633132144</v>
      </c>
      <c r="AP24" s="3064"/>
      <c r="AQ24" s="3072">
        <f>AQ25+AQ26+AQ27+AQ28</f>
        <v>148</v>
      </c>
      <c r="AR24" s="3068">
        <f t="shared" ref="AR24:AR33" si="6">AS24/AQ24/12*1000</f>
        <v>22770.326576576579</v>
      </c>
      <c r="AS24" s="3074">
        <f>AS25+AS26+AS27+AS28</f>
        <v>40440.100000000006</v>
      </c>
      <c r="AT24" s="3075">
        <f>AR24/T24</f>
        <v>1.0224708704194778</v>
      </c>
      <c r="AU24" s="3072">
        <f>AU25+AU26+AU27+AU28</f>
        <v>155</v>
      </c>
      <c r="AV24" s="3068">
        <f t="shared" ref="AV24:AV33" si="7">AW24/AU24/12*1000</f>
        <v>23460.37634408602</v>
      </c>
      <c r="AW24" s="3074">
        <f>AW25+AW26+AW27+AW28</f>
        <v>43636.299999999996</v>
      </c>
      <c r="AX24" s="3075">
        <f>AV24/T24</f>
        <v>1.0534566265545668</v>
      </c>
      <c r="AY24" s="3080">
        <f>AV24/BB8</f>
        <v>1.0388537421149895</v>
      </c>
      <c r="AZ24" s="3076">
        <f>SUM(AZ25:AZ28)</f>
        <v>150</v>
      </c>
      <c r="BA24" s="3077">
        <f>BB24/AZ24/12*1000</f>
        <v>23530.113691896189</v>
      </c>
      <c r="BB24" s="3078">
        <f>SUM(BB25:BB28)</f>
        <v>42354.204645413141</v>
      </c>
      <c r="BC24" s="3075">
        <f t="shared" ref="BC24:BC33" si="8">BA24/T24</f>
        <v>1.0565880883048588</v>
      </c>
      <c r="BD24" s="3064"/>
      <c r="BE24" s="3072">
        <f>BE25+BE26+BE27+BE28</f>
        <v>144</v>
      </c>
      <c r="BF24" s="3068">
        <f t="shared" ref="BF24:BF33" si="9">BG24/BE24/6*1000</f>
        <v>22832.175925925923</v>
      </c>
      <c r="BG24" s="3074">
        <f>BG25+BG26+BG27+BG28</f>
        <v>19727</v>
      </c>
      <c r="BH24" s="3075">
        <f>BF24/AV24</f>
        <v>0.9732229181260148</v>
      </c>
      <c r="BI24" s="3072">
        <f>BI25+BI26+BI27+BI28</f>
        <v>148</v>
      </c>
      <c r="BJ24" s="3068">
        <f t="shared" ref="BJ24:BJ33" si="10">BK24/BI24/9*1000</f>
        <v>22988.888888888887</v>
      </c>
      <c r="BK24" s="3074">
        <f>BK25+BK26+BK27+BK28</f>
        <v>30621.199999999997</v>
      </c>
      <c r="BL24" s="3075">
        <f>BJ24/BA24</f>
        <v>0.9769986320468268</v>
      </c>
      <c r="BM24" s="3072">
        <f>BM25+BM26+BM27+BM28</f>
        <v>144</v>
      </c>
      <c r="BN24" s="3068">
        <f t="shared" ref="BN24:BN33" si="11">BO24/BM24/12*1000</f>
        <v>23577.199074074073</v>
      </c>
      <c r="BO24" s="3074">
        <f>BO25+BO26+BO27+BO28</f>
        <v>40741.4</v>
      </c>
      <c r="BP24" s="3075">
        <f>BN24/BA24</f>
        <v>1.0020010690468573</v>
      </c>
      <c r="BQ24" s="3072">
        <f>BQ25+BQ26+BQ27+BQ28</f>
        <v>155</v>
      </c>
      <c r="BR24" s="3077">
        <f>BS24/BQ24/12*1000</f>
        <v>25806.413978494627</v>
      </c>
      <c r="BS24" s="3078">
        <f>SUM(BS25:BS28)</f>
        <v>47999.930000000008</v>
      </c>
      <c r="BT24" s="3075">
        <f>BR24/BA24</f>
        <v>1.0967398762455789</v>
      </c>
      <c r="BU24" s="3072">
        <f>BU25+BU26+BU27+BU28</f>
        <v>148</v>
      </c>
      <c r="BV24" s="3077">
        <f>BW24/BU24/12*1000</f>
        <v>26725.298409525822</v>
      </c>
      <c r="BW24" s="3078">
        <f>SUM(BW25:BW28)</f>
        <v>47464.129975317854</v>
      </c>
      <c r="BX24" s="3075">
        <f>BV24/BA24</f>
        <v>1.1357912995860304</v>
      </c>
      <c r="BY24" s="3117"/>
      <c r="BZ24" s="3072">
        <f>BZ25+BZ26+BZ27+BZ28</f>
        <v>143</v>
      </c>
      <c r="CA24" s="3068">
        <f t="shared" ref="CA24" si="12">CB24/BZ24/6*1000</f>
        <v>23573.962703962705</v>
      </c>
      <c r="CB24" s="3074">
        <f>CB25+CB26+CB27+CB28</f>
        <v>20226.46</v>
      </c>
      <c r="CC24" s="3075">
        <f>CA24/BV24</f>
        <v>0.88208417143660889</v>
      </c>
      <c r="CD24" s="3072">
        <f>CD25+CD26+CD27+CD28</f>
        <v>143</v>
      </c>
      <c r="CE24" s="3068">
        <f t="shared" ref="CE24:CE33" si="13">CF24/CD24/9*1000</f>
        <v>24370.57498057498</v>
      </c>
      <c r="CF24" s="3074">
        <f>CF25+CF26+CF27+CF28</f>
        <v>31364.93</v>
      </c>
      <c r="CG24" s="3075">
        <f>CE24/BV24</f>
        <v>0.91189159451587132</v>
      </c>
      <c r="CH24" s="3072">
        <f>CH25+CH26+CH27+CH28</f>
        <v>143</v>
      </c>
      <c r="CI24" s="3068">
        <f t="shared" ref="CI24:CI33" si="14">CJ24/CH24/12*1000</f>
        <v>24768.881118881123</v>
      </c>
      <c r="CJ24" s="3074">
        <f>CJ25+CJ26+CJ27+CJ28</f>
        <v>42503.4</v>
      </c>
      <c r="CK24" s="3075">
        <f>CI24/BV24</f>
        <v>0.92679530605550264</v>
      </c>
      <c r="CL24" s="3302">
        <f>CL25+CL26+CL27+CL28</f>
        <v>148</v>
      </c>
      <c r="CM24" s="3303">
        <f>CN24/CL24/12*1000</f>
        <v>29397.828250478397</v>
      </c>
      <c r="CN24" s="3304">
        <f>SUM(CN25:CN28)</f>
        <v>52210.542972849631</v>
      </c>
      <c r="CO24" s="3305">
        <f>CM24/BV24</f>
        <v>1.0999999999999996</v>
      </c>
      <c r="CP24" s="3302"/>
      <c r="CQ24" s="3303"/>
      <c r="CR24" s="3578">
        <f>SUM(CR25:CR28)</f>
        <v>50325.742371529755</v>
      </c>
      <c r="CS24" s="3305">
        <f>SUM(CR24/BW24)</f>
        <v>1.0602899999999997</v>
      </c>
      <c r="CT24" s="3579"/>
    </row>
    <row r="25" spans="1:98" ht="37.5" customHeight="1">
      <c r="A25" s="3081" t="s">
        <v>193</v>
      </c>
      <c r="B25" s="3082" t="s">
        <v>85</v>
      </c>
      <c r="C25" s="3083">
        <v>456</v>
      </c>
      <c r="D25" s="3084">
        <v>12405</v>
      </c>
      <c r="E25" s="3085">
        <v>67882.600000000006</v>
      </c>
      <c r="F25" s="3086">
        <v>444</v>
      </c>
      <c r="G25" s="3084">
        <v>12620</v>
      </c>
      <c r="H25" s="3087">
        <f>F25*G25*12/1000</f>
        <v>67239.360000000001</v>
      </c>
      <c r="I25" s="3088">
        <v>435</v>
      </c>
      <c r="J25" s="3084">
        <v>13646</v>
      </c>
      <c r="K25" s="3073">
        <f>J25/G25</f>
        <v>1.0812995245641839</v>
      </c>
      <c r="L25" s="3087">
        <v>71232.100000000006</v>
      </c>
      <c r="M25" s="3088">
        <v>26.5</v>
      </c>
      <c r="N25" s="3084">
        <f t="shared" si="3"/>
        <v>22554.402515723272</v>
      </c>
      <c r="O25" s="3089">
        <v>7172.3</v>
      </c>
      <c r="P25" s="3075">
        <f>N25/AM9</f>
        <v>1.1772154265166728</v>
      </c>
      <c r="Q25" s="3064"/>
      <c r="R25" s="4761"/>
      <c r="S25" s="3090">
        <f>AL9</f>
        <v>26.5</v>
      </c>
      <c r="T25" s="3084">
        <f>AM9*1.056</f>
        <v>20232.022550943402</v>
      </c>
      <c r="U25" s="3089">
        <f>S25*T25*12/1000</f>
        <v>6433.7831712000025</v>
      </c>
      <c r="V25" s="3075">
        <f>T25/AM9</f>
        <v>1.056</v>
      </c>
      <c r="W25" s="3075">
        <f>T25/AY9</f>
        <v>0.85651923563968224</v>
      </c>
      <c r="X25" s="3091">
        <v>23.5</v>
      </c>
      <c r="Y25" s="3084">
        <f t="shared" si="4"/>
        <v>20790.070921985814</v>
      </c>
      <c r="Z25" s="3089">
        <v>2931.4</v>
      </c>
      <c r="AA25" s="3075">
        <f>Y25/BB9</f>
        <v>0.98254215345308094</v>
      </c>
      <c r="AB25" s="3080" t="e">
        <f>Y25/#REF!</f>
        <v>#REF!</v>
      </c>
      <c r="AC25" s="621"/>
      <c r="AD25" s="621"/>
      <c r="AE25" s="621"/>
      <c r="AF25" s="621"/>
      <c r="AG25" s="621"/>
      <c r="AH25" s="621"/>
      <c r="AI25" s="621"/>
      <c r="AJ25" s="621"/>
      <c r="AK25" s="621"/>
      <c r="AL25" s="3088">
        <v>24</v>
      </c>
      <c r="AM25" s="3084">
        <f t="shared" si="5"/>
        <v>21343.981481481482</v>
      </c>
      <c r="AN25" s="3089">
        <v>4610.3</v>
      </c>
      <c r="AO25" s="3075">
        <f>AM25/BB9</f>
        <v>1.0087200571259218</v>
      </c>
      <c r="AP25" s="3064"/>
      <c r="AQ25" s="3088">
        <v>24</v>
      </c>
      <c r="AR25" s="3084">
        <f t="shared" si="6"/>
        <v>21852.430555555558</v>
      </c>
      <c r="AS25" s="3089">
        <v>6293.5</v>
      </c>
      <c r="AT25" s="3075">
        <f t="shared" ref="AT25:AT37" si="15">AR25/T25</f>
        <v>1.0800912514076155</v>
      </c>
      <c r="AU25" s="3088">
        <v>26.5</v>
      </c>
      <c r="AV25" s="3084">
        <f t="shared" si="7"/>
        <v>21298.113207547172</v>
      </c>
      <c r="AW25" s="3089">
        <v>6772.8</v>
      </c>
      <c r="AX25" s="3075">
        <f t="shared" ref="AX25:AX33" si="16">AV25/T25</f>
        <v>1.0526932319257454</v>
      </c>
      <c r="AY25" s="3080">
        <f>AV25/BB9</f>
        <v>1.0065523149948004</v>
      </c>
      <c r="AZ25" s="3092">
        <f>BA9</f>
        <v>22</v>
      </c>
      <c r="BA25" s="3084">
        <f>AV25</f>
        <v>21298.113207547172</v>
      </c>
      <c r="BB25" s="3089">
        <f>AZ25*BA25*12/1000</f>
        <v>5622.7018867924526</v>
      </c>
      <c r="BC25" s="3075">
        <f t="shared" si="8"/>
        <v>1.0526932319257454</v>
      </c>
      <c r="BD25" s="3064"/>
      <c r="BE25" s="3088">
        <v>24</v>
      </c>
      <c r="BF25" s="3084">
        <f t="shared" si="9"/>
        <v>21190.972222222223</v>
      </c>
      <c r="BG25" s="3089">
        <v>3051.5</v>
      </c>
      <c r="BH25" s="3075">
        <f t="shared" ref="BH25:BH37" si="17">BF25/AV25</f>
        <v>0.99496946117804541</v>
      </c>
      <c r="BI25" s="3088">
        <v>24</v>
      </c>
      <c r="BJ25" s="3084">
        <f t="shared" si="10"/>
        <v>21644.444444444442</v>
      </c>
      <c r="BK25" s="3089">
        <v>4675.2</v>
      </c>
      <c r="BL25" s="3075">
        <f t="shared" ref="BL25:BL37" si="18">BJ25/BA25</f>
        <v>1.0162611229230645</v>
      </c>
      <c r="BM25" s="3088">
        <v>24</v>
      </c>
      <c r="BN25" s="3084">
        <f t="shared" si="11"/>
        <v>21620.347222222223</v>
      </c>
      <c r="BO25" s="3089">
        <v>6226.66</v>
      </c>
      <c r="BP25" s="3075">
        <f t="shared" ref="BP25:BP37" si="19">BN25/BA25</f>
        <v>1.0151296977124182</v>
      </c>
      <c r="BQ25" s="3088">
        <v>26.5</v>
      </c>
      <c r="BR25" s="3084">
        <f>SUM(BA25*1.1)</f>
        <v>23427.92452830189</v>
      </c>
      <c r="BS25" s="3089">
        <f>BQ25*BR25*12/1000</f>
        <v>7450.0800000000017</v>
      </c>
      <c r="BT25" s="3075">
        <f t="shared" ref="BT25:BT37" si="20">BR25/BA25</f>
        <v>1.1000000000000001</v>
      </c>
      <c r="BU25" s="3088">
        <f>AQ25</f>
        <v>24</v>
      </c>
      <c r="BV25" s="3084">
        <f>'ЗП с факт 3 кв. 2015'!BU24</f>
        <v>24220.191666666662</v>
      </c>
      <c r="BW25" s="3089">
        <f>BU25*BV25*12/1000</f>
        <v>6975.4151999999985</v>
      </c>
      <c r="BX25" s="3075">
        <f t="shared" ref="BX25:BX37" si="21">BV25/BA25</f>
        <v>1.1371989354476726</v>
      </c>
      <c r="BY25" s="3120">
        <f>BV25/BJ25</f>
        <v>1.1190026950718686</v>
      </c>
      <c r="BZ25" s="3088">
        <v>25</v>
      </c>
      <c r="CA25" s="3084">
        <f>CB25/BZ25/6*1000</f>
        <v>22209.399999999998</v>
      </c>
      <c r="CB25" s="3089">
        <v>3331.41</v>
      </c>
      <c r="CC25" s="3075">
        <f t="shared" ref="CC25:CC37" si="22">CA25/BV25</f>
        <v>0.91697870543964188</v>
      </c>
      <c r="CD25" s="3088">
        <v>25</v>
      </c>
      <c r="CE25" s="3084">
        <f t="shared" si="13"/>
        <v>22926.177777777779</v>
      </c>
      <c r="CF25" s="3089">
        <v>5158.3900000000003</v>
      </c>
      <c r="CG25" s="3075">
        <f t="shared" ref="CG25:CG37" si="23">CE25/BV25</f>
        <v>0.94657292945085214</v>
      </c>
      <c r="CH25" s="3088">
        <v>25</v>
      </c>
      <c r="CI25" s="3084">
        <f t="shared" si="14"/>
        <v>23284.566666666666</v>
      </c>
      <c r="CJ25" s="3089">
        <f>SUM(CB25+((CF25-CB25)/3*6))</f>
        <v>6985.3700000000008</v>
      </c>
      <c r="CK25" s="3075">
        <f t="shared" ref="CK25:CK37" si="24">CI25/BV25</f>
        <v>0.9613700414564571</v>
      </c>
      <c r="CL25" s="3306">
        <f>SUM(BU25)</f>
        <v>24</v>
      </c>
      <c r="CM25" s="3307">
        <f>SUM(BV25*1.1)</f>
        <v>26642.210833333331</v>
      </c>
      <c r="CN25" s="3308">
        <f>CL25*CM25*12/1000</f>
        <v>7672.9567199999992</v>
      </c>
      <c r="CO25" s="3305">
        <f t="shared" ref="CO25:CO37" si="25">CM25/BV25</f>
        <v>1.1000000000000001</v>
      </c>
      <c r="CP25" s="3306"/>
      <c r="CQ25" s="3307"/>
      <c r="CR25" s="3682">
        <f>BW25*(1-0.01)*(1+0.071)*(1+0)</f>
        <v>7395.9629824079975</v>
      </c>
      <c r="CS25" s="3305">
        <f t="shared" ref="CS25:CS33" si="26">SUM(CR25/BW25)</f>
        <v>1.06029</v>
      </c>
      <c r="CT25" s="3579">
        <f>CQ25/CE25</f>
        <v>0</v>
      </c>
    </row>
    <row r="26" spans="1:98" ht="37.5" customHeight="1">
      <c r="A26" s="3081" t="s">
        <v>194</v>
      </c>
      <c r="B26" s="3082" t="s">
        <v>87</v>
      </c>
      <c r="C26" s="3083">
        <v>384</v>
      </c>
      <c r="D26" s="3084">
        <v>11838</v>
      </c>
      <c r="E26" s="3085">
        <v>54547.199999999997</v>
      </c>
      <c r="F26" s="3086">
        <v>369</v>
      </c>
      <c r="G26" s="3084">
        <v>12231</v>
      </c>
      <c r="H26" s="3087">
        <f>F26*G26*12/1000</f>
        <v>54158.868000000002</v>
      </c>
      <c r="I26" s="3088">
        <v>364</v>
      </c>
      <c r="J26" s="3084">
        <v>13021</v>
      </c>
      <c r="K26" s="3073">
        <f>J26/G26</f>
        <v>1.0645899762897555</v>
      </c>
      <c r="L26" s="3087">
        <v>56876.800000000003</v>
      </c>
      <c r="M26" s="3091">
        <v>72.5</v>
      </c>
      <c r="N26" s="3084">
        <f t="shared" si="3"/>
        <v>24945.172413793101</v>
      </c>
      <c r="O26" s="3089">
        <v>21702.3</v>
      </c>
      <c r="P26" s="3075">
        <f>N26/AM10</f>
        <v>1.2615226133783446</v>
      </c>
      <c r="Q26" s="3064"/>
      <c r="R26" s="4761"/>
      <c r="S26" s="3090">
        <f>AL10</f>
        <v>72.5</v>
      </c>
      <c r="T26" s="3084">
        <f>AM10*1.056</f>
        <v>20881.196888275859</v>
      </c>
      <c r="U26" s="3089">
        <f>S26*T26*12/1000</f>
        <v>18166.641292799999</v>
      </c>
      <c r="V26" s="3075">
        <f>T26/AM10</f>
        <v>1.056</v>
      </c>
      <c r="W26" s="3075">
        <f>T26/AY10</f>
        <v>0.88289130639854074</v>
      </c>
      <c r="X26" s="3091">
        <v>73.5</v>
      </c>
      <c r="Y26" s="3084">
        <f t="shared" si="4"/>
        <v>19868.934240362814</v>
      </c>
      <c r="Z26" s="3089">
        <v>8762.2000000000007</v>
      </c>
      <c r="AA26" s="3075">
        <f>Y26/BB10</f>
        <v>0.9283594723885823</v>
      </c>
      <c r="AB26" s="3080" t="e">
        <f>Y26/#REF!</f>
        <v>#REF!</v>
      </c>
      <c r="AC26" s="621"/>
      <c r="AD26" s="621"/>
      <c r="AE26" s="621"/>
      <c r="AF26" s="621"/>
      <c r="AG26" s="621"/>
      <c r="AH26" s="621"/>
      <c r="AI26" s="621"/>
      <c r="AJ26" s="621"/>
      <c r="AK26" s="621"/>
      <c r="AL26" s="3091">
        <v>75</v>
      </c>
      <c r="AM26" s="3084">
        <f t="shared" si="5"/>
        <v>20413.185185185186</v>
      </c>
      <c r="AN26" s="3089">
        <v>13778.9</v>
      </c>
      <c r="AO26" s="3075">
        <f>AM26/BB10</f>
        <v>0.95378914636454581</v>
      </c>
      <c r="AP26" s="3064"/>
      <c r="AQ26" s="3091">
        <v>74</v>
      </c>
      <c r="AR26" s="3084">
        <f t="shared" si="6"/>
        <v>20925.33783783784</v>
      </c>
      <c r="AS26" s="3089">
        <v>18581.7</v>
      </c>
      <c r="AT26" s="3075">
        <f t="shared" si="15"/>
        <v>1.0021139089774478</v>
      </c>
      <c r="AU26" s="3091">
        <v>72.5</v>
      </c>
      <c r="AV26" s="3084">
        <f t="shared" si="7"/>
        <v>21999.540229885057</v>
      </c>
      <c r="AW26" s="3089">
        <v>19139.599999999999</v>
      </c>
      <c r="AX26" s="3075">
        <f t="shared" si="16"/>
        <v>1.0535574348344521</v>
      </c>
      <c r="AY26" s="3080">
        <f>AV26/BB10</f>
        <v>1.0279102700495193</v>
      </c>
      <c r="AZ26" s="3092">
        <f>BA10</f>
        <v>72</v>
      </c>
      <c r="BA26" s="3084">
        <f>AV26</f>
        <v>21999.540229885057</v>
      </c>
      <c r="BB26" s="3089">
        <f>AZ26*BA26*12/1000</f>
        <v>19007.602758620687</v>
      </c>
      <c r="BC26" s="3075">
        <f t="shared" si="8"/>
        <v>1.0535574348344521</v>
      </c>
      <c r="BD26" s="3064"/>
      <c r="BE26" s="3091">
        <v>72</v>
      </c>
      <c r="BF26" s="3084">
        <f t="shared" si="9"/>
        <v>21250.231481481482</v>
      </c>
      <c r="BG26" s="3089">
        <v>9180.1</v>
      </c>
      <c r="BH26" s="3075">
        <f t="shared" si="17"/>
        <v>0.965939799624281</v>
      </c>
      <c r="BI26" s="3091">
        <v>74</v>
      </c>
      <c r="BJ26" s="3084">
        <f t="shared" si="10"/>
        <v>21538.138138138136</v>
      </c>
      <c r="BK26" s="3089">
        <v>14344.4</v>
      </c>
      <c r="BL26" s="3075">
        <f t="shared" si="18"/>
        <v>0.97902673933520967</v>
      </c>
      <c r="BM26" s="3091">
        <v>72</v>
      </c>
      <c r="BN26" s="3084">
        <f t="shared" si="11"/>
        <v>22266.458333333332</v>
      </c>
      <c r="BO26" s="3089">
        <v>19238.22</v>
      </c>
      <c r="BP26" s="3075">
        <f t="shared" si="19"/>
        <v>1.0121328946268469</v>
      </c>
      <c r="BQ26" s="3091">
        <v>72.5</v>
      </c>
      <c r="BR26" s="3084">
        <f t="shared" ref="BR26:BR33" si="27">SUM(BA26*1.1)</f>
        <v>24199.494252873563</v>
      </c>
      <c r="BS26" s="3089">
        <f>BQ26*BR26*12/1000</f>
        <v>21053.56</v>
      </c>
      <c r="BT26" s="3075">
        <f t="shared" si="20"/>
        <v>1.1000000000000001</v>
      </c>
      <c r="BU26" s="3088">
        <f t="shared" ref="BU26:BU28" si="28">AQ26</f>
        <v>74</v>
      </c>
      <c r="BV26" s="3084">
        <f>'ЗП с факт 3 кв. 2015'!BU25</f>
        <v>25326.293150684927</v>
      </c>
      <c r="BW26" s="3089">
        <f>BU26*BV26*12/1000</f>
        <v>22489.748317808218</v>
      </c>
      <c r="BX26" s="3075">
        <f t="shared" si="21"/>
        <v>1.1512192021304462</v>
      </c>
      <c r="BY26" s="3120">
        <f t="shared" ref="BY26:BY37" si="29">BV26/BJ26</f>
        <v>1.1758812664423861</v>
      </c>
      <c r="BZ26" s="3091">
        <v>74</v>
      </c>
      <c r="CA26" s="3084">
        <f t="shared" ref="CA26:CA33" si="30">CB26/BZ26/6*1000</f>
        <v>22026.509009009009</v>
      </c>
      <c r="CB26" s="3089">
        <v>9779.77</v>
      </c>
      <c r="CC26" s="3075">
        <f t="shared" si="22"/>
        <v>0.86970915474905652</v>
      </c>
      <c r="CD26" s="3091">
        <v>74</v>
      </c>
      <c r="CE26" s="3084">
        <f t="shared" si="13"/>
        <v>22702.702702702703</v>
      </c>
      <c r="CF26" s="3089">
        <v>15120</v>
      </c>
      <c r="CG26" s="3075">
        <f t="shared" si="23"/>
        <v>0.89640843085987609</v>
      </c>
      <c r="CH26" s="3091">
        <v>74</v>
      </c>
      <c r="CI26" s="3084">
        <f t="shared" si="14"/>
        <v>23040.799549549549</v>
      </c>
      <c r="CJ26" s="3089">
        <f t="shared" ref="CJ26:CJ33" si="31">SUM(CB26+((CF26-CB26)/3*6))</f>
        <v>20460.23</v>
      </c>
      <c r="CK26" s="3075">
        <f t="shared" si="24"/>
        <v>0.90975806891528577</v>
      </c>
      <c r="CL26" s="3306">
        <f t="shared" ref="CL26:CL28" si="32">SUM(BU26)</f>
        <v>74</v>
      </c>
      <c r="CM26" s="3307">
        <f t="shared" ref="CM26:CM28" si="33">SUM(BV26*1.1)</f>
        <v>27858.922465753421</v>
      </c>
      <c r="CN26" s="3308">
        <f>CL26*CM26*12/1000</f>
        <v>24738.723149589041</v>
      </c>
      <c r="CO26" s="3305">
        <f t="shared" si="25"/>
        <v>1.1000000000000001</v>
      </c>
      <c r="CP26" s="3306"/>
      <c r="CQ26" s="3307"/>
      <c r="CR26" s="3308">
        <f t="shared" ref="CR26:CR33" si="34">BW26*(1-0.01)*(1+0.071)*(1+0)</f>
        <v>23845.655243888872</v>
      </c>
      <c r="CS26" s="3305">
        <f t="shared" si="26"/>
        <v>1.0602899999999997</v>
      </c>
      <c r="CT26" s="3579">
        <f t="shared" ref="CT26:CT37" si="35">CQ26/CE26</f>
        <v>0</v>
      </c>
    </row>
    <row r="27" spans="1:98" ht="37.5" customHeight="1">
      <c r="A27" s="3081" t="s">
        <v>202</v>
      </c>
      <c r="B27" s="3082" t="s">
        <v>88</v>
      </c>
      <c r="C27" s="3083"/>
      <c r="D27" s="3084"/>
      <c r="E27" s="3085"/>
      <c r="F27" s="3086"/>
      <c r="G27" s="3084"/>
      <c r="H27" s="3087"/>
      <c r="I27" s="3088"/>
      <c r="J27" s="3084"/>
      <c r="K27" s="3073"/>
      <c r="L27" s="3087"/>
      <c r="M27" s="3088">
        <v>31</v>
      </c>
      <c r="N27" s="3084">
        <f t="shared" si="3"/>
        <v>30275.806451612905</v>
      </c>
      <c r="O27" s="3089">
        <v>11262.6</v>
      </c>
      <c r="P27" s="3075">
        <f>N27/AM11</f>
        <v>1.2088401473413275</v>
      </c>
      <c r="Q27" s="3064"/>
      <c r="R27" s="4761"/>
      <c r="S27" s="3090">
        <f>AL11</f>
        <v>31</v>
      </c>
      <c r="T27" s="3084">
        <f>AM11*1.056</f>
        <v>26447.873759999999</v>
      </c>
      <c r="U27" s="3089">
        <f>S27*T27*12/1000</f>
        <v>9838.6090387200002</v>
      </c>
      <c r="V27" s="3075">
        <f>T27/AM11</f>
        <v>1.056</v>
      </c>
      <c r="W27" s="3075">
        <f>T27/AY11</f>
        <v>0.92042627549755296</v>
      </c>
      <c r="X27" s="3091">
        <v>29.33</v>
      </c>
      <c r="Y27" s="3084">
        <f t="shared" si="4"/>
        <v>25010.796681441076</v>
      </c>
      <c r="Z27" s="3089">
        <v>4401.3999999999996</v>
      </c>
      <c r="AA27" s="3075">
        <f>Y27/BB11</f>
        <v>0.95682926073099828</v>
      </c>
      <c r="AB27" s="3080" t="e">
        <f>Y27/#REF!</f>
        <v>#REF!</v>
      </c>
      <c r="AC27" s="621"/>
      <c r="AD27" s="621"/>
      <c r="AE27" s="621"/>
      <c r="AF27" s="621"/>
      <c r="AG27" s="621"/>
      <c r="AH27" s="621"/>
      <c r="AI27" s="621"/>
      <c r="AJ27" s="621"/>
      <c r="AK27" s="621"/>
      <c r="AL27" s="3088">
        <v>28</v>
      </c>
      <c r="AM27" s="3084">
        <f t="shared" si="5"/>
        <v>27159.920634920636</v>
      </c>
      <c r="AN27" s="3089">
        <v>6844.3</v>
      </c>
      <c r="AO27" s="3075">
        <f>AM27/BB11</f>
        <v>1.039047540692988</v>
      </c>
      <c r="AP27" s="3064"/>
      <c r="AQ27" s="3088">
        <v>29</v>
      </c>
      <c r="AR27" s="3084">
        <f t="shared" si="6"/>
        <v>26195.689655172417</v>
      </c>
      <c r="AS27" s="3089">
        <v>9116.1</v>
      </c>
      <c r="AT27" s="3075">
        <f t="shared" si="15"/>
        <v>0.99046486280462409</v>
      </c>
      <c r="AU27" s="3088">
        <v>31</v>
      </c>
      <c r="AV27" s="3084">
        <f t="shared" si="7"/>
        <v>27862.365591397847</v>
      </c>
      <c r="AW27" s="3089">
        <v>10364.799999999999</v>
      </c>
      <c r="AX27" s="3075">
        <f t="shared" si="16"/>
        <v>1.0534822513232478</v>
      </c>
      <c r="AY27" s="3080">
        <f>AV27/BB11</f>
        <v>1.0659207305785803</v>
      </c>
      <c r="AZ27" s="3092">
        <f>BA11</f>
        <v>31</v>
      </c>
      <c r="BA27" s="3084">
        <f>AV27</f>
        <v>27862.365591397847</v>
      </c>
      <c r="BB27" s="3089">
        <f>AZ27*BA27*12/1000</f>
        <v>10364.799999999999</v>
      </c>
      <c r="BC27" s="3075">
        <f t="shared" si="8"/>
        <v>1.0534822513232478</v>
      </c>
      <c r="BD27" s="3064"/>
      <c r="BE27" s="3088">
        <v>28</v>
      </c>
      <c r="BF27" s="3084">
        <f t="shared" si="9"/>
        <v>26782.738095238099</v>
      </c>
      <c r="BG27" s="3089">
        <v>4499.5</v>
      </c>
      <c r="BH27" s="3075">
        <f t="shared" si="17"/>
        <v>0.96125140585718716</v>
      </c>
      <c r="BI27" s="3088">
        <v>29</v>
      </c>
      <c r="BJ27" s="3084">
        <f t="shared" si="10"/>
        <v>26555.938697318008</v>
      </c>
      <c r="BK27" s="3089">
        <v>6931.1</v>
      </c>
      <c r="BL27" s="3075">
        <f t="shared" si="18"/>
        <v>0.95311141511677022</v>
      </c>
      <c r="BM27" s="3088">
        <v>28</v>
      </c>
      <c r="BN27" s="3084">
        <f t="shared" si="11"/>
        <v>27208.77976190476</v>
      </c>
      <c r="BO27" s="3089">
        <v>9142.15</v>
      </c>
      <c r="BP27" s="3075">
        <f t="shared" si="19"/>
        <v>0.9765423424888634</v>
      </c>
      <c r="BQ27" s="3088">
        <v>31</v>
      </c>
      <c r="BR27" s="3084">
        <f t="shared" si="27"/>
        <v>30648.602150537634</v>
      </c>
      <c r="BS27" s="3089">
        <f>BQ27*BR27*12/1000</f>
        <v>11401.28</v>
      </c>
      <c r="BT27" s="3075">
        <f t="shared" si="20"/>
        <v>1.1000000000000001</v>
      </c>
      <c r="BU27" s="3088">
        <f t="shared" si="28"/>
        <v>29</v>
      </c>
      <c r="BV27" s="3084">
        <f>'ЗП с факт 3 кв. 2015'!BU26</f>
        <v>30544.308771929835</v>
      </c>
      <c r="BW27" s="3089">
        <f>BU27*BV27*12/1000</f>
        <v>10629.419452631584</v>
      </c>
      <c r="BX27" s="3075">
        <f t="shared" si="21"/>
        <v>1.0962568369054781</v>
      </c>
      <c r="BY27" s="3120">
        <f t="shared" si="29"/>
        <v>1.1501875011864908</v>
      </c>
      <c r="BZ27" s="3088">
        <v>26</v>
      </c>
      <c r="CA27" s="3084">
        <f t="shared" si="30"/>
        <v>29062.756410256414</v>
      </c>
      <c r="CB27" s="3089">
        <v>4533.79</v>
      </c>
      <c r="CC27" s="3075">
        <f t="shared" si="22"/>
        <v>0.95149497823846763</v>
      </c>
      <c r="CD27" s="3088">
        <v>26</v>
      </c>
      <c r="CE27" s="3084">
        <f t="shared" si="13"/>
        <v>30477.264957264961</v>
      </c>
      <c r="CF27" s="3089">
        <v>7131.68</v>
      </c>
      <c r="CG27" s="3075">
        <f t="shared" si="23"/>
        <v>0.99780503087611239</v>
      </c>
      <c r="CH27" s="3088">
        <v>26</v>
      </c>
      <c r="CI27" s="3084">
        <f t="shared" si="14"/>
        <v>31184.51923076923</v>
      </c>
      <c r="CJ27" s="3089">
        <f t="shared" si="31"/>
        <v>9729.57</v>
      </c>
      <c r="CK27" s="3075">
        <f t="shared" si="24"/>
        <v>1.0209600571949347</v>
      </c>
      <c r="CL27" s="3306">
        <f t="shared" si="32"/>
        <v>29</v>
      </c>
      <c r="CM27" s="3307">
        <f t="shared" si="33"/>
        <v>33598.739649122821</v>
      </c>
      <c r="CN27" s="3308">
        <f>CL27*CM27*12/1000</f>
        <v>11692.361397894741</v>
      </c>
      <c r="CO27" s="3305">
        <f t="shared" si="25"/>
        <v>1.1000000000000001</v>
      </c>
      <c r="CP27" s="3306"/>
      <c r="CQ27" s="3307"/>
      <c r="CR27" s="3308">
        <f t="shared" si="34"/>
        <v>11270.267151430742</v>
      </c>
      <c r="CS27" s="3305">
        <f t="shared" si="26"/>
        <v>1.06029</v>
      </c>
      <c r="CT27" s="3579">
        <f t="shared" si="35"/>
        <v>0</v>
      </c>
    </row>
    <row r="28" spans="1:98" ht="37.5" customHeight="1">
      <c r="A28" s="3081" t="s">
        <v>203</v>
      </c>
      <c r="B28" s="3082" t="s">
        <v>89</v>
      </c>
      <c r="C28" s="3083"/>
      <c r="D28" s="3084"/>
      <c r="E28" s="3085"/>
      <c r="F28" s="3086"/>
      <c r="G28" s="3084"/>
      <c r="H28" s="3087"/>
      <c r="I28" s="3088"/>
      <c r="J28" s="3084"/>
      <c r="K28" s="3073"/>
      <c r="L28" s="3087"/>
      <c r="M28" s="3088">
        <v>25</v>
      </c>
      <c r="N28" s="3084">
        <f t="shared" si="3"/>
        <v>25887.333333333332</v>
      </c>
      <c r="O28" s="3089">
        <v>7766.2</v>
      </c>
      <c r="P28" s="3075">
        <f>N28/AM12</f>
        <v>1.174441454882867</v>
      </c>
      <c r="Q28" s="3064"/>
      <c r="R28" s="4761"/>
      <c r="S28" s="3090">
        <f>AL12</f>
        <v>25</v>
      </c>
      <c r="T28" s="3084">
        <f>AM12*1.056</f>
        <v>23276.617056000003</v>
      </c>
      <c r="U28" s="3089">
        <f>S28*T28*12/1000</f>
        <v>6982.9851168000005</v>
      </c>
      <c r="V28" s="3075">
        <f>T28/AM12</f>
        <v>1.056</v>
      </c>
      <c r="W28" s="3075">
        <f>T28/AY12</f>
        <v>0.90490684179970982</v>
      </c>
      <c r="X28" s="3091">
        <v>22</v>
      </c>
      <c r="Y28" s="3084">
        <f t="shared" si="4"/>
        <v>23571.9696969697</v>
      </c>
      <c r="Z28" s="3089">
        <v>3111.5</v>
      </c>
      <c r="AA28" s="3075">
        <f>Y28/BB12</f>
        <v>1.0326656214446632</v>
      </c>
      <c r="AB28" s="3080" t="e">
        <f>Y28/#REF!</f>
        <v>#REF!</v>
      </c>
      <c r="AC28" s="621"/>
      <c r="AD28" s="621"/>
      <c r="AE28" s="621"/>
      <c r="AF28" s="621"/>
      <c r="AG28" s="621"/>
      <c r="AH28" s="621"/>
      <c r="AI28" s="621"/>
      <c r="AJ28" s="621"/>
      <c r="AK28" s="621"/>
      <c r="AL28" s="3088">
        <v>21</v>
      </c>
      <c r="AM28" s="3084">
        <f t="shared" si="5"/>
        <v>25835.449735449733</v>
      </c>
      <c r="AN28" s="3089">
        <v>4882.8999999999996</v>
      </c>
      <c r="AO28" s="3075">
        <f>AM28/BB12</f>
        <v>1.1318265337745761</v>
      </c>
      <c r="AP28" s="3064"/>
      <c r="AQ28" s="3088">
        <v>21</v>
      </c>
      <c r="AR28" s="3084">
        <f t="shared" si="6"/>
        <v>25590.476190476191</v>
      </c>
      <c r="AS28" s="3089">
        <v>6448.8</v>
      </c>
      <c r="AT28" s="3075">
        <f t="shared" si="15"/>
        <v>1.0994070198822017</v>
      </c>
      <c r="AU28" s="3088">
        <v>25</v>
      </c>
      <c r="AV28" s="3084">
        <f t="shared" si="7"/>
        <v>24530.333333333336</v>
      </c>
      <c r="AW28" s="3089">
        <v>7359.1</v>
      </c>
      <c r="AX28" s="3075">
        <f t="shared" si="16"/>
        <v>1.0538616189078114</v>
      </c>
      <c r="AY28" s="3080">
        <f>AV28/BB12</f>
        <v>1.0746506228186743</v>
      </c>
      <c r="AZ28" s="3092">
        <f>BA12</f>
        <v>25</v>
      </c>
      <c r="BA28" s="3084">
        <f>AV28</f>
        <v>24530.333333333336</v>
      </c>
      <c r="BB28" s="3089">
        <f>AZ28*BA28*12/1000</f>
        <v>7359.1</v>
      </c>
      <c r="BC28" s="3075">
        <f t="shared" si="8"/>
        <v>1.0538616189078114</v>
      </c>
      <c r="BD28" s="3064"/>
      <c r="BE28" s="3088">
        <v>20</v>
      </c>
      <c r="BF28" s="3084">
        <f t="shared" si="9"/>
        <v>24965.833333333336</v>
      </c>
      <c r="BG28" s="3089">
        <v>2995.9</v>
      </c>
      <c r="BH28" s="3075">
        <f t="shared" si="17"/>
        <v>1.0177535296435705</v>
      </c>
      <c r="BI28" s="3088">
        <v>21</v>
      </c>
      <c r="BJ28" s="3084">
        <f t="shared" si="10"/>
        <v>24711.640211640213</v>
      </c>
      <c r="BK28" s="3089">
        <v>4670.5</v>
      </c>
      <c r="BL28" s="3075">
        <f t="shared" si="18"/>
        <v>1.0073911298245795</v>
      </c>
      <c r="BM28" s="3088">
        <v>20</v>
      </c>
      <c r="BN28" s="3084">
        <f t="shared" si="11"/>
        <v>25559.875</v>
      </c>
      <c r="BO28" s="3089">
        <v>6134.37</v>
      </c>
      <c r="BP28" s="3075">
        <f t="shared" si="19"/>
        <v>1.041970145805873</v>
      </c>
      <c r="BQ28" s="3088">
        <v>25</v>
      </c>
      <c r="BR28" s="3084">
        <f t="shared" si="27"/>
        <v>26983.366666666672</v>
      </c>
      <c r="BS28" s="3089">
        <f>BQ28*BR28*12/1000</f>
        <v>8095.010000000002</v>
      </c>
      <c r="BT28" s="3075">
        <f t="shared" si="20"/>
        <v>1.1000000000000001</v>
      </c>
      <c r="BU28" s="3088">
        <f t="shared" si="28"/>
        <v>21</v>
      </c>
      <c r="BV28" s="3084">
        <f>'ЗП с факт 3 кв. 2015'!BU27</f>
        <v>29244.234146341467</v>
      </c>
      <c r="BW28" s="3089">
        <f>BU28*BV28*12/1000</f>
        <v>7369.5470048780498</v>
      </c>
      <c r="BX28" s="3075">
        <f t="shared" si="21"/>
        <v>1.1921661947659958</v>
      </c>
      <c r="BY28" s="3120">
        <f t="shared" si="29"/>
        <v>1.183419388429191</v>
      </c>
      <c r="BZ28" s="3088">
        <v>18</v>
      </c>
      <c r="CA28" s="3084">
        <f t="shared" si="30"/>
        <v>23902.685185185182</v>
      </c>
      <c r="CB28" s="3089">
        <v>2581.4899999999998</v>
      </c>
      <c r="CC28" s="3075">
        <f t="shared" si="22"/>
        <v>0.81734693634216693</v>
      </c>
      <c r="CD28" s="3088">
        <v>18</v>
      </c>
      <c r="CE28" s="3084">
        <f t="shared" si="13"/>
        <v>24412.716049382718</v>
      </c>
      <c r="CF28" s="3089">
        <v>3954.86</v>
      </c>
      <c r="CG28" s="3075">
        <f t="shared" si="23"/>
        <v>0.83478732686992985</v>
      </c>
      <c r="CH28" s="3088">
        <v>18</v>
      </c>
      <c r="CI28" s="3084">
        <f t="shared" si="14"/>
        <v>24667.731481481482</v>
      </c>
      <c r="CJ28" s="3089">
        <f t="shared" si="31"/>
        <v>5328.2300000000005</v>
      </c>
      <c r="CK28" s="3075">
        <f t="shared" si="24"/>
        <v>0.84350752213381119</v>
      </c>
      <c r="CL28" s="3306">
        <f t="shared" si="32"/>
        <v>21</v>
      </c>
      <c r="CM28" s="3307">
        <f t="shared" si="33"/>
        <v>32168.657560975615</v>
      </c>
      <c r="CN28" s="3308">
        <f>CL28*CM28*12/1000</f>
        <v>8106.5017053658539</v>
      </c>
      <c r="CO28" s="3305">
        <f t="shared" si="25"/>
        <v>1.1000000000000001</v>
      </c>
      <c r="CP28" s="3306"/>
      <c r="CQ28" s="3307"/>
      <c r="CR28" s="3308">
        <f t="shared" si="34"/>
        <v>7813.8569938021474</v>
      </c>
      <c r="CS28" s="3305">
        <f t="shared" si="26"/>
        <v>1.06029</v>
      </c>
      <c r="CT28" s="3579">
        <f t="shared" si="35"/>
        <v>0</v>
      </c>
    </row>
    <row r="29" spans="1:98" ht="63" customHeight="1">
      <c r="A29" s="3065" t="s">
        <v>195</v>
      </c>
      <c r="B29" s="3066" t="s">
        <v>205</v>
      </c>
      <c r="C29" s="3067">
        <v>840</v>
      </c>
      <c r="D29" s="3068">
        <v>12146</v>
      </c>
      <c r="E29" s="3069">
        <v>122429.8</v>
      </c>
      <c r="F29" s="3070">
        <f>F30+F31</f>
        <v>813</v>
      </c>
      <c r="G29" s="3068">
        <f>(G30*F30+G31*F31)/(F30+F31)</f>
        <v>12443.442804428045</v>
      </c>
      <c r="H29" s="3071">
        <f>H31+H30</f>
        <v>121398.228</v>
      </c>
      <c r="I29" s="3072">
        <v>799</v>
      </c>
      <c r="J29" s="3068">
        <v>13361</v>
      </c>
      <c r="K29" s="3073">
        <f>J29/G29</f>
        <v>1.07373820975377</v>
      </c>
      <c r="L29" s="3071">
        <v>128108.9</v>
      </c>
      <c r="M29" s="3072">
        <f>M30+M31+M32+M33</f>
        <v>105</v>
      </c>
      <c r="N29" s="3068">
        <f t="shared" si="3"/>
        <v>28668.650793650795</v>
      </c>
      <c r="O29" s="3074">
        <f>O30+O31+O32+O33</f>
        <v>36122.5</v>
      </c>
      <c r="P29" s="3075">
        <f>N29/AM14</f>
        <v>1.2088032234986785</v>
      </c>
      <c r="Q29" s="3064"/>
      <c r="R29" s="4761"/>
      <c r="S29" s="3076">
        <f>SUM(S30:S33)</f>
        <v>96</v>
      </c>
      <c r="T29" s="3077">
        <f>U29/S29/12*1000</f>
        <v>25224.382875999996</v>
      </c>
      <c r="U29" s="3078">
        <f>SUM(U30:U33)</f>
        <v>29058.489073151999</v>
      </c>
      <c r="V29" s="3075">
        <f>T29/AM14</f>
        <v>1.0635769206839176</v>
      </c>
      <c r="W29" s="3079"/>
      <c r="X29" s="3072">
        <f>X30+X31+X32+X33</f>
        <v>95</v>
      </c>
      <c r="Y29" s="3068">
        <f t="shared" si="4"/>
        <v>22836.666666666668</v>
      </c>
      <c r="Z29" s="3074">
        <f>Z30+Z31+Z32+Z33</f>
        <v>13016.900000000001</v>
      </c>
      <c r="AA29" s="3075">
        <f>Y29/BB14</f>
        <v>0.92274432731820633</v>
      </c>
      <c r="AB29" s="3064"/>
      <c r="AC29" s="621"/>
      <c r="AD29" s="621"/>
      <c r="AE29" s="621"/>
      <c r="AF29" s="621"/>
      <c r="AG29" s="621"/>
      <c r="AH29" s="621"/>
      <c r="AI29" s="621"/>
      <c r="AJ29" s="621"/>
      <c r="AK29" s="621"/>
      <c r="AL29" s="3072">
        <f>AL30+AL31+AL32+AL33</f>
        <v>94</v>
      </c>
      <c r="AM29" s="3068">
        <f t="shared" si="5"/>
        <v>23876.59574468085</v>
      </c>
      <c r="AN29" s="3074">
        <f>AN30+AN31+AN32+AN33</f>
        <v>20199.599999999999</v>
      </c>
      <c r="AO29" s="3075">
        <f>AM29/BB14</f>
        <v>0.96476397368592659</v>
      </c>
      <c r="AP29" s="3064"/>
      <c r="AQ29" s="3072">
        <f>AQ30+AQ31+AQ32+AQ33</f>
        <v>94</v>
      </c>
      <c r="AR29" s="3068">
        <f t="shared" si="6"/>
        <v>24074.734042553187</v>
      </c>
      <c r="AS29" s="3074">
        <f>AS30+AS31+AS32+AS33</f>
        <v>27156.3</v>
      </c>
      <c r="AT29" s="3075">
        <f t="shared" si="15"/>
        <v>0.95442311357632248</v>
      </c>
      <c r="AU29" s="3072">
        <f>AU30+AU31+AU32+AU33</f>
        <v>105</v>
      </c>
      <c r="AV29" s="3068">
        <f t="shared" si="7"/>
        <v>28668.650793650795</v>
      </c>
      <c r="AW29" s="3074">
        <f>AW30+AW31+AW32+AW33</f>
        <v>36122.5</v>
      </c>
      <c r="AX29" s="3075">
        <f t="shared" si="16"/>
        <v>1.1365451806921265</v>
      </c>
      <c r="AY29" s="3093">
        <f>AV29/BB14</f>
        <v>1.1583930035779242</v>
      </c>
      <c r="AZ29" s="3076">
        <f>SUM(AZ30:AZ33)</f>
        <v>98</v>
      </c>
      <c r="BA29" s="3077">
        <f>BB29/AZ29/12*1000</f>
        <v>28763.121622082414</v>
      </c>
      <c r="BB29" s="3078">
        <f>SUM(BB30:BB33)</f>
        <v>33825.43102756892</v>
      </c>
      <c r="BC29" s="3075">
        <f t="shared" si="8"/>
        <v>1.1402903993123807</v>
      </c>
      <c r="BD29" s="3064"/>
      <c r="BE29" s="3072">
        <f>BE30+BE31+BE32+BE33</f>
        <v>94</v>
      </c>
      <c r="BF29" s="3068">
        <f t="shared" si="9"/>
        <v>23914.007092198586</v>
      </c>
      <c r="BG29" s="3074">
        <f>BG30+BG31+BG32+BG33</f>
        <v>13487.5</v>
      </c>
      <c r="BH29" s="3075">
        <f t="shared" si="17"/>
        <v>0.83415181496768542</v>
      </c>
      <c r="BI29" s="3072">
        <f>BI30+BI31+BI32+BI33</f>
        <v>94</v>
      </c>
      <c r="BJ29" s="3068">
        <f t="shared" si="10"/>
        <v>24833.096926713952</v>
      </c>
      <c r="BK29" s="3074">
        <f>BK30+BK31+BK32+BK33</f>
        <v>21008.800000000003</v>
      </c>
      <c r="BL29" s="3075">
        <f t="shared" si="18"/>
        <v>0.86336584926334103</v>
      </c>
      <c r="BM29" s="3072">
        <f>BM30+BM31+BM32+BM33</f>
        <v>93</v>
      </c>
      <c r="BN29" s="3068">
        <f t="shared" si="11"/>
        <v>25385.851254480287</v>
      </c>
      <c r="BO29" s="3074">
        <f>BO30+BO31+BO32+BO33</f>
        <v>28330.609999999997</v>
      </c>
      <c r="BP29" s="3075">
        <f t="shared" si="19"/>
        <v>0.88258331581752647</v>
      </c>
      <c r="BQ29" s="3072">
        <f>BQ30+BQ31+BQ32+BQ33</f>
        <v>105</v>
      </c>
      <c r="BR29" s="3077">
        <f>BS29/BQ29/12*1000</f>
        <v>31535.515873015873</v>
      </c>
      <c r="BS29" s="3078">
        <f>SUM(BS30:BS33)</f>
        <v>39734.75</v>
      </c>
      <c r="BT29" s="3075">
        <f t="shared" si="20"/>
        <v>1.0963871128926772</v>
      </c>
      <c r="BU29" s="3072">
        <f>BU30+BU31+BU32+BU33</f>
        <v>94</v>
      </c>
      <c r="BV29" s="3077">
        <f>BW29/BU29/12*1000</f>
        <v>28606.666659040642</v>
      </c>
      <c r="BW29" s="3078">
        <f>SUM(BW30:BW33)</f>
        <v>32268.319991397846</v>
      </c>
      <c r="BX29" s="3075">
        <f t="shared" si="21"/>
        <v>0.99456057082060056</v>
      </c>
      <c r="BY29" s="3120"/>
      <c r="BZ29" s="3072">
        <f>BZ30+BZ31+BZ32+BZ33</f>
        <v>91</v>
      </c>
      <c r="CA29" s="3084">
        <f t="shared" si="30"/>
        <v>26244.212454212455</v>
      </c>
      <c r="CB29" s="3074">
        <f>CB30+CB31+CB32+CB33</f>
        <v>14329.34</v>
      </c>
      <c r="CC29" s="3075">
        <f t="shared" si="22"/>
        <v>0.91741595646266694</v>
      </c>
      <c r="CD29" s="3072">
        <f>CD30+CD31+CD32+CD33</f>
        <v>92</v>
      </c>
      <c r="CE29" s="3068">
        <f t="shared" si="13"/>
        <v>27299.468599033815</v>
      </c>
      <c r="CF29" s="3074">
        <f>CF30+CF31+CF32+CF33</f>
        <v>22603.96</v>
      </c>
      <c r="CG29" s="3075">
        <f t="shared" si="23"/>
        <v>0.95430442576245733</v>
      </c>
      <c r="CH29" s="3072">
        <f>CH30+CH31+CH32+CH33</f>
        <v>92</v>
      </c>
      <c r="CI29" s="3068">
        <f t="shared" si="14"/>
        <v>27969.728260869568</v>
      </c>
      <c r="CJ29" s="3074">
        <f>CJ30+CJ31+CJ32+CJ33</f>
        <v>30878.58</v>
      </c>
      <c r="CK29" s="3075">
        <f t="shared" si="24"/>
        <v>0.97773461669747597</v>
      </c>
      <c r="CL29" s="3302">
        <f>CL30+CL31+CL32+CL33</f>
        <v>94</v>
      </c>
      <c r="CM29" s="3303">
        <f>CN29/CL29/12*1000</f>
        <v>31467.333324944706</v>
      </c>
      <c r="CN29" s="3304">
        <f>SUM(CN30:CN33)</f>
        <v>35495.151990537634</v>
      </c>
      <c r="CO29" s="3305">
        <f t="shared" si="25"/>
        <v>1.1000000000000001</v>
      </c>
      <c r="CP29" s="3302"/>
      <c r="CQ29" s="3303"/>
      <c r="CR29" s="3304">
        <f>SUM(CR30:CR33)</f>
        <v>34213.777003679221</v>
      </c>
      <c r="CS29" s="3305">
        <f t="shared" si="26"/>
        <v>1.06029</v>
      </c>
      <c r="CT29" s="3579">
        <f t="shared" si="35"/>
        <v>0</v>
      </c>
    </row>
    <row r="30" spans="1:98" ht="37.5" customHeight="1">
      <c r="A30" s="3081" t="s">
        <v>196</v>
      </c>
      <c r="B30" s="3082" t="s">
        <v>91</v>
      </c>
      <c r="C30" s="3083">
        <v>456</v>
      </c>
      <c r="D30" s="3084">
        <v>12405</v>
      </c>
      <c r="E30" s="3085">
        <v>67882.600000000006</v>
      </c>
      <c r="F30" s="3086">
        <v>444</v>
      </c>
      <c r="G30" s="3084">
        <v>12620</v>
      </c>
      <c r="H30" s="3087">
        <f>F30*G30*12/1000</f>
        <v>67239.360000000001</v>
      </c>
      <c r="I30" s="3088">
        <v>435</v>
      </c>
      <c r="J30" s="3084">
        <v>13646</v>
      </c>
      <c r="K30" s="3073">
        <f>J30/G30</f>
        <v>1.0812995245641839</v>
      </c>
      <c r="L30" s="3087">
        <v>71232.100000000006</v>
      </c>
      <c r="M30" s="3088">
        <v>30</v>
      </c>
      <c r="N30" s="3084">
        <f t="shared" si="3"/>
        <v>25154.444444444449</v>
      </c>
      <c r="O30" s="3089">
        <v>9055.6</v>
      </c>
      <c r="P30" s="3075">
        <f>N30/AM15</f>
        <v>1.2528746934240285</v>
      </c>
      <c r="Q30" s="3064"/>
      <c r="R30" s="4761"/>
      <c r="S30" s="3094">
        <v>26</v>
      </c>
      <c r="T30" s="3084">
        <f>AM15*1.056</f>
        <v>21201.715919999995</v>
      </c>
      <c r="U30" s="3089">
        <f>S30*T30*12/1000</f>
        <v>6614.9353670399987</v>
      </c>
      <c r="V30" s="3075">
        <f>T30/AM15</f>
        <v>1.056</v>
      </c>
      <c r="W30" s="3079"/>
      <c r="X30" s="3088">
        <v>25</v>
      </c>
      <c r="Y30" s="3084">
        <f t="shared" si="4"/>
        <v>21835.333333333336</v>
      </c>
      <c r="Z30" s="3089">
        <v>3275.3</v>
      </c>
      <c r="AA30" s="3075">
        <f>Y30/BB15</f>
        <v>0.9662474115678098</v>
      </c>
      <c r="AB30" s="3064"/>
      <c r="AC30" s="621"/>
      <c r="AD30" s="621"/>
      <c r="AE30" s="621"/>
      <c r="AF30" s="621"/>
      <c r="AG30" s="621"/>
      <c r="AH30" s="621"/>
      <c r="AI30" s="621"/>
      <c r="AJ30" s="621"/>
      <c r="AK30" s="621"/>
      <c r="AL30" s="3088">
        <v>25</v>
      </c>
      <c r="AM30" s="3084">
        <f t="shared" si="5"/>
        <v>22584.444444444445</v>
      </c>
      <c r="AN30" s="3089">
        <v>5081.5</v>
      </c>
      <c r="AO30" s="3075">
        <f>AM30/BB15</f>
        <v>0.99939674164846481</v>
      </c>
      <c r="AP30" s="3064"/>
      <c r="AQ30" s="3088">
        <v>25</v>
      </c>
      <c r="AR30" s="3084">
        <f t="shared" si="6"/>
        <v>23072.333333333332</v>
      </c>
      <c r="AS30" s="3089">
        <v>6921.7</v>
      </c>
      <c r="AT30" s="3075">
        <f t="shared" si="15"/>
        <v>1.0882295291754545</v>
      </c>
      <c r="AU30" s="3088">
        <v>30</v>
      </c>
      <c r="AV30" s="3084">
        <f t="shared" si="7"/>
        <v>25154.444444444449</v>
      </c>
      <c r="AW30" s="3089">
        <v>9055.6</v>
      </c>
      <c r="AX30" s="3075">
        <f t="shared" si="16"/>
        <v>1.1864343687727543</v>
      </c>
      <c r="AY30" s="3093">
        <f>AV30/BB15</f>
        <v>1.1131232330109022</v>
      </c>
      <c r="AZ30" s="3092">
        <f>BA15</f>
        <v>26</v>
      </c>
      <c r="BA30" s="3084">
        <f>AV30</f>
        <v>25154.444444444449</v>
      </c>
      <c r="BB30" s="3089">
        <f>AZ30*BA30*12/1000</f>
        <v>7848.1866666666683</v>
      </c>
      <c r="BC30" s="3075">
        <f t="shared" si="8"/>
        <v>1.1864343687727543</v>
      </c>
      <c r="BD30" s="3064"/>
      <c r="BE30" s="3088">
        <v>25</v>
      </c>
      <c r="BF30" s="3084">
        <f t="shared" si="9"/>
        <v>22802.666666666668</v>
      </c>
      <c r="BG30" s="3089">
        <v>3420.4</v>
      </c>
      <c r="BH30" s="3075">
        <f t="shared" si="17"/>
        <v>0.90650647113388394</v>
      </c>
      <c r="BI30" s="3088">
        <v>25</v>
      </c>
      <c r="BJ30" s="3084">
        <f t="shared" si="10"/>
        <v>23330.666666666664</v>
      </c>
      <c r="BK30" s="3089">
        <v>5249.4</v>
      </c>
      <c r="BL30" s="3075">
        <f t="shared" si="18"/>
        <v>0.92749679756172954</v>
      </c>
      <c r="BM30" s="3088">
        <v>25</v>
      </c>
      <c r="BN30" s="3084">
        <f t="shared" si="11"/>
        <v>23552.933333333331</v>
      </c>
      <c r="BO30" s="3089">
        <v>7065.88</v>
      </c>
      <c r="BP30" s="3075">
        <f t="shared" si="19"/>
        <v>0.93633287689385547</v>
      </c>
      <c r="BQ30" s="3088">
        <v>30</v>
      </c>
      <c r="BR30" s="3084">
        <f t="shared" si="27"/>
        <v>27669.888888888898</v>
      </c>
      <c r="BS30" s="3089">
        <f>BQ30*BR30*12/1000</f>
        <v>9961.1600000000035</v>
      </c>
      <c r="BT30" s="3075">
        <f t="shared" si="20"/>
        <v>1.1000000000000001</v>
      </c>
      <c r="BU30" s="3088">
        <f>AQ30</f>
        <v>25</v>
      </c>
      <c r="BV30" s="3084">
        <f>'ЗП с факт 3 кв. 2015'!BU29</f>
        <v>26191.279999999995</v>
      </c>
      <c r="BW30" s="3089">
        <f>BU30*BV30*12/1000</f>
        <v>7857.3839999999982</v>
      </c>
      <c r="BX30" s="3075">
        <f t="shared" si="21"/>
        <v>1.0412187817483101</v>
      </c>
      <c r="BY30" s="3120">
        <f t="shared" si="29"/>
        <v>1.1226117270545204</v>
      </c>
      <c r="BZ30" s="3088">
        <v>25</v>
      </c>
      <c r="CA30" s="3084">
        <f t="shared" si="30"/>
        <v>24687</v>
      </c>
      <c r="CB30" s="3089">
        <v>3703.05</v>
      </c>
      <c r="CC30" s="3075">
        <f t="shared" si="22"/>
        <v>0.94256561725887411</v>
      </c>
      <c r="CD30" s="3088">
        <v>26</v>
      </c>
      <c r="CE30" s="3084">
        <f t="shared" si="13"/>
        <v>24927.393162393164</v>
      </c>
      <c r="CF30" s="3089">
        <v>5833.01</v>
      </c>
      <c r="CG30" s="3075">
        <f t="shared" si="23"/>
        <v>0.95174398358511569</v>
      </c>
      <c r="CH30" s="3088">
        <v>26</v>
      </c>
      <c r="CI30" s="3084">
        <f t="shared" si="14"/>
        <v>25522.339743589742</v>
      </c>
      <c r="CJ30" s="3089">
        <f t="shared" si="31"/>
        <v>7962.97</v>
      </c>
      <c r="CK30" s="3075">
        <f t="shared" si="24"/>
        <v>0.97445942861859924</v>
      </c>
      <c r="CL30" s="3306">
        <f>SUM(BU30)</f>
        <v>25</v>
      </c>
      <c r="CM30" s="3307">
        <f>SUM(BV30*1.1)</f>
        <v>28810.407999999996</v>
      </c>
      <c r="CN30" s="3308">
        <f>CL30*CM30*12/1000</f>
        <v>8643.1223999999984</v>
      </c>
      <c r="CO30" s="3305">
        <f t="shared" si="25"/>
        <v>1.1000000000000001</v>
      </c>
      <c r="CP30" s="3306"/>
      <c r="CQ30" s="3307"/>
      <c r="CR30" s="3308">
        <f t="shared" si="34"/>
        <v>8331.1056813599971</v>
      </c>
      <c r="CS30" s="3305">
        <f t="shared" si="26"/>
        <v>1.06029</v>
      </c>
      <c r="CT30" s="3579">
        <f t="shared" si="35"/>
        <v>0</v>
      </c>
    </row>
    <row r="31" spans="1:98" ht="37.5" customHeight="1">
      <c r="A31" s="3081" t="s">
        <v>197</v>
      </c>
      <c r="B31" s="3082" t="s">
        <v>92</v>
      </c>
      <c r="C31" s="3083">
        <v>384</v>
      </c>
      <c r="D31" s="3084">
        <v>11838</v>
      </c>
      <c r="E31" s="3085">
        <v>54547.199999999997</v>
      </c>
      <c r="F31" s="3086">
        <v>369</v>
      </c>
      <c r="G31" s="3084">
        <v>12231</v>
      </c>
      <c r="H31" s="3087">
        <f>F31*G31*12/1000</f>
        <v>54158.868000000002</v>
      </c>
      <c r="I31" s="3088">
        <v>364</v>
      </c>
      <c r="J31" s="3084">
        <v>13021</v>
      </c>
      <c r="K31" s="3073">
        <f>J31/G31</f>
        <v>1.0645899762897555</v>
      </c>
      <c r="L31" s="3087">
        <v>56876.800000000003</v>
      </c>
      <c r="M31" s="3088">
        <v>49</v>
      </c>
      <c r="N31" s="3084">
        <f t="shared" si="3"/>
        <v>30026.530612244896</v>
      </c>
      <c r="O31" s="3089">
        <v>17655.599999999999</v>
      </c>
      <c r="P31" s="3075">
        <f>N31/AM16</f>
        <v>1.1443255630726537</v>
      </c>
      <c r="Q31" s="3064"/>
      <c r="R31" s="4761"/>
      <c r="S31" s="3094">
        <v>48</v>
      </c>
      <c r="T31" s="3084">
        <f>AM16*1.056</f>
        <v>27708.912</v>
      </c>
      <c r="U31" s="3089">
        <f>S31*T31*12/1000</f>
        <v>15960.333312000001</v>
      </c>
      <c r="V31" s="3075">
        <f>T31/AM16</f>
        <v>1.056</v>
      </c>
      <c r="W31" s="3079"/>
      <c r="X31" s="3088">
        <v>49</v>
      </c>
      <c r="Y31" s="3084">
        <f t="shared" si="4"/>
        <v>23665.306122448983</v>
      </c>
      <c r="Z31" s="3089">
        <v>6957.6</v>
      </c>
      <c r="AA31" s="3075">
        <f>Y31/BB16</f>
        <v>0.90954964376756653</v>
      </c>
      <c r="AB31" s="3064"/>
      <c r="AC31" s="621"/>
      <c r="AD31" s="621"/>
      <c r="AE31" s="621"/>
      <c r="AF31" s="621"/>
      <c r="AG31" s="621"/>
      <c r="AH31" s="621"/>
      <c r="AI31" s="621"/>
      <c r="AJ31" s="621"/>
      <c r="AK31" s="621"/>
      <c r="AL31" s="3088">
        <v>49</v>
      </c>
      <c r="AM31" s="3084">
        <f t="shared" si="5"/>
        <v>24274.149659863946</v>
      </c>
      <c r="AN31" s="3089">
        <v>10704.9</v>
      </c>
      <c r="AO31" s="3075">
        <f>AM31/BB16</f>
        <v>0.93294986600431395</v>
      </c>
      <c r="AP31" s="3064"/>
      <c r="AQ31" s="3088">
        <v>49</v>
      </c>
      <c r="AR31" s="3084">
        <f t="shared" si="6"/>
        <v>24466.496598639456</v>
      </c>
      <c r="AS31" s="3089">
        <v>14386.3</v>
      </c>
      <c r="AT31" s="3075">
        <f t="shared" si="15"/>
        <v>0.88298294060190652</v>
      </c>
      <c r="AU31" s="3088">
        <v>49</v>
      </c>
      <c r="AV31" s="3084">
        <f t="shared" si="7"/>
        <v>30026.530612244896</v>
      </c>
      <c r="AW31" s="3089">
        <v>17655.599999999999</v>
      </c>
      <c r="AX31" s="3075">
        <f t="shared" si="16"/>
        <v>1.0836416316975888</v>
      </c>
      <c r="AY31" s="3093">
        <f>AV31/BB16</f>
        <v>1.1540362115170926</v>
      </c>
      <c r="AZ31" s="3092">
        <f>BA16</f>
        <v>49</v>
      </c>
      <c r="BA31" s="3084">
        <f>AV31</f>
        <v>30026.530612244896</v>
      </c>
      <c r="BB31" s="3089">
        <f>AZ31*BA31*12/1000</f>
        <v>17655.599999999999</v>
      </c>
      <c r="BC31" s="3075">
        <f t="shared" si="8"/>
        <v>1.0836416316975888</v>
      </c>
      <c r="BD31" s="3064"/>
      <c r="BE31" s="3088">
        <v>49</v>
      </c>
      <c r="BF31" s="3084">
        <f t="shared" si="9"/>
        <v>24546.938775510203</v>
      </c>
      <c r="BG31" s="3089">
        <v>7216.8</v>
      </c>
      <c r="BH31" s="3075">
        <f t="shared" si="17"/>
        <v>0.81750832597023038</v>
      </c>
      <c r="BI31" s="3088">
        <v>49</v>
      </c>
      <c r="BJ31" s="3084">
        <f t="shared" si="10"/>
        <v>25629.25170068027</v>
      </c>
      <c r="BK31" s="3089">
        <v>11302.5</v>
      </c>
      <c r="BL31" s="3075">
        <f t="shared" si="18"/>
        <v>0.85355354675003958</v>
      </c>
      <c r="BM31" s="3088">
        <v>48</v>
      </c>
      <c r="BN31" s="3084">
        <f t="shared" si="11"/>
        <v>26517.621527777777</v>
      </c>
      <c r="BO31" s="3089">
        <v>15274.15</v>
      </c>
      <c r="BP31" s="3075">
        <f t="shared" si="19"/>
        <v>0.88313970968606748</v>
      </c>
      <c r="BQ31" s="3088">
        <v>49</v>
      </c>
      <c r="BR31" s="3084">
        <f t="shared" si="27"/>
        <v>33029.183673469386</v>
      </c>
      <c r="BS31" s="3089">
        <f>BQ31*BR31*12/1000</f>
        <v>19421.16</v>
      </c>
      <c r="BT31" s="3075">
        <f t="shared" si="20"/>
        <v>1.1000000000000001</v>
      </c>
      <c r="BU31" s="3088">
        <f t="shared" ref="BU31:BU33" si="36">AQ31</f>
        <v>49</v>
      </c>
      <c r="BV31" s="3084">
        <f>'ЗП с факт 3 кв. 2015'!BU30</f>
        <v>29850.624489795915</v>
      </c>
      <c r="BW31" s="3089">
        <f>BU31*BV31*12/1000</f>
        <v>17552.1672</v>
      </c>
      <c r="BX31" s="3075">
        <f t="shared" si="21"/>
        <v>0.99414164344457279</v>
      </c>
      <c r="BY31" s="3120">
        <f t="shared" si="29"/>
        <v>1.1647091705374917</v>
      </c>
      <c r="BZ31" s="3088">
        <v>48</v>
      </c>
      <c r="CA31" s="3084">
        <f t="shared" si="30"/>
        <v>27130.694444444445</v>
      </c>
      <c r="CB31" s="3089">
        <v>7813.64</v>
      </c>
      <c r="CC31" s="3075">
        <f t="shared" si="22"/>
        <v>0.90888197175636154</v>
      </c>
      <c r="CD31" s="3088">
        <v>48</v>
      </c>
      <c r="CE31" s="3084">
        <f t="shared" si="13"/>
        <v>28305.763888888891</v>
      </c>
      <c r="CF31" s="3089">
        <v>12228.09</v>
      </c>
      <c r="CG31" s="3075">
        <f t="shared" si="23"/>
        <v>0.94824695873832998</v>
      </c>
      <c r="CH31" s="3088">
        <v>48</v>
      </c>
      <c r="CI31" s="3084">
        <f t="shared" si="14"/>
        <v>28893.298611111109</v>
      </c>
      <c r="CJ31" s="3089">
        <f t="shared" si="31"/>
        <v>16642.54</v>
      </c>
      <c r="CK31" s="3075">
        <f t="shared" si="24"/>
        <v>0.96792945222931415</v>
      </c>
      <c r="CL31" s="3306">
        <f t="shared" ref="CL31:CL33" si="37">SUM(BU31)</f>
        <v>49</v>
      </c>
      <c r="CM31" s="3307">
        <f t="shared" ref="CM31:CM33" si="38">SUM(BV31*1.1)</f>
        <v>32835.686938775507</v>
      </c>
      <c r="CN31" s="3308">
        <f>CL31*CM31*12/1000</f>
        <v>19307.383919999997</v>
      </c>
      <c r="CO31" s="3305">
        <f t="shared" si="25"/>
        <v>1.1000000000000001</v>
      </c>
      <c r="CP31" s="3306"/>
      <c r="CQ31" s="3307"/>
      <c r="CR31" s="3308">
        <f t="shared" si="34"/>
        <v>18610.387360487999</v>
      </c>
      <c r="CS31" s="3305">
        <f t="shared" si="26"/>
        <v>1.06029</v>
      </c>
      <c r="CT31" s="3579">
        <f t="shared" si="35"/>
        <v>0</v>
      </c>
    </row>
    <row r="32" spans="1:98" ht="75">
      <c r="A32" s="3081" t="s">
        <v>206</v>
      </c>
      <c r="B32" s="3082" t="s">
        <v>208</v>
      </c>
      <c r="C32" s="3083"/>
      <c r="D32" s="3084"/>
      <c r="E32" s="3085"/>
      <c r="F32" s="3086"/>
      <c r="G32" s="3084"/>
      <c r="H32" s="3087"/>
      <c r="I32" s="3088"/>
      <c r="J32" s="3084"/>
      <c r="K32" s="3073"/>
      <c r="L32" s="3087"/>
      <c r="M32" s="3088">
        <v>7</v>
      </c>
      <c r="N32" s="3084">
        <f t="shared" si="3"/>
        <v>31347.619047619046</v>
      </c>
      <c r="O32" s="3089">
        <v>2633.2</v>
      </c>
      <c r="P32" s="3075">
        <f>N32/AM17</f>
        <v>1.2757479654799539</v>
      </c>
      <c r="Q32" s="3064"/>
      <c r="R32" s="4761"/>
      <c r="S32" s="3095">
        <v>7</v>
      </c>
      <c r="T32" s="3084">
        <f>AM17*1.056</f>
        <v>25947.982367999997</v>
      </c>
      <c r="U32" s="3089">
        <f>S32*T32*12/1000</f>
        <v>2179.6305189119998</v>
      </c>
      <c r="V32" s="3075">
        <f>T32/AM17</f>
        <v>1.056</v>
      </c>
      <c r="W32" s="3079"/>
      <c r="X32" s="3088">
        <v>4</v>
      </c>
      <c r="Y32" s="3084">
        <f t="shared" si="4"/>
        <v>22329.166666666664</v>
      </c>
      <c r="Z32" s="3089">
        <v>535.9</v>
      </c>
      <c r="AA32" s="3075">
        <f>Y32/BB17</f>
        <v>0.91450511945392476</v>
      </c>
      <c r="AB32" s="3064"/>
      <c r="AC32" s="621"/>
      <c r="AD32" s="621"/>
      <c r="AE32" s="621"/>
      <c r="AF32" s="621"/>
      <c r="AG32" s="621"/>
      <c r="AH32" s="621"/>
      <c r="AI32" s="621"/>
      <c r="AJ32" s="621"/>
      <c r="AK32" s="621"/>
      <c r="AL32" s="3088">
        <v>4</v>
      </c>
      <c r="AM32" s="3084">
        <f t="shared" si="5"/>
        <v>23575.000000000004</v>
      </c>
      <c r="AN32" s="3089">
        <v>848.7</v>
      </c>
      <c r="AO32" s="3075">
        <f>AM32/BB17</f>
        <v>0.96552901023890791</v>
      </c>
      <c r="AP32" s="3064"/>
      <c r="AQ32" s="3088">
        <v>4</v>
      </c>
      <c r="AR32" s="3084">
        <f t="shared" si="6"/>
        <v>24131.249999999996</v>
      </c>
      <c r="AS32" s="3089">
        <v>1158.3</v>
      </c>
      <c r="AT32" s="3075">
        <f t="shared" si="15"/>
        <v>0.92998560187706691</v>
      </c>
      <c r="AU32" s="3088">
        <v>7</v>
      </c>
      <c r="AV32" s="3084">
        <f t="shared" si="7"/>
        <v>31347.619047619046</v>
      </c>
      <c r="AW32" s="3089">
        <v>2633.2</v>
      </c>
      <c r="AX32" s="3075">
        <f t="shared" si="16"/>
        <v>1.2080946642802595</v>
      </c>
      <c r="AY32" s="3093">
        <f>AV32/BB17</f>
        <v>1.283861530960507</v>
      </c>
      <c r="AZ32" s="3092">
        <f>BA17</f>
        <v>6</v>
      </c>
      <c r="BA32" s="3084">
        <f>AV32</f>
        <v>31347.619047619046</v>
      </c>
      <c r="BB32" s="3089">
        <f>AZ32*BA32*12/1000</f>
        <v>2257.028571428571</v>
      </c>
      <c r="BC32" s="3075">
        <f t="shared" si="8"/>
        <v>1.2080946642802595</v>
      </c>
      <c r="BD32" s="3064"/>
      <c r="BE32" s="3088">
        <v>5</v>
      </c>
      <c r="BF32" s="3084">
        <f t="shared" si="9"/>
        <v>22876.666666666664</v>
      </c>
      <c r="BG32" s="3089">
        <v>686.3</v>
      </c>
      <c r="BH32" s="3075">
        <f t="shared" si="17"/>
        <v>0.72977365942579364</v>
      </c>
      <c r="BI32" s="3088">
        <v>4</v>
      </c>
      <c r="BJ32" s="3084">
        <f t="shared" si="10"/>
        <v>31052.777777777781</v>
      </c>
      <c r="BK32" s="3089">
        <v>1117.9000000000001</v>
      </c>
      <c r="BL32" s="3075">
        <f t="shared" si="18"/>
        <v>0.99059446047901178</v>
      </c>
      <c r="BM32" s="3088">
        <v>5</v>
      </c>
      <c r="BN32" s="3084">
        <f t="shared" si="11"/>
        <v>26276.999999999996</v>
      </c>
      <c r="BO32" s="3089">
        <v>1576.62</v>
      </c>
      <c r="BP32" s="3075">
        <f t="shared" si="19"/>
        <v>0.83824548078383709</v>
      </c>
      <c r="BQ32" s="3088">
        <v>7</v>
      </c>
      <c r="BR32" s="3084">
        <f t="shared" si="27"/>
        <v>34482.380952380954</v>
      </c>
      <c r="BS32" s="3089">
        <f>BQ32*BR32*12/1000</f>
        <v>2896.52</v>
      </c>
      <c r="BT32" s="3075">
        <f t="shared" si="20"/>
        <v>1.1000000000000001</v>
      </c>
      <c r="BU32" s="3088">
        <f t="shared" si="36"/>
        <v>4</v>
      </c>
      <c r="BV32" s="3084">
        <f>'ЗП с факт 3 кв. 2015'!BU31</f>
        <v>34336.17777777779</v>
      </c>
      <c r="BW32" s="3089">
        <f>BU32*BV32*12/1000</f>
        <v>1648.136533333334</v>
      </c>
      <c r="BX32" s="3075">
        <f t="shared" si="21"/>
        <v>1.0953360676489954</v>
      </c>
      <c r="BY32" s="3120">
        <f t="shared" si="29"/>
        <v>1.1057361123535203</v>
      </c>
      <c r="BZ32" s="3088">
        <v>4</v>
      </c>
      <c r="CA32" s="3084">
        <f t="shared" si="30"/>
        <v>28215.833333333332</v>
      </c>
      <c r="CB32" s="3089">
        <v>677.18</v>
      </c>
      <c r="CC32" s="3075">
        <f t="shared" si="22"/>
        <v>0.82175230789941001</v>
      </c>
      <c r="CD32" s="3088">
        <v>4</v>
      </c>
      <c r="CE32" s="3084">
        <f t="shared" si="13"/>
        <v>29888.055555555558</v>
      </c>
      <c r="CF32" s="3089">
        <v>1075.97</v>
      </c>
      <c r="CG32" s="3075">
        <f t="shared" si="23"/>
        <v>0.87045377470345475</v>
      </c>
      <c r="CH32" s="3088">
        <v>4</v>
      </c>
      <c r="CI32" s="3084">
        <f t="shared" si="14"/>
        <v>30724.166666666672</v>
      </c>
      <c r="CJ32" s="3089">
        <f t="shared" si="31"/>
        <v>1474.7600000000002</v>
      </c>
      <c r="CK32" s="3075">
        <f t="shared" si="24"/>
        <v>0.89480450810547718</v>
      </c>
      <c r="CL32" s="3306">
        <f t="shared" si="37"/>
        <v>4</v>
      </c>
      <c r="CM32" s="3307">
        <f t="shared" si="38"/>
        <v>37769.795555555575</v>
      </c>
      <c r="CN32" s="3308">
        <f>CL32*CM32*12/1000</f>
        <v>1812.9501866666674</v>
      </c>
      <c r="CO32" s="3305">
        <f t="shared" si="25"/>
        <v>1.1000000000000001</v>
      </c>
      <c r="CP32" s="3306"/>
      <c r="CQ32" s="3307"/>
      <c r="CR32" s="3308">
        <f t="shared" si="34"/>
        <v>1747.5026849280007</v>
      </c>
      <c r="CS32" s="3305">
        <f t="shared" si="26"/>
        <v>1.06029</v>
      </c>
      <c r="CT32" s="3579">
        <f t="shared" si="35"/>
        <v>0</v>
      </c>
    </row>
    <row r="33" spans="1:98" ht="24.95" customHeight="1" thickBot="1">
      <c r="A33" s="3040" t="s">
        <v>207</v>
      </c>
      <c r="B33" s="3041" t="s">
        <v>89</v>
      </c>
      <c r="C33" s="3042"/>
      <c r="D33" s="3043"/>
      <c r="E33" s="3044"/>
      <c r="F33" s="3045"/>
      <c r="G33" s="3043"/>
      <c r="H33" s="3046"/>
      <c r="I33" s="3047"/>
      <c r="J33" s="3043"/>
      <c r="K33" s="3048"/>
      <c r="L33" s="3046"/>
      <c r="M33" s="3047">
        <v>19</v>
      </c>
      <c r="N33" s="3043">
        <f t="shared" si="3"/>
        <v>29728.508771929824</v>
      </c>
      <c r="O33" s="3049">
        <v>6778.1</v>
      </c>
      <c r="P33" s="3050">
        <f>N33/AM18</f>
        <v>1.3130421604372358</v>
      </c>
      <c r="Q33" s="3051"/>
      <c r="R33" s="4761"/>
      <c r="S33" s="3052">
        <v>15</v>
      </c>
      <c r="T33" s="3043">
        <f>AM18*1.056</f>
        <v>23908.832640000001</v>
      </c>
      <c r="U33" s="3049">
        <f>S33*T33*12/1000</f>
        <v>4303.5898752000003</v>
      </c>
      <c r="V33" s="3050">
        <f>T33/AM18</f>
        <v>1.056</v>
      </c>
      <c r="W33" s="3053"/>
      <c r="X33" s="3047">
        <v>17</v>
      </c>
      <c r="Y33" s="3043">
        <f t="shared" si="4"/>
        <v>22040.196078431374</v>
      </c>
      <c r="Z33" s="3049">
        <v>2248.1</v>
      </c>
      <c r="AA33" s="3050">
        <f>Y33/BB18</f>
        <v>0.8998158821645853</v>
      </c>
      <c r="AB33" s="3051"/>
      <c r="AC33" s="621"/>
      <c r="AD33" s="621"/>
      <c r="AE33" s="621"/>
      <c r="AF33" s="621"/>
      <c r="AG33" s="621"/>
      <c r="AH33" s="621"/>
      <c r="AI33" s="621"/>
      <c r="AJ33" s="621"/>
      <c r="AK33" s="621"/>
      <c r="AL33" s="3047">
        <v>16</v>
      </c>
      <c r="AM33" s="3043">
        <f t="shared" si="5"/>
        <v>24753.472222222223</v>
      </c>
      <c r="AN33" s="3049">
        <v>3564.5</v>
      </c>
      <c r="AO33" s="3050">
        <f>AM33/BB18</f>
        <v>1.0105884432703596</v>
      </c>
      <c r="AP33" s="3051"/>
      <c r="AQ33" s="3047">
        <v>16</v>
      </c>
      <c r="AR33" s="3043">
        <f t="shared" si="6"/>
        <v>24427.083333333332</v>
      </c>
      <c r="AS33" s="3049">
        <v>4690</v>
      </c>
      <c r="AT33" s="3050">
        <f t="shared" si="15"/>
        <v>1.0216761186602765</v>
      </c>
      <c r="AU33" s="3047">
        <v>19</v>
      </c>
      <c r="AV33" s="3043">
        <f t="shared" si="7"/>
        <v>29728.508771929824</v>
      </c>
      <c r="AW33" s="3049">
        <v>6778.1</v>
      </c>
      <c r="AX33" s="3050">
        <f t="shared" si="16"/>
        <v>1.2434111367776852</v>
      </c>
      <c r="AY33" s="3054">
        <f>AV33/BB18</f>
        <v>1.2136999258472789</v>
      </c>
      <c r="AZ33" s="3055">
        <f>BA18</f>
        <v>17</v>
      </c>
      <c r="BA33" s="3043">
        <f>AV33</f>
        <v>29728.508771929824</v>
      </c>
      <c r="BB33" s="3049">
        <f>AZ33*BA33*12/1000</f>
        <v>6064.6157894736843</v>
      </c>
      <c r="BC33" s="3050">
        <f t="shared" si="8"/>
        <v>1.2434111367776852</v>
      </c>
      <c r="BD33" s="3051"/>
      <c r="BE33" s="3047">
        <v>15</v>
      </c>
      <c r="BF33" s="3043">
        <f t="shared" si="9"/>
        <v>24044.444444444449</v>
      </c>
      <c r="BG33" s="3049">
        <v>2164</v>
      </c>
      <c r="BH33" s="3050">
        <f t="shared" si="17"/>
        <v>0.80880089307229674</v>
      </c>
      <c r="BI33" s="3047">
        <v>16</v>
      </c>
      <c r="BJ33" s="3043">
        <f t="shared" si="10"/>
        <v>23187.5</v>
      </c>
      <c r="BK33" s="3049">
        <v>3339</v>
      </c>
      <c r="BL33" s="3050">
        <f t="shared" si="18"/>
        <v>0.77997521429309102</v>
      </c>
      <c r="BM33" s="3047">
        <v>15</v>
      </c>
      <c r="BN33" s="3043">
        <f t="shared" si="11"/>
        <v>24522.000000000004</v>
      </c>
      <c r="BO33" s="3049">
        <v>4413.96</v>
      </c>
      <c r="BP33" s="3050">
        <f t="shared" si="19"/>
        <v>0.8248647851167733</v>
      </c>
      <c r="BQ33" s="3118">
        <v>19</v>
      </c>
      <c r="BR33" s="3112">
        <f t="shared" si="27"/>
        <v>32701.359649122809</v>
      </c>
      <c r="BS33" s="3119">
        <f>BQ33*BR33*12/1000</f>
        <v>7455.91</v>
      </c>
      <c r="BT33" s="3115">
        <f t="shared" si="20"/>
        <v>1.1000000000000001</v>
      </c>
      <c r="BU33" s="3118">
        <f t="shared" si="36"/>
        <v>16</v>
      </c>
      <c r="BV33" s="3112">
        <f>'ЗП с факт 3 кв. 2015'!BU32</f>
        <v>27138.709677419356</v>
      </c>
      <c r="BW33" s="3119">
        <f>BU33*BV33*12/1000</f>
        <v>5210.6322580645156</v>
      </c>
      <c r="BX33" s="3115">
        <f t="shared" si="21"/>
        <v>0.91288499822245361</v>
      </c>
      <c r="BY33" s="3121">
        <f t="shared" si="29"/>
        <v>1.1704025736892445</v>
      </c>
      <c r="BZ33" s="3118">
        <v>14</v>
      </c>
      <c r="CA33" s="3084">
        <f t="shared" si="30"/>
        <v>25422.261904761901</v>
      </c>
      <c r="CB33" s="3119">
        <v>2135.4699999999998</v>
      </c>
      <c r="CC33" s="3075">
        <f t="shared" si="22"/>
        <v>0.9367527862208711</v>
      </c>
      <c r="CD33" s="3118">
        <v>14</v>
      </c>
      <c r="CE33" s="3112">
        <f t="shared" si="13"/>
        <v>27515</v>
      </c>
      <c r="CF33" s="3119">
        <v>3466.89</v>
      </c>
      <c r="CG33" s="3075">
        <f t="shared" si="23"/>
        <v>1.0138654463330559</v>
      </c>
      <c r="CH33" s="3118">
        <v>14</v>
      </c>
      <c r="CI33" s="3112">
        <f t="shared" si="14"/>
        <v>28561.369047619042</v>
      </c>
      <c r="CJ33" s="3089">
        <f t="shared" si="31"/>
        <v>4798.3099999999995</v>
      </c>
      <c r="CK33" s="3075">
        <f t="shared" si="24"/>
        <v>1.0524217763891481</v>
      </c>
      <c r="CL33" s="3306">
        <f t="shared" si="37"/>
        <v>16</v>
      </c>
      <c r="CM33" s="3307">
        <f t="shared" si="38"/>
        <v>29852.580645161295</v>
      </c>
      <c r="CN33" s="3309">
        <f>CL33*CM33*12/1000</f>
        <v>5731.695483870968</v>
      </c>
      <c r="CO33" s="3305">
        <f t="shared" si="25"/>
        <v>1.1000000000000001</v>
      </c>
      <c r="CP33" s="3580"/>
      <c r="CQ33" s="3581"/>
      <c r="CR33" s="3308">
        <f t="shared" si="34"/>
        <v>5524.7812769032244</v>
      </c>
      <c r="CS33" s="3305">
        <f t="shared" si="26"/>
        <v>1.0602899999999997</v>
      </c>
      <c r="CT33" s="3579">
        <f t="shared" si="35"/>
        <v>0</v>
      </c>
    </row>
    <row r="34" spans="1:98" ht="19.5" thickBot="1">
      <c r="A34" s="4466" t="s">
        <v>858</v>
      </c>
      <c r="B34" s="5048"/>
      <c r="C34" s="5048"/>
      <c r="D34" s="5048"/>
      <c r="E34" s="5048"/>
      <c r="F34" s="5048"/>
      <c r="G34" s="5048"/>
      <c r="H34" s="5048"/>
      <c r="I34" s="5048"/>
      <c r="J34" s="5048"/>
      <c r="K34" s="5048"/>
      <c r="L34" s="5048"/>
      <c r="M34" s="5048"/>
      <c r="N34" s="5048"/>
      <c r="O34" s="5048"/>
      <c r="P34" s="5048"/>
      <c r="Q34" s="5048"/>
      <c r="R34" s="5048"/>
      <c r="S34" s="5048"/>
      <c r="T34" s="5048"/>
      <c r="U34" s="5048"/>
      <c r="V34" s="5048"/>
      <c r="W34" s="5048"/>
      <c r="X34" s="5048"/>
      <c r="Y34" s="5048"/>
      <c r="Z34" s="5048"/>
      <c r="AA34" s="5048"/>
      <c r="AB34" s="5048"/>
      <c r="AC34" s="5048"/>
      <c r="AD34" s="5048"/>
      <c r="AE34" s="5048"/>
      <c r="AF34" s="5048"/>
      <c r="AG34" s="5048"/>
      <c r="AH34" s="5048"/>
      <c r="AI34" s="5048"/>
      <c r="AJ34" s="5048"/>
      <c r="AK34" s="5048"/>
      <c r="AL34" s="5048"/>
      <c r="AM34" s="5048"/>
      <c r="AN34" s="5048"/>
      <c r="AO34" s="5048"/>
      <c r="AP34" s="5048"/>
      <c r="AQ34" s="5048"/>
      <c r="AR34" s="5048"/>
      <c r="AS34" s="5048"/>
      <c r="AT34" s="5048"/>
      <c r="AU34" s="5048"/>
      <c r="AV34" s="5048"/>
      <c r="AW34" s="5048"/>
      <c r="AX34" s="5048"/>
      <c r="AY34" s="5048"/>
      <c r="AZ34" s="5048"/>
      <c r="BA34" s="5048"/>
      <c r="BB34" s="5048"/>
      <c r="BC34" s="5048"/>
      <c r="BD34" s="5048"/>
      <c r="BE34" s="5048"/>
      <c r="BF34" s="5048"/>
      <c r="BG34" s="5048"/>
      <c r="BH34" s="5048"/>
      <c r="BI34" s="5048"/>
      <c r="BJ34" s="5048"/>
      <c r="BK34" s="5048"/>
      <c r="BL34" s="5048"/>
      <c r="BM34" s="5048"/>
      <c r="BN34" s="5048"/>
      <c r="BO34" s="5048"/>
      <c r="BP34" s="5048"/>
      <c r="BQ34" s="5048"/>
      <c r="BR34" s="5048"/>
      <c r="BS34" s="5048"/>
      <c r="BT34" s="5048"/>
      <c r="BU34" s="5048"/>
      <c r="BV34" s="5048"/>
      <c r="BW34" s="5048"/>
      <c r="BX34" s="5048"/>
      <c r="BY34" s="5048"/>
      <c r="BZ34" s="4468"/>
      <c r="CA34" s="4468"/>
      <c r="CB34" s="4468"/>
      <c r="CC34" s="4468"/>
      <c r="CD34" s="4468"/>
      <c r="CE34" s="4468"/>
      <c r="CF34" s="4468"/>
      <c r="CG34" s="4468"/>
      <c r="CH34" s="4468"/>
      <c r="CI34" s="4468"/>
      <c r="CJ34" s="4468"/>
      <c r="CK34" s="4468"/>
      <c r="CL34" s="4468"/>
      <c r="CM34" s="4468"/>
      <c r="CN34" s="4468"/>
      <c r="CO34" s="4468"/>
      <c r="CP34" s="4468"/>
      <c r="CQ34" s="4468"/>
      <c r="CR34" s="4468"/>
      <c r="CS34" s="4468"/>
      <c r="CT34" s="4469"/>
    </row>
    <row r="35" spans="1:98" ht="37.5" customHeight="1">
      <c r="A35" s="5049" t="s">
        <v>258</v>
      </c>
      <c r="B35" s="5050"/>
      <c r="C35" s="1268"/>
      <c r="D35" s="623"/>
      <c r="E35" s="623"/>
      <c r="F35" s="623"/>
      <c r="G35" s="623"/>
      <c r="H35" s="623"/>
      <c r="I35" s="623"/>
      <c r="J35" s="623"/>
      <c r="K35" s="623"/>
      <c r="L35" s="1276"/>
      <c r="M35" s="1264"/>
      <c r="N35" s="3315">
        <f>(O24+O29)/(M24+M29)/12*1000</f>
        <v>26931.3782051282</v>
      </c>
      <c r="O35" s="623"/>
      <c r="P35" s="622"/>
      <c r="Q35" s="1268"/>
      <c r="R35" s="5046"/>
      <c r="S35" s="1264"/>
      <c r="T35" s="3315">
        <f>(U24+U29)/(S24+S29)/12*1000</f>
        <v>23399.902952414348</v>
      </c>
      <c r="U35" s="623"/>
      <c r="V35" s="623"/>
      <c r="W35" s="622"/>
      <c r="X35" s="1319"/>
      <c r="Y35" s="3315">
        <f>(Z24+Z29)/(X24+X29)/6*1000</f>
        <v>22071.124261976194</v>
      </c>
      <c r="Z35" s="625"/>
      <c r="AA35" s="622"/>
      <c r="AB35" s="1268"/>
      <c r="AC35" s="623"/>
      <c r="AD35" s="623"/>
      <c r="AE35" s="623"/>
      <c r="AF35" s="623"/>
      <c r="AG35" s="623"/>
      <c r="AH35" s="623"/>
      <c r="AI35" s="623"/>
      <c r="AJ35" s="623"/>
      <c r="AK35" s="1276"/>
      <c r="AL35" s="1319"/>
      <c r="AM35" s="3315">
        <f>(AN24+AN29)/(AL24+AL29)/9*1000</f>
        <v>23101.92837465565</v>
      </c>
      <c r="AN35" s="625"/>
      <c r="AO35" s="622"/>
      <c r="AP35" s="1243"/>
      <c r="AQ35" s="1319"/>
      <c r="AR35" s="3315">
        <f>(AS24+AS29)/(AQ24+AQ29)/12*1000</f>
        <v>23276.997245179064</v>
      </c>
      <c r="AS35" s="625"/>
      <c r="AT35" s="1245">
        <f t="shared" si="15"/>
        <v>0.99474759756545894</v>
      </c>
      <c r="AU35" s="1264"/>
      <c r="AV35" s="624">
        <f>(AW24+AW29)/(AU24+AU29)/12*1000</f>
        <v>25563.717948717946</v>
      </c>
      <c r="AW35" s="623"/>
      <c r="AX35" s="623"/>
      <c r="AY35" s="622"/>
      <c r="AZ35" s="1264"/>
      <c r="BA35" s="3315">
        <f>(BB24+BB29)/(AZ24+AZ29)/12*1000</f>
        <v>25597.995857856873</v>
      </c>
      <c r="BB35" s="623"/>
      <c r="BC35" s="1320">
        <f>BA35/T35</f>
        <v>1.0939359838334599</v>
      </c>
      <c r="BD35" s="1244"/>
      <c r="BE35" s="1319"/>
      <c r="BF35" s="3315">
        <f>(BG24+BG29)/(BE24+BE29)/6*1000</f>
        <v>23259.453781512606</v>
      </c>
      <c r="BG35" s="625"/>
      <c r="BH35" s="1245">
        <f t="shared" si="17"/>
        <v>0.90986193120156444</v>
      </c>
      <c r="BI35" s="1319"/>
      <c r="BJ35" s="3315">
        <f>(BK24+BK29)/(BI24+BI29)/9*1000</f>
        <v>23705.234159779615</v>
      </c>
      <c r="BK35" s="625"/>
      <c r="BL35" s="1245">
        <f t="shared" si="18"/>
        <v>0.9260582075023539</v>
      </c>
      <c r="BM35" s="1319"/>
      <c r="BN35" s="3315">
        <f>(BO24+BO29)/(BM24+BM29)/12*1000</f>
        <v>24286.923347398031</v>
      </c>
      <c r="BO35" s="625"/>
      <c r="BP35" s="1245">
        <f t="shared" si="19"/>
        <v>0.94878222038400595</v>
      </c>
      <c r="BQ35" s="1264"/>
      <c r="BR35" s="3315">
        <f>(BS24+BS29)/(BQ24+BQ29)/12*1000</f>
        <v>28120.089743589746</v>
      </c>
      <c r="BS35" s="623"/>
      <c r="BT35" s="1245">
        <f t="shared" si="20"/>
        <v>1.0985270057756791</v>
      </c>
      <c r="BU35" s="1264"/>
      <c r="BV35" s="3315">
        <f>(BW24+BW29)/(BU24+BU29)/12*1000</f>
        <v>27456.077812229923</v>
      </c>
      <c r="BW35" s="623"/>
      <c r="BX35" s="1245">
        <f t="shared" si="21"/>
        <v>1.0725870089475285</v>
      </c>
      <c r="BY35" s="3122">
        <f t="shared" si="29"/>
        <v>1.1582285003880839</v>
      </c>
      <c r="BZ35" s="1319"/>
      <c r="CA35" s="3315">
        <f>(CB24+CB29)/(BZ24+BZ29)/6*1000</f>
        <v>24612.393162393164</v>
      </c>
      <c r="CB35" s="625"/>
      <c r="CC35" s="3075">
        <f t="shared" si="22"/>
        <v>0.89642786310249745</v>
      </c>
      <c r="CD35" s="1319"/>
      <c r="CE35" s="3315">
        <f>(CF24+CF29)/(CD24+CD29)/9*1000</f>
        <v>25517.205673758865</v>
      </c>
      <c r="CF35" s="625"/>
      <c r="CG35" s="3075">
        <f t="shared" si="23"/>
        <v>0.92938277084837606</v>
      </c>
      <c r="CH35" s="1319"/>
      <c r="CI35" s="3315">
        <f>(CJ24+CJ29)/(CH24+CH29)/12*1000</f>
        <v>26021.97872340426</v>
      </c>
      <c r="CJ35" s="625"/>
      <c r="CK35" s="3075">
        <f t="shared" si="24"/>
        <v>0.94776751804706549</v>
      </c>
      <c r="CL35" s="3310"/>
      <c r="CM35" s="3316">
        <f>(CN24+CN29)/(CL24+CL29)/12*1000</f>
        <v>30201.685593452919</v>
      </c>
      <c r="CN35" s="3311"/>
      <c r="CO35" s="3305">
        <f t="shared" si="25"/>
        <v>1.1000000000000001</v>
      </c>
      <c r="CP35" s="3310"/>
      <c r="CQ35" s="3316"/>
      <c r="CR35" s="3311"/>
      <c r="CS35" s="3582" t="e">
        <f>CQ35/#REF!</f>
        <v>#REF!</v>
      </c>
      <c r="CT35" s="3579">
        <f t="shared" si="35"/>
        <v>0</v>
      </c>
    </row>
    <row r="36" spans="1:98" ht="37.5" customHeight="1">
      <c r="A36" s="5051" t="s">
        <v>256</v>
      </c>
      <c r="B36" s="5052"/>
      <c r="C36" s="3096"/>
      <c r="D36" s="3097"/>
      <c r="E36" s="3097"/>
      <c r="F36" s="3097"/>
      <c r="G36" s="3097"/>
      <c r="H36" s="3097"/>
      <c r="I36" s="3097"/>
      <c r="J36" s="3097"/>
      <c r="K36" s="3097"/>
      <c r="L36" s="3079"/>
      <c r="M36" s="3098"/>
      <c r="N36" s="3099">
        <f>N24</f>
        <v>25754.516129032254</v>
      </c>
      <c r="O36" s="3097"/>
      <c r="P36" s="3093">
        <f>N36/AM8</f>
        <v>1.2212343117474604</v>
      </c>
      <c r="Q36" s="3096"/>
      <c r="R36" s="5046"/>
      <c r="S36" s="3098"/>
      <c r="T36" s="3099">
        <f>T24</f>
        <v>22269.902483612907</v>
      </c>
      <c r="U36" s="3097"/>
      <c r="V36" s="3100">
        <f>T36/AM8</f>
        <v>1.0560000000000003</v>
      </c>
      <c r="W36" s="3064"/>
      <c r="X36" s="3101"/>
      <c r="Y36" s="3099">
        <f>Y24</f>
        <v>21580.822040944742</v>
      </c>
      <c r="Z36" s="3084"/>
      <c r="AA36" s="3080">
        <f>Y36/T36</f>
        <v>0.96905777009238292</v>
      </c>
      <c r="AB36" s="3096"/>
      <c r="AC36" s="3097"/>
      <c r="AD36" s="3097"/>
      <c r="AE36" s="3097"/>
      <c r="AF36" s="3097"/>
      <c r="AG36" s="3097"/>
      <c r="AH36" s="3097"/>
      <c r="AI36" s="3097"/>
      <c r="AJ36" s="3097"/>
      <c r="AK36" s="3079"/>
      <c r="AL36" s="3101"/>
      <c r="AM36" s="3099">
        <f>AM24</f>
        <v>22609.909909909911</v>
      </c>
      <c r="AN36" s="3084"/>
      <c r="AO36" s="3080">
        <f>AM36/T36</f>
        <v>1.0152675758929433</v>
      </c>
      <c r="AP36" s="3102"/>
      <c r="AQ36" s="3101"/>
      <c r="AR36" s="3099">
        <f>AR24</f>
        <v>22770.326576576579</v>
      </c>
      <c r="AS36" s="3084"/>
      <c r="AT36" s="3075">
        <f t="shared" si="15"/>
        <v>1.0224708704194778</v>
      </c>
      <c r="AU36" s="3098"/>
      <c r="AV36" s="3099">
        <f>AV24</f>
        <v>23460.37634408602</v>
      </c>
      <c r="AW36" s="3097"/>
      <c r="AX36" s="3100">
        <f>AV36/T36</f>
        <v>1.0534566265545668</v>
      </c>
      <c r="AY36" s="3064"/>
      <c r="AZ36" s="3098"/>
      <c r="BA36" s="3099">
        <f>BA24</f>
        <v>23530.113691896189</v>
      </c>
      <c r="BB36" s="3097"/>
      <c r="BC36" s="3093">
        <f>BA36/T36</f>
        <v>1.0565880883048588</v>
      </c>
      <c r="BD36" s="3103"/>
      <c r="BE36" s="3101"/>
      <c r="BF36" s="3099">
        <f>BF24</f>
        <v>22832.175925925923</v>
      </c>
      <c r="BG36" s="3084"/>
      <c r="BH36" s="3075">
        <f t="shared" si="17"/>
        <v>0.9732229181260148</v>
      </c>
      <c r="BI36" s="3101"/>
      <c r="BJ36" s="3099">
        <f>BJ24</f>
        <v>22988.888888888887</v>
      </c>
      <c r="BK36" s="3084"/>
      <c r="BL36" s="3075">
        <f t="shared" si="18"/>
        <v>0.9769986320468268</v>
      </c>
      <c r="BM36" s="3101"/>
      <c r="BN36" s="3099">
        <f>BN24</f>
        <v>23577.199074074073</v>
      </c>
      <c r="BO36" s="3084"/>
      <c r="BP36" s="3075">
        <f t="shared" si="19"/>
        <v>1.0020010690468573</v>
      </c>
      <c r="BQ36" s="3098"/>
      <c r="BR36" s="3099">
        <f>BR24</f>
        <v>25806.413978494627</v>
      </c>
      <c r="BS36" s="3097"/>
      <c r="BT36" s="3075">
        <f t="shared" si="20"/>
        <v>1.0967398762455789</v>
      </c>
      <c r="BU36" s="3098"/>
      <c r="BV36" s="3099">
        <f>BV24</f>
        <v>26725.298409525822</v>
      </c>
      <c r="BW36" s="3097"/>
      <c r="BX36" s="3075">
        <f t="shared" si="21"/>
        <v>1.1357912995860304</v>
      </c>
      <c r="BY36" s="3080">
        <f t="shared" si="29"/>
        <v>1.1625311052959517</v>
      </c>
      <c r="BZ36" s="3101"/>
      <c r="CA36" s="3099">
        <f>CA24</f>
        <v>23573.962703962705</v>
      </c>
      <c r="CB36" s="3084"/>
      <c r="CC36" s="3075">
        <f t="shared" si="22"/>
        <v>0.88208417143660889</v>
      </c>
      <c r="CD36" s="3101"/>
      <c r="CE36" s="3099">
        <f>CE24</f>
        <v>24370.57498057498</v>
      </c>
      <c r="CF36" s="3084"/>
      <c r="CG36" s="3075">
        <f t="shared" si="23"/>
        <v>0.91189159451587132</v>
      </c>
      <c r="CH36" s="3101"/>
      <c r="CI36" s="3099">
        <f>CI24</f>
        <v>24768.881118881123</v>
      </c>
      <c r="CJ36" s="3084"/>
      <c r="CK36" s="3075">
        <f t="shared" si="24"/>
        <v>0.92679530605550264</v>
      </c>
      <c r="CL36" s="3238"/>
      <c r="CM36" s="3312">
        <f>CM24</f>
        <v>29397.828250478397</v>
      </c>
      <c r="CN36" s="3239"/>
      <c r="CO36" s="3305">
        <f t="shared" si="25"/>
        <v>1.0999999999999996</v>
      </c>
      <c r="CP36" s="3238"/>
      <c r="CQ36" s="3312"/>
      <c r="CR36" s="3239"/>
      <c r="CS36" s="3305" t="e">
        <f>CQ36/#REF!</f>
        <v>#REF!</v>
      </c>
      <c r="CT36" s="3579">
        <f t="shared" si="35"/>
        <v>0</v>
      </c>
    </row>
    <row r="37" spans="1:98" ht="37.5" customHeight="1" thickBot="1">
      <c r="A37" s="3039" t="s">
        <v>257</v>
      </c>
      <c r="B37" s="3104"/>
      <c r="C37" s="3105"/>
      <c r="D37" s="3106"/>
      <c r="E37" s="3106"/>
      <c r="F37" s="3106"/>
      <c r="G37" s="3106"/>
      <c r="H37" s="3106"/>
      <c r="I37" s="3106"/>
      <c r="J37" s="3106"/>
      <c r="K37" s="3106"/>
      <c r="L37" s="3107"/>
      <c r="M37" s="3039"/>
      <c r="N37" s="3108">
        <f>N29</f>
        <v>28668.650793650795</v>
      </c>
      <c r="O37" s="3106"/>
      <c r="P37" s="3109">
        <f>N37/AM14</f>
        <v>1.2088032234986785</v>
      </c>
      <c r="Q37" s="3105"/>
      <c r="R37" s="5047"/>
      <c r="S37" s="3039"/>
      <c r="T37" s="3108">
        <f>T29</f>
        <v>25224.382875999996</v>
      </c>
      <c r="U37" s="3106"/>
      <c r="V37" s="3110">
        <f>T37/AM14</f>
        <v>1.0635769206839176</v>
      </c>
      <c r="W37" s="3104"/>
      <c r="X37" s="3111"/>
      <c r="Y37" s="3108">
        <f>Y29</f>
        <v>22836.666666666668</v>
      </c>
      <c r="Z37" s="3112"/>
      <c r="AA37" s="3113">
        <f>Y37/T37</f>
        <v>0.90534094645363372</v>
      </c>
      <c r="AB37" s="3105"/>
      <c r="AC37" s="3106"/>
      <c r="AD37" s="3106"/>
      <c r="AE37" s="3106"/>
      <c r="AF37" s="3106"/>
      <c r="AG37" s="3106"/>
      <c r="AH37" s="3106"/>
      <c r="AI37" s="3106"/>
      <c r="AJ37" s="3106"/>
      <c r="AK37" s="3107"/>
      <c r="AL37" s="3111"/>
      <c r="AM37" s="3108">
        <f>AM29</f>
        <v>23876.59574468085</v>
      </c>
      <c r="AN37" s="3112"/>
      <c r="AO37" s="3113">
        <f>AM37/T37</f>
        <v>0.94656808303518447</v>
      </c>
      <c r="AP37" s="3114"/>
      <c r="AQ37" s="3111"/>
      <c r="AR37" s="3108">
        <f>AR29</f>
        <v>24074.734042553187</v>
      </c>
      <c r="AS37" s="3112"/>
      <c r="AT37" s="3115">
        <f t="shared" si="15"/>
        <v>0.95442311357632248</v>
      </c>
      <c r="AU37" s="3039"/>
      <c r="AV37" s="3108">
        <f>AV29</f>
        <v>28668.650793650795</v>
      </c>
      <c r="AW37" s="3106"/>
      <c r="AX37" s="3110">
        <f>AV37/T37</f>
        <v>1.1365451806921265</v>
      </c>
      <c r="AY37" s="3104"/>
      <c r="AZ37" s="3039"/>
      <c r="BA37" s="3108">
        <f>BA29</f>
        <v>28763.121622082414</v>
      </c>
      <c r="BB37" s="3106"/>
      <c r="BC37" s="3109">
        <f>BA37/T37</f>
        <v>1.1402903993123807</v>
      </c>
      <c r="BD37" s="3116"/>
      <c r="BE37" s="3111"/>
      <c r="BF37" s="3108">
        <f>BF29</f>
        <v>23914.007092198586</v>
      </c>
      <c r="BG37" s="3112"/>
      <c r="BH37" s="3115">
        <f t="shared" si="17"/>
        <v>0.83415181496768542</v>
      </c>
      <c r="BI37" s="3111"/>
      <c r="BJ37" s="3108">
        <f>BJ29</f>
        <v>24833.096926713952</v>
      </c>
      <c r="BK37" s="3112"/>
      <c r="BL37" s="3115">
        <f t="shared" si="18"/>
        <v>0.86336584926334103</v>
      </c>
      <c r="BM37" s="3111"/>
      <c r="BN37" s="3108">
        <f>BN29</f>
        <v>25385.851254480287</v>
      </c>
      <c r="BO37" s="3112"/>
      <c r="BP37" s="3113">
        <f t="shared" si="19"/>
        <v>0.88258331581752647</v>
      </c>
      <c r="BQ37" s="3039"/>
      <c r="BR37" s="3108">
        <f>BR29</f>
        <v>31535.515873015873</v>
      </c>
      <c r="BS37" s="3106"/>
      <c r="BT37" s="3115">
        <f t="shared" si="20"/>
        <v>1.0963871128926772</v>
      </c>
      <c r="BU37" s="3039"/>
      <c r="BV37" s="3108">
        <f>BV29</f>
        <v>28606.666659040642</v>
      </c>
      <c r="BW37" s="3106"/>
      <c r="BX37" s="3115">
        <f t="shared" si="21"/>
        <v>0.99456057082060056</v>
      </c>
      <c r="BY37" s="3113">
        <f t="shared" si="29"/>
        <v>1.1519572747395559</v>
      </c>
      <c r="BZ37" s="3111"/>
      <c r="CA37" s="3108">
        <f>CA29</f>
        <v>26244.212454212455</v>
      </c>
      <c r="CB37" s="3112"/>
      <c r="CC37" s="3115">
        <f t="shared" si="22"/>
        <v>0.91741595646266694</v>
      </c>
      <c r="CD37" s="3111"/>
      <c r="CE37" s="3108">
        <f>CE29</f>
        <v>27299.468599033815</v>
      </c>
      <c r="CF37" s="3112"/>
      <c r="CG37" s="3115">
        <f t="shared" si="23"/>
        <v>0.95430442576245733</v>
      </c>
      <c r="CH37" s="3111"/>
      <c r="CI37" s="3108">
        <f>CI29</f>
        <v>27969.728260869568</v>
      </c>
      <c r="CJ37" s="3112"/>
      <c r="CK37" s="3115">
        <f t="shared" si="24"/>
        <v>0.97773461669747597</v>
      </c>
      <c r="CL37" s="3245"/>
      <c r="CM37" s="3313">
        <f>CM29</f>
        <v>31467.333324944706</v>
      </c>
      <c r="CN37" s="3246"/>
      <c r="CO37" s="3314">
        <f t="shared" si="25"/>
        <v>1.1000000000000001</v>
      </c>
      <c r="CP37" s="3245"/>
      <c r="CQ37" s="3313"/>
      <c r="CR37" s="3246"/>
      <c r="CS37" s="3314" t="e">
        <f>CQ37/#REF!</f>
        <v>#REF!</v>
      </c>
      <c r="CT37" s="3583">
        <f t="shared" si="35"/>
        <v>0</v>
      </c>
    </row>
    <row r="40" spans="1:98" ht="50.25" customHeight="1">
      <c r="A40" s="5080" t="s">
        <v>1041</v>
      </c>
      <c r="B40" s="5080"/>
      <c r="C40" s="5080"/>
      <c r="D40" s="5080"/>
      <c r="E40" s="5080"/>
      <c r="F40" s="5080"/>
      <c r="G40" s="5080"/>
      <c r="H40" s="5080"/>
      <c r="I40" s="5080"/>
      <c r="J40" s="5080"/>
      <c r="K40" s="5080"/>
      <c r="L40" s="5080"/>
      <c r="M40" s="5080"/>
      <c r="N40" s="5080"/>
      <c r="O40" s="5080"/>
      <c r="P40" s="5080"/>
      <c r="Q40" s="5080"/>
      <c r="R40" s="5080"/>
      <c r="S40" s="5080"/>
      <c r="T40" s="5080"/>
      <c r="U40" s="5080"/>
      <c r="V40" s="5080"/>
      <c r="W40" s="5080"/>
      <c r="X40" s="5080"/>
      <c r="Y40" s="5080"/>
      <c r="Z40" s="5080"/>
      <c r="AA40" s="5080"/>
      <c r="AB40" s="5080"/>
      <c r="AC40" s="5080"/>
      <c r="AD40" s="5080"/>
      <c r="AE40" s="5080"/>
      <c r="AF40" s="5080"/>
      <c r="AG40" s="5080"/>
      <c r="AH40" s="5080"/>
      <c r="AI40" s="5080"/>
      <c r="AJ40" s="5080"/>
      <c r="AK40" s="5080"/>
      <c r="AL40" s="5080"/>
      <c r="AM40" s="5080"/>
      <c r="AN40" s="5080"/>
      <c r="AO40" s="5080"/>
      <c r="AP40" s="5080"/>
      <c r="AQ40" s="5080"/>
      <c r="AR40" s="5080"/>
      <c r="AS40" s="5080"/>
      <c r="AT40" s="5080"/>
      <c r="AU40" s="5080"/>
      <c r="AV40" s="5080"/>
      <c r="AW40" s="5080"/>
      <c r="AX40" s="5080"/>
      <c r="AY40" s="5080"/>
      <c r="AZ40" s="5080"/>
      <c r="BA40" s="5080"/>
      <c r="BB40" s="5080"/>
      <c r="BC40" s="5080"/>
      <c r="BD40" s="5080"/>
      <c r="BE40" s="5080"/>
      <c r="BF40" s="5080"/>
      <c r="BG40" s="5080"/>
      <c r="BH40" s="5080"/>
      <c r="BI40" s="5080"/>
      <c r="BJ40" s="5080"/>
      <c r="BK40" s="5080"/>
      <c r="BL40" s="5080"/>
      <c r="BM40" s="5080"/>
      <c r="BN40" s="5080"/>
      <c r="BO40" s="5080"/>
      <c r="BP40" s="5080"/>
      <c r="BQ40" s="5080"/>
      <c r="BR40" s="5080"/>
      <c r="BS40" s="5080"/>
      <c r="BT40" s="5080"/>
      <c r="BU40" s="5080"/>
      <c r="BV40" s="5080"/>
      <c r="BW40" s="5080"/>
      <c r="BX40" s="5080"/>
      <c r="BY40" s="5080"/>
    </row>
    <row r="47" spans="1:98">
      <c r="BJ47" s="2099"/>
    </row>
  </sheetData>
  <mergeCells count="56">
    <mergeCell ref="A1:CT1"/>
    <mergeCell ref="CL21:CO22"/>
    <mergeCell ref="CP21:CT22"/>
    <mergeCell ref="A2:CT2"/>
    <mergeCell ref="CL20:CT20"/>
    <mergeCell ref="BZ21:CC22"/>
    <mergeCell ref="CD21:CG22"/>
    <mergeCell ref="CH21:CK22"/>
    <mergeCell ref="BZ20:CK20"/>
    <mergeCell ref="AG5:AG6"/>
    <mergeCell ref="AH5:AI5"/>
    <mergeCell ref="AX4:AZ5"/>
    <mergeCell ref="BA4:BC5"/>
    <mergeCell ref="A4:A6"/>
    <mergeCell ref="B4:B6"/>
    <mergeCell ref="A3:AP3"/>
    <mergeCell ref="A40:BY40"/>
    <mergeCell ref="BU21:BY22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M21:Q22"/>
    <mergeCell ref="Y4:AA5"/>
    <mergeCell ref="AZ21:BD22"/>
    <mergeCell ref="C4:E5"/>
    <mergeCell ref="AL4:AP5"/>
    <mergeCell ref="F4:H5"/>
    <mergeCell ref="M4:O5"/>
    <mergeCell ref="V4:X5"/>
    <mergeCell ref="S4:U5"/>
    <mergeCell ref="AG4:AK4"/>
    <mergeCell ref="AB4:AF5"/>
    <mergeCell ref="R35:R37"/>
    <mergeCell ref="R21:R33"/>
    <mergeCell ref="BE21:BH22"/>
    <mergeCell ref="A34:CT34"/>
    <mergeCell ref="A35:B35"/>
    <mergeCell ref="A36:B36"/>
    <mergeCell ref="F21:H22"/>
    <mergeCell ref="I21:L21"/>
    <mergeCell ref="C21:E22"/>
    <mergeCell ref="BI21:BL22"/>
    <mergeCell ref="BQ21:BT22"/>
    <mergeCell ref="AU21:AY22"/>
    <mergeCell ref="S21:W22"/>
    <mergeCell ref="AU20:BP20"/>
    <mergeCell ref="BM21:BP22"/>
    <mergeCell ref="BQ20:BY20"/>
    <mergeCell ref="X21:AB22"/>
    <mergeCell ref="AL21:AP22"/>
  </mergeCells>
  <phoneticPr fontId="7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A46"/>
  <sheetViews>
    <sheetView zoomScale="62" zoomScaleNormal="62" workbookViewId="0">
      <pane xSplit="12" ySplit="22" topLeftCell="BH23" activePane="bottomRight" state="frozen"/>
      <selection pane="topRight" activeCell="M1" sqref="M1"/>
      <selection pane="bottomLeft" activeCell="A23" sqref="A23"/>
      <selection pane="bottomRight" activeCell="BT27" sqref="BT27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6.85546875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6.855468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6.85546875" customWidth="1"/>
    <col min="59" max="59" width="13.140625" customWidth="1"/>
    <col min="60" max="60" width="12.7109375" customWidth="1"/>
    <col min="61" max="61" width="9.7109375" customWidth="1"/>
    <col min="62" max="62" width="16.855468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6.85546875" customWidth="1"/>
    <col min="70" max="70" width="13.140625" customWidth="1"/>
    <col min="71" max="71" width="12.7109375" customWidth="1"/>
    <col min="72" max="72" width="9.7109375" customWidth="1"/>
    <col min="73" max="73" width="16.85546875" customWidth="1"/>
    <col min="74" max="74" width="13.140625" customWidth="1"/>
    <col min="75" max="76" width="12.7109375" customWidth="1"/>
    <col min="77" max="77" width="17.140625" customWidth="1"/>
  </cols>
  <sheetData>
    <row r="1" spans="1:76" ht="30">
      <c r="A1" s="5111" t="s">
        <v>233</v>
      </c>
      <c r="B1" s="5111"/>
      <c r="C1" s="5111"/>
      <c r="D1" s="5111"/>
      <c r="E1" s="5111"/>
      <c r="F1" s="5111"/>
      <c r="G1" s="5111"/>
      <c r="H1" s="5111"/>
      <c r="I1" s="5111"/>
      <c r="J1" s="5111"/>
      <c r="K1" s="5111"/>
      <c r="L1" s="5111"/>
      <c r="M1" s="5111"/>
      <c r="N1" s="5111"/>
      <c r="O1" s="5111"/>
      <c r="P1" s="5111"/>
      <c r="Q1" s="5111"/>
      <c r="R1" s="5111"/>
      <c r="S1" s="5111"/>
      <c r="T1" s="5111"/>
      <c r="U1" s="5111"/>
      <c r="V1" s="5111"/>
      <c r="W1" s="5111"/>
      <c r="X1" s="5111"/>
      <c r="Y1" s="5111"/>
      <c r="Z1" s="5111"/>
      <c r="AA1" s="5111"/>
      <c r="AB1" s="5111"/>
      <c r="AC1" s="5111"/>
      <c r="AD1" s="5111"/>
      <c r="AE1" s="5111"/>
      <c r="AF1" s="5111"/>
      <c r="AG1" s="5111"/>
      <c r="AH1" s="5111"/>
      <c r="AI1" s="5111"/>
      <c r="AJ1" s="5111"/>
      <c r="AK1" s="5111"/>
      <c r="AL1" s="5111"/>
      <c r="AM1" s="5111"/>
      <c r="AN1" s="5111"/>
      <c r="AO1" s="5111"/>
      <c r="AP1" s="5111"/>
      <c r="AQ1" s="5111"/>
      <c r="AR1" s="5111"/>
      <c r="AS1" s="5111"/>
      <c r="AT1" s="5111"/>
      <c r="AU1" s="5112"/>
      <c r="AV1" s="5112"/>
      <c r="AW1" s="5112"/>
      <c r="AX1" s="5112"/>
      <c r="AY1" s="5112"/>
      <c r="AZ1" s="5112"/>
      <c r="BA1" s="5112"/>
      <c r="BB1" s="5112"/>
      <c r="BC1" s="5112"/>
      <c r="BD1" s="5112"/>
      <c r="BE1" s="5112"/>
      <c r="BF1" s="5112"/>
      <c r="BG1" s="5112"/>
      <c r="BH1" s="5112"/>
      <c r="BI1" s="5112"/>
      <c r="BJ1" s="5112"/>
      <c r="BK1" s="5112"/>
      <c r="BL1" s="5112"/>
      <c r="BM1" s="5112"/>
      <c r="BN1" s="5112"/>
      <c r="BO1" s="5112"/>
      <c r="BP1" s="5112"/>
      <c r="BQ1" s="5112"/>
      <c r="BR1" s="5112"/>
      <c r="BS1" s="5112"/>
      <c r="BT1" s="5112"/>
      <c r="BU1" s="5112"/>
      <c r="BV1" s="5112"/>
      <c r="BW1" s="5112"/>
      <c r="BX1" s="5112"/>
    </row>
    <row r="2" spans="1:76" ht="19.5" hidden="1" thickBot="1">
      <c r="A2" s="5126"/>
      <c r="B2" s="5126"/>
      <c r="C2" s="5126"/>
      <c r="D2" s="5126"/>
      <c r="E2" s="5126"/>
      <c r="F2" s="5126"/>
      <c r="G2" s="5126"/>
      <c r="H2" s="5126"/>
      <c r="I2" s="5126"/>
      <c r="J2" s="5126"/>
      <c r="K2" s="5126"/>
      <c r="L2" s="5126"/>
      <c r="M2" s="5126"/>
      <c r="N2" s="5126"/>
      <c r="O2" s="5126"/>
      <c r="P2" s="5126"/>
      <c r="Q2" s="5126"/>
      <c r="R2" s="5126"/>
      <c r="S2" s="5126"/>
      <c r="T2" s="5126"/>
      <c r="U2" s="5126"/>
      <c r="V2" s="5126"/>
      <c r="W2" s="5126"/>
      <c r="X2" s="5126"/>
      <c r="Y2" s="5126"/>
      <c r="Z2" s="5126"/>
      <c r="AA2" s="5126"/>
      <c r="AB2" s="5126"/>
      <c r="AC2" s="5126"/>
      <c r="AD2" s="5126"/>
      <c r="AE2" s="5126"/>
      <c r="AF2" s="5126"/>
      <c r="AG2" s="5126"/>
      <c r="AH2" s="5126"/>
      <c r="AI2" s="5126"/>
      <c r="AJ2" s="5126"/>
      <c r="AK2" s="5126"/>
      <c r="AL2" s="5126"/>
      <c r="AM2" s="5126"/>
      <c r="AN2" s="5126"/>
      <c r="AO2" s="5126"/>
      <c r="AP2" s="5126"/>
      <c r="AQ2" s="502"/>
      <c r="AR2" s="502"/>
      <c r="AS2" s="502"/>
      <c r="AT2" s="502"/>
      <c r="AU2" s="502"/>
      <c r="AV2" s="502"/>
      <c r="AW2" s="502"/>
      <c r="AX2" s="380"/>
      <c r="AY2" s="380"/>
      <c r="AZ2" s="380"/>
      <c r="BA2" s="380"/>
      <c r="BB2" s="380"/>
      <c r="BC2" s="380"/>
      <c r="BD2" s="380"/>
      <c r="BE2" s="380"/>
      <c r="BF2" s="380"/>
      <c r="BG2" s="380"/>
      <c r="BH2" s="380"/>
      <c r="BI2" s="380"/>
      <c r="BJ2" s="380"/>
      <c r="BK2" s="380"/>
      <c r="BL2" s="380"/>
      <c r="BM2" s="380"/>
      <c r="BN2" s="380"/>
      <c r="BO2" s="380"/>
      <c r="BP2" s="380"/>
      <c r="BQ2" s="380"/>
      <c r="BR2" s="380"/>
      <c r="BS2" s="380"/>
      <c r="BT2" s="380"/>
      <c r="BU2" s="380"/>
      <c r="BV2" s="380"/>
      <c r="BW2" s="380"/>
      <c r="BX2" s="380"/>
    </row>
    <row r="3" spans="1:76" ht="23.25" hidden="1" customHeight="1">
      <c r="A3" s="5120" t="s">
        <v>175</v>
      </c>
      <c r="B3" s="5123" t="s">
        <v>176</v>
      </c>
      <c r="C3" s="5068" t="s">
        <v>177</v>
      </c>
      <c r="D3" s="5069"/>
      <c r="E3" s="5070"/>
      <c r="F3" s="5064" t="s">
        <v>178</v>
      </c>
      <c r="G3" s="5065"/>
      <c r="H3" s="5065"/>
      <c r="I3" s="5084" t="s">
        <v>179</v>
      </c>
      <c r="J3" s="5084"/>
      <c r="K3" s="5084"/>
      <c r="L3" s="5084"/>
      <c r="M3" s="5068" t="s">
        <v>180</v>
      </c>
      <c r="N3" s="5069"/>
      <c r="O3" s="5070"/>
      <c r="P3" s="5068" t="s">
        <v>198</v>
      </c>
      <c r="Q3" s="5069"/>
      <c r="R3" s="5070"/>
      <c r="S3" s="5074" t="s">
        <v>199</v>
      </c>
      <c r="T3" s="5075"/>
      <c r="U3" s="5076"/>
      <c r="V3" s="5074" t="s">
        <v>200</v>
      </c>
      <c r="W3" s="5075"/>
      <c r="X3" s="5076"/>
      <c r="Y3" s="5074" t="s">
        <v>253</v>
      </c>
      <c r="Z3" s="5075"/>
      <c r="AA3" s="5076"/>
      <c r="AB3" s="5053" t="s">
        <v>201</v>
      </c>
      <c r="AC3" s="5054"/>
      <c r="AD3" s="5054"/>
      <c r="AE3" s="5054"/>
      <c r="AF3" s="5058"/>
      <c r="AG3" s="4745" t="s">
        <v>181</v>
      </c>
      <c r="AH3" s="4746"/>
      <c r="AI3" s="4746"/>
      <c r="AJ3" s="4746"/>
      <c r="AK3" s="4747"/>
      <c r="AL3" s="5053" t="s">
        <v>234</v>
      </c>
      <c r="AM3" s="5054"/>
      <c r="AN3" s="5054"/>
      <c r="AO3" s="5054"/>
      <c r="AP3" s="5058"/>
      <c r="AQ3" s="2293"/>
      <c r="AR3" s="2293"/>
      <c r="AS3" s="2293"/>
      <c r="AT3" s="2293"/>
      <c r="AU3" s="5053" t="s">
        <v>235</v>
      </c>
      <c r="AV3" s="5054"/>
      <c r="AW3" s="5058"/>
      <c r="AX3" s="5053" t="s">
        <v>366</v>
      </c>
      <c r="AY3" s="5054"/>
      <c r="AZ3" s="5058"/>
      <c r="BA3" s="5053" t="s">
        <v>382</v>
      </c>
      <c r="BB3" s="5054"/>
      <c r="BC3" s="5054"/>
      <c r="BD3" s="5089" t="s">
        <v>390</v>
      </c>
      <c r="BE3" s="1316"/>
      <c r="BF3" s="1316"/>
      <c r="BG3" s="1316"/>
      <c r="BH3" s="1316"/>
      <c r="BI3" s="1316"/>
      <c r="BJ3" s="1316"/>
      <c r="BK3" s="1316"/>
      <c r="BL3" s="1316"/>
      <c r="BM3" s="1316"/>
      <c r="BN3" s="1316"/>
      <c r="BO3" s="1316"/>
      <c r="BP3" s="1316"/>
      <c r="BQ3" s="1316"/>
      <c r="BR3" s="1316"/>
      <c r="BS3" s="1316"/>
      <c r="BT3" s="1316"/>
      <c r="BU3" s="1316"/>
      <c r="BV3" s="1316"/>
      <c r="BW3" s="1316"/>
      <c r="BX3" s="1316"/>
    </row>
    <row r="4" spans="1:76" ht="22.5" hidden="1" customHeight="1">
      <c r="A4" s="5121"/>
      <c r="B4" s="5124"/>
      <c r="C4" s="5071"/>
      <c r="D4" s="5072"/>
      <c r="E4" s="5073"/>
      <c r="F4" s="5066"/>
      <c r="G4" s="5067"/>
      <c r="H4" s="5067"/>
      <c r="I4" s="503"/>
      <c r="J4" s="503"/>
      <c r="K4" s="503"/>
      <c r="L4" s="504"/>
      <c r="M4" s="5071"/>
      <c r="N4" s="5072"/>
      <c r="O4" s="5073"/>
      <c r="P4" s="5071"/>
      <c r="Q4" s="5072"/>
      <c r="R4" s="5073"/>
      <c r="S4" s="5077"/>
      <c r="T4" s="5078"/>
      <c r="U4" s="5079"/>
      <c r="V4" s="5077"/>
      <c r="W4" s="5078"/>
      <c r="X4" s="5079"/>
      <c r="Y4" s="5077"/>
      <c r="Z4" s="5078"/>
      <c r="AA4" s="5079"/>
      <c r="AB4" s="5055"/>
      <c r="AC4" s="5056"/>
      <c r="AD4" s="5056"/>
      <c r="AE4" s="5056"/>
      <c r="AF4" s="5059"/>
      <c r="AG4" s="5119" t="s">
        <v>182</v>
      </c>
      <c r="AH4" s="4699" t="s">
        <v>183</v>
      </c>
      <c r="AI4" s="4699"/>
      <c r="AJ4" s="4699" t="s">
        <v>184</v>
      </c>
      <c r="AK4" s="5085"/>
      <c r="AL4" s="5055"/>
      <c r="AM4" s="5056"/>
      <c r="AN4" s="5056"/>
      <c r="AO4" s="5056"/>
      <c r="AP4" s="5059"/>
      <c r="AQ4" s="2294"/>
      <c r="AR4" s="2294"/>
      <c r="AS4" s="2294"/>
      <c r="AT4" s="2294"/>
      <c r="AU4" s="5055"/>
      <c r="AV4" s="5056"/>
      <c r="AW4" s="5059"/>
      <c r="AX4" s="5055"/>
      <c r="AY4" s="5056"/>
      <c r="AZ4" s="5059"/>
      <c r="BA4" s="5055"/>
      <c r="BB4" s="5056"/>
      <c r="BC4" s="5056"/>
      <c r="BD4" s="5090"/>
      <c r="BE4" s="1316"/>
      <c r="BF4" s="1316"/>
      <c r="BG4" s="1316"/>
      <c r="BH4" s="1316"/>
      <c r="BI4" s="1316"/>
      <c r="BJ4" s="1316"/>
      <c r="BK4" s="1316"/>
      <c r="BL4" s="1316"/>
      <c r="BM4" s="1316"/>
      <c r="BN4" s="1316"/>
      <c r="BO4" s="1316"/>
      <c r="BP4" s="1316"/>
      <c r="BQ4" s="1316"/>
      <c r="BR4" s="1316"/>
      <c r="BS4" s="1316"/>
      <c r="BT4" s="1316"/>
      <c r="BU4" s="1316"/>
      <c r="BV4" s="1316"/>
      <c r="BW4" s="1316"/>
      <c r="BX4" s="1316"/>
    </row>
    <row r="5" spans="1:76" ht="63" hidden="1" customHeight="1">
      <c r="A5" s="5122"/>
      <c r="B5" s="5125"/>
      <c r="C5" s="2266" t="s">
        <v>182</v>
      </c>
      <c r="D5" s="2291" t="s">
        <v>185</v>
      </c>
      <c r="E5" s="2292" t="s">
        <v>186</v>
      </c>
      <c r="F5" s="2306" t="s">
        <v>182</v>
      </c>
      <c r="G5" s="2307" t="s">
        <v>185</v>
      </c>
      <c r="H5" s="2308" t="s">
        <v>186</v>
      </c>
      <c r="I5" s="2266" t="s">
        <v>182</v>
      </c>
      <c r="J5" s="2291" t="s">
        <v>185</v>
      </c>
      <c r="K5" s="2291" t="s">
        <v>187</v>
      </c>
      <c r="L5" s="2292" t="s">
        <v>186</v>
      </c>
      <c r="M5" s="2265" t="s">
        <v>182</v>
      </c>
      <c r="N5" s="2291" t="s">
        <v>185</v>
      </c>
      <c r="O5" s="2309" t="s">
        <v>186</v>
      </c>
      <c r="P5" s="2265" t="s">
        <v>182</v>
      </c>
      <c r="Q5" s="2310" t="s">
        <v>185</v>
      </c>
      <c r="R5" s="2309" t="s">
        <v>186</v>
      </c>
      <c r="S5" s="2311" t="s">
        <v>182</v>
      </c>
      <c r="T5" s="2312" t="s">
        <v>185</v>
      </c>
      <c r="U5" s="2313" t="s">
        <v>186</v>
      </c>
      <c r="V5" s="2314" t="s">
        <v>182</v>
      </c>
      <c r="W5" s="2312" t="s">
        <v>185</v>
      </c>
      <c r="X5" s="2313" t="s">
        <v>186</v>
      </c>
      <c r="Y5" s="2311" t="s">
        <v>182</v>
      </c>
      <c r="Z5" s="2312" t="s">
        <v>185</v>
      </c>
      <c r="AA5" s="2313" t="s">
        <v>186</v>
      </c>
      <c r="AB5" s="2315" t="s">
        <v>182</v>
      </c>
      <c r="AC5" s="2234" t="s">
        <v>185</v>
      </c>
      <c r="AD5" s="2316" t="s">
        <v>209</v>
      </c>
      <c r="AE5" s="2316" t="s">
        <v>210</v>
      </c>
      <c r="AF5" s="2235" t="s">
        <v>186</v>
      </c>
      <c r="AG5" s="4488"/>
      <c r="AH5" s="2234" t="s">
        <v>188</v>
      </c>
      <c r="AI5" s="2234" t="s">
        <v>189</v>
      </c>
      <c r="AJ5" s="2234" t="s">
        <v>190</v>
      </c>
      <c r="AK5" s="2235" t="s">
        <v>191</v>
      </c>
      <c r="AL5" s="2315" t="s">
        <v>182</v>
      </c>
      <c r="AM5" s="2234" t="s">
        <v>185</v>
      </c>
      <c r="AN5" s="2316" t="s">
        <v>209</v>
      </c>
      <c r="AO5" s="2316" t="s">
        <v>210</v>
      </c>
      <c r="AP5" s="2235" t="s">
        <v>186</v>
      </c>
      <c r="AQ5" s="2317"/>
      <c r="AR5" s="2317"/>
      <c r="AS5" s="2317"/>
      <c r="AT5" s="2317"/>
      <c r="AU5" s="2315" t="s">
        <v>182</v>
      </c>
      <c r="AV5" s="2234" t="s">
        <v>185</v>
      </c>
      <c r="AW5" s="2235" t="s">
        <v>186</v>
      </c>
      <c r="AX5" s="2315" t="s">
        <v>182</v>
      </c>
      <c r="AY5" s="2234" t="s">
        <v>185</v>
      </c>
      <c r="AZ5" s="2235" t="s">
        <v>186</v>
      </c>
      <c r="BA5" s="2315" t="s">
        <v>182</v>
      </c>
      <c r="BB5" s="2234" t="s">
        <v>185</v>
      </c>
      <c r="BC5" s="2316" t="s">
        <v>186</v>
      </c>
      <c r="BD5" s="5091"/>
      <c r="BE5" s="1316"/>
      <c r="BF5" s="1316"/>
      <c r="BG5" s="1316"/>
      <c r="BH5" s="1316"/>
      <c r="BI5" s="1316"/>
      <c r="BJ5" s="1316"/>
      <c r="BK5" s="1316"/>
      <c r="BL5" s="1316"/>
      <c r="BM5" s="1316"/>
      <c r="BN5" s="1316"/>
      <c r="BO5" s="1316"/>
      <c r="BP5" s="1316"/>
      <c r="BQ5" s="1316"/>
      <c r="BR5" s="1316"/>
      <c r="BS5" s="1316"/>
      <c r="BT5" s="1316"/>
      <c r="BU5" s="1316"/>
      <c r="BV5" s="1316"/>
      <c r="BW5" s="1316"/>
      <c r="BX5" s="1316"/>
    </row>
    <row r="6" spans="1:76" ht="18.75" hidden="1">
      <c r="A6" s="517"/>
      <c r="B6" s="424"/>
      <c r="C6" s="518"/>
      <c r="D6" s="422"/>
      <c r="E6" s="424"/>
      <c r="F6" s="519"/>
      <c r="G6" s="520"/>
      <c r="H6" s="521"/>
      <c r="I6" s="522"/>
      <c r="J6" s="422"/>
      <c r="K6" s="422"/>
      <c r="L6" s="523"/>
      <c r="M6" s="524"/>
      <c r="N6" s="525"/>
      <c r="O6" s="526"/>
      <c r="P6" s="527"/>
      <c r="Q6" s="2318"/>
      <c r="R6" s="527"/>
      <c r="S6" s="528"/>
      <c r="T6" s="529"/>
      <c r="U6" s="530"/>
      <c r="V6" s="531"/>
      <c r="W6" s="529"/>
      <c r="X6" s="530"/>
      <c r="Y6" s="528"/>
      <c r="Z6" s="529"/>
      <c r="AA6" s="530"/>
      <c r="AB6" s="2268"/>
      <c r="AC6" s="2267"/>
      <c r="AD6" s="2273"/>
      <c r="AE6" s="2273"/>
      <c r="AF6" s="2270"/>
      <c r="AG6" s="2268"/>
      <c r="AH6" s="2267"/>
      <c r="AI6" s="2267"/>
      <c r="AJ6" s="2267"/>
      <c r="AK6" s="536"/>
      <c r="AL6" s="2268"/>
      <c r="AM6" s="2267"/>
      <c r="AN6" s="2273"/>
      <c r="AO6" s="2273"/>
      <c r="AP6" s="2270"/>
      <c r="AQ6" s="1305"/>
      <c r="AR6" s="1305"/>
      <c r="AS6" s="1305"/>
      <c r="AT6" s="1305"/>
      <c r="AU6" s="2268"/>
      <c r="AV6" s="2267"/>
      <c r="AW6" s="2270"/>
      <c r="AX6" s="2268"/>
      <c r="AY6" s="2267"/>
      <c r="AZ6" s="2270"/>
      <c r="BA6" s="2268"/>
      <c r="BB6" s="2267"/>
      <c r="BC6" s="2273"/>
      <c r="BD6" s="537"/>
      <c r="BE6" s="1317"/>
      <c r="BF6" s="1317"/>
      <c r="BG6" s="1317"/>
      <c r="BH6" s="1317"/>
      <c r="BI6" s="1317"/>
      <c r="BJ6" s="1317"/>
      <c r="BK6" s="1317"/>
      <c r="BL6" s="1317"/>
      <c r="BM6" s="1317"/>
      <c r="BN6" s="1317"/>
      <c r="BO6" s="1317"/>
      <c r="BP6" s="1317"/>
      <c r="BQ6" s="1317"/>
      <c r="BR6" s="1317"/>
      <c r="BS6" s="1317"/>
      <c r="BT6" s="1317"/>
      <c r="BU6" s="1317"/>
      <c r="BV6" s="1317"/>
      <c r="BW6" s="1317"/>
      <c r="BX6" s="1317"/>
    </row>
    <row r="7" spans="1:76" ht="56.25" hidden="1">
      <c r="A7" s="2319" t="s">
        <v>192</v>
      </c>
      <c r="B7" s="2320" t="s">
        <v>204</v>
      </c>
      <c r="C7" s="2321">
        <v>840</v>
      </c>
      <c r="D7" s="2322">
        <v>12146</v>
      </c>
      <c r="E7" s="2323">
        <v>122429.8</v>
      </c>
      <c r="F7" s="2324">
        <f>F8+F9</f>
        <v>813</v>
      </c>
      <c r="G7" s="2325">
        <f>(G8*F8+G9*F9)/(F8+F9)</f>
        <v>12443.442804428045</v>
      </c>
      <c r="H7" s="2326">
        <f>H9+H8</f>
        <v>121398.228</v>
      </c>
      <c r="I7" s="2327">
        <v>799</v>
      </c>
      <c r="J7" s="2322">
        <v>13361</v>
      </c>
      <c r="K7" s="2328">
        <f>J7/G7</f>
        <v>1.07373820975377</v>
      </c>
      <c r="L7" s="2329">
        <v>128108.9</v>
      </c>
      <c r="M7" s="2327">
        <f>M8+M9+M10+M11</f>
        <v>155.5</v>
      </c>
      <c r="N7" s="2322">
        <f>O7/M7/12*1000</f>
        <v>17474.049303322616</v>
      </c>
      <c r="O7" s="2323">
        <f>O8+O9+O10+O11</f>
        <v>32606.576000000001</v>
      </c>
      <c r="P7" s="2330">
        <f>SUM(P8:P11)</f>
        <v>150</v>
      </c>
      <c r="Q7" s="2331">
        <f>R7/P7/12*1000</f>
        <v>20234.871111111108</v>
      </c>
      <c r="R7" s="2330">
        <f>SUM(R8:R11)</f>
        <v>36422.767999999996</v>
      </c>
      <c r="S7" s="2332">
        <f>S8+S9+S10+S11</f>
        <v>155</v>
      </c>
      <c r="T7" s="2333">
        <f>U7/S7/12*1000</f>
        <v>8717.967741935483</v>
      </c>
      <c r="U7" s="2334">
        <f>U8+U9+U10+U11</f>
        <v>16215.419999999998</v>
      </c>
      <c r="V7" s="2335">
        <f>V8+V9+V10+V11</f>
        <v>149</v>
      </c>
      <c r="W7" s="2333">
        <f>X7/V7/12*1000</f>
        <v>8464.3176733780765</v>
      </c>
      <c r="X7" s="2336">
        <f>X8+X9</f>
        <v>15134.2</v>
      </c>
      <c r="Y7" s="2337">
        <f>Y8+Y9+Y10+Y11</f>
        <v>155</v>
      </c>
      <c r="Z7" s="2338">
        <f>AA7/Y7/12*1000</f>
        <v>19376.075268817203</v>
      </c>
      <c r="AA7" s="2339">
        <f>AA8+AA9+AA10+AA11</f>
        <v>36039.5</v>
      </c>
      <c r="AB7" s="2337">
        <f>AB8+AB9+AB10+AB11</f>
        <v>155</v>
      </c>
      <c r="AC7" s="2338">
        <f>AF7/AB7/12*1000</f>
        <v>24645.696774193548</v>
      </c>
      <c r="AD7" s="2340">
        <f>AC7/T7*100</f>
        <v>282.70002257110826</v>
      </c>
      <c r="AE7" s="2340">
        <f>AC7/Z7*100</f>
        <v>127.19653713286812</v>
      </c>
      <c r="AF7" s="2339">
        <f>AF8+AF9+AF10+AF11</f>
        <v>45840.995999999999</v>
      </c>
      <c r="AG7" s="2341">
        <f>AG8+AG9</f>
        <v>94</v>
      </c>
      <c r="AH7" s="2338">
        <f>AJ7/AG7/12*1000</f>
        <v>19182.659183059011</v>
      </c>
      <c r="AI7" s="2342">
        <f>AH7/Z7*100</f>
        <v>99.001778827369307</v>
      </c>
      <c r="AJ7" s="2343">
        <f>AJ8+AJ9</f>
        <v>21638.039558490564</v>
      </c>
      <c r="AK7" s="2344">
        <f>AJ7/U7*100</f>
        <v>133.44112923680402</v>
      </c>
      <c r="AL7" s="2337">
        <f>AL8+AL9+AL10+AL11</f>
        <v>155</v>
      </c>
      <c r="AM7" s="2338">
        <f>AP7/AL7/12*1000</f>
        <v>9336.943451612904</v>
      </c>
      <c r="AN7" s="2345">
        <f>AM7/T7*100</f>
        <v>107.10000000000002</v>
      </c>
      <c r="AO7" s="2340">
        <f>AM7/AJ7*100</f>
        <v>43.150597938292314</v>
      </c>
      <c r="AP7" s="2339">
        <f>AP8+AP9+AP10+AP11</f>
        <v>17366.714820000001</v>
      </c>
      <c r="AQ7" s="2346"/>
      <c r="AR7" s="2346"/>
      <c r="AS7" s="2346"/>
      <c r="AT7" s="2346"/>
      <c r="AU7" s="2337">
        <f>AU8+AU9+AU10+AU11</f>
        <v>151</v>
      </c>
      <c r="AV7" s="2338">
        <f>AW7/AU7/9*1000</f>
        <v>22518.469462840323</v>
      </c>
      <c r="AW7" s="2339">
        <f>AW8+AW9+AW10+AW11</f>
        <v>30602.6</v>
      </c>
      <c r="AX7" s="2337">
        <f>AX8+AX9+AX10+AX11</f>
        <v>151</v>
      </c>
      <c r="AY7" s="2338">
        <f>AZ7/AX7/3*1000</f>
        <v>25066.88741721855</v>
      </c>
      <c r="AZ7" s="2339">
        <f>AZ8+AZ9+AZ10+AZ11</f>
        <v>11355.300000000001</v>
      </c>
      <c r="BA7" s="2337">
        <f>BA8+BA9+BA10+BA11</f>
        <v>150</v>
      </c>
      <c r="BB7" s="2338">
        <f>BC7/BA7/12*1000</f>
        <v>22582.944444444442</v>
      </c>
      <c r="BC7" s="2347">
        <f>BC8+BC9+BC10+BC11</f>
        <v>40649.299999999996</v>
      </c>
      <c r="BD7" s="2348">
        <f>(M7+P7+Y7+BA7)/4</f>
        <v>152.625</v>
      </c>
      <c r="BE7" s="1318"/>
      <c r="BF7" s="1318"/>
      <c r="BG7" s="1318"/>
      <c r="BH7" s="1318"/>
      <c r="BI7" s="1318"/>
      <c r="BJ7" s="1318"/>
      <c r="BK7" s="1318"/>
      <c r="BL7" s="1318"/>
      <c r="BM7" s="1318"/>
      <c r="BN7" s="1318"/>
      <c r="BO7" s="1318"/>
      <c r="BP7" s="1318"/>
      <c r="BQ7" s="1318"/>
      <c r="BR7" s="1318"/>
      <c r="BS7" s="1318"/>
      <c r="BT7" s="1318"/>
      <c r="BU7" s="1318"/>
      <c r="BV7" s="1318"/>
      <c r="BW7" s="1318"/>
      <c r="BX7" s="1318"/>
    </row>
    <row r="8" spans="1:76" ht="18.75" hidden="1">
      <c r="A8" s="2349" t="s">
        <v>193</v>
      </c>
      <c r="B8" s="2350" t="s">
        <v>85</v>
      </c>
      <c r="C8" s="2351">
        <v>456</v>
      </c>
      <c r="D8" s="2352">
        <v>12405</v>
      </c>
      <c r="E8" s="2353">
        <v>67882.600000000006</v>
      </c>
      <c r="F8" s="2354">
        <v>444</v>
      </c>
      <c r="G8" s="2355">
        <v>12620</v>
      </c>
      <c r="H8" s="2356">
        <f>F8*G8*12/1000</f>
        <v>67239.360000000001</v>
      </c>
      <c r="I8" s="2357">
        <v>435</v>
      </c>
      <c r="J8" s="2352">
        <v>13646</v>
      </c>
      <c r="K8" s="2328">
        <f>J8/G8</f>
        <v>1.0812995245641839</v>
      </c>
      <c r="L8" s="2358">
        <v>71232.100000000006</v>
      </c>
      <c r="M8" s="2357">
        <v>26</v>
      </c>
      <c r="N8" s="2352">
        <f>O8/M8/12*1000</f>
        <v>16771.474358974359</v>
      </c>
      <c r="O8" s="2353">
        <v>5232.7</v>
      </c>
      <c r="P8" s="2359">
        <v>22</v>
      </c>
      <c r="Q8" s="2352">
        <v>20793</v>
      </c>
      <c r="R8" s="2360">
        <f>P8*Q8*12/1000</f>
        <v>5489.3519999999999</v>
      </c>
      <c r="S8" s="2361">
        <v>26.5</v>
      </c>
      <c r="T8" s="2362">
        <f>U8/12/S8*1000</f>
        <v>1500.3144654088051</v>
      </c>
      <c r="U8" s="2363">
        <f>вода!I12</f>
        <v>477.1</v>
      </c>
      <c r="V8" s="2364">
        <v>22</v>
      </c>
      <c r="W8" s="2365">
        <f>X8/9/V8*1000</f>
        <v>17417.171717171717</v>
      </c>
      <c r="X8" s="2366">
        <v>3448.6</v>
      </c>
      <c r="Y8" s="2367">
        <v>26.5</v>
      </c>
      <c r="Z8" s="2365">
        <f>AA8/12/Y8*1000</f>
        <v>15450.943396226414</v>
      </c>
      <c r="AA8" s="2368">
        <v>4913.3999999999996</v>
      </c>
      <c r="AB8" s="2367">
        <v>26.5</v>
      </c>
      <c r="AC8" s="2365">
        <v>21852</v>
      </c>
      <c r="AD8" s="2369">
        <f t="shared" ref="AD8:AD17" si="0">AC8/T8*100</f>
        <v>1456.4946552085516</v>
      </c>
      <c r="AE8" s="2369">
        <f t="shared" ref="AE8:AE17" si="1">AC8/Z8*100</f>
        <v>141.42825741848824</v>
      </c>
      <c r="AF8" s="2368">
        <f>AB8*AC8*12/1000</f>
        <v>6948.9359999999997</v>
      </c>
      <c r="AG8" s="2367">
        <f>V8</f>
        <v>22</v>
      </c>
      <c r="AH8" s="2365">
        <f>Z8*1.051</f>
        <v>16238.94150943396</v>
      </c>
      <c r="AI8" s="2370">
        <f>AH8/Z8*100</f>
        <v>105.1</v>
      </c>
      <c r="AJ8" s="2371">
        <f>AH8*12*AG8/1000</f>
        <v>4287.0805584905647</v>
      </c>
      <c r="AK8" s="2372">
        <f>AJ8/U8*100</f>
        <v>898.57064734658661</v>
      </c>
      <c r="AL8" s="2367">
        <v>26.5</v>
      </c>
      <c r="AM8" s="2373">
        <f>T8*1.071</f>
        <v>1606.8367924528302</v>
      </c>
      <c r="AN8" s="2345">
        <f>AM8/T8*100</f>
        <v>107.1</v>
      </c>
      <c r="AO8" s="2374">
        <f>AM8/Z8*100</f>
        <v>10.399603126144829</v>
      </c>
      <c r="AP8" s="2368">
        <f>AL8*AM8*12/1000</f>
        <v>510.97410000000002</v>
      </c>
      <c r="AQ8" s="2375"/>
      <c r="AR8" s="2375"/>
      <c r="AS8" s="2375"/>
      <c r="AT8" s="2375"/>
      <c r="AU8" s="2367">
        <v>22</v>
      </c>
      <c r="AV8" s="2365">
        <f>AW8/9/AU8*1000</f>
        <v>21411.616161616163</v>
      </c>
      <c r="AW8" s="2368">
        <v>4239.5</v>
      </c>
      <c r="AX8" s="2367">
        <v>22</v>
      </c>
      <c r="AY8" s="2365">
        <f>AZ8/3/AX8*1000</f>
        <v>23621.21212121212</v>
      </c>
      <c r="AZ8" s="2368">
        <v>1559</v>
      </c>
      <c r="BA8" s="2367">
        <v>22</v>
      </c>
      <c r="BB8" s="2373">
        <f>BC8/BA8/12*1000</f>
        <v>21159.469696969696</v>
      </c>
      <c r="BC8" s="2376">
        <v>5586.1</v>
      </c>
      <c r="BD8" s="2348">
        <f>(M8+P8+Y8+BA8)/4</f>
        <v>24.125</v>
      </c>
      <c r="BE8" s="1318"/>
      <c r="BF8" s="1318"/>
      <c r="BG8" s="1318"/>
      <c r="BH8" s="1318"/>
      <c r="BI8" s="1318"/>
      <c r="BJ8" s="1318"/>
      <c r="BK8" s="1318"/>
      <c r="BL8" s="1318"/>
      <c r="BM8" s="1318"/>
      <c r="BN8" s="1318"/>
      <c r="BO8" s="1318"/>
      <c r="BP8" s="1318"/>
      <c r="BQ8" s="1318"/>
      <c r="BR8" s="1318"/>
      <c r="BS8" s="1318"/>
      <c r="BT8" s="1318"/>
      <c r="BU8" s="1318"/>
      <c r="BV8" s="1318"/>
      <c r="BW8" s="1318"/>
      <c r="BX8" s="1318"/>
    </row>
    <row r="9" spans="1:76" ht="18.75" hidden="1">
      <c r="A9" s="2349" t="s">
        <v>194</v>
      </c>
      <c r="B9" s="2350" t="s">
        <v>87</v>
      </c>
      <c r="C9" s="2351">
        <v>384</v>
      </c>
      <c r="D9" s="2352">
        <v>11838</v>
      </c>
      <c r="E9" s="2353">
        <v>54547.199999999997</v>
      </c>
      <c r="F9" s="2354">
        <v>369</v>
      </c>
      <c r="G9" s="2355">
        <v>12231</v>
      </c>
      <c r="H9" s="2356">
        <f>F9*G9*12/1000</f>
        <v>54158.868000000002</v>
      </c>
      <c r="I9" s="2357">
        <v>364</v>
      </c>
      <c r="J9" s="2352">
        <v>13021</v>
      </c>
      <c r="K9" s="2328">
        <f>J9/G9</f>
        <v>1.0645899762897555</v>
      </c>
      <c r="L9" s="2358">
        <v>56876.800000000003</v>
      </c>
      <c r="M9" s="2377">
        <v>71.5</v>
      </c>
      <c r="N9" s="2352">
        <f>O9/M9/12*1000</f>
        <v>16952.564102564102</v>
      </c>
      <c r="O9" s="2353">
        <v>14545.3</v>
      </c>
      <c r="P9" s="2359">
        <v>70</v>
      </c>
      <c r="Q9" s="2352">
        <f>R9/P9/12*1000</f>
        <v>18740.238095238095</v>
      </c>
      <c r="R9" s="2360">
        <v>15741.8</v>
      </c>
      <c r="S9" s="2361">
        <v>72.5</v>
      </c>
      <c r="T9" s="2362">
        <f>U9/S9/12*1000</f>
        <v>994.02298850574709</v>
      </c>
      <c r="U9" s="2363">
        <f>вода!I22</f>
        <v>864.8</v>
      </c>
      <c r="V9" s="2364">
        <v>72</v>
      </c>
      <c r="W9" s="2365">
        <f>X9/V9/12*1000</f>
        <v>13525</v>
      </c>
      <c r="X9" s="2366">
        <v>11685.6</v>
      </c>
      <c r="Y9" s="2367">
        <v>72.5</v>
      </c>
      <c r="Z9" s="2365">
        <f>AA9/12/72*1000</f>
        <v>19107.638888888891</v>
      </c>
      <c r="AA9" s="2368">
        <v>16509</v>
      </c>
      <c r="AB9" s="2367">
        <v>72.5</v>
      </c>
      <c r="AC9" s="2365">
        <v>23802</v>
      </c>
      <c r="AD9" s="2369">
        <f t="shared" si="0"/>
        <v>2394.5120259019427</v>
      </c>
      <c r="AE9" s="2369">
        <f t="shared" si="1"/>
        <v>124.56798110121751</v>
      </c>
      <c r="AF9" s="2368">
        <f>AB9*AC9*12/1000</f>
        <v>20707.740000000002</v>
      </c>
      <c r="AG9" s="2367">
        <f>V9</f>
        <v>72</v>
      </c>
      <c r="AH9" s="2365">
        <f>Z9*1.051</f>
        <v>20082.128472222223</v>
      </c>
      <c r="AI9" s="2370">
        <f>AH9/Z9*100</f>
        <v>105.1</v>
      </c>
      <c r="AJ9" s="2371">
        <f>AH9*12*AG9/1000</f>
        <v>17350.958999999999</v>
      </c>
      <c r="AK9" s="2372">
        <f>AJ9/U9*100</f>
        <v>2006.3551110083256</v>
      </c>
      <c r="AL9" s="2367">
        <v>72.5</v>
      </c>
      <c r="AM9" s="2373">
        <f>T9*1.071</f>
        <v>1064.598620689655</v>
      </c>
      <c r="AN9" s="2345">
        <f>AM9/T9*100</f>
        <v>107.1</v>
      </c>
      <c r="AO9" s="2374">
        <f t="shared" ref="AO9:AO17" si="2">AM9/Z9*100</f>
        <v>5.5715864575435328</v>
      </c>
      <c r="AP9" s="2368">
        <f>AL9*AM9*12/1000</f>
        <v>926.20079999999996</v>
      </c>
      <c r="AQ9" s="2375"/>
      <c r="AR9" s="2375"/>
      <c r="AS9" s="2375"/>
      <c r="AT9" s="2375"/>
      <c r="AU9" s="2367">
        <v>72</v>
      </c>
      <c r="AV9" s="2365">
        <f>AW9/9/AU9*1000</f>
        <v>21503.703703703704</v>
      </c>
      <c r="AW9" s="2368">
        <v>13934.4</v>
      </c>
      <c r="AX9" s="2367">
        <v>72</v>
      </c>
      <c r="AY9" s="2365">
        <f>AZ9/3/AX9*1000</f>
        <v>23650.925925925927</v>
      </c>
      <c r="AZ9" s="2368">
        <v>5108.6000000000004</v>
      </c>
      <c r="BA9" s="2367">
        <v>72</v>
      </c>
      <c r="BB9" s="2373">
        <f>BC9/BA9/12*1000</f>
        <v>21402.199074074077</v>
      </c>
      <c r="BC9" s="2376">
        <v>18491.5</v>
      </c>
      <c r="BD9" s="2348">
        <f>(M9+P9+Y9+BA9)/4</f>
        <v>71.5</v>
      </c>
      <c r="BE9" s="1318"/>
      <c r="BF9" s="1318"/>
      <c r="BG9" s="1318"/>
      <c r="BH9" s="1318"/>
      <c r="BI9" s="1318"/>
      <c r="BJ9" s="1318"/>
      <c r="BK9" s="1318"/>
      <c r="BL9" s="1318"/>
      <c r="BM9" s="1318"/>
      <c r="BN9" s="1318"/>
      <c r="BO9" s="1318"/>
      <c r="BP9" s="1318"/>
      <c r="BQ9" s="1318"/>
      <c r="BR9" s="1318"/>
      <c r="BS9" s="1318"/>
      <c r="BT9" s="1318"/>
      <c r="BU9" s="1318"/>
      <c r="BV9" s="1318"/>
      <c r="BW9" s="1318"/>
      <c r="BX9" s="1318"/>
    </row>
    <row r="10" spans="1:76" ht="18.75" hidden="1">
      <c r="A10" s="2349" t="s">
        <v>202</v>
      </c>
      <c r="B10" s="2350" t="s">
        <v>88</v>
      </c>
      <c r="C10" s="2351"/>
      <c r="D10" s="2352"/>
      <c r="E10" s="2353"/>
      <c r="F10" s="2354"/>
      <c r="G10" s="2355"/>
      <c r="H10" s="2356"/>
      <c r="I10" s="2357"/>
      <c r="J10" s="2352"/>
      <c r="K10" s="2328"/>
      <c r="L10" s="2358"/>
      <c r="M10" s="2357">
        <v>33</v>
      </c>
      <c r="N10" s="2352">
        <v>18981</v>
      </c>
      <c r="O10" s="2353">
        <f>M10*N10*12/1000</f>
        <v>7516.4759999999997</v>
      </c>
      <c r="P10" s="2378">
        <v>32</v>
      </c>
      <c r="Q10" s="2379">
        <v>21797</v>
      </c>
      <c r="R10" s="2360">
        <f>P10*Q10*12/1000</f>
        <v>8370.0480000000007</v>
      </c>
      <c r="S10" s="2361">
        <v>31</v>
      </c>
      <c r="T10" s="2163">
        <v>23385</v>
      </c>
      <c r="U10" s="2363">
        <f>S10*T10*12/1000</f>
        <v>8699.2199999999993</v>
      </c>
      <c r="V10" s="2364">
        <v>30</v>
      </c>
      <c r="W10" s="2365">
        <v>21786</v>
      </c>
      <c r="X10" s="2366">
        <f>V10*W10*9/1000</f>
        <v>5882.22</v>
      </c>
      <c r="Y10" s="2367">
        <v>31</v>
      </c>
      <c r="Z10" s="2365">
        <v>24160</v>
      </c>
      <c r="AA10" s="2368">
        <v>8778.6</v>
      </c>
      <c r="AB10" s="2367">
        <v>31</v>
      </c>
      <c r="AC10" s="2365">
        <v>28610</v>
      </c>
      <c r="AD10" s="2369">
        <f t="shared" si="0"/>
        <v>122.34338251015609</v>
      </c>
      <c r="AE10" s="2369">
        <f t="shared" si="1"/>
        <v>118.41887417218544</v>
      </c>
      <c r="AF10" s="2368">
        <f>AB10*AC10*12/1000</f>
        <v>10642.92</v>
      </c>
      <c r="AG10" s="2367"/>
      <c r="AH10" s="2365"/>
      <c r="AI10" s="2370"/>
      <c r="AJ10" s="2371"/>
      <c r="AK10" s="2372"/>
      <c r="AL10" s="2367">
        <v>31</v>
      </c>
      <c r="AM10" s="2373">
        <f>T10*1.071</f>
        <v>25045.334999999999</v>
      </c>
      <c r="AN10" s="2345">
        <f>AM10/T10*100</f>
        <v>107.1</v>
      </c>
      <c r="AO10" s="2374">
        <f t="shared" si="2"/>
        <v>103.66446605960265</v>
      </c>
      <c r="AP10" s="2368">
        <f>AL10*AM10*12/1000</f>
        <v>9316.8646200000003</v>
      </c>
      <c r="AQ10" s="2375"/>
      <c r="AR10" s="2375"/>
      <c r="AS10" s="2375"/>
      <c r="AT10" s="2375"/>
      <c r="AU10" s="2367">
        <v>32</v>
      </c>
      <c r="AV10" s="2365">
        <f>AW10/9/AU10*1000</f>
        <v>25180.902777777777</v>
      </c>
      <c r="AW10" s="2368">
        <v>7252.1</v>
      </c>
      <c r="AX10" s="2367">
        <v>32</v>
      </c>
      <c r="AY10" s="2365">
        <f>AZ10/3/AX10*1000</f>
        <v>28734.375</v>
      </c>
      <c r="AZ10" s="2368">
        <v>2758.5</v>
      </c>
      <c r="BA10" s="2367">
        <v>31</v>
      </c>
      <c r="BB10" s="2373">
        <f>BC10/BA10/12*1000</f>
        <v>26139.247311827956</v>
      </c>
      <c r="BC10" s="2376">
        <v>9723.7999999999993</v>
      </c>
      <c r="BD10" s="2348">
        <f>(M10+P10+Y10+BA10)/4</f>
        <v>31.75</v>
      </c>
      <c r="BE10" s="1318"/>
      <c r="BF10" s="1318"/>
      <c r="BG10" s="1318"/>
      <c r="BH10" s="1318"/>
      <c r="BI10" s="1318"/>
      <c r="BJ10" s="1318"/>
      <c r="BK10" s="1318"/>
      <c r="BL10" s="1318"/>
      <c r="BM10" s="1318"/>
      <c r="BN10" s="1318"/>
      <c r="BO10" s="1318"/>
      <c r="BP10" s="1318"/>
      <c r="BQ10" s="1318"/>
      <c r="BR10" s="1318"/>
      <c r="BS10" s="1318"/>
      <c r="BT10" s="1318"/>
      <c r="BU10" s="1318"/>
      <c r="BV10" s="1318"/>
      <c r="BW10" s="1318"/>
      <c r="BX10" s="1318"/>
    </row>
    <row r="11" spans="1:76" ht="18.75" hidden="1">
      <c r="A11" s="2349" t="s">
        <v>203</v>
      </c>
      <c r="B11" s="2350" t="s">
        <v>89</v>
      </c>
      <c r="C11" s="2351"/>
      <c r="D11" s="2352"/>
      <c r="E11" s="2353"/>
      <c r="F11" s="2354"/>
      <c r="G11" s="2355"/>
      <c r="H11" s="2356"/>
      <c r="I11" s="2357"/>
      <c r="J11" s="2352"/>
      <c r="K11" s="2328"/>
      <c r="L11" s="2358"/>
      <c r="M11" s="2357">
        <v>25</v>
      </c>
      <c r="N11" s="2352">
        <v>17707</v>
      </c>
      <c r="O11" s="2353">
        <f>M11*N11*12/1000</f>
        <v>5312.1</v>
      </c>
      <c r="P11" s="2378">
        <v>26</v>
      </c>
      <c r="Q11" s="2379">
        <v>21864</v>
      </c>
      <c r="R11" s="2360">
        <f>P11*Q11*12/1000</f>
        <v>6821.5680000000002</v>
      </c>
      <c r="S11" s="2361">
        <v>25</v>
      </c>
      <c r="T11" s="2163">
        <v>20581</v>
      </c>
      <c r="U11" s="2363">
        <f>S11*T11*12/1000</f>
        <v>6174.3</v>
      </c>
      <c r="V11" s="2364">
        <v>25</v>
      </c>
      <c r="W11" s="2365">
        <v>18220</v>
      </c>
      <c r="X11" s="2366">
        <f>V11*W11*9/1000</f>
        <v>4099.5</v>
      </c>
      <c r="Y11" s="2367">
        <v>25</v>
      </c>
      <c r="Z11" s="2365">
        <v>20570</v>
      </c>
      <c r="AA11" s="2368">
        <v>5838.5</v>
      </c>
      <c r="AB11" s="2367">
        <v>25</v>
      </c>
      <c r="AC11" s="2365">
        <v>25138</v>
      </c>
      <c r="AD11" s="2369">
        <f t="shared" si="0"/>
        <v>122.14178125455517</v>
      </c>
      <c r="AE11" s="2369">
        <f t="shared" si="1"/>
        <v>122.2070977151191</v>
      </c>
      <c r="AF11" s="2368">
        <f>AB11*AC11*12/1000</f>
        <v>7541.4</v>
      </c>
      <c r="AG11" s="2367"/>
      <c r="AH11" s="2365"/>
      <c r="AI11" s="2370"/>
      <c r="AJ11" s="2371"/>
      <c r="AK11" s="2372"/>
      <c r="AL11" s="2367">
        <v>25</v>
      </c>
      <c r="AM11" s="2373">
        <f>T11*1.071</f>
        <v>22042.251</v>
      </c>
      <c r="AN11" s="2345">
        <f>AM11/T11*100</f>
        <v>107.1</v>
      </c>
      <c r="AO11" s="2374">
        <f t="shared" si="2"/>
        <v>107.15727272727274</v>
      </c>
      <c r="AP11" s="2368">
        <f>AL11*AM11*12/1000</f>
        <v>6612.6753000000008</v>
      </c>
      <c r="AQ11" s="2375"/>
      <c r="AR11" s="2375"/>
      <c r="AS11" s="2375"/>
      <c r="AT11" s="2375"/>
      <c r="AU11" s="2367">
        <v>25</v>
      </c>
      <c r="AV11" s="2365">
        <f>AW11/9/AU11*1000</f>
        <v>23007.111111111113</v>
      </c>
      <c r="AW11" s="2368">
        <v>5176.6000000000004</v>
      </c>
      <c r="AX11" s="2367">
        <v>25</v>
      </c>
      <c r="AY11" s="2365">
        <f>AZ11/3/AX11*1000</f>
        <v>25722.666666666668</v>
      </c>
      <c r="AZ11" s="2368">
        <v>1929.2</v>
      </c>
      <c r="BA11" s="2367">
        <v>25</v>
      </c>
      <c r="BB11" s="2373">
        <f>BC11/BA11/12*1000</f>
        <v>22826.333333333336</v>
      </c>
      <c r="BC11" s="2376">
        <v>6847.9</v>
      </c>
      <c r="BD11" s="2348">
        <f>(M11+P11+Y11+BA11)/4</f>
        <v>25.25</v>
      </c>
      <c r="BE11" s="1318"/>
      <c r="BF11" s="1318"/>
      <c r="BG11" s="1318"/>
      <c r="BH11" s="1318"/>
      <c r="BI11" s="1318"/>
      <c r="BJ11" s="1318"/>
      <c r="BK11" s="1318"/>
      <c r="BL11" s="1318"/>
      <c r="BM11" s="1318"/>
      <c r="BN11" s="1318"/>
      <c r="BO11" s="1318"/>
      <c r="BP11" s="1318"/>
      <c r="BQ11" s="1318"/>
      <c r="BR11" s="1318"/>
      <c r="BS11" s="1318"/>
      <c r="BT11" s="1318"/>
      <c r="BU11" s="1318"/>
      <c r="BV11" s="1318"/>
      <c r="BW11" s="1318"/>
      <c r="BX11" s="1318"/>
    </row>
    <row r="12" spans="1:76" ht="18.75" hidden="1">
      <c r="A12" s="2349"/>
      <c r="B12" s="2350"/>
      <c r="C12" s="2351"/>
      <c r="D12" s="2352"/>
      <c r="E12" s="2353"/>
      <c r="F12" s="2354"/>
      <c r="G12" s="2355"/>
      <c r="H12" s="2356"/>
      <c r="I12" s="2357"/>
      <c r="J12" s="2352"/>
      <c r="K12" s="2328"/>
      <c r="L12" s="2358"/>
      <c r="M12" s="2357"/>
      <c r="N12" s="2352"/>
      <c r="O12" s="2353"/>
      <c r="P12" s="2360"/>
      <c r="Q12" s="2380"/>
      <c r="R12" s="2360"/>
      <c r="S12" s="2361"/>
      <c r="T12" s="2163"/>
      <c r="U12" s="2363"/>
      <c r="V12" s="2364"/>
      <c r="W12" s="2365"/>
      <c r="X12" s="2366"/>
      <c r="Y12" s="2367"/>
      <c r="Z12" s="2365"/>
      <c r="AA12" s="2368"/>
      <c r="AB12" s="2367"/>
      <c r="AC12" s="2365"/>
      <c r="AD12" s="2340"/>
      <c r="AE12" s="2369"/>
      <c r="AF12" s="2368"/>
      <c r="AG12" s="2367"/>
      <c r="AH12" s="2365"/>
      <c r="AI12" s="2370"/>
      <c r="AJ12" s="2371"/>
      <c r="AK12" s="2372"/>
      <c r="AL12" s="2367"/>
      <c r="AM12" s="2365"/>
      <c r="AN12" s="2345"/>
      <c r="AO12" s="2374"/>
      <c r="AP12" s="2368"/>
      <c r="AQ12" s="2375"/>
      <c r="AR12" s="2375"/>
      <c r="AS12" s="2375"/>
      <c r="AT12" s="2375"/>
      <c r="AU12" s="2367"/>
      <c r="AV12" s="590"/>
      <c r="AW12" s="2368"/>
      <c r="AX12" s="2367"/>
      <c r="AY12" s="590"/>
      <c r="AZ12" s="2368"/>
      <c r="BA12" s="2367"/>
      <c r="BB12" s="2365"/>
      <c r="BC12" s="2376"/>
      <c r="BD12" s="2348"/>
      <c r="BE12" s="1318"/>
      <c r="BF12" s="1318"/>
      <c r="BG12" s="1318"/>
      <c r="BH12" s="1318"/>
      <c r="BI12" s="1318"/>
      <c r="BJ12" s="1318"/>
      <c r="BK12" s="1318"/>
      <c r="BL12" s="1318"/>
      <c r="BM12" s="1318"/>
      <c r="BN12" s="1318"/>
      <c r="BO12" s="1318"/>
      <c r="BP12" s="1318"/>
      <c r="BQ12" s="1318"/>
      <c r="BR12" s="1318"/>
      <c r="BS12" s="1318"/>
      <c r="BT12" s="1318"/>
      <c r="BU12" s="1318"/>
      <c r="BV12" s="1318"/>
      <c r="BW12" s="1318"/>
      <c r="BX12" s="1318"/>
    </row>
    <row r="13" spans="1:76" ht="56.25" hidden="1">
      <c r="A13" s="2319" t="s">
        <v>195</v>
      </c>
      <c r="B13" s="2320" t="s">
        <v>205</v>
      </c>
      <c r="C13" s="2321">
        <v>840</v>
      </c>
      <c r="D13" s="2322">
        <v>12146</v>
      </c>
      <c r="E13" s="2323">
        <v>122429.8</v>
      </c>
      <c r="F13" s="2324">
        <f>F14+F15</f>
        <v>813</v>
      </c>
      <c r="G13" s="2325">
        <f>(G14*F14+G15*F15)/(F14+F15)</f>
        <v>12443.442804428045</v>
      </c>
      <c r="H13" s="2326">
        <f>H15+H14</f>
        <v>121398.228</v>
      </c>
      <c r="I13" s="2327">
        <v>799</v>
      </c>
      <c r="J13" s="2322">
        <v>13361</v>
      </c>
      <c r="K13" s="2328">
        <f>J13/G13</f>
        <v>1.07373820975377</v>
      </c>
      <c r="L13" s="2329">
        <v>128108.9</v>
      </c>
      <c r="M13" s="2327">
        <f>M14+M15+M16+M17</f>
        <v>109</v>
      </c>
      <c r="N13" s="2322">
        <f>O13/M13/12*1000</f>
        <v>18196.483180428135</v>
      </c>
      <c r="O13" s="2323">
        <f>O14+O15+O16+O17</f>
        <v>23801.000000000004</v>
      </c>
      <c r="P13" s="2330">
        <f>SUM(P14:P17)</f>
        <v>95</v>
      </c>
      <c r="Q13" s="2331">
        <f>R13/P13/12*1000</f>
        <v>21844.621052631581</v>
      </c>
      <c r="R13" s="2330">
        <f>SUM(R14:R17)</f>
        <v>24902.868000000002</v>
      </c>
      <c r="S13" s="2332">
        <f>S14+S15+S16+S17</f>
        <v>105</v>
      </c>
      <c r="T13" s="2333">
        <f>U13/S13/12*1000</f>
        <v>22144.31111111111</v>
      </c>
      <c r="U13" s="2334">
        <f>U14+U15+U16+U17</f>
        <v>27901.832000000002</v>
      </c>
      <c r="V13" s="2335">
        <f>V14+V15+V16+V17</f>
        <v>98</v>
      </c>
      <c r="W13" s="2333">
        <f>X13/V13/12*1000</f>
        <v>15199.064625850338</v>
      </c>
      <c r="X13" s="2336">
        <f>X14+X15+X16+X17</f>
        <v>17874.099999999999</v>
      </c>
      <c r="Y13" s="2381">
        <f>Y14+Y15+Y16+Y17</f>
        <v>94</v>
      </c>
      <c r="Z13" s="2382">
        <f>AA13/Y13/12*1000</f>
        <v>22720.301418439718</v>
      </c>
      <c r="AA13" s="2383">
        <f>AA14+AA15+AA16+AA17</f>
        <v>25628.5</v>
      </c>
      <c r="AB13" s="2337">
        <f>AB14+AB15+AB16+AB17</f>
        <v>105</v>
      </c>
      <c r="AC13" s="2338">
        <f>AF13/AB13/12*1000</f>
        <v>27439.161904761906</v>
      </c>
      <c r="AD13" s="2340">
        <f t="shared" si="0"/>
        <v>123.91065934308546</v>
      </c>
      <c r="AE13" s="2369">
        <f t="shared" si="1"/>
        <v>120.76935688226555</v>
      </c>
      <c r="AF13" s="2339">
        <f>AF14+AF15+AF16+AF17</f>
        <v>34573.344000000005</v>
      </c>
      <c r="AG13" s="2367"/>
      <c r="AH13" s="2365"/>
      <c r="AI13" s="2370"/>
      <c r="AJ13" s="2371"/>
      <c r="AK13" s="2372"/>
      <c r="AL13" s="2337">
        <f>AL14+AL15+AL16+AL17</f>
        <v>105</v>
      </c>
      <c r="AM13" s="2338">
        <f>AP13/AL13/12*1000</f>
        <v>23716.557199999999</v>
      </c>
      <c r="AN13" s="2345">
        <f>AM13/T13*100</f>
        <v>107.1</v>
      </c>
      <c r="AO13" s="2374">
        <f t="shared" si="2"/>
        <v>104.38487044345162</v>
      </c>
      <c r="AP13" s="2339">
        <f>AP14+AP15+AP16+AP17</f>
        <v>29882.862072</v>
      </c>
      <c r="AQ13" s="2346"/>
      <c r="AR13" s="2346"/>
      <c r="AS13" s="2346"/>
      <c r="AT13" s="2346"/>
      <c r="AU13" s="2337">
        <f>AU14+AU15+AU16+AU17</f>
        <v>98</v>
      </c>
      <c r="AV13" s="2338">
        <f>AW13/AU13/9*1000</f>
        <v>24623.582766439908</v>
      </c>
      <c r="AW13" s="2339">
        <f>AW14+AW15+AW16+AW17</f>
        <v>21717.999999999996</v>
      </c>
      <c r="AX13" s="2337">
        <f>AX14+AX15+AX16+AX17</f>
        <v>98</v>
      </c>
      <c r="AY13" s="2338">
        <f>AZ13/AX13/3*1000</f>
        <v>27260.884353741498</v>
      </c>
      <c r="AZ13" s="2339">
        <f>AZ14+AZ15+AZ16+AZ17</f>
        <v>8014.7000000000007</v>
      </c>
      <c r="BA13" s="2337">
        <f>BA14+BA15+BA16+BA17</f>
        <v>98</v>
      </c>
      <c r="BB13" s="2338">
        <f>BC13/BA13/12*1000</f>
        <v>24748.639455782311</v>
      </c>
      <c r="BC13" s="2347">
        <f>BC14+BC15+BC16+BC17</f>
        <v>29104.399999999998</v>
      </c>
      <c r="BD13" s="2348">
        <f>(M13+P13+Y13+BA13)/4</f>
        <v>99</v>
      </c>
      <c r="BE13" s="1318"/>
      <c r="BF13" s="1318"/>
      <c r="BG13" s="1318"/>
      <c r="BH13" s="1318"/>
      <c r="BI13" s="1318"/>
      <c r="BJ13" s="1318"/>
      <c r="BK13" s="1318"/>
      <c r="BL13" s="1318"/>
      <c r="BM13" s="1318"/>
      <c r="BN13" s="1318"/>
      <c r="BO13" s="1318"/>
      <c r="BP13" s="1318"/>
      <c r="BQ13" s="1318"/>
      <c r="BR13" s="1318"/>
      <c r="BS13" s="1318"/>
      <c r="BT13" s="1318"/>
      <c r="BU13" s="1318"/>
      <c r="BV13" s="1318"/>
      <c r="BW13" s="1318"/>
      <c r="BX13" s="1318"/>
    </row>
    <row r="14" spans="1:76" ht="18.75" hidden="1">
      <c r="A14" s="2349" t="s">
        <v>196</v>
      </c>
      <c r="B14" s="2350" t="s">
        <v>91</v>
      </c>
      <c r="C14" s="2351">
        <v>456</v>
      </c>
      <c r="D14" s="2352">
        <v>12405</v>
      </c>
      <c r="E14" s="2353">
        <v>67882.600000000006</v>
      </c>
      <c r="F14" s="2354">
        <v>444</v>
      </c>
      <c r="G14" s="2355">
        <v>12620</v>
      </c>
      <c r="H14" s="2356">
        <f>F14*G14*12/1000</f>
        <v>67239.360000000001</v>
      </c>
      <c r="I14" s="2357">
        <v>435</v>
      </c>
      <c r="J14" s="2352">
        <v>13646</v>
      </c>
      <c r="K14" s="2328">
        <f>J14/G14</f>
        <v>1.0812995245641839</v>
      </c>
      <c r="L14" s="2358">
        <v>71232.100000000006</v>
      </c>
      <c r="M14" s="2357">
        <v>26</v>
      </c>
      <c r="N14" s="2352">
        <f>O14/M14/12*1000</f>
        <v>18108.974358974363</v>
      </c>
      <c r="O14" s="2353">
        <v>5650</v>
      </c>
      <c r="P14" s="2359">
        <v>26</v>
      </c>
      <c r="Q14" s="2352">
        <f>R14/P14/12*1000</f>
        <v>19295.833333333336</v>
      </c>
      <c r="R14" s="2360">
        <v>6020.3</v>
      </c>
      <c r="S14" s="2361">
        <v>30</v>
      </c>
      <c r="T14" s="2362">
        <f>U14/S14/12*1000</f>
        <v>18746.388888888887</v>
      </c>
      <c r="U14" s="2363">
        <v>6748.7</v>
      </c>
      <c r="V14" s="2364">
        <v>27</v>
      </c>
      <c r="W14" s="2362">
        <f>X14/V14/9*1000</f>
        <v>17960.905349794237</v>
      </c>
      <c r="X14" s="2366">
        <v>4364.5</v>
      </c>
      <c r="Y14" s="2367">
        <v>26</v>
      </c>
      <c r="Z14" s="2365">
        <f>AA14/12/Y14*1000</f>
        <v>19381.410256410254</v>
      </c>
      <c r="AA14" s="2368">
        <v>6047</v>
      </c>
      <c r="AB14" s="2367">
        <v>30</v>
      </c>
      <c r="AC14" s="2365">
        <v>23903</v>
      </c>
      <c r="AD14" s="2369">
        <f t="shared" si="0"/>
        <v>127.50722361343666</v>
      </c>
      <c r="AE14" s="2369">
        <f t="shared" si="1"/>
        <v>123.32951876963784</v>
      </c>
      <c r="AF14" s="2368">
        <f>AB14*AC14*12/1000</f>
        <v>8605.08</v>
      </c>
      <c r="AG14" s="2367"/>
      <c r="AH14" s="2365"/>
      <c r="AI14" s="2370"/>
      <c r="AJ14" s="2371"/>
      <c r="AK14" s="2372"/>
      <c r="AL14" s="2367">
        <v>30</v>
      </c>
      <c r="AM14" s="2373">
        <f>T14*1.071</f>
        <v>20077.382499999996</v>
      </c>
      <c r="AN14" s="2345">
        <f>AM14/T14*100</f>
        <v>107.1</v>
      </c>
      <c r="AO14" s="2374">
        <f t="shared" si="2"/>
        <v>103.5909267405325</v>
      </c>
      <c r="AP14" s="2368">
        <f>AL14*AM14*12/1000</f>
        <v>7227.8576999999987</v>
      </c>
      <c r="AQ14" s="2375"/>
      <c r="AR14" s="2375"/>
      <c r="AS14" s="2375"/>
      <c r="AT14" s="2375"/>
      <c r="AU14" s="2367">
        <v>26</v>
      </c>
      <c r="AV14" s="2365">
        <f>AW14/9/AU14*1000</f>
        <v>22458.119658119656</v>
      </c>
      <c r="AW14" s="2368">
        <v>5255.2</v>
      </c>
      <c r="AX14" s="2367">
        <v>26</v>
      </c>
      <c r="AY14" s="2365">
        <f>AZ14/3/AX14*1000</f>
        <v>23894.871794871793</v>
      </c>
      <c r="AZ14" s="2368">
        <v>1863.8</v>
      </c>
      <c r="BA14" s="2367">
        <v>26</v>
      </c>
      <c r="BB14" s="2373">
        <f>BC14/12/BA14*1000</f>
        <v>22598.076923076926</v>
      </c>
      <c r="BC14" s="2376">
        <v>7050.6</v>
      </c>
      <c r="BD14" s="2348">
        <f>(M14+P14+Y14+BA14)/4</f>
        <v>26</v>
      </c>
      <c r="BE14" s="1318"/>
      <c r="BF14" s="1318"/>
      <c r="BG14" s="1318"/>
      <c r="BH14" s="1318"/>
      <c r="BI14" s="1318"/>
      <c r="BJ14" s="1318"/>
      <c r="BK14" s="1318"/>
      <c r="BL14" s="1318"/>
      <c r="BM14" s="1318"/>
      <c r="BN14" s="1318"/>
      <c r="BO14" s="1318"/>
      <c r="BP14" s="1318"/>
      <c r="BQ14" s="1318"/>
      <c r="BR14" s="1318"/>
      <c r="BS14" s="1318"/>
      <c r="BT14" s="1318"/>
      <c r="BU14" s="1318"/>
      <c r="BV14" s="1318"/>
      <c r="BW14" s="1318"/>
      <c r="BX14" s="1318"/>
    </row>
    <row r="15" spans="1:76" ht="18.75" hidden="1">
      <c r="A15" s="2349" t="s">
        <v>197</v>
      </c>
      <c r="B15" s="2350" t="s">
        <v>92</v>
      </c>
      <c r="C15" s="2351">
        <v>384</v>
      </c>
      <c r="D15" s="2352">
        <v>11838</v>
      </c>
      <c r="E15" s="2353">
        <v>54547.199999999997</v>
      </c>
      <c r="F15" s="2354">
        <v>369</v>
      </c>
      <c r="G15" s="2355">
        <v>12231</v>
      </c>
      <c r="H15" s="2356">
        <f>F15*G15*12/1000</f>
        <v>54158.868000000002</v>
      </c>
      <c r="I15" s="2357">
        <v>364</v>
      </c>
      <c r="J15" s="2352">
        <v>13021</v>
      </c>
      <c r="K15" s="2328">
        <f>J15/G15</f>
        <v>1.0645899762897555</v>
      </c>
      <c r="L15" s="2358">
        <v>56876.800000000003</v>
      </c>
      <c r="M15" s="2357">
        <v>60</v>
      </c>
      <c r="N15" s="2352">
        <v>19277</v>
      </c>
      <c r="O15" s="2353">
        <f>M15*N15*12/1000</f>
        <v>13879.44</v>
      </c>
      <c r="P15" s="2359">
        <v>48</v>
      </c>
      <c r="Q15" s="2352">
        <v>22603</v>
      </c>
      <c r="R15" s="2360">
        <f>P15*Q15*12/1000</f>
        <v>13019.328</v>
      </c>
      <c r="S15" s="2361">
        <v>49</v>
      </c>
      <c r="T15" s="2163">
        <v>24500</v>
      </c>
      <c r="U15" s="2363">
        <f>S15*T15*12/1000</f>
        <v>14406</v>
      </c>
      <c r="V15" s="2364">
        <v>48</v>
      </c>
      <c r="W15" s="2362">
        <f>X15/V15/9*1000</f>
        <v>21462.037037037036</v>
      </c>
      <c r="X15" s="2366">
        <v>9271.6</v>
      </c>
      <c r="Y15" s="2367">
        <v>48</v>
      </c>
      <c r="Z15" s="2365">
        <f>AA15/12/Y15*1000</f>
        <v>23137.326388888891</v>
      </c>
      <c r="AA15" s="2368">
        <v>13327.1</v>
      </c>
      <c r="AB15" s="2367">
        <v>49</v>
      </c>
      <c r="AC15" s="2365">
        <v>28797</v>
      </c>
      <c r="AD15" s="2369">
        <f t="shared" si="0"/>
        <v>117.53877551020409</v>
      </c>
      <c r="AE15" s="2369">
        <f t="shared" si="1"/>
        <v>124.46122562297874</v>
      </c>
      <c r="AF15" s="2368">
        <f>AB15*AC15*12/1000</f>
        <v>16932.635999999999</v>
      </c>
      <c r="AG15" s="2367"/>
      <c r="AH15" s="2365"/>
      <c r="AI15" s="2370"/>
      <c r="AJ15" s="2371"/>
      <c r="AK15" s="2372"/>
      <c r="AL15" s="2367">
        <v>49</v>
      </c>
      <c r="AM15" s="2373">
        <f>T15*1.071</f>
        <v>26239.5</v>
      </c>
      <c r="AN15" s="2345">
        <f>AM15/T15*100</f>
        <v>107.1</v>
      </c>
      <c r="AO15" s="2374">
        <f t="shared" si="2"/>
        <v>113.40765808015247</v>
      </c>
      <c r="AP15" s="2368">
        <f>AL15*AM15*12/1000</f>
        <v>15428.825999999999</v>
      </c>
      <c r="AQ15" s="2375"/>
      <c r="AR15" s="2375"/>
      <c r="AS15" s="2375"/>
      <c r="AT15" s="2375"/>
      <c r="AU15" s="2367">
        <v>49</v>
      </c>
      <c r="AV15" s="2365">
        <f>AW15/9/AU15*1000</f>
        <v>25834.24036281179</v>
      </c>
      <c r="AW15" s="2368">
        <v>11392.9</v>
      </c>
      <c r="AX15" s="2367">
        <v>49</v>
      </c>
      <c r="AY15" s="2365">
        <f>AZ15/3/AX15*1000</f>
        <v>28514.285714285717</v>
      </c>
      <c r="AZ15" s="2368">
        <v>4191.6000000000004</v>
      </c>
      <c r="BA15" s="2367">
        <v>49</v>
      </c>
      <c r="BB15" s="2373">
        <f>BC15/12/BA15*1000</f>
        <v>26018.707482993199</v>
      </c>
      <c r="BC15" s="2376">
        <v>15299</v>
      </c>
      <c r="BD15" s="2348">
        <f>(M15+P15+Y15+BA15)/4</f>
        <v>51.25</v>
      </c>
      <c r="BE15" s="1318"/>
      <c r="BF15" s="1318"/>
      <c r="BG15" s="1318"/>
      <c r="BH15" s="1318"/>
      <c r="BI15" s="1318"/>
      <c r="BJ15" s="1318"/>
      <c r="BK15" s="1318"/>
      <c r="BL15" s="1318"/>
      <c r="BM15" s="1318"/>
      <c r="BN15" s="1318"/>
      <c r="BO15" s="1318"/>
      <c r="BP15" s="1318"/>
      <c r="BQ15" s="1318"/>
      <c r="BR15" s="1318"/>
      <c r="BS15" s="1318"/>
      <c r="BT15" s="1318"/>
      <c r="BU15" s="1318"/>
      <c r="BV15" s="1318"/>
      <c r="BW15" s="1318"/>
      <c r="BX15" s="1318"/>
    </row>
    <row r="16" spans="1:76" ht="75" hidden="1">
      <c r="A16" s="2349" t="s">
        <v>206</v>
      </c>
      <c r="B16" s="2384" t="s">
        <v>208</v>
      </c>
      <c r="C16" s="2351"/>
      <c r="D16" s="2352"/>
      <c r="E16" s="2353"/>
      <c r="F16" s="2354"/>
      <c r="G16" s="2355"/>
      <c r="H16" s="2356"/>
      <c r="I16" s="2357"/>
      <c r="J16" s="2352"/>
      <c r="K16" s="2328"/>
      <c r="L16" s="2358"/>
      <c r="M16" s="2357">
        <v>6</v>
      </c>
      <c r="N16" s="2322">
        <f>O16/M16/12*1000</f>
        <v>18130.555555555555</v>
      </c>
      <c r="O16" s="2353">
        <v>1305.4000000000001</v>
      </c>
      <c r="P16" s="2378">
        <v>6</v>
      </c>
      <c r="Q16" s="2379">
        <f>R16/P16/12*1000</f>
        <v>22363.888888888891</v>
      </c>
      <c r="R16" s="2360">
        <v>1610.2</v>
      </c>
      <c r="S16" s="2361">
        <v>7</v>
      </c>
      <c r="T16" s="2163">
        <v>22943</v>
      </c>
      <c r="U16" s="2363">
        <f>S16*T16*12/1000</f>
        <v>1927.212</v>
      </c>
      <c r="V16" s="2364">
        <v>7</v>
      </c>
      <c r="W16" s="2362">
        <f>X16/V16/9*1000</f>
        <v>18404.761904761905</v>
      </c>
      <c r="X16" s="2366">
        <v>1159.5</v>
      </c>
      <c r="Y16" s="2367">
        <v>5</v>
      </c>
      <c r="Z16" s="2365">
        <f>AA16/12/Y16*1000</f>
        <v>28281.666666666668</v>
      </c>
      <c r="AA16" s="2368">
        <v>1696.9</v>
      </c>
      <c r="AB16" s="2367">
        <v>7</v>
      </c>
      <c r="AC16" s="2365">
        <v>29211</v>
      </c>
      <c r="AD16" s="2369">
        <f t="shared" si="0"/>
        <v>127.31987970186984</v>
      </c>
      <c r="AE16" s="2369">
        <f t="shared" si="1"/>
        <v>103.2859921032471</v>
      </c>
      <c r="AF16" s="2368">
        <f>AB16*AC16*12/1000</f>
        <v>2453.7240000000002</v>
      </c>
      <c r="AG16" s="2367"/>
      <c r="AH16" s="2365"/>
      <c r="AI16" s="2370"/>
      <c r="AJ16" s="2371"/>
      <c r="AK16" s="2372"/>
      <c r="AL16" s="2367">
        <v>7</v>
      </c>
      <c r="AM16" s="2373">
        <f>T16*1.071</f>
        <v>24571.952999999998</v>
      </c>
      <c r="AN16" s="2345">
        <f>AM16/T16*100</f>
        <v>107.1</v>
      </c>
      <c r="AO16" s="2374">
        <f t="shared" si="2"/>
        <v>86.882973657846648</v>
      </c>
      <c r="AP16" s="2368">
        <f>AL16*AM16*12/1000</f>
        <v>2064.0440519999997</v>
      </c>
      <c r="AQ16" s="2375"/>
      <c r="AR16" s="2375"/>
      <c r="AS16" s="2375"/>
      <c r="AT16" s="2375"/>
      <c r="AU16" s="2367">
        <v>6</v>
      </c>
      <c r="AV16" s="2365">
        <f>AW16/9/AU16*1000</f>
        <v>23866.666666666664</v>
      </c>
      <c r="AW16" s="2368">
        <v>1288.8</v>
      </c>
      <c r="AX16" s="2367">
        <v>6</v>
      </c>
      <c r="AY16" s="2365">
        <f>AZ16/3/AX16*1000</f>
        <v>29477.777777777777</v>
      </c>
      <c r="AZ16" s="2368">
        <v>530.6</v>
      </c>
      <c r="BA16" s="2367">
        <v>6</v>
      </c>
      <c r="BB16" s="2373">
        <f>BC16/12/BA16*1000</f>
        <v>24416.666666666668</v>
      </c>
      <c r="BC16" s="2376">
        <v>1758</v>
      </c>
      <c r="BD16" s="2348">
        <f>(M16+P16+Y16+BA16)/4</f>
        <v>5.75</v>
      </c>
      <c r="BE16" s="1318"/>
      <c r="BF16" s="1318"/>
      <c r="BG16" s="1318"/>
      <c r="BH16" s="1318"/>
      <c r="BI16" s="1318"/>
      <c r="BJ16" s="1318"/>
      <c r="BK16" s="1318"/>
      <c r="BL16" s="1318"/>
      <c r="BM16" s="1318"/>
      <c r="BN16" s="1318"/>
      <c r="BO16" s="1318"/>
      <c r="BP16" s="1318"/>
      <c r="BQ16" s="1318"/>
      <c r="BR16" s="1318"/>
      <c r="BS16" s="1318"/>
      <c r="BT16" s="1318"/>
      <c r="BU16" s="1318"/>
      <c r="BV16" s="1318"/>
      <c r="BW16" s="1318"/>
      <c r="BX16" s="1318"/>
    </row>
    <row r="17" spans="1:79" ht="19.5" hidden="1" thickBot="1">
      <c r="A17" s="595" t="s">
        <v>207</v>
      </c>
      <c r="B17" s="420" t="s">
        <v>89</v>
      </c>
      <c r="C17" s="2385"/>
      <c r="D17" s="2386"/>
      <c r="E17" s="598"/>
      <c r="F17" s="599"/>
      <c r="G17" s="2387"/>
      <c r="H17" s="2388"/>
      <c r="I17" s="602"/>
      <c r="J17" s="2386"/>
      <c r="K17" s="2389"/>
      <c r="L17" s="2390"/>
      <c r="M17" s="602">
        <v>17</v>
      </c>
      <c r="N17" s="2386">
        <v>14540</v>
      </c>
      <c r="O17" s="598">
        <f>M17*N17*12/1000</f>
        <v>2966.16</v>
      </c>
      <c r="P17" s="2391">
        <v>15</v>
      </c>
      <c r="Q17" s="2392">
        <v>23628</v>
      </c>
      <c r="R17" s="2393">
        <f>P17*Q17*12/1000</f>
        <v>4253.04</v>
      </c>
      <c r="S17" s="2274">
        <v>19</v>
      </c>
      <c r="T17" s="2394">
        <v>21140</v>
      </c>
      <c r="U17" s="609">
        <f>S17*T17*12/1000</f>
        <v>4819.92</v>
      </c>
      <c r="V17" s="2395">
        <v>16</v>
      </c>
      <c r="W17" s="2396">
        <f>X17/V17/9*1000</f>
        <v>21378.472222222223</v>
      </c>
      <c r="X17" s="2397">
        <v>3078.5</v>
      </c>
      <c r="Y17" s="2269">
        <v>15</v>
      </c>
      <c r="Z17" s="2396">
        <f>AA17/12/Y17*1000</f>
        <v>25319.444444444445</v>
      </c>
      <c r="AA17" s="614">
        <v>4557.5</v>
      </c>
      <c r="AB17" s="2269">
        <v>19</v>
      </c>
      <c r="AC17" s="2396">
        <v>28868</v>
      </c>
      <c r="AD17" s="2398">
        <f t="shared" si="0"/>
        <v>136.55629139072846</v>
      </c>
      <c r="AE17" s="2398">
        <f t="shared" si="1"/>
        <v>114.01513987931979</v>
      </c>
      <c r="AF17" s="614">
        <f>AB17*AC17*12/1000</f>
        <v>6581.9040000000005</v>
      </c>
      <c r="AG17" s="2367"/>
      <c r="AH17" s="2365"/>
      <c r="AI17" s="2370"/>
      <c r="AJ17" s="2371"/>
      <c r="AK17" s="2372"/>
      <c r="AL17" s="2269">
        <v>19</v>
      </c>
      <c r="AM17" s="2399">
        <f>T17*1.071</f>
        <v>22640.94</v>
      </c>
      <c r="AN17" s="2400">
        <f>AM17/T17*100</f>
        <v>107.1</v>
      </c>
      <c r="AO17" s="2401">
        <f t="shared" si="2"/>
        <v>89.421156335710364</v>
      </c>
      <c r="AP17" s="614">
        <f>AL17*AM17*12/1000</f>
        <v>5162.1343200000001</v>
      </c>
      <c r="AQ17" s="1308"/>
      <c r="AR17" s="1308"/>
      <c r="AS17" s="1308"/>
      <c r="AT17" s="1308"/>
      <c r="AU17" s="2269">
        <v>17</v>
      </c>
      <c r="AV17" s="2396">
        <f>AW17/9/AU17*1000</f>
        <v>24713.071895424837</v>
      </c>
      <c r="AW17" s="614">
        <v>3781.1</v>
      </c>
      <c r="AX17" s="2269">
        <v>17</v>
      </c>
      <c r="AY17" s="2396">
        <f>AZ17/3/AX17*1000</f>
        <v>28013.725490196081</v>
      </c>
      <c r="AZ17" s="614">
        <v>1428.7</v>
      </c>
      <c r="BA17" s="2269">
        <v>17</v>
      </c>
      <c r="BB17" s="2399">
        <f>BC17/12/BA17*1000</f>
        <v>24494.117647058825</v>
      </c>
      <c r="BC17" s="2402">
        <v>4996.8</v>
      </c>
      <c r="BD17" s="2348">
        <f>(M17+P17+Y17+BA17)/4</f>
        <v>16</v>
      </c>
      <c r="BE17" s="1318"/>
      <c r="BF17" s="1318"/>
      <c r="BG17" s="1318"/>
      <c r="BH17" s="1318"/>
      <c r="BI17" s="1318"/>
      <c r="BJ17" s="1318"/>
      <c r="BK17" s="1318"/>
      <c r="BL17" s="1318"/>
      <c r="BM17" s="1318"/>
      <c r="BN17" s="1318"/>
      <c r="BO17" s="1318"/>
      <c r="BP17" s="1318"/>
      <c r="BQ17" s="1318"/>
      <c r="BR17" s="1318"/>
      <c r="BS17" s="1318"/>
      <c r="BT17" s="1318"/>
      <c r="BU17" s="1318"/>
      <c r="BV17" s="1318"/>
      <c r="BW17" s="1318"/>
      <c r="BX17" s="1318"/>
    </row>
    <row r="18" spans="1:79" ht="18.75" thickBot="1">
      <c r="A18" s="380"/>
      <c r="B18" s="380"/>
      <c r="C18" s="380"/>
      <c r="D18" s="380"/>
      <c r="E18" s="380"/>
      <c r="F18" s="380"/>
      <c r="G18" s="380"/>
      <c r="H18" s="380"/>
      <c r="I18" s="380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  <c r="AF18" s="380"/>
      <c r="AG18" s="380"/>
      <c r="AH18" s="380"/>
      <c r="AI18" s="380"/>
      <c r="AJ18" s="380"/>
      <c r="AK18" s="380"/>
      <c r="AL18" s="380"/>
      <c r="AM18" s="380"/>
      <c r="AN18" s="380"/>
      <c r="AO18" s="380"/>
      <c r="AP18" s="380"/>
      <c r="AQ18" s="380"/>
      <c r="AR18" s="380"/>
      <c r="AS18" s="380"/>
      <c r="AT18" s="380"/>
      <c r="AU18" s="380"/>
      <c r="AV18" s="380"/>
      <c r="AW18" s="380"/>
      <c r="AX18" s="380"/>
      <c r="AY18" s="380"/>
      <c r="AZ18" s="380"/>
      <c r="BA18" s="380"/>
      <c r="BB18" s="380"/>
      <c r="BC18" s="380"/>
      <c r="BD18" s="380"/>
      <c r="BE18" s="380"/>
      <c r="BF18" s="380"/>
      <c r="BG18" s="380"/>
      <c r="BH18" s="380"/>
      <c r="BI18" s="380"/>
      <c r="BJ18" s="380"/>
      <c r="BK18" s="380"/>
      <c r="BL18" s="380"/>
      <c r="BM18" s="380"/>
      <c r="BN18" s="380"/>
      <c r="BO18" s="380"/>
      <c r="BP18" s="380"/>
      <c r="BQ18" s="380"/>
      <c r="BR18" s="380"/>
      <c r="BS18" s="380"/>
      <c r="BT18" s="380"/>
      <c r="BU18" s="380"/>
      <c r="BV18" s="380"/>
      <c r="BW18" s="380"/>
      <c r="BX18" s="380"/>
    </row>
    <row r="19" spans="1:79" ht="27" thickBot="1">
      <c r="A19" s="5087" t="s">
        <v>175</v>
      </c>
      <c r="B19" s="5085" t="s">
        <v>176</v>
      </c>
      <c r="C19" s="1309"/>
      <c r="D19" s="1309"/>
      <c r="E19" s="1309"/>
      <c r="F19" s="1309"/>
      <c r="G19" s="1309"/>
      <c r="H19" s="1309"/>
      <c r="I19" s="1309"/>
      <c r="J19" s="1309"/>
      <c r="K19" s="1309"/>
      <c r="L19" s="1309"/>
      <c r="M19" s="5037" t="s">
        <v>238</v>
      </c>
      <c r="N19" s="5037"/>
      <c r="O19" s="5037"/>
      <c r="P19" s="5037"/>
      <c r="Q19" s="5037"/>
      <c r="R19" s="5037"/>
      <c r="S19" s="5037"/>
      <c r="T19" s="5037"/>
      <c r="U19" s="5037"/>
      <c r="V19" s="5037"/>
      <c r="W19" s="5037"/>
      <c r="X19" s="5037"/>
      <c r="Y19" s="5037"/>
      <c r="Z19" s="5037"/>
      <c r="AA19" s="5037"/>
      <c r="AB19" s="5037"/>
      <c r="AC19" s="5037"/>
      <c r="AD19" s="5037"/>
      <c r="AE19" s="5037"/>
      <c r="AF19" s="5037"/>
      <c r="AG19" s="5037"/>
      <c r="AH19" s="5037"/>
      <c r="AI19" s="5037"/>
      <c r="AJ19" s="5037"/>
      <c r="AK19" s="5037"/>
      <c r="AL19" s="5037"/>
      <c r="AM19" s="5037"/>
      <c r="AN19" s="5037"/>
      <c r="AO19" s="5037"/>
      <c r="AP19" s="5037"/>
      <c r="AQ19" s="5037"/>
      <c r="AR19" s="5037"/>
      <c r="AS19" s="5037"/>
      <c r="AT19" s="5037"/>
      <c r="AU19" s="5036" t="s">
        <v>380</v>
      </c>
      <c r="AV19" s="5037"/>
      <c r="AW19" s="5037"/>
      <c r="AX19" s="5037"/>
      <c r="AY19" s="5037"/>
      <c r="AZ19" s="5037"/>
      <c r="BA19" s="5037"/>
      <c r="BB19" s="5037"/>
      <c r="BC19" s="5037"/>
      <c r="BD19" s="5037"/>
      <c r="BE19" s="5037"/>
      <c r="BF19" s="5037"/>
      <c r="BG19" s="5037"/>
      <c r="BH19" s="5037"/>
      <c r="BI19" s="5037"/>
      <c r="BJ19" s="5037"/>
      <c r="BK19" s="5037"/>
      <c r="BL19" s="5037"/>
      <c r="BM19" s="5037"/>
      <c r="BN19" s="5037"/>
      <c r="BO19" s="5131"/>
      <c r="BP19" s="5036" t="s">
        <v>833</v>
      </c>
      <c r="BQ19" s="5037"/>
      <c r="BR19" s="5037"/>
      <c r="BS19" s="5037"/>
      <c r="BT19" s="5037"/>
      <c r="BU19" s="5037"/>
      <c r="BV19" s="5037"/>
      <c r="BW19" s="5037"/>
      <c r="BX19" s="5037"/>
      <c r="BY19" s="4468"/>
      <c r="BZ19" s="4468"/>
      <c r="CA19" s="4469"/>
    </row>
    <row r="20" spans="1:79" ht="12.75" customHeight="1">
      <c r="A20" s="5129"/>
      <c r="B20" s="5130"/>
      <c r="C20" s="5054" t="s">
        <v>177</v>
      </c>
      <c r="D20" s="5054"/>
      <c r="E20" s="5058"/>
      <c r="F20" s="5053" t="s">
        <v>178</v>
      </c>
      <c r="G20" s="5054"/>
      <c r="H20" s="5054"/>
      <c r="I20" s="5057" t="s">
        <v>179</v>
      </c>
      <c r="J20" s="5057"/>
      <c r="K20" s="5057"/>
      <c r="L20" s="4534"/>
      <c r="M20" s="5092" t="s">
        <v>236</v>
      </c>
      <c r="N20" s="5098"/>
      <c r="O20" s="5098"/>
      <c r="P20" s="5098"/>
      <c r="Q20" s="5099"/>
      <c r="R20" s="4760"/>
      <c r="S20" s="5040" t="s">
        <v>237</v>
      </c>
      <c r="T20" s="5041"/>
      <c r="U20" s="5041"/>
      <c r="V20" s="5041"/>
      <c r="W20" s="5062"/>
      <c r="X20" s="5040" t="s">
        <v>431</v>
      </c>
      <c r="Y20" s="5041"/>
      <c r="Z20" s="5041"/>
      <c r="AA20" s="5041"/>
      <c r="AB20" s="5044"/>
      <c r="AC20" s="628"/>
      <c r="AD20" s="628"/>
      <c r="AE20" s="628"/>
      <c r="AF20" s="628"/>
      <c r="AG20" s="628"/>
      <c r="AH20" s="628"/>
      <c r="AI20" s="628"/>
      <c r="AJ20" s="628"/>
      <c r="AK20" s="628"/>
      <c r="AL20" s="5040" t="s">
        <v>432</v>
      </c>
      <c r="AM20" s="5041"/>
      <c r="AN20" s="5041"/>
      <c r="AO20" s="5041"/>
      <c r="AP20" s="5044"/>
      <c r="AQ20" s="5092" t="s">
        <v>832</v>
      </c>
      <c r="AR20" s="5093"/>
      <c r="AS20" s="5093"/>
      <c r="AT20" s="5094"/>
      <c r="AU20" s="5040" t="s">
        <v>383</v>
      </c>
      <c r="AV20" s="5041"/>
      <c r="AW20" s="5041"/>
      <c r="AX20" s="5041"/>
      <c r="AY20" s="5044"/>
      <c r="AZ20" s="5040" t="s">
        <v>387</v>
      </c>
      <c r="BA20" s="5041"/>
      <c r="BB20" s="5041"/>
      <c r="BC20" s="5041"/>
      <c r="BD20" s="5044"/>
      <c r="BE20" s="5040" t="s">
        <v>860</v>
      </c>
      <c r="BF20" s="5041"/>
      <c r="BG20" s="5041"/>
      <c r="BH20" s="5041"/>
      <c r="BI20" s="5040" t="s">
        <v>859</v>
      </c>
      <c r="BJ20" s="5041"/>
      <c r="BK20" s="5041"/>
      <c r="BL20" s="5041"/>
      <c r="BM20" s="5127" t="s">
        <v>1548</v>
      </c>
      <c r="BN20" s="5098"/>
      <c r="BO20" s="5099"/>
      <c r="BP20" s="5060" t="s">
        <v>861</v>
      </c>
      <c r="BQ20" s="5061"/>
      <c r="BR20" s="5061"/>
      <c r="BS20" s="5061"/>
      <c r="BT20" s="5081" t="s">
        <v>862</v>
      </c>
      <c r="BU20" s="5082"/>
      <c r="BV20" s="5082"/>
      <c r="BW20" s="5082"/>
      <c r="BX20" s="5083"/>
      <c r="BY20" s="5127" t="s">
        <v>1708</v>
      </c>
      <c r="BZ20" s="5098"/>
      <c r="CA20" s="5099"/>
    </row>
    <row r="21" spans="1:79" ht="18.75" customHeight="1">
      <c r="A21" s="5129"/>
      <c r="B21" s="5130"/>
      <c r="C21" s="5056"/>
      <c r="D21" s="5056"/>
      <c r="E21" s="5059"/>
      <c r="F21" s="5055"/>
      <c r="G21" s="5056"/>
      <c r="H21" s="5056"/>
      <c r="I21" s="2272"/>
      <c r="J21" s="2272"/>
      <c r="K21" s="2272"/>
      <c r="L21" s="2272"/>
      <c r="M21" s="5100"/>
      <c r="N21" s="5101"/>
      <c r="O21" s="5101"/>
      <c r="P21" s="5101"/>
      <c r="Q21" s="5102"/>
      <c r="R21" s="4761"/>
      <c r="S21" s="5132"/>
      <c r="T21" s="5133"/>
      <c r="U21" s="5133"/>
      <c r="V21" s="5133"/>
      <c r="W21" s="5134"/>
      <c r="X21" s="5132"/>
      <c r="Y21" s="5133"/>
      <c r="Z21" s="5133"/>
      <c r="AA21" s="5133"/>
      <c r="AB21" s="5135"/>
      <c r="AC21" s="621"/>
      <c r="AD21" s="621"/>
      <c r="AE21" s="621"/>
      <c r="AF21" s="621"/>
      <c r="AG21" s="621"/>
      <c r="AH21" s="621"/>
      <c r="AI21" s="621"/>
      <c r="AJ21" s="621"/>
      <c r="AK21" s="621"/>
      <c r="AL21" s="5132"/>
      <c r="AM21" s="5133"/>
      <c r="AN21" s="5133"/>
      <c r="AO21" s="5133"/>
      <c r="AP21" s="5135"/>
      <c r="AQ21" s="5095"/>
      <c r="AR21" s="5096"/>
      <c r="AS21" s="5096"/>
      <c r="AT21" s="5097"/>
      <c r="AU21" s="5132"/>
      <c r="AV21" s="5133"/>
      <c r="AW21" s="5133"/>
      <c r="AX21" s="5133"/>
      <c r="AY21" s="5135"/>
      <c r="AZ21" s="5132"/>
      <c r="BA21" s="5133"/>
      <c r="BB21" s="5133"/>
      <c r="BC21" s="5133"/>
      <c r="BD21" s="5135"/>
      <c r="BE21" s="5132"/>
      <c r="BF21" s="5133"/>
      <c r="BG21" s="5133"/>
      <c r="BH21" s="5133"/>
      <c r="BI21" s="5132"/>
      <c r="BJ21" s="5133"/>
      <c r="BK21" s="5133"/>
      <c r="BL21" s="5133"/>
      <c r="BM21" s="5128"/>
      <c r="BN21" s="5101"/>
      <c r="BO21" s="5102"/>
      <c r="BP21" s="5132"/>
      <c r="BQ21" s="5133"/>
      <c r="BR21" s="5133"/>
      <c r="BS21" s="5133"/>
      <c r="BT21" s="5081"/>
      <c r="BU21" s="5082"/>
      <c r="BV21" s="5082"/>
      <c r="BW21" s="5082"/>
      <c r="BX21" s="5083"/>
      <c r="BY21" s="5128"/>
      <c r="BZ21" s="5101"/>
      <c r="CA21" s="5102"/>
    </row>
    <row r="22" spans="1:79" ht="150.75" thickBot="1">
      <c r="A22" s="5129"/>
      <c r="B22" s="5130"/>
      <c r="C22" s="2271" t="s">
        <v>182</v>
      </c>
      <c r="D22" s="2403" t="s">
        <v>185</v>
      </c>
      <c r="E22" s="620" t="s">
        <v>186</v>
      </c>
      <c r="F22" s="2271" t="s">
        <v>182</v>
      </c>
      <c r="G22" s="2403" t="s">
        <v>185</v>
      </c>
      <c r="H22" s="2404" t="s">
        <v>186</v>
      </c>
      <c r="I22" s="2271" t="s">
        <v>182</v>
      </c>
      <c r="J22" s="2403" t="s">
        <v>185</v>
      </c>
      <c r="K22" s="2403" t="s">
        <v>187</v>
      </c>
      <c r="L22" s="2404" t="s">
        <v>186</v>
      </c>
      <c r="M22" s="2405" t="s">
        <v>182</v>
      </c>
      <c r="N22" s="2406" t="s">
        <v>185</v>
      </c>
      <c r="O22" s="2406" t="s">
        <v>186</v>
      </c>
      <c r="P22" s="2406" t="s">
        <v>254</v>
      </c>
      <c r="Q22" s="2407" t="s">
        <v>255</v>
      </c>
      <c r="R22" s="4761"/>
      <c r="S22" s="2405" t="s">
        <v>182</v>
      </c>
      <c r="T22" s="2406" t="s">
        <v>185</v>
      </c>
      <c r="U22" s="2406" t="s">
        <v>186</v>
      </c>
      <c r="V22" s="2406" t="s">
        <v>254</v>
      </c>
      <c r="W22" s="2408" t="s">
        <v>255</v>
      </c>
      <c r="X22" s="2405" t="s">
        <v>182</v>
      </c>
      <c r="Y22" s="2406" t="s">
        <v>185</v>
      </c>
      <c r="Z22" s="2406" t="s">
        <v>186</v>
      </c>
      <c r="AA22" s="2406" t="s">
        <v>254</v>
      </c>
      <c r="AB22" s="2407" t="s">
        <v>255</v>
      </c>
      <c r="AC22" s="621"/>
      <c r="AD22" s="621"/>
      <c r="AE22" s="621"/>
      <c r="AF22" s="621"/>
      <c r="AG22" s="621"/>
      <c r="AH22" s="621"/>
      <c r="AI22" s="621"/>
      <c r="AJ22" s="621"/>
      <c r="AK22" s="621"/>
      <c r="AL22" s="2405" t="s">
        <v>182</v>
      </c>
      <c r="AM22" s="2406" t="s">
        <v>185</v>
      </c>
      <c r="AN22" s="2406" t="s">
        <v>186</v>
      </c>
      <c r="AO22" s="2406" t="s">
        <v>254</v>
      </c>
      <c r="AP22" s="2409"/>
      <c r="AQ22" s="2405" t="s">
        <v>182</v>
      </c>
      <c r="AR22" s="2406" t="s">
        <v>185</v>
      </c>
      <c r="AS22" s="2406" t="s">
        <v>186</v>
      </c>
      <c r="AT22" s="2406" t="s">
        <v>254</v>
      </c>
      <c r="AU22" s="2405" t="s">
        <v>182</v>
      </c>
      <c r="AV22" s="2406" t="s">
        <v>185</v>
      </c>
      <c r="AW22" s="2406" t="s">
        <v>186</v>
      </c>
      <c r="AX22" s="2406" t="s">
        <v>254</v>
      </c>
      <c r="AY22" s="2407" t="s">
        <v>454</v>
      </c>
      <c r="AZ22" s="2405" t="s">
        <v>182</v>
      </c>
      <c r="BA22" s="2406" t="s">
        <v>185</v>
      </c>
      <c r="BB22" s="2406" t="s">
        <v>186</v>
      </c>
      <c r="BC22" s="2406" t="s">
        <v>254</v>
      </c>
      <c r="BD22" s="2409"/>
      <c r="BE22" s="2405" t="s">
        <v>182</v>
      </c>
      <c r="BF22" s="2406" t="s">
        <v>185</v>
      </c>
      <c r="BG22" s="2406" t="s">
        <v>186</v>
      </c>
      <c r="BH22" s="2406" t="s">
        <v>254</v>
      </c>
      <c r="BI22" s="2405" t="s">
        <v>182</v>
      </c>
      <c r="BJ22" s="2406" t="s">
        <v>185</v>
      </c>
      <c r="BK22" s="2406" t="s">
        <v>186</v>
      </c>
      <c r="BL22" s="2406" t="s">
        <v>254</v>
      </c>
      <c r="BM22" s="2405" t="s">
        <v>182</v>
      </c>
      <c r="BN22" s="2406" t="s">
        <v>185</v>
      </c>
      <c r="BO22" s="2406" t="s">
        <v>186</v>
      </c>
      <c r="BP22" s="2405" t="s">
        <v>182</v>
      </c>
      <c r="BQ22" s="2406" t="s">
        <v>185</v>
      </c>
      <c r="BR22" s="2406" t="s">
        <v>186</v>
      </c>
      <c r="BS22" s="2406" t="s">
        <v>254</v>
      </c>
      <c r="BT22" s="2405" t="s">
        <v>182</v>
      </c>
      <c r="BU22" s="2406" t="s">
        <v>185</v>
      </c>
      <c r="BV22" s="2406" t="s">
        <v>186</v>
      </c>
      <c r="BW22" s="2406" t="s">
        <v>254</v>
      </c>
      <c r="BX22" s="2410" t="s">
        <v>1040</v>
      </c>
      <c r="BY22" s="2405" t="s">
        <v>182</v>
      </c>
      <c r="BZ22" s="2406" t="s">
        <v>185</v>
      </c>
      <c r="CA22" s="2406" t="s">
        <v>186</v>
      </c>
    </row>
    <row r="23" spans="1:79" ht="72.75" customHeight="1">
      <c r="A23" s="2411" t="s">
        <v>192</v>
      </c>
      <c r="B23" s="2412" t="s">
        <v>204</v>
      </c>
      <c r="C23" s="2413">
        <v>840</v>
      </c>
      <c r="D23" s="2414">
        <v>12146</v>
      </c>
      <c r="E23" s="2339">
        <v>122429.8</v>
      </c>
      <c r="F23" s="2415">
        <f>F24+F25</f>
        <v>813</v>
      </c>
      <c r="G23" s="2414">
        <f>(G24*F24+G25*F25)/(F24+F25)</f>
        <v>12443.442804428045</v>
      </c>
      <c r="H23" s="2347">
        <f>H25+H24</f>
        <v>121398.228</v>
      </c>
      <c r="I23" s="2416">
        <v>799</v>
      </c>
      <c r="J23" s="2414">
        <v>13361</v>
      </c>
      <c r="K23" s="2417">
        <f>J23/G23</f>
        <v>1.07373820975377</v>
      </c>
      <c r="L23" s="2347">
        <v>128108.9</v>
      </c>
      <c r="M23" s="2416">
        <f>M24+M25+M26+M27</f>
        <v>155</v>
      </c>
      <c r="N23" s="2414">
        <f t="shared" ref="N23:N32" si="3">O23/M23/12*1000</f>
        <v>25754.516129032254</v>
      </c>
      <c r="O23" s="2343">
        <f>O24+O25+O26+O27</f>
        <v>47903.399999999994</v>
      </c>
      <c r="P23" s="2418">
        <f>N23/AM7</f>
        <v>2.7583455187985857</v>
      </c>
      <c r="Q23" s="2409"/>
      <c r="R23" s="4761"/>
      <c r="S23" s="2419">
        <f>SUM(S24:S27)</f>
        <v>155</v>
      </c>
      <c r="T23" s="2420">
        <f>U23/S23/12*1000</f>
        <v>9859.8122849032261</v>
      </c>
      <c r="U23" s="2421">
        <f>SUM(U24:U27)</f>
        <v>18339.250849920001</v>
      </c>
      <c r="V23" s="2418">
        <f>T23/AM7</f>
        <v>1.056</v>
      </c>
      <c r="W23" s="2422"/>
      <c r="X23" s="2416">
        <f>X24+X25+X26+X27</f>
        <v>148.32999999999998</v>
      </c>
      <c r="Y23" s="2414">
        <f t="shared" ref="Y23:Y32" si="4">Z23/X23/6*1000</f>
        <v>21580.822040944742</v>
      </c>
      <c r="Z23" s="2343">
        <f>Z24+Z25+Z26+Z27</f>
        <v>19206.5</v>
      </c>
      <c r="AA23" s="2418">
        <f>Y23/BB7</f>
        <v>0.95562481208041816</v>
      </c>
      <c r="AB23" s="2409"/>
      <c r="AC23" s="621"/>
      <c r="AD23" s="621"/>
      <c r="AE23" s="621"/>
      <c r="AF23" s="621"/>
      <c r="AG23" s="621"/>
      <c r="AH23" s="621"/>
      <c r="AI23" s="621"/>
      <c r="AJ23" s="621"/>
      <c r="AK23" s="621"/>
      <c r="AL23" s="2416">
        <f>AL24+AL25+AL26+AL27</f>
        <v>148</v>
      </c>
      <c r="AM23" s="2414">
        <f t="shared" ref="AM23:AM32" si="5">AN23/AL23/9*1000</f>
        <v>22609.909909909911</v>
      </c>
      <c r="AN23" s="2343">
        <f>AN24+AN25+AN26+AN27</f>
        <v>30116.400000000001</v>
      </c>
      <c r="AO23" s="2418">
        <f>AM23/BB7</f>
        <v>1.0011940633132144</v>
      </c>
      <c r="AP23" s="2409"/>
      <c r="AQ23" s="2416">
        <f>AQ24+AQ25+AQ26+AQ27</f>
        <v>148</v>
      </c>
      <c r="AR23" s="2414">
        <f t="shared" ref="AR23:AR32" si="6">AS23/AQ23/12*1000</f>
        <v>22770.326576576579</v>
      </c>
      <c r="AS23" s="2343">
        <f>AS24+AS25+AS26+AS27</f>
        <v>40440.100000000006</v>
      </c>
      <c r="AT23" s="2418">
        <f>AR23/T23</f>
        <v>2.3094077167616249</v>
      </c>
      <c r="AU23" s="2416">
        <f>AU24+AU25+AU26+AU27</f>
        <v>155</v>
      </c>
      <c r="AV23" s="2414">
        <f t="shared" ref="AV23:AV32" si="7">AW23/AU23/12*1000</f>
        <v>23460.37634408602</v>
      </c>
      <c r="AW23" s="2343">
        <f>AW24+AW25+AW26+AW27</f>
        <v>43636.299999999996</v>
      </c>
      <c r="AX23" s="2418">
        <f>AV23/T23</f>
        <v>2.3793938125989671</v>
      </c>
      <c r="AY23" s="2423">
        <f>AV23/BB7</f>
        <v>1.0388537421149895</v>
      </c>
      <c r="AZ23" s="2419">
        <f>SUM(AZ24:AZ27)</f>
        <v>150</v>
      </c>
      <c r="BA23" s="2420">
        <f>BB23/AZ23/12*1000</f>
        <v>23530.113691896189</v>
      </c>
      <c r="BB23" s="2421">
        <f>SUM(BB24:BB27)</f>
        <v>42354.204645413141</v>
      </c>
      <c r="BC23" s="2418">
        <f t="shared" ref="BC23:BC32" si="8">BA23/T23</f>
        <v>2.3864667005805109</v>
      </c>
      <c r="BD23" s="2409"/>
      <c r="BE23" s="2416">
        <f>BE24+BE25+BE26+BE27</f>
        <v>144</v>
      </c>
      <c r="BF23" s="2414">
        <f t="shared" ref="BF23:BF32" si="9">BG23/BE23/6*1000</f>
        <v>22832.175925925923</v>
      </c>
      <c r="BG23" s="2343">
        <f>BG24+BG25+BG26+BG27</f>
        <v>19727</v>
      </c>
      <c r="BH23" s="2418">
        <f>BF23/AV23</f>
        <v>0.9732229181260148</v>
      </c>
      <c r="BI23" s="2416">
        <f>BI24+BI25+BI26+BI27</f>
        <v>148</v>
      </c>
      <c r="BJ23" s="2414">
        <f t="shared" ref="BJ23:BJ32" si="10">BK23/BI23/9*1000</f>
        <v>22988.888888888887</v>
      </c>
      <c r="BK23" s="2343">
        <f>BK24+BK25+BK26+BK27</f>
        <v>30621.199999999997</v>
      </c>
      <c r="BL23" s="2418">
        <f>BJ23/BA23</f>
        <v>0.9769986320468268</v>
      </c>
      <c r="BM23" s="2416">
        <f>(BI23+BE23)/2</f>
        <v>146</v>
      </c>
      <c r="BN23" s="2414">
        <f>BO23/BM23/3*1000</f>
        <v>24872.602739726019</v>
      </c>
      <c r="BO23" s="2343">
        <f>BK23-BG23</f>
        <v>10894.199999999997</v>
      </c>
      <c r="BP23" s="2416">
        <f>BP24+BP25+BP26+BP27</f>
        <v>155</v>
      </c>
      <c r="BQ23" s="2420">
        <f>BR23/BP23/12*1000</f>
        <v>25806.413978494627</v>
      </c>
      <c r="BR23" s="2421">
        <f>SUM(BR24:BR27)</f>
        <v>47999.930000000008</v>
      </c>
      <c r="BS23" s="2418">
        <f>BQ23/BA23</f>
        <v>1.0967398762455789</v>
      </c>
      <c r="BT23" s="2416">
        <f>BT24+BT25+BT26+BT27</f>
        <v>148</v>
      </c>
      <c r="BU23" s="2420">
        <f>BV23/BT23/12*1000</f>
        <v>26725.298409525822</v>
      </c>
      <c r="BV23" s="2421">
        <f>SUM(BV24:BV27)</f>
        <v>47464.129975317854</v>
      </c>
      <c r="BW23" s="2418">
        <f>BU23/BA23</f>
        <v>1.1357912995860304</v>
      </c>
      <c r="BX23" s="2100"/>
      <c r="BY23" s="2416" t="e">
        <f>(#REF!+BU23)/2</f>
        <v>#REF!</v>
      </c>
      <c r="BZ23" s="2414" t="e">
        <f>CA23/BY23/3*1000</f>
        <v>#REF!</v>
      </c>
      <c r="CA23" s="2343" t="e">
        <f>#REF!-BW23</f>
        <v>#REF!</v>
      </c>
    </row>
    <row r="24" spans="1:79" ht="37.5" customHeight="1">
      <c r="A24" s="2424" t="s">
        <v>193</v>
      </c>
      <c r="B24" s="2425" t="s">
        <v>85</v>
      </c>
      <c r="C24" s="2426">
        <v>456</v>
      </c>
      <c r="D24" s="2427">
        <v>12405</v>
      </c>
      <c r="E24" s="2368">
        <v>67882.600000000006</v>
      </c>
      <c r="F24" s="2428">
        <v>444</v>
      </c>
      <c r="G24" s="2427">
        <v>12620</v>
      </c>
      <c r="H24" s="2376">
        <f>F24*G24*12/1000</f>
        <v>67239.360000000001</v>
      </c>
      <c r="I24" s="2429">
        <v>435</v>
      </c>
      <c r="J24" s="2427">
        <v>13646</v>
      </c>
      <c r="K24" s="2417">
        <f>J24/G24</f>
        <v>1.0812995245641839</v>
      </c>
      <c r="L24" s="2376">
        <v>71232.100000000006</v>
      </c>
      <c r="M24" s="2429">
        <v>26.5</v>
      </c>
      <c r="N24" s="2427">
        <f t="shared" si="3"/>
        <v>22554.402515723272</v>
      </c>
      <c r="O24" s="2371">
        <v>7172.3</v>
      </c>
      <c r="P24" s="2418">
        <f>N24/AM8</f>
        <v>14.036523573308315</v>
      </c>
      <c r="Q24" s="2409"/>
      <c r="R24" s="4761"/>
      <c r="S24" s="2430">
        <f>AL8</f>
        <v>26.5</v>
      </c>
      <c r="T24" s="2427">
        <f>AM8*1.056</f>
        <v>1696.8196528301887</v>
      </c>
      <c r="U24" s="2371">
        <f>S24*T24*12/1000</f>
        <v>539.58864960000005</v>
      </c>
      <c r="V24" s="2418">
        <f>T24/AM8</f>
        <v>1.056</v>
      </c>
      <c r="W24" s="2418">
        <f>T24/AY8</f>
        <v>7.1834571575877137E-2</v>
      </c>
      <c r="X24" s="2431">
        <v>23.5</v>
      </c>
      <c r="Y24" s="2427">
        <f t="shared" si="4"/>
        <v>20790.070921985814</v>
      </c>
      <c r="Z24" s="2371">
        <v>2931.4</v>
      </c>
      <c r="AA24" s="2418">
        <f>Y24/BB8</f>
        <v>0.98254215345308094</v>
      </c>
      <c r="AB24" s="2423" t="e">
        <f>Y24/#REF!</f>
        <v>#REF!</v>
      </c>
      <c r="AC24" s="621"/>
      <c r="AD24" s="621"/>
      <c r="AE24" s="621"/>
      <c r="AF24" s="621"/>
      <c r="AG24" s="621"/>
      <c r="AH24" s="621"/>
      <c r="AI24" s="621"/>
      <c r="AJ24" s="621"/>
      <c r="AK24" s="621"/>
      <c r="AL24" s="2429">
        <v>24</v>
      </c>
      <c r="AM24" s="2427">
        <f t="shared" si="5"/>
        <v>21343.981481481482</v>
      </c>
      <c r="AN24" s="2371">
        <v>4610.3</v>
      </c>
      <c r="AO24" s="2418">
        <f>AM24/BB8</f>
        <v>1.0087200571259218</v>
      </c>
      <c r="AP24" s="2409"/>
      <c r="AQ24" s="2429">
        <v>24</v>
      </c>
      <c r="AR24" s="2427">
        <f t="shared" si="6"/>
        <v>21852.430555555558</v>
      </c>
      <c r="AS24" s="2371">
        <v>6293.5</v>
      </c>
      <c r="AT24" s="2418">
        <f t="shared" ref="AT24:AT36" si="11">AR24/T24</f>
        <v>12.878463848003573</v>
      </c>
      <c r="AU24" s="2429">
        <v>26.5</v>
      </c>
      <c r="AV24" s="2427">
        <f t="shared" si="7"/>
        <v>21298.113207547172</v>
      </c>
      <c r="AW24" s="2371">
        <v>6772.8</v>
      </c>
      <c r="AX24" s="2418">
        <f t="shared" ref="AX24:AX32" si="12">AV24/T24</f>
        <v>12.551783668949883</v>
      </c>
      <c r="AY24" s="2423">
        <f>AV24/BB8</f>
        <v>1.0065523149948004</v>
      </c>
      <c r="AZ24" s="2432">
        <f>BA8</f>
        <v>22</v>
      </c>
      <c r="BA24" s="2427">
        <f>AV24</f>
        <v>21298.113207547172</v>
      </c>
      <c r="BB24" s="2371">
        <f>AZ24*BA24*12/1000</f>
        <v>5622.7018867924526</v>
      </c>
      <c r="BC24" s="2418">
        <f t="shared" si="8"/>
        <v>12.551783668949883</v>
      </c>
      <c r="BD24" s="2409"/>
      <c r="BE24" s="2429">
        <v>24</v>
      </c>
      <c r="BF24" s="2427">
        <f t="shared" si="9"/>
        <v>21190.972222222223</v>
      </c>
      <c r="BG24" s="2371">
        <v>3051.5</v>
      </c>
      <c r="BH24" s="2418">
        <f t="shared" ref="BH24:BH36" si="13">BF24/AV24</f>
        <v>0.99496946117804541</v>
      </c>
      <c r="BI24" s="2429">
        <v>24</v>
      </c>
      <c r="BJ24" s="2427">
        <f t="shared" si="10"/>
        <v>21644.444444444442</v>
      </c>
      <c r="BK24" s="2371">
        <v>4675.2</v>
      </c>
      <c r="BL24" s="2418">
        <f t="shared" ref="BL24:BL36" si="14">BJ24/BA24</f>
        <v>1.0162611229230645</v>
      </c>
      <c r="BM24" s="2416">
        <f t="shared" ref="BM24:BM32" si="15">(BI24+BE24)/2</f>
        <v>24</v>
      </c>
      <c r="BN24" s="2427">
        <f>BO24/BM24/3*1000</f>
        <v>22551.388888888883</v>
      </c>
      <c r="BO24" s="2343">
        <f t="shared" ref="BO24:BO32" si="16">BK24-BG24</f>
        <v>1623.6999999999998</v>
      </c>
      <c r="BP24" s="2429">
        <v>26.5</v>
      </c>
      <c r="BQ24" s="2427">
        <f>SUM(BA24*1.1)</f>
        <v>23427.92452830189</v>
      </c>
      <c r="BR24" s="2371">
        <f>BP24*BQ24*12/1000</f>
        <v>7450.0800000000017</v>
      </c>
      <c r="BS24" s="2418">
        <f t="shared" ref="BS24:BS36" si="17">BQ24/BA24</f>
        <v>1.1000000000000001</v>
      </c>
      <c r="BT24" s="2429">
        <f>AQ24</f>
        <v>24</v>
      </c>
      <c r="BU24" s="2427">
        <f>BN24*1.074</f>
        <v>24220.191666666662</v>
      </c>
      <c r="BV24" s="2371">
        <f>BT24*BU24*12/1000</f>
        <v>6975.4151999999985</v>
      </c>
      <c r="BW24" s="2418">
        <f t="shared" ref="BW24:BW36" si="18">BU24/BA24</f>
        <v>1.1371989354476726</v>
      </c>
      <c r="BX24" s="2101">
        <f>BU24/BJ24</f>
        <v>1.1190026950718686</v>
      </c>
      <c r="BY24" s="2416" t="e">
        <f>(#REF!+BU24)/2</f>
        <v>#REF!</v>
      </c>
      <c r="BZ24" s="2427" t="e">
        <f>CA24/BY24/3*1000</f>
        <v>#REF!</v>
      </c>
      <c r="CA24" s="2343" t="e">
        <f>#REF!-BW24</f>
        <v>#REF!</v>
      </c>
    </row>
    <row r="25" spans="1:79" ht="37.5" customHeight="1">
      <c r="A25" s="2424" t="s">
        <v>194</v>
      </c>
      <c r="B25" s="2425" t="s">
        <v>87</v>
      </c>
      <c r="C25" s="2426">
        <v>384</v>
      </c>
      <c r="D25" s="2427">
        <v>11838</v>
      </c>
      <c r="E25" s="2368">
        <v>54547.199999999997</v>
      </c>
      <c r="F25" s="2428">
        <v>369</v>
      </c>
      <c r="G25" s="2427">
        <v>12231</v>
      </c>
      <c r="H25" s="2376">
        <f>F25*G25*12/1000</f>
        <v>54158.868000000002</v>
      </c>
      <c r="I25" s="2429">
        <v>364</v>
      </c>
      <c r="J25" s="2427">
        <v>13021</v>
      </c>
      <c r="K25" s="2417">
        <f>J25/G25</f>
        <v>1.0645899762897555</v>
      </c>
      <c r="L25" s="2376">
        <v>56876.800000000003</v>
      </c>
      <c r="M25" s="2431">
        <v>72.5</v>
      </c>
      <c r="N25" s="2427">
        <f t="shared" si="3"/>
        <v>24945.172413793101</v>
      </c>
      <c r="O25" s="2371">
        <v>21702.3</v>
      </c>
      <c r="P25" s="2418">
        <f>N25/AM9</f>
        <v>23.43152802286502</v>
      </c>
      <c r="Q25" s="2409"/>
      <c r="R25" s="4761"/>
      <c r="S25" s="2430">
        <f>AL9</f>
        <v>72.5</v>
      </c>
      <c r="T25" s="2427">
        <f>AM9*1.056</f>
        <v>1124.2161434482757</v>
      </c>
      <c r="U25" s="2371">
        <f>S25*T25*12/1000</f>
        <v>978.06804479999983</v>
      </c>
      <c r="V25" s="2418">
        <f>T25/AM9</f>
        <v>1.056</v>
      </c>
      <c r="W25" s="2418">
        <f>T25/AY9</f>
        <v>4.753370531747006E-2</v>
      </c>
      <c r="X25" s="2431">
        <v>73.5</v>
      </c>
      <c r="Y25" s="2427">
        <f t="shared" si="4"/>
        <v>19868.934240362814</v>
      </c>
      <c r="Z25" s="2371">
        <v>8762.2000000000007</v>
      </c>
      <c r="AA25" s="2418">
        <f>Y25/BB9</f>
        <v>0.9283594723885823</v>
      </c>
      <c r="AB25" s="2423" t="e">
        <f>Y25/#REF!</f>
        <v>#REF!</v>
      </c>
      <c r="AC25" s="621"/>
      <c r="AD25" s="621"/>
      <c r="AE25" s="621"/>
      <c r="AF25" s="621"/>
      <c r="AG25" s="621"/>
      <c r="AH25" s="621"/>
      <c r="AI25" s="621"/>
      <c r="AJ25" s="621"/>
      <c r="AK25" s="621"/>
      <c r="AL25" s="2431">
        <v>75</v>
      </c>
      <c r="AM25" s="2427">
        <f t="shared" si="5"/>
        <v>20413.185185185186</v>
      </c>
      <c r="AN25" s="2371">
        <v>13778.9</v>
      </c>
      <c r="AO25" s="2418">
        <f>AM25/BB9</f>
        <v>0.95378914636454581</v>
      </c>
      <c r="AP25" s="2409"/>
      <c r="AQ25" s="2431">
        <v>74</v>
      </c>
      <c r="AR25" s="2427">
        <f t="shared" si="6"/>
        <v>20925.33783783784</v>
      </c>
      <c r="AS25" s="2371">
        <v>18581.7</v>
      </c>
      <c r="AT25" s="2418">
        <f t="shared" si="11"/>
        <v>18.61326930749647</v>
      </c>
      <c r="AU25" s="2431">
        <v>72.5</v>
      </c>
      <c r="AV25" s="2427">
        <f t="shared" si="7"/>
        <v>21999.540229885057</v>
      </c>
      <c r="AW25" s="2371">
        <v>19139.599999999999</v>
      </c>
      <c r="AX25" s="2418">
        <f t="shared" si="12"/>
        <v>19.568781642297452</v>
      </c>
      <c r="AY25" s="2423">
        <f>AV25/BB9</f>
        <v>1.0279102700495193</v>
      </c>
      <c r="AZ25" s="2432">
        <f>BA9</f>
        <v>72</v>
      </c>
      <c r="BA25" s="2427">
        <f>AV25</f>
        <v>21999.540229885057</v>
      </c>
      <c r="BB25" s="2371">
        <f>AZ25*BA25*12/1000</f>
        <v>19007.602758620687</v>
      </c>
      <c r="BC25" s="2418">
        <f t="shared" si="8"/>
        <v>19.568781642297452</v>
      </c>
      <c r="BD25" s="2409"/>
      <c r="BE25" s="2431">
        <v>72</v>
      </c>
      <c r="BF25" s="2427">
        <f t="shared" si="9"/>
        <v>21250.231481481482</v>
      </c>
      <c r="BG25" s="2371">
        <v>9180.1</v>
      </c>
      <c r="BH25" s="2418">
        <f t="shared" si="13"/>
        <v>0.965939799624281</v>
      </c>
      <c r="BI25" s="2431">
        <v>74</v>
      </c>
      <c r="BJ25" s="2427">
        <f t="shared" si="10"/>
        <v>21538.138138138136</v>
      </c>
      <c r="BK25" s="2371">
        <v>14344.4</v>
      </c>
      <c r="BL25" s="2418">
        <f t="shared" si="14"/>
        <v>0.97902673933520967</v>
      </c>
      <c r="BM25" s="2416">
        <f t="shared" si="15"/>
        <v>73</v>
      </c>
      <c r="BN25" s="2427">
        <f t="shared" ref="BN25:BN32" si="19">BO25/BM25/3*1000</f>
        <v>23581.278538812781</v>
      </c>
      <c r="BO25" s="2343">
        <f t="shared" si="16"/>
        <v>5164.2999999999993</v>
      </c>
      <c r="BP25" s="2431">
        <v>72.5</v>
      </c>
      <c r="BQ25" s="2427">
        <f t="shared" ref="BQ25:BQ32" si="20">SUM(BA25*1.1)</f>
        <v>24199.494252873563</v>
      </c>
      <c r="BR25" s="2371">
        <f>BP25*BQ25*12/1000</f>
        <v>21053.56</v>
      </c>
      <c r="BS25" s="2418">
        <f t="shared" si="17"/>
        <v>1.1000000000000001</v>
      </c>
      <c r="BT25" s="2429">
        <f t="shared" ref="BT25:BT27" si="21">AQ25</f>
        <v>74</v>
      </c>
      <c r="BU25" s="2427">
        <f t="shared" ref="BU25:BU27" si="22">BN25*1.074</f>
        <v>25326.293150684927</v>
      </c>
      <c r="BV25" s="2371">
        <f>BT25*BU25*12/1000</f>
        <v>22489.748317808218</v>
      </c>
      <c r="BW25" s="2418">
        <f t="shared" si="18"/>
        <v>1.1512192021304462</v>
      </c>
      <c r="BX25" s="2101">
        <f t="shared" ref="BX25:BX36" si="23">BU25/BJ25</f>
        <v>1.1758812664423861</v>
      </c>
      <c r="BY25" s="2416" t="e">
        <f>(#REF!+BU25)/2</f>
        <v>#REF!</v>
      </c>
      <c r="BZ25" s="2427" t="e">
        <f t="shared" ref="BZ25:BZ32" si="24">CA25/BY25/3*1000</f>
        <v>#REF!</v>
      </c>
      <c r="CA25" s="2343" t="e">
        <f>#REF!-BW25</f>
        <v>#REF!</v>
      </c>
    </row>
    <row r="26" spans="1:79" ht="37.5" customHeight="1">
      <c r="A26" s="2424" t="s">
        <v>202</v>
      </c>
      <c r="B26" s="2425" t="s">
        <v>88</v>
      </c>
      <c r="C26" s="2426"/>
      <c r="D26" s="2427"/>
      <c r="E26" s="2368"/>
      <c r="F26" s="2428"/>
      <c r="G26" s="2427"/>
      <c r="H26" s="2376"/>
      <c r="I26" s="2429"/>
      <c r="J26" s="2427"/>
      <c r="K26" s="2417"/>
      <c r="L26" s="2376"/>
      <c r="M26" s="2429">
        <v>31</v>
      </c>
      <c r="N26" s="2427">
        <f t="shared" si="3"/>
        <v>30275.806451612905</v>
      </c>
      <c r="O26" s="2371">
        <v>11262.6</v>
      </c>
      <c r="P26" s="2418">
        <f>N26/AM10</f>
        <v>1.2088401473413275</v>
      </c>
      <c r="Q26" s="2409"/>
      <c r="R26" s="4761"/>
      <c r="S26" s="2430">
        <f>AL10</f>
        <v>31</v>
      </c>
      <c r="T26" s="2427">
        <f>AM10*1.056</f>
        <v>26447.873759999999</v>
      </c>
      <c r="U26" s="2371">
        <f>S26*T26*12/1000</f>
        <v>9838.6090387200002</v>
      </c>
      <c r="V26" s="2418">
        <f>T26/AM10</f>
        <v>1.056</v>
      </c>
      <c r="W26" s="2418">
        <f>T26/AY10</f>
        <v>0.92042627549755296</v>
      </c>
      <c r="X26" s="2431">
        <v>29.33</v>
      </c>
      <c r="Y26" s="2427">
        <f t="shared" si="4"/>
        <v>25010.796681441076</v>
      </c>
      <c r="Z26" s="2371">
        <v>4401.3999999999996</v>
      </c>
      <c r="AA26" s="2418">
        <f>Y26/BB10</f>
        <v>0.95682926073099828</v>
      </c>
      <c r="AB26" s="2423" t="e">
        <f>Y26/#REF!</f>
        <v>#REF!</v>
      </c>
      <c r="AC26" s="621"/>
      <c r="AD26" s="621"/>
      <c r="AE26" s="621"/>
      <c r="AF26" s="621"/>
      <c r="AG26" s="621"/>
      <c r="AH26" s="621"/>
      <c r="AI26" s="621"/>
      <c r="AJ26" s="621"/>
      <c r="AK26" s="621"/>
      <c r="AL26" s="2429">
        <v>28</v>
      </c>
      <c r="AM26" s="2427">
        <f t="shared" si="5"/>
        <v>27159.920634920636</v>
      </c>
      <c r="AN26" s="2371">
        <v>6844.3</v>
      </c>
      <c r="AO26" s="2418">
        <f>AM26/BB10</f>
        <v>1.039047540692988</v>
      </c>
      <c r="AP26" s="2409"/>
      <c r="AQ26" s="2429">
        <v>29</v>
      </c>
      <c r="AR26" s="2427">
        <f t="shared" si="6"/>
        <v>26195.689655172417</v>
      </c>
      <c r="AS26" s="2371">
        <v>9116.1</v>
      </c>
      <c r="AT26" s="2418">
        <f t="shared" si="11"/>
        <v>0.99046486280462409</v>
      </c>
      <c r="AU26" s="2429">
        <v>31</v>
      </c>
      <c r="AV26" s="2427">
        <f t="shared" si="7"/>
        <v>27862.365591397847</v>
      </c>
      <c r="AW26" s="2371">
        <v>10364.799999999999</v>
      </c>
      <c r="AX26" s="2418">
        <f t="shared" si="12"/>
        <v>1.0534822513232478</v>
      </c>
      <c r="AY26" s="2423">
        <f>AV26/BB10</f>
        <v>1.0659207305785803</v>
      </c>
      <c r="AZ26" s="2432">
        <f>BA10</f>
        <v>31</v>
      </c>
      <c r="BA26" s="2427">
        <f>AV26</f>
        <v>27862.365591397847</v>
      </c>
      <c r="BB26" s="2371">
        <f>AZ26*BA26*12/1000</f>
        <v>10364.799999999999</v>
      </c>
      <c r="BC26" s="2418">
        <f t="shared" si="8"/>
        <v>1.0534822513232478</v>
      </c>
      <c r="BD26" s="2409"/>
      <c r="BE26" s="2429">
        <v>28</v>
      </c>
      <c r="BF26" s="2427">
        <f t="shared" si="9"/>
        <v>26782.738095238099</v>
      </c>
      <c r="BG26" s="2371">
        <v>4499.5</v>
      </c>
      <c r="BH26" s="2418">
        <f t="shared" si="13"/>
        <v>0.96125140585718716</v>
      </c>
      <c r="BI26" s="2429">
        <v>29</v>
      </c>
      <c r="BJ26" s="2427">
        <f t="shared" si="10"/>
        <v>26555.938697318008</v>
      </c>
      <c r="BK26" s="2371">
        <v>6931.1</v>
      </c>
      <c r="BL26" s="2418">
        <f t="shared" si="14"/>
        <v>0.95311141511677022</v>
      </c>
      <c r="BM26" s="2416">
        <f t="shared" si="15"/>
        <v>28.5</v>
      </c>
      <c r="BN26" s="2427">
        <f t="shared" si="19"/>
        <v>28439.766081871352</v>
      </c>
      <c r="BO26" s="2343">
        <f t="shared" si="16"/>
        <v>2431.6000000000004</v>
      </c>
      <c r="BP26" s="2429">
        <v>31</v>
      </c>
      <c r="BQ26" s="2427">
        <f t="shared" si="20"/>
        <v>30648.602150537634</v>
      </c>
      <c r="BR26" s="2371">
        <f>BP26*BQ26*12/1000</f>
        <v>11401.28</v>
      </c>
      <c r="BS26" s="2418">
        <f t="shared" si="17"/>
        <v>1.1000000000000001</v>
      </c>
      <c r="BT26" s="2429">
        <f t="shared" si="21"/>
        <v>29</v>
      </c>
      <c r="BU26" s="2427">
        <f t="shared" si="22"/>
        <v>30544.308771929835</v>
      </c>
      <c r="BV26" s="2371">
        <f>BT26*BU26*12/1000</f>
        <v>10629.419452631584</v>
      </c>
      <c r="BW26" s="2418">
        <f t="shared" si="18"/>
        <v>1.0962568369054781</v>
      </c>
      <c r="BX26" s="2101">
        <f t="shared" si="23"/>
        <v>1.1501875011864908</v>
      </c>
      <c r="BY26" s="2416" t="e">
        <f>(#REF!+BU26)/2</f>
        <v>#REF!</v>
      </c>
      <c r="BZ26" s="2427" t="e">
        <f t="shared" si="24"/>
        <v>#REF!</v>
      </c>
      <c r="CA26" s="2343" t="e">
        <f>#REF!-BW26</f>
        <v>#REF!</v>
      </c>
    </row>
    <row r="27" spans="1:79" ht="37.5" customHeight="1">
      <c r="A27" s="2424" t="s">
        <v>203</v>
      </c>
      <c r="B27" s="2425" t="s">
        <v>89</v>
      </c>
      <c r="C27" s="2426"/>
      <c r="D27" s="2427"/>
      <c r="E27" s="2368"/>
      <c r="F27" s="2428"/>
      <c r="G27" s="2427"/>
      <c r="H27" s="2376"/>
      <c r="I27" s="2429"/>
      <c r="J27" s="2427"/>
      <c r="K27" s="2417"/>
      <c r="L27" s="2376"/>
      <c r="M27" s="2429">
        <v>25</v>
      </c>
      <c r="N27" s="2427">
        <f t="shared" si="3"/>
        <v>25887.333333333332</v>
      </c>
      <c r="O27" s="2371">
        <v>7766.2</v>
      </c>
      <c r="P27" s="2418">
        <f>N27/AM11</f>
        <v>1.174441454882867</v>
      </c>
      <c r="Q27" s="2409"/>
      <c r="R27" s="4761"/>
      <c r="S27" s="2430">
        <f>AL11</f>
        <v>25</v>
      </c>
      <c r="T27" s="2427">
        <f>AM11*1.056</f>
        <v>23276.617056000003</v>
      </c>
      <c r="U27" s="2371">
        <f>S27*T27*12/1000</f>
        <v>6982.9851168000005</v>
      </c>
      <c r="V27" s="2418">
        <f>T27/AM11</f>
        <v>1.056</v>
      </c>
      <c r="W27" s="2418">
        <f>T27/AY11</f>
        <v>0.90490684179970982</v>
      </c>
      <c r="X27" s="2431">
        <v>22</v>
      </c>
      <c r="Y27" s="2427">
        <f t="shared" si="4"/>
        <v>23571.9696969697</v>
      </c>
      <c r="Z27" s="2371">
        <v>3111.5</v>
      </c>
      <c r="AA27" s="2418">
        <f>Y27/BB11</f>
        <v>1.0326656214446632</v>
      </c>
      <c r="AB27" s="2423" t="e">
        <f>Y27/#REF!</f>
        <v>#REF!</v>
      </c>
      <c r="AC27" s="621"/>
      <c r="AD27" s="621"/>
      <c r="AE27" s="621"/>
      <c r="AF27" s="621"/>
      <c r="AG27" s="621"/>
      <c r="AH27" s="621"/>
      <c r="AI27" s="621"/>
      <c r="AJ27" s="621"/>
      <c r="AK27" s="621"/>
      <c r="AL27" s="2429">
        <v>21</v>
      </c>
      <c r="AM27" s="2427">
        <f t="shared" si="5"/>
        <v>25835.449735449733</v>
      </c>
      <c r="AN27" s="2371">
        <v>4882.8999999999996</v>
      </c>
      <c r="AO27" s="2418">
        <f>AM27/BB11</f>
        <v>1.1318265337745761</v>
      </c>
      <c r="AP27" s="2409"/>
      <c r="AQ27" s="2429">
        <v>21</v>
      </c>
      <c r="AR27" s="2427">
        <f t="shared" si="6"/>
        <v>25590.476190476191</v>
      </c>
      <c r="AS27" s="2371">
        <v>6448.8</v>
      </c>
      <c r="AT27" s="2418">
        <f t="shared" si="11"/>
        <v>1.0994070198822017</v>
      </c>
      <c r="AU27" s="2429">
        <v>25</v>
      </c>
      <c r="AV27" s="2427">
        <f t="shared" si="7"/>
        <v>24530.333333333336</v>
      </c>
      <c r="AW27" s="2371">
        <v>7359.1</v>
      </c>
      <c r="AX27" s="2418">
        <f t="shared" si="12"/>
        <v>1.0538616189078114</v>
      </c>
      <c r="AY27" s="2423">
        <f>AV27/BB11</f>
        <v>1.0746506228186743</v>
      </c>
      <c r="AZ27" s="2432">
        <f>BA11</f>
        <v>25</v>
      </c>
      <c r="BA27" s="2427">
        <f>AV27</f>
        <v>24530.333333333336</v>
      </c>
      <c r="BB27" s="2371">
        <f>AZ27*BA27*12/1000</f>
        <v>7359.1</v>
      </c>
      <c r="BC27" s="2418">
        <f t="shared" si="8"/>
        <v>1.0538616189078114</v>
      </c>
      <c r="BD27" s="2409"/>
      <c r="BE27" s="2429">
        <v>20</v>
      </c>
      <c r="BF27" s="2427">
        <f t="shared" si="9"/>
        <v>24965.833333333336</v>
      </c>
      <c r="BG27" s="2371">
        <v>2995.9</v>
      </c>
      <c r="BH27" s="2418">
        <f t="shared" si="13"/>
        <v>1.0177535296435705</v>
      </c>
      <c r="BI27" s="2429">
        <v>21</v>
      </c>
      <c r="BJ27" s="2427">
        <f t="shared" si="10"/>
        <v>24711.640211640213</v>
      </c>
      <c r="BK27" s="2371">
        <v>4670.5</v>
      </c>
      <c r="BL27" s="2418">
        <f t="shared" si="14"/>
        <v>1.0073911298245795</v>
      </c>
      <c r="BM27" s="2416">
        <f t="shared" si="15"/>
        <v>20.5</v>
      </c>
      <c r="BN27" s="2427">
        <f t="shared" si="19"/>
        <v>27229.268292682929</v>
      </c>
      <c r="BO27" s="2343">
        <f t="shared" si="16"/>
        <v>1674.6</v>
      </c>
      <c r="BP27" s="2429">
        <v>25</v>
      </c>
      <c r="BQ27" s="2427">
        <f t="shared" si="20"/>
        <v>26983.366666666672</v>
      </c>
      <c r="BR27" s="2371">
        <f>BP27*BQ27*12/1000</f>
        <v>8095.010000000002</v>
      </c>
      <c r="BS27" s="2418">
        <f t="shared" si="17"/>
        <v>1.1000000000000001</v>
      </c>
      <c r="BT27" s="2429">
        <f t="shared" si="21"/>
        <v>21</v>
      </c>
      <c r="BU27" s="2427">
        <f t="shared" si="22"/>
        <v>29244.234146341467</v>
      </c>
      <c r="BV27" s="2371">
        <f>BT27*BU27*12/1000</f>
        <v>7369.5470048780498</v>
      </c>
      <c r="BW27" s="2418">
        <f t="shared" si="18"/>
        <v>1.1921661947659958</v>
      </c>
      <c r="BX27" s="2101">
        <f t="shared" si="23"/>
        <v>1.183419388429191</v>
      </c>
      <c r="BY27" s="2416" t="e">
        <f>(#REF!+BU27)/2</f>
        <v>#REF!</v>
      </c>
      <c r="BZ27" s="2427" t="e">
        <f t="shared" si="24"/>
        <v>#REF!</v>
      </c>
      <c r="CA27" s="2343" t="e">
        <f>#REF!-BW27</f>
        <v>#REF!</v>
      </c>
    </row>
    <row r="28" spans="1:79" ht="63" customHeight="1">
      <c r="A28" s="2411" t="s">
        <v>195</v>
      </c>
      <c r="B28" s="2412" t="s">
        <v>205</v>
      </c>
      <c r="C28" s="2413">
        <v>840</v>
      </c>
      <c r="D28" s="2414">
        <v>12146</v>
      </c>
      <c r="E28" s="2339">
        <v>122429.8</v>
      </c>
      <c r="F28" s="2415">
        <f>F29+F30</f>
        <v>813</v>
      </c>
      <c r="G28" s="2414">
        <f>(G29*F29+G30*F30)/(F29+F30)</f>
        <v>12443.442804428045</v>
      </c>
      <c r="H28" s="2347">
        <f>H30+H29</f>
        <v>121398.228</v>
      </c>
      <c r="I28" s="2416">
        <v>799</v>
      </c>
      <c r="J28" s="2414">
        <v>13361</v>
      </c>
      <c r="K28" s="2417">
        <f>J28/G28</f>
        <v>1.07373820975377</v>
      </c>
      <c r="L28" s="2347">
        <v>128108.9</v>
      </c>
      <c r="M28" s="2416">
        <f>M29+M30+M31+M32</f>
        <v>105</v>
      </c>
      <c r="N28" s="2414">
        <f t="shared" si="3"/>
        <v>28668.650793650795</v>
      </c>
      <c r="O28" s="2343">
        <f>O29+O30+O31+O32</f>
        <v>36122.5</v>
      </c>
      <c r="P28" s="2418">
        <f>N28/AM13</f>
        <v>1.2088032234986785</v>
      </c>
      <c r="Q28" s="2409"/>
      <c r="R28" s="4761"/>
      <c r="S28" s="2419">
        <f>SUM(S29:S32)</f>
        <v>96</v>
      </c>
      <c r="T28" s="2420">
        <f>U28/S28/12*1000</f>
        <v>25224.382875999996</v>
      </c>
      <c r="U28" s="2421">
        <f>SUM(U29:U32)</f>
        <v>29058.489073151999</v>
      </c>
      <c r="V28" s="2418">
        <f>T28/AM13</f>
        <v>1.0635769206839176</v>
      </c>
      <c r="W28" s="2422"/>
      <c r="X28" s="2416">
        <f>X29+X30+X31+X32</f>
        <v>95</v>
      </c>
      <c r="Y28" s="2414">
        <f t="shared" si="4"/>
        <v>22836.666666666668</v>
      </c>
      <c r="Z28" s="2343">
        <f>Z29+Z30+Z31+Z32</f>
        <v>13016.900000000001</v>
      </c>
      <c r="AA28" s="2418">
        <f>Y28/BB13</f>
        <v>0.92274432731820633</v>
      </c>
      <c r="AB28" s="2409"/>
      <c r="AC28" s="621"/>
      <c r="AD28" s="621"/>
      <c r="AE28" s="621"/>
      <c r="AF28" s="621"/>
      <c r="AG28" s="621"/>
      <c r="AH28" s="621"/>
      <c r="AI28" s="621"/>
      <c r="AJ28" s="621"/>
      <c r="AK28" s="621"/>
      <c r="AL28" s="2416">
        <f>AL29+AL30+AL31+AL32</f>
        <v>94</v>
      </c>
      <c r="AM28" s="2414">
        <f t="shared" si="5"/>
        <v>23876.59574468085</v>
      </c>
      <c r="AN28" s="2343">
        <f>AN29+AN30+AN31+AN32</f>
        <v>20199.599999999999</v>
      </c>
      <c r="AO28" s="2418">
        <f>AM28/BB13</f>
        <v>0.96476397368592659</v>
      </c>
      <c r="AP28" s="2409"/>
      <c r="AQ28" s="2416">
        <f>AQ29+AQ30+AQ31+AQ32</f>
        <v>94</v>
      </c>
      <c r="AR28" s="2414">
        <f t="shared" si="6"/>
        <v>24074.734042553187</v>
      </c>
      <c r="AS28" s="2343">
        <f>AS29+AS30+AS31+AS32</f>
        <v>27156.3</v>
      </c>
      <c r="AT28" s="2418">
        <f t="shared" si="11"/>
        <v>0.95442311357632248</v>
      </c>
      <c r="AU28" s="2416">
        <f>AU29+AU30+AU31+AU32</f>
        <v>105</v>
      </c>
      <c r="AV28" s="2414">
        <f t="shared" si="7"/>
        <v>28668.650793650795</v>
      </c>
      <c r="AW28" s="2343">
        <f>AW29+AW30+AW31+AW32</f>
        <v>36122.5</v>
      </c>
      <c r="AX28" s="2418">
        <f t="shared" si="12"/>
        <v>1.1365451806921265</v>
      </c>
      <c r="AY28" s="2433">
        <f>AV28/BB13</f>
        <v>1.1583930035779242</v>
      </c>
      <c r="AZ28" s="2419">
        <f>SUM(AZ29:AZ32)</f>
        <v>98</v>
      </c>
      <c r="BA28" s="2420">
        <f>BB28/AZ28/12*1000</f>
        <v>28763.121622082414</v>
      </c>
      <c r="BB28" s="2421">
        <f>SUM(BB29:BB32)</f>
        <v>33825.43102756892</v>
      </c>
      <c r="BC28" s="2418">
        <f t="shared" si="8"/>
        <v>1.1402903993123807</v>
      </c>
      <c r="BD28" s="2409"/>
      <c r="BE28" s="2416">
        <f>BE29+BE30+BE31+BE32</f>
        <v>94</v>
      </c>
      <c r="BF28" s="2414">
        <f t="shared" si="9"/>
        <v>23914.007092198586</v>
      </c>
      <c r="BG28" s="2343">
        <f>BG29+BG30+BG31+BG32</f>
        <v>13487.5</v>
      </c>
      <c r="BH28" s="2418">
        <f t="shared" si="13"/>
        <v>0.83415181496768542</v>
      </c>
      <c r="BI28" s="2416">
        <f>BI29+BI30+BI31+BI32</f>
        <v>94</v>
      </c>
      <c r="BJ28" s="2414">
        <f t="shared" si="10"/>
        <v>24833.096926713952</v>
      </c>
      <c r="BK28" s="2343">
        <f>BK29+BK30+BK31+BK32</f>
        <v>21008.800000000003</v>
      </c>
      <c r="BL28" s="2418">
        <f t="shared" si="14"/>
        <v>0.86336584926334103</v>
      </c>
      <c r="BM28" s="2416">
        <f t="shared" si="15"/>
        <v>94</v>
      </c>
      <c r="BN28" s="2414">
        <f t="shared" si="19"/>
        <v>26671.27659574469</v>
      </c>
      <c r="BO28" s="2343">
        <f t="shared" si="16"/>
        <v>7521.3000000000029</v>
      </c>
      <c r="BP28" s="2416">
        <f>BP29+BP30+BP31+BP32</f>
        <v>105</v>
      </c>
      <c r="BQ28" s="2420">
        <f>BR28/BP28/12*1000</f>
        <v>31535.515873015873</v>
      </c>
      <c r="BR28" s="2421">
        <f>SUM(BR29:BR32)</f>
        <v>39734.75</v>
      </c>
      <c r="BS28" s="2418">
        <f t="shared" si="17"/>
        <v>1.0963871128926772</v>
      </c>
      <c r="BT28" s="2416">
        <f>BT29+BT30+BT31+BT32</f>
        <v>94</v>
      </c>
      <c r="BU28" s="2420">
        <f>BV28/BT28/12*1000</f>
        <v>28606.666659040642</v>
      </c>
      <c r="BV28" s="2421">
        <f>SUM(BV29:BV32)</f>
        <v>32268.319991397846</v>
      </c>
      <c r="BW28" s="2418">
        <f t="shared" si="18"/>
        <v>0.99456057082060056</v>
      </c>
      <c r="BX28" s="2101"/>
      <c r="BY28" s="2416" t="e">
        <f>(#REF!+BU28)/2</f>
        <v>#REF!</v>
      </c>
      <c r="BZ28" s="2414" t="e">
        <f t="shared" si="24"/>
        <v>#REF!</v>
      </c>
      <c r="CA28" s="2343" t="e">
        <f>#REF!-BW28</f>
        <v>#REF!</v>
      </c>
    </row>
    <row r="29" spans="1:79" ht="37.5" customHeight="1">
      <c r="A29" s="2424" t="s">
        <v>196</v>
      </c>
      <c r="B29" s="2425" t="s">
        <v>91</v>
      </c>
      <c r="C29" s="2426">
        <v>456</v>
      </c>
      <c r="D29" s="2427">
        <v>12405</v>
      </c>
      <c r="E29" s="2368">
        <v>67882.600000000006</v>
      </c>
      <c r="F29" s="2428">
        <v>444</v>
      </c>
      <c r="G29" s="2427">
        <v>12620</v>
      </c>
      <c r="H29" s="2376">
        <f>F29*G29*12/1000</f>
        <v>67239.360000000001</v>
      </c>
      <c r="I29" s="2429">
        <v>435</v>
      </c>
      <c r="J29" s="2427">
        <v>13646</v>
      </c>
      <c r="K29" s="2417">
        <f>J29/G29</f>
        <v>1.0812995245641839</v>
      </c>
      <c r="L29" s="2376">
        <v>71232.100000000006</v>
      </c>
      <c r="M29" s="2429">
        <v>30</v>
      </c>
      <c r="N29" s="2427">
        <f t="shared" si="3"/>
        <v>25154.444444444449</v>
      </c>
      <c r="O29" s="2371">
        <v>9055.6</v>
      </c>
      <c r="P29" s="2418">
        <f>N29/AM14</f>
        <v>1.2528746934240285</v>
      </c>
      <c r="Q29" s="2409"/>
      <c r="R29" s="4761"/>
      <c r="S29" s="2434">
        <v>26</v>
      </c>
      <c r="T29" s="2427">
        <f>AM14*1.056</f>
        <v>21201.715919999995</v>
      </c>
      <c r="U29" s="2371">
        <f>S29*T29*12/1000</f>
        <v>6614.9353670399987</v>
      </c>
      <c r="V29" s="2418">
        <f>T29/AM14</f>
        <v>1.056</v>
      </c>
      <c r="W29" s="2422"/>
      <c r="X29" s="2429">
        <v>25</v>
      </c>
      <c r="Y29" s="2427">
        <f t="shared" si="4"/>
        <v>21835.333333333336</v>
      </c>
      <c r="Z29" s="2371">
        <v>3275.3</v>
      </c>
      <c r="AA29" s="2418">
        <f>Y29/BB14</f>
        <v>0.9662474115678098</v>
      </c>
      <c r="AB29" s="2409"/>
      <c r="AC29" s="621"/>
      <c r="AD29" s="621"/>
      <c r="AE29" s="621"/>
      <c r="AF29" s="621"/>
      <c r="AG29" s="621"/>
      <c r="AH29" s="621"/>
      <c r="AI29" s="621"/>
      <c r="AJ29" s="621"/>
      <c r="AK29" s="621"/>
      <c r="AL29" s="2429">
        <v>25</v>
      </c>
      <c r="AM29" s="2427">
        <f t="shared" si="5"/>
        <v>22584.444444444445</v>
      </c>
      <c r="AN29" s="2371">
        <v>5081.5</v>
      </c>
      <c r="AO29" s="2418">
        <f>AM29/BB14</f>
        <v>0.99939674164846481</v>
      </c>
      <c r="AP29" s="2409"/>
      <c r="AQ29" s="2429">
        <v>25</v>
      </c>
      <c r="AR29" s="2427">
        <f t="shared" si="6"/>
        <v>23072.333333333332</v>
      </c>
      <c r="AS29" s="2371">
        <v>6921.7</v>
      </c>
      <c r="AT29" s="2418">
        <f t="shared" si="11"/>
        <v>1.0882295291754545</v>
      </c>
      <c r="AU29" s="2429">
        <v>30</v>
      </c>
      <c r="AV29" s="2427">
        <f t="shared" si="7"/>
        <v>25154.444444444449</v>
      </c>
      <c r="AW29" s="2371">
        <v>9055.6</v>
      </c>
      <c r="AX29" s="2418">
        <f t="shared" si="12"/>
        <v>1.1864343687727543</v>
      </c>
      <c r="AY29" s="2433">
        <f>AV29/BB14</f>
        <v>1.1131232330109022</v>
      </c>
      <c r="AZ29" s="2432">
        <f>BA14</f>
        <v>26</v>
      </c>
      <c r="BA29" s="2427">
        <f>AV29</f>
        <v>25154.444444444449</v>
      </c>
      <c r="BB29" s="2371">
        <f>AZ29*BA29*12/1000</f>
        <v>7848.1866666666683</v>
      </c>
      <c r="BC29" s="2418">
        <f t="shared" si="8"/>
        <v>1.1864343687727543</v>
      </c>
      <c r="BD29" s="2409"/>
      <c r="BE29" s="2429">
        <v>25</v>
      </c>
      <c r="BF29" s="2427">
        <f t="shared" si="9"/>
        <v>22802.666666666668</v>
      </c>
      <c r="BG29" s="2371">
        <v>3420.4</v>
      </c>
      <c r="BH29" s="2418">
        <f t="shared" si="13"/>
        <v>0.90650647113388394</v>
      </c>
      <c r="BI29" s="2429">
        <v>25</v>
      </c>
      <c r="BJ29" s="2427">
        <f t="shared" si="10"/>
        <v>23330.666666666664</v>
      </c>
      <c r="BK29" s="2371">
        <v>5249.4</v>
      </c>
      <c r="BL29" s="2418">
        <f t="shared" si="14"/>
        <v>0.92749679756172954</v>
      </c>
      <c r="BM29" s="2416">
        <f t="shared" si="15"/>
        <v>25</v>
      </c>
      <c r="BN29" s="2427">
        <f t="shared" si="19"/>
        <v>24386.666666666661</v>
      </c>
      <c r="BO29" s="2343">
        <f t="shared" si="16"/>
        <v>1828.9999999999995</v>
      </c>
      <c r="BP29" s="2429">
        <v>30</v>
      </c>
      <c r="BQ29" s="2427">
        <f t="shared" si="20"/>
        <v>27669.888888888898</v>
      </c>
      <c r="BR29" s="2371">
        <f>BP29*BQ29*12/1000</f>
        <v>9961.1600000000035</v>
      </c>
      <c r="BS29" s="2418">
        <f t="shared" si="17"/>
        <v>1.1000000000000001</v>
      </c>
      <c r="BT29" s="2429">
        <f>AQ29</f>
        <v>25</v>
      </c>
      <c r="BU29" s="2427">
        <f>BN29*1.074</f>
        <v>26191.279999999995</v>
      </c>
      <c r="BV29" s="2371">
        <f>BT29*BU29*12/1000</f>
        <v>7857.3839999999982</v>
      </c>
      <c r="BW29" s="2418">
        <f t="shared" si="18"/>
        <v>1.0412187817483101</v>
      </c>
      <c r="BX29" s="2101">
        <f t="shared" si="23"/>
        <v>1.1226117270545204</v>
      </c>
      <c r="BY29" s="2416" t="e">
        <f>(#REF!+BU29)/2</f>
        <v>#REF!</v>
      </c>
      <c r="BZ29" s="2427" t="e">
        <f t="shared" si="24"/>
        <v>#REF!</v>
      </c>
      <c r="CA29" s="2343" t="e">
        <f>#REF!-BW29</f>
        <v>#REF!</v>
      </c>
    </row>
    <row r="30" spans="1:79" ht="37.5" customHeight="1">
      <c r="A30" s="2424" t="s">
        <v>197</v>
      </c>
      <c r="B30" s="2425" t="s">
        <v>92</v>
      </c>
      <c r="C30" s="2426">
        <v>384</v>
      </c>
      <c r="D30" s="2427">
        <v>11838</v>
      </c>
      <c r="E30" s="2368">
        <v>54547.199999999997</v>
      </c>
      <c r="F30" s="2428">
        <v>369</v>
      </c>
      <c r="G30" s="2427">
        <v>12231</v>
      </c>
      <c r="H30" s="2376">
        <f>F30*G30*12/1000</f>
        <v>54158.868000000002</v>
      </c>
      <c r="I30" s="2429">
        <v>364</v>
      </c>
      <c r="J30" s="2427">
        <v>13021</v>
      </c>
      <c r="K30" s="2417">
        <f>J30/G30</f>
        <v>1.0645899762897555</v>
      </c>
      <c r="L30" s="2376">
        <v>56876.800000000003</v>
      </c>
      <c r="M30" s="2429">
        <v>49</v>
      </c>
      <c r="N30" s="2427">
        <f t="shared" si="3"/>
        <v>30026.530612244896</v>
      </c>
      <c r="O30" s="2371">
        <v>17655.599999999999</v>
      </c>
      <c r="P30" s="2418">
        <f>N30/AM15</f>
        <v>1.1443255630726537</v>
      </c>
      <c r="Q30" s="2409"/>
      <c r="R30" s="4761"/>
      <c r="S30" s="2434">
        <v>48</v>
      </c>
      <c r="T30" s="2427">
        <f>AM15*1.056</f>
        <v>27708.912</v>
      </c>
      <c r="U30" s="2371">
        <f>S30*T30*12/1000</f>
        <v>15960.333312000001</v>
      </c>
      <c r="V30" s="2418">
        <f>T30/AM15</f>
        <v>1.056</v>
      </c>
      <c r="W30" s="2422"/>
      <c r="X30" s="2429">
        <v>49</v>
      </c>
      <c r="Y30" s="2427">
        <f t="shared" si="4"/>
        <v>23665.306122448983</v>
      </c>
      <c r="Z30" s="2371">
        <v>6957.6</v>
      </c>
      <c r="AA30" s="2418">
        <f>Y30/BB15</f>
        <v>0.90954964376756653</v>
      </c>
      <c r="AB30" s="2409"/>
      <c r="AC30" s="621"/>
      <c r="AD30" s="621"/>
      <c r="AE30" s="621"/>
      <c r="AF30" s="621"/>
      <c r="AG30" s="621"/>
      <c r="AH30" s="621"/>
      <c r="AI30" s="621"/>
      <c r="AJ30" s="621"/>
      <c r="AK30" s="621"/>
      <c r="AL30" s="2429">
        <v>49</v>
      </c>
      <c r="AM30" s="2427">
        <f t="shared" si="5"/>
        <v>24274.149659863946</v>
      </c>
      <c r="AN30" s="2371">
        <v>10704.9</v>
      </c>
      <c r="AO30" s="2418">
        <f>AM30/BB15</f>
        <v>0.93294986600431395</v>
      </c>
      <c r="AP30" s="2409"/>
      <c r="AQ30" s="2429">
        <v>49</v>
      </c>
      <c r="AR30" s="2427">
        <f t="shared" si="6"/>
        <v>24466.496598639456</v>
      </c>
      <c r="AS30" s="2371">
        <v>14386.3</v>
      </c>
      <c r="AT30" s="2418">
        <f t="shared" si="11"/>
        <v>0.88298294060190652</v>
      </c>
      <c r="AU30" s="2429">
        <v>49</v>
      </c>
      <c r="AV30" s="2427">
        <f t="shared" si="7"/>
        <v>30026.530612244896</v>
      </c>
      <c r="AW30" s="2371">
        <v>17655.599999999999</v>
      </c>
      <c r="AX30" s="2418">
        <f t="shared" si="12"/>
        <v>1.0836416316975888</v>
      </c>
      <c r="AY30" s="2433">
        <f>AV30/BB15</f>
        <v>1.1540362115170926</v>
      </c>
      <c r="AZ30" s="2432">
        <f>BA15</f>
        <v>49</v>
      </c>
      <c r="BA30" s="2427">
        <f>AV30</f>
        <v>30026.530612244896</v>
      </c>
      <c r="BB30" s="2371">
        <f>AZ30*BA30*12/1000</f>
        <v>17655.599999999999</v>
      </c>
      <c r="BC30" s="2418">
        <f t="shared" si="8"/>
        <v>1.0836416316975888</v>
      </c>
      <c r="BD30" s="2409"/>
      <c r="BE30" s="2429">
        <v>49</v>
      </c>
      <c r="BF30" s="2427">
        <f t="shared" si="9"/>
        <v>24546.938775510203</v>
      </c>
      <c r="BG30" s="2371">
        <v>7216.8</v>
      </c>
      <c r="BH30" s="2418">
        <f t="shared" si="13"/>
        <v>0.81750832597023038</v>
      </c>
      <c r="BI30" s="2429">
        <v>49</v>
      </c>
      <c r="BJ30" s="2427">
        <f t="shared" si="10"/>
        <v>25629.25170068027</v>
      </c>
      <c r="BK30" s="2371">
        <v>11302.5</v>
      </c>
      <c r="BL30" s="2418">
        <f t="shared" si="14"/>
        <v>0.85355354675003958</v>
      </c>
      <c r="BM30" s="2416">
        <f t="shared" si="15"/>
        <v>49</v>
      </c>
      <c r="BN30" s="2427">
        <f t="shared" si="19"/>
        <v>27793.877551020403</v>
      </c>
      <c r="BO30" s="2343">
        <f t="shared" si="16"/>
        <v>4085.7</v>
      </c>
      <c r="BP30" s="2429">
        <v>49</v>
      </c>
      <c r="BQ30" s="2427">
        <f t="shared" si="20"/>
        <v>33029.183673469386</v>
      </c>
      <c r="BR30" s="2371">
        <f>BP30*BQ30*12/1000</f>
        <v>19421.16</v>
      </c>
      <c r="BS30" s="2418">
        <f t="shared" si="17"/>
        <v>1.1000000000000001</v>
      </c>
      <c r="BT30" s="2429">
        <f t="shared" ref="BT30:BT32" si="25">AQ30</f>
        <v>49</v>
      </c>
      <c r="BU30" s="2427">
        <f t="shared" ref="BU30:BU32" si="26">BN30*1.074</f>
        <v>29850.624489795915</v>
      </c>
      <c r="BV30" s="2371">
        <f>BT30*BU30*12/1000</f>
        <v>17552.1672</v>
      </c>
      <c r="BW30" s="2418">
        <f t="shared" si="18"/>
        <v>0.99414164344457279</v>
      </c>
      <c r="BX30" s="2101">
        <f t="shared" si="23"/>
        <v>1.1647091705374917</v>
      </c>
      <c r="BY30" s="2416" t="e">
        <f>(#REF!+BU30)/2</f>
        <v>#REF!</v>
      </c>
      <c r="BZ30" s="2427" t="e">
        <f t="shared" si="24"/>
        <v>#REF!</v>
      </c>
      <c r="CA30" s="2343" t="e">
        <f>#REF!-BW30</f>
        <v>#REF!</v>
      </c>
    </row>
    <row r="31" spans="1:79" ht="75">
      <c r="A31" s="2424" t="s">
        <v>206</v>
      </c>
      <c r="B31" s="2425" t="s">
        <v>208</v>
      </c>
      <c r="C31" s="2426"/>
      <c r="D31" s="2427"/>
      <c r="E31" s="2368"/>
      <c r="F31" s="2428"/>
      <c r="G31" s="2427"/>
      <c r="H31" s="2376"/>
      <c r="I31" s="2429"/>
      <c r="J31" s="2427"/>
      <c r="K31" s="2417"/>
      <c r="L31" s="2376"/>
      <c r="M31" s="2429">
        <v>7</v>
      </c>
      <c r="N31" s="2427">
        <f t="shared" si="3"/>
        <v>31347.619047619046</v>
      </c>
      <c r="O31" s="2371">
        <v>2633.2</v>
      </c>
      <c r="P31" s="2418">
        <f>N31/AM16</f>
        <v>1.2757479654799539</v>
      </c>
      <c r="Q31" s="2409"/>
      <c r="R31" s="4761"/>
      <c r="S31" s="2435">
        <v>7</v>
      </c>
      <c r="T31" s="2427">
        <f>AM16*1.056</f>
        <v>25947.982367999997</v>
      </c>
      <c r="U31" s="2371">
        <f>S31*T31*12/1000</f>
        <v>2179.6305189119998</v>
      </c>
      <c r="V31" s="2418">
        <f>T31/AM16</f>
        <v>1.056</v>
      </c>
      <c r="W31" s="2422"/>
      <c r="X31" s="2429">
        <v>4</v>
      </c>
      <c r="Y31" s="2427">
        <f t="shared" si="4"/>
        <v>22329.166666666664</v>
      </c>
      <c r="Z31" s="2371">
        <v>535.9</v>
      </c>
      <c r="AA31" s="2418">
        <f>Y31/BB16</f>
        <v>0.91450511945392476</v>
      </c>
      <c r="AB31" s="2409"/>
      <c r="AC31" s="621"/>
      <c r="AD31" s="621"/>
      <c r="AE31" s="621"/>
      <c r="AF31" s="621"/>
      <c r="AG31" s="621"/>
      <c r="AH31" s="621"/>
      <c r="AI31" s="621"/>
      <c r="AJ31" s="621"/>
      <c r="AK31" s="621"/>
      <c r="AL31" s="2429">
        <v>4</v>
      </c>
      <c r="AM31" s="2427">
        <f t="shared" si="5"/>
        <v>23575.000000000004</v>
      </c>
      <c r="AN31" s="2371">
        <v>848.7</v>
      </c>
      <c r="AO31" s="2418">
        <f>AM31/BB16</f>
        <v>0.96552901023890791</v>
      </c>
      <c r="AP31" s="2409"/>
      <c r="AQ31" s="2429">
        <v>4</v>
      </c>
      <c r="AR31" s="2427">
        <f t="shared" si="6"/>
        <v>24131.249999999996</v>
      </c>
      <c r="AS31" s="2371">
        <v>1158.3</v>
      </c>
      <c r="AT31" s="2418">
        <f t="shared" si="11"/>
        <v>0.92998560187706691</v>
      </c>
      <c r="AU31" s="2429">
        <v>7</v>
      </c>
      <c r="AV31" s="2427">
        <f t="shared" si="7"/>
        <v>31347.619047619046</v>
      </c>
      <c r="AW31" s="2371">
        <v>2633.2</v>
      </c>
      <c r="AX31" s="2418">
        <f t="shared" si="12"/>
        <v>1.2080946642802595</v>
      </c>
      <c r="AY31" s="2433">
        <f>AV31/BB16</f>
        <v>1.283861530960507</v>
      </c>
      <c r="AZ31" s="2432">
        <f>BA16</f>
        <v>6</v>
      </c>
      <c r="BA31" s="2427">
        <f>AV31</f>
        <v>31347.619047619046</v>
      </c>
      <c r="BB31" s="2371">
        <f>AZ31*BA31*12/1000</f>
        <v>2257.028571428571</v>
      </c>
      <c r="BC31" s="2418">
        <f t="shared" si="8"/>
        <v>1.2080946642802595</v>
      </c>
      <c r="BD31" s="2409"/>
      <c r="BE31" s="2429">
        <v>5</v>
      </c>
      <c r="BF31" s="2427">
        <f t="shared" si="9"/>
        <v>22876.666666666664</v>
      </c>
      <c r="BG31" s="2371">
        <v>686.3</v>
      </c>
      <c r="BH31" s="2418">
        <f t="shared" si="13"/>
        <v>0.72977365942579364</v>
      </c>
      <c r="BI31" s="2429">
        <v>4</v>
      </c>
      <c r="BJ31" s="2427">
        <f t="shared" si="10"/>
        <v>31052.777777777781</v>
      </c>
      <c r="BK31" s="2371">
        <v>1117.9000000000001</v>
      </c>
      <c r="BL31" s="2418">
        <f t="shared" si="14"/>
        <v>0.99059446047901178</v>
      </c>
      <c r="BM31" s="2416">
        <f t="shared" si="15"/>
        <v>4.5</v>
      </c>
      <c r="BN31" s="2427">
        <f t="shared" si="19"/>
        <v>31970.37037037038</v>
      </c>
      <c r="BO31" s="2343">
        <f t="shared" si="16"/>
        <v>431.60000000000014</v>
      </c>
      <c r="BP31" s="2429">
        <v>7</v>
      </c>
      <c r="BQ31" s="2427">
        <f t="shared" si="20"/>
        <v>34482.380952380954</v>
      </c>
      <c r="BR31" s="2371">
        <f>BP31*BQ31*12/1000</f>
        <v>2896.52</v>
      </c>
      <c r="BS31" s="2418">
        <f t="shared" si="17"/>
        <v>1.1000000000000001</v>
      </c>
      <c r="BT31" s="2429">
        <f t="shared" si="25"/>
        <v>4</v>
      </c>
      <c r="BU31" s="2427">
        <f t="shared" si="26"/>
        <v>34336.17777777779</v>
      </c>
      <c r="BV31" s="2371">
        <f>BT31*BU31*12/1000</f>
        <v>1648.136533333334</v>
      </c>
      <c r="BW31" s="2418">
        <f t="shared" si="18"/>
        <v>1.0953360676489954</v>
      </c>
      <c r="BX31" s="2101">
        <f t="shared" si="23"/>
        <v>1.1057361123535203</v>
      </c>
      <c r="BY31" s="2416" t="e">
        <f>(#REF!+BU31)/2</f>
        <v>#REF!</v>
      </c>
      <c r="BZ31" s="2427" t="e">
        <f t="shared" si="24"/>
        <v>#REF!</v>
      </c>
      <c r="CA31" s="2343" t="e">
        <f>#REF!-BW31</f>
        <v>#REF!</v>
      </c>
    </row>
    <row r="32" spans="1:79" ht="24.95" customHeight="1" thickBot="1">
      <c r="A32" s="2436" t="s">
        <v>207</v>
      </c>
      <c r="B32" s="2437" t="s">
        <v>89</v>
      </c>
      <c r="C32" s="2438"/>
      <c r="D32" s="2439"/>
      <c r="E32" s="2440"/>
      <c r="F32" s="2441"/>
      <c r="G32" s="2439"/>
      <c r="H32" s="2442"/>
      <c r="I32" s="2443"/>
      <c r="J32" s="2439"/>
      <c r="K32" s="2444"/>
      <c r="L32" s="2442"/>
      <c r="M32" s="2443">
        <v>19</v>
      </c>
      <c r="N32" s="2439">
        <f t="shared" si="3"/>
        <v>29728.508771929824</v>
      </c>
      <c r="O32" s="2445">
        <v>6778.1</v>
      </c>
      <c r="P32" s="2446">
        <f>N32/AM17</f>
        <v>1.3130421604372358</v>
      </c>
      <c r="Q32" s="2447"/>
      <c r="R32" s="4761"/>
      <c r="S32" s="2448">
        <v>15</v>
      </c>
      <c r="T32" s="2439">
        <f>AM17*1.056</f>
        <v>23908.832640000001</v>
      </c>
      <c r="U32" s="2445">
        <f>S32*T32*12/1000</f>
        <v>4303.5898752000003</v>
      </c>
      <c r="V32" s="2446">
        <f>T32/AM17</f>
        <v>1.056</v>
      </c>
      <c r="W32" s="2449"/>
      <c r="X32" s="2443">
        <v>17</v>
      </c>
      <c r="Y32" s="2439">
        <f t="shared" si="4"/>
        <v>22040.196078431374</v>
      </c>
      <c r="Z32" s="2445">
        <v>2248.1</v>
      </c>
      <c r="AA32" s="2446">
        <f>Y32/BB17</f>
        <v>0.8998158821645853</v>
      </c>
      <c r="AB32" s="2447"/>
      <c r="AC32" s="621"/>
      <c r="AD32" s="621"/>
      <c r="AE32" s="621"/>
      <c r="AF32" s="621"/>
      <c r="AG32" s="621"/>
      <c r="AH32" s="621"/>
      <c r="AI32" s="621"/>
      <c r="AJ32" s="621"/>
      <c r="AK32" s="621"/>
      <c r="AL32" s="2443">
        <v>16</v>
      </c>
      <c r="AM32" s="2439">
        <f t="shared" si="5"/>
        <v>24753.472222222223</v>
      </c>
      <c r="AN32" s="2445">
        <v>3564.5</v>
      </c>
      <c r="AO32" s="2446">
        <f>AM32/BB17</f>
        <v>1.0105884432703596</v>
      </c>
      <c r="AP32" s="2447"/>
      <c r="AQ32" s="2443">
        <v>16</v>
      </c>
      <c r="AR32" s="2439">
        <f t="shared" si="6"/>
        <v>24427.083333333332</v>
      </c>
      <c r="AS32" s="2445">
        <v>4690</v>
      </c>
      <c r="AT32" s="2446">
        <f t="shared" si="11"/>
        <v>1.0216761186602765</v>
      </c>
      <c r="AU32" s="2443">
        <v>19</v>
      </c>
      <c r="AV32" s="2439">
        <f t="shared" si="7"/>
        <v>29728.508771929824</v>
      </c>
      <c r="AW32" s="2445">
        <v>6778.1</v>
      </c>
      <c r="AX32" s="2446">
        <f t="shared" si="12"/>
        <v>1.2434111367776852</v>
      </c>
      <c r="AY32" s="2450">
        <f>AV32/BB17</f>
        <v>1.2136999258472789</v>
      </c>
      <c r="AZ32" s="2451">
        <f>BA17</f>
        <v>17</v>
      </c>
      <c r="BA32" s="2439">
        <f>AV32</f>
        <v>29728.508771929824</v>
      </c>
      <c r="BB32" s="2445">
        <f>AZ32*BA32*12/1000</f>
        <v>6064.6157894736843</v>
      </c>
      <c r="BC32" s="2446">
        <f t="shared" si="8"/>
        <v>1.2434111367776852</v>
      </c>
      <c r="BD32" s="2447"/>
      <c r="BE32" s="2443">
        <v>15</v>
      </c>
      <c r="BF32" s="2439">
        <f t="shared" si="9"/>
        <v>24044.444444444449</v>
      </c>
      <c r="BG32" s="2445">
        <v>2164</v>
      </c>
      <c r="BH32" s="2446">
        <f t="shared" si="13"/>
        <v>0.80880089307229674</v>
      </c>
      <c r="BI32" s="2443">
        <v>16</v>
      </c>
      <c r="BJ32" s="2439">
        <f t="shared" si="10"/>
        <v>23187.5</v>
      </c>
      <c r="BK32" s="2445">
        <v>3339</v>
      </c>
      <c r="BL32" s="2446">
        <f t="shared" si="14"/>
        <v>0.77997521429309102</v>
      </c>
      <c r="BM32" s="2416">
        <f t="shared" si="15"/>
        <v>15.5</v>
      </c>
      <c r="BN32" s="2427">
        <f t="shared" si="19"/>
        <v>25268.817204301075</v>
      </c>
      <c r="BO32" s="2343">
        <f t="shared" si="16"/>
        <v>1175</v>
      </c>
      <c r="BP32" s="2443">
        <v>19</v>
      </c>
      <c r="BQ32" s="2439">
        <f t="shared" si="20"/>
        <v>32701.359649122809</v>
      </c>
      <c r="BR32" s="2445">
        <f>BP32*BQ32*12/1000</f>
        <v>7455.91</v>
      </c>
      <c r="BS32" s="2446">
        <f t="shared" si="17"/>
        <v>1.1000000000000001</v>
      </c>
      <c r="BT32" s="2443">
        <f t="shared" si="25"/>
        <v>16</v>
      </c>
      <c r="BU32" s="2427">
        <f t="shared" si="26"/>
        <v>27138.709677419356</v>
      </c>
      <c r="BV32" s="2445">
        <f>BT32*BU32*12/1000</f>
        <v>5210.6322580645156</v>
      </c>
      <c r="BW32" s="2446">
        <f t="shared" si="18"/>
        <v>0.91288499822245361</v>
      </c>
      <c r="BX32" s="2101">
        <f t="shared" si="23"/>
        <v>1.1704025736892445</v>
      </c>
      <c r="BY32" s="2416" t="e">
        <f>(#REF!+BU32)/2</f>
        <v>#REF!</v>
      </c>
      <c r="BZ32" s="2427" t="e">
        <f t="shared" si="24"/>
        <v>#REF!</v>
      </c>
      <c r="CA32" s="2343" t="e">
        <f>#REF!-BW32</f>
        <v>#REF!</v>
      </c>
    </row>
    <row r="33" spans="1:76" ht="19.5" thickBot="1">
      <c r="A33" s="4466" t="s">
        <v>858</v>
      </c>
      <c r="B33" s="5048"/>
      <c r="C33" s="5048"/>
      <c r="D33" s="5048"/>
      <c r="E33" s="5048"/>
      <c r="F33" s="5048"/>
      <c r="G33" s="5048"/>
      <c r="H33" s="5048"/>
      <c r="I33" s="5048"/>
      <c r="J33" s="5048"/>
      <c r="K33" s="5048"/>
      <c r="L33" s="5048"/>
      <c r="M33" s="5048"/>
      <c r="N33" s="5048"/>
      <c r="O33" s="5048"/>
      <c r="P33" s="5048"/>
      <c r="Q33" s="5048"/>
      <c r="R33" s="5048"/>
      <c r="S33" s="5048"/>
      <c r="T33" s="5048"/>
      <c r="U33" s="5048"/>
      <c r="V33" s="5048"/>
      <c r="W33" s="5048"/>
      <c r="X33" s="5048"/>
      <c r="Y33" s="5048"/>
      <c r="Z33" s="5048"/>
      <c r="AA33" s="5048"/>
      <c r="AB33" s="5048"/>
      <c r="AC33" s="5048"/>
      <c r="AD33" s="5048"/>
      <c r="AE33" s="5048"/>
      <c r="AF33" s="5048"/>
      <c r="AG33" s="5048"/>
      <c r="AH33" s="5048"/>
      <c r="AI33" s="5048"/>
      <c r="AJ33" s="5048"/>
      <c r="AK33" s="5048"/>
      <c r="AL33" s="5048"/>
      <c r="AM33" s="5048"/>
      <c r="AN33" s="5048"/>
      <c r="AO33" s="5048"/>
      <c r="AP33" s="5048"/>
      <c r="AQ33" s="5048"/>
      <c r="AR33" s="5048"/>
      <c r="AS33" s="5048"/>
      <c r="AT33" s="5048"/>
      <c r="AU33" s="5048"/>
      <c r="AV33" s="5048"/>
      <c r="AW33" s="5048"/>
      <c r="AX33" s="5048"/>
      <c r="AY33" s="5048"/>
      <c r="AZ33" s="5048"/>
      <c r="BA33" s="5048"/>
      <c r="BB33" s="5048"/>
      <c r="BC33" s="5048"/>
      <c r="BD33" s="5048"/>
      <c r="BE33" s="5048"/>
      <c r="BF33" s="5048"/>
      <c r="BG33" s="5048"/>
      <c r="BH33" s="5048"/>
      <c r="BI33" s="5048"/>
      <c r="BJ33" s="5048"/>
      <c r="BK33" s="5048"/>
      <c r="BL33" s="5048"/>
      <c r="BM33" s="5048"/>
      <c r="BN33" s="5048"/>
      <c r="BO33" s="5048"/>
      <c r="BP33" s="5048"/>
      <c r="BQ33" s="5048"/>
      <c r="BR33" s="5048"/>
      <c r="BS33" s="5048"/>
      <c r="BT33" s="5048"/>
      <c r="BU33" s="5048"/>
      <c r="BV33" s="5048"/>
      <c r="BW33" s="5048"/>
      <c r="BX33" s="5136"/>
    </row>
    <row r="34" spans="1:76" ht="37.5" customHeight="1">
      <c r="A34" s="5049" t="s">
        <v>258</v>
      </c>
      <c r="B34" s="5050"/>
      <c r="C34" s="1268"/>
      <c r="D34" s="623"/>
      <c r="E34" s="623"/>
      <c r="F34" s="623"/>
      <c r="G34" s="623"/>
      <c r="H34" s="623"/>
      <c r="I34" s="623"/>
      <c r="J34" s="623"/>
      <c r="K34" s="623"/>
      <c r="L34" s="1276"/>
      <c r="M34" s="1264"/>
      <c r="N34" s="624">
        <f>(O23+O28)/(M23+M28)/12*1000</f>
        <v>26931.3782051282</v>
      </c>
      <c r="O34" s="623"/>
      <c r="P34" s="622"/>
      <c r="Q34" s="1268"/>
      <c r="R34" s="5046"/>
      <c r="S34" s="1264"/>
      <c r="T34" s="624">
        <f>(U23+U28)/(S23+S28)/12*1000</f>
        <v>15736.30143528287</v>
      </c>
      <c r="U34" s="623"/>
      <c r="V34" s="623"/>
      <c r="W34" s="622"/>
      <c r="X34" s="1319"/>
      <c r="Y34" s="624">
        <f>(Z23+Z28)/(X23+X28)/6*1000</f>
        <v>22071.124261976194</v>
      </c>
      <c r="Z34" s="625"/>
      <c r="AA34" s="622"/>
      <c r="AB34" s="1268"/>
      <c r="AC34" s="623"/>
      <c r="AD34" s="623"/>
      <c r="AE34" s="623"/>
      <c r="AF34" s="623"/>
      <c r="AG34" s="623"/>
      <c r="AH34" s="623"/>
      <c r="AI34" s="623"/>
      <c r="AJ34" s="623"/>
      <c r="AK34" s="1276"/>
      <c r="AL34" s="1319"/>
      <c r="AM34" s="624">
        <f>(AN23+AN28)/(AL23+AL28)/9*1000</f>
        <v>23101.92837465565</v>
      </c>
      <c r="AN34" s="625"/>
      <c r="AO34" s="622"/>
      <c r="AP34" s="1243"/>
      <c r="AQ34" s="1319"/>
      <c r="AR34" s="624">
        <f>(AS23+AS28)/(AQ23+AQ28)/12*1000</f>
        <v>23276.997245179064</v>
      </c>
      <c r="AS34" s="625"/>
      <c r="AT34" s="1245">
        <f t="shared" si="11"/>
        <v>1.4791911136748408</v>
      </c>
      <c r="AU34" s="1264"/>
      <c r="AV34" s="624">
        <f>(AW23+AW28)/(AU23+AU28)/12*1000</f>
        <v>25563.717948717946</v>
      </c>
      <c r="AW34" s="623"/>
      <c r="AX34" s="623"/>
      <c r="AY34" s="622"/>
      <c r="AZ34" s="1264"/>
      <c r="BA34" s="624">
        <f>(BB23+BB28)/(AZ23+AZ28)/12*1000</f>
        <v>25597.995857856873</v>
      </c>
      <c r="BB34" s="623"/>
      <c r="BC34" s="1320">
        <f>BA34/T34</f>
        <v>1.6266843872514274</v>
      </c>
      <c r="BD34" s="1244"/>
      <c r="BE34" s="1319"/>
      <c r="BF34" s="624">
        <f>(BG23+BG28)/(BE23+BE28)/6*1000</f>
        <v>23259.453781512606</v>
      </c>
      <c r="BG34" s="625"/>
      <c r="BH34" s="1245">
        <f t="shared" si="13"/>
        <v>0.90986193120156444</v>
      </c>
      <c r="BI34" s="1319"/>
      <c r="BJ34" s="624">
        <f>(BK23+BK28)/(BI23+BI28)/9*1000</f>
        <v>23705.234159779615</v>
      </c>
      <c r="BK34" s="625"/>
      <c r="BL34" s="1245">
        <f t="shared" si="14"/>
        <v>0.9260582075023539</v>
      </c>
      <c r="BM34" s="2452"/>
      <c r="BN34" s="624">
        <f>(BO23+BO28)/(BM23+BM28)/3*1000</f>
        <v>25577.083333333336</v>
      </c>
      <c r="BO34" s="2452"/>
      <c r="BP34" s="1264"/>
      <c r="BQ34" s="624">
        <f>(BR23+BR28)/(BP23+BP28)/12*1000</f>
        <v>28120.089743589746</v>
      </c>
      <c r="BR34" s="623"/>
      <c r="BS34" s="1245">
        <f t="shared" si="17"/>
        <v>1.0985270057756791</v>
      </c>
      <c r="BT34" s="1264"/>
      <c r="BU34" s="624">
        <f>(BV23+BV28)/(BT23+BT28)/12*1000</f>
        <v>27456.077812229923</v>
      </c>
      <c r="BV34" s="623"/>
      <c r="BW34" s="1245">
        <f t="shared" si="18"/>
        <v>1.0725870089475285</v>
      </c>
      <c r="BX34" s="2101">
        <f t="shared" si="23"/>
        <v>1.1582285003880839</v>
      </c>
    </row>
    <row r="35" spans="1:76" ht="37.5" customHeight="1">
      <c r="A35" s="5137" t="s">
        <v>256</v>
      </c>
      <c r="B35" s="5138"/>
      <c r="C35" s="2453"/>
      <c r="D35" s="2454"/>
      <c r="E35" s="2454"/>
      <c r="F35" s="2454"/>
      <c r="G35" s="2454"/>
      <c r="H35" s="2454"/>
      <c r="I35" s="2454"/>
      <c r="J35" s="2454"/>
      <c r="K35" s="2454"/>
      <c r="L35" s="2422"/>
      <c r="M35" s="2455"/>
      <c r="N35" s="2456">
        <f>N23</f>
        <v>25754.516129032254</v>
      </c>
      <c r="O35" s="2454"/>
      <c r="P35" s="2433">
        <f>N35/AM7</f>
        <v>2.7583455187985857</v>
      </c>
      <c r="Q35" s="2453"/>
      <c r="R35" s="5046"/>
      <c r="S35" s="2455"/>
      <c r="T35" s="2456">
        <f>T23</f>
        <v>9859.8122849032261</v>
      </c>
      <c r="U35" s="2454"/>
      <c r="V35" s="2171">
        <f>T35/AM7</f>
        <v>1.056</v>
      </c>
      <c r="W35" s="2409"/>
      <c r="X35" s="2457"/>
      <c r="Y35" s="2456">
        <f>Y23</f>
        <v>21580.822040944742</v>
      </c>
      <c r="Z35" s="2427"/>
      <c r="AA35" s="2423">
        <f>Y35/T35</f>
        <v>2.1887660147433077</v>
      </c>
      <c r="AB35" s="2453"/>
      <c r="AC35" s="2454"/>
      <c r="AD35" s="2454"/>
      <c r="AE35" s="2454"/>
      <c r="AF35" s="2454"/>
      <c r="AG35" s="2454"/>
      <c r="AH35" s="2454"/>
      <c r="AI35" s="2454"/>
      <c r="AJ35" s="2454"/>
      <c r="AK35" s="2422"/>
      <c r="AL35" s="2457"/>
      <c r="AM35" s="2456">
        <f>AM23</f>
        <v>22609.909909909911</v>
      </c>
      <c r="AN35" s="2427"/>
      <c r="AO35" s="2423">
        <f>AM35/T35</f>
        <v>2.2931379682074575</v>
      </c>
      <c r="AP35" s="2458"/>
      <c r="AQ35" s="2457"/>
      <c r="AR35" s="2456">
        <f>AR23</f>
        <v>22770.326576576579</v>
      </c>
      <c r="AS35" s="2427"/>
      <c r="AT35" s="2418">
        <f t="shared" si="11"/>
        <v>2.3094077167616249</v>
      </c>
      <c r="AU35" s="2455"/>
      <c r="AV35" s="2456">
        <f>AV23</f>
        <v>23460.37634408602</v>
      </c>
      <c r="AW35" s="2454"/>
      <c r="AX35" s="2171">
        <f>AV35/T35</f>
        <v>2.3793938125989671</v>
      </c>
      <c r="AY35" s="2409"/>
      <c r="AZ35" s="2455"/>
      <c r="BA35" s="2456">
        <f>BA23</f>
        <v>23530.113691896189</v>
      </c>
      <c r="BB35" s="2454"/>
      <c r="BC35" s="2433">
        <f>BA35/T35</f>
        <v>2.3864667005805109</v>
      </c>
      <c r="BD35" s="2459"/>
      <c r="BE35" s="2457"/>
      <c r="BF35" s="2456">
        <f>BF23</f>
        <v>22832.175925925923</v>
      </c>
      <c r="BG35" s="2427"/>
      <c r="BH35" s="2418">
        <f t="shared" si="13"/>
        <v>0.9732229181260148</v>
      </c>
      <c r="BI35" s="2457"/>
      <c r="BJ35" s="2456">
        <f>BJ23</f>
        <v>22988.888888888887</v>
      </c>
      <c r="BK35" s="2427"/>
      <c r="BL35" s="2418">
        <f t="shared" si="14"/>
        <v>0.9769986320468268</v>
      </c>
      <c r="BM35" s="2460"/>
      <c r="BN35" s="2456">
        <f>BN23</f>
        <v>24872.602739726019</v>
      </c>
      <c r="BO35" s="2460"/>
      <c r="BP35" s="2455"/>
      <c r="BQ35" s="2456">
        <f>BQ23</f>
        <v>25806.413978494627</v>
      </c>
      <c r="BR35" s="2454"/>
      <c r="BS35" s="2418">
        <f t="shared" si="17"/>
        <v>1.0967398762455789</v>
      </c>
      <c r="BT35" s="2455"/>
      <c r="BU35" s="2456">
        <f>BU23</f>
        <v>26725.298409525822</v>
      </c>
      <c r="BV35" s="2454"/>
      <c r="BW35" s="2418">
        <f t="shared" si="18"/>
        <v>1.1357912995860304</v>
      </c>
      <c r="BX35" s="2101">
        <f t="shared" si="23"/>
        <v>1.1625311052959517</v>
      </c>
    </row>
    <row r="36" spans="1:76" ht="37.5" customHeight="1" thickBot="1">
      <c r="A36" s="626" t="s">
        <v>257</v>
      </c>
      <c r="B36" s="627"/>
      <c r="C36" s="1265"/>
      <c r="D36" s="2461"/>
      <c r="E36" s="2461"/>
      <c r="F36" s="2461"/>
      <c r="G36" s="2461"/>
      <c r="H36" s="2461"/>
      <c r="I36" s="2461"/>
      <c r="J36" s="2461"/>
      <c r="K36" s="2461"/>
      <c r="L36" s="2462"/>
      <c r="M36" s="626"/>
      <c r="N36" s="2463">
        <f>N28</f>
        <v>28668.650793650795</v>
      </c>
      <c r="O36" s="2461"/>
      <c r="P36" s="1313">
        <f>N36/AM13</f>
        <v>1.2088032234986785</v>
      </c>
      <c r="Q36" s="1265"/>
      <c r="R36" s="5047"/>
      <c r="S36" s="626"/>
      <c r="T36" s="2463">
        <f>T28</f>
        <v>25224.382875999996</v>
      </c>
      <c r="U36" s="2461"/>
      <c r="V36" s="2464">
        <f>T36/AM13</f>
        <v>1.0635769206839176</v>
      </c>
      <c r="W36" s="627"/>
      <c r="X36" s="1314"/>
      <c r="Y36" s="2463">
        <f>Y28</f>
        <v>22836.666666666668</v>
      </c>
      <c r="Z36" s="2465"/>
      <c r="AA36" s="1315">
        <f>Y36/T36</f>
        <v>0.90534094645363372</v>
      </c>
      <c r="AB36" s="1265"/>
      <c r="AC36" s="2461"/>
      <c r="AD36" s="2461"/>
      <c r="AE36" s="2461"/>
      <c r="AF36" s="2461"/>
      <c r="AG36" s="2461"/>
      <c r="AH36" s="2461"/>
      <c r="AI36" s="2461"/>
      <c r="AJ36" s="2461"/>
      <c r="AK36" s="2462"/>
      <c r="AL36" s="1314"/>
      <c r="AM36" s="2463">
        <f>AM28</f>
        <v>23876.59574468085</v>
      </c>
      <c r="AN36" s="2465"/>
      <c r="AO36" s="1315">
        <f>AM36/T36</f>
        <v>0.94656808303518447</v>
      </c>
      <c r="AP36" s="1241"/>
      <c r="AQ36" s="1314"/>
      <c r="AR36" s="2463">
        <f>AR28</f>
        <v>24074.734042553187</v>
      </c>
      <c r="AS36" s="2465"/>
      <c r="AT36" s="2466">
        <f t="shared" si="11"/>
        <v>0.95442311357632248</v>
      </c>
      <c r="AU36" s="626"/>
      <c r="AV36" s="2463">
        <f>AV28</f>
        <v>28668.650793650795</v>
      </c>
      <c r="AW36" s="2461"/>
      <c r="AX36" s="2464">
        <f>AV36/T36</f>
        <v>1.1365451806921265</v>
      </c>
      <c r="AY36" s="627"/>
      <c r="AZ36" s="626"/>
      <c r="BA36" s="2463">
        <f>BA28</f>
        <v>28763.121622082414</v>
      </c>
      <c r="BB36" s="2461"/>
      <c r="BC36" s="1313">
        <f>BA36/T36</f>
        <v>1.1402903993123807</v>
      </c>
      <c r="BD36" s="1242"/>
      <c r="BE36" s="1314"/>
      <c r="BF36" s="2463">
        <f>BF28</f>
        <v>23914.007092198586</v>
      </c>
      <c r="BG36" s="2465"/>
      <c r="BH36" s="2466">
        <f t="shared" si="13"/>
        <v>0.83415181496768542</v>
      </c>
      <c r="BI36" s="1314"/>
      <c r="BJ36" s="2463">
        <f>BJ28</f>
        <v>24833.096926713952</v>
      </c>
      <c r="BK36" s="2465"/>
      <c r="BL36" s="2466">
        <f t="shared" si="14"/>
        <v>0.86336584926334103</v>
      </c>
      <c r="BM36" s="2467"/>
      <c r="BN36" s="2463">
        <f>BN28</f>
        <v>26671.27659574469</v>
      </c>
      <c r="BO36" s="2467"/>
      <c r="BP36" s="626"/>
      <c r="BQ36" s="2463">
        <f>BQ28</f>
        <v>31535.515873015873</v>
      </c>
      <c r="BR36" s="2461"/>
      <c r="BS36" s="2466">
        <f t="shared" si="17"/>
        <v>1.0963871128926772</v>
      </c>
      <c r="BT36" s="626"/>
      <c r="BU36" s="2463">
        <f>BU28</f>
        <v>28606.666659040642</v>
      </c>
      <c r="BV36" s="2461"/>
      <c r="BW36" s="2466">
        <f t="shared" si="18"/>
        <v>0.99456057082060056</v>
      </c>
      <c r="BX36" s="2101">
        <f t="shared" si="23"/>
        <v>1.1519572747395559</v>
      </c>
    </row>
    <row r="39" spans="1:76" ht="50.25" customHeight="1">
      <c r="A39" s="5080" t="s">
        <v>1041</v>
      </c>
      <c r="B39" s="5080"/>
      <c r="C39" s="5080"/>
      <c r="D39" s="5080"/>
      <c r="E39" s="5080"/>
      <c r="F39" s="5080"/>
      <c r="G39" s="5080"/>
      <c r="H39" s="5080"/>
      <c r="I39" s="5080"/>
      <c r="J39" s="5080"/>
      <c r="K39" s="5080"/>
      <c r="L39" s="5080"/>
      <c r="M39" s="5080"/>
      <c r="N39" s="5080"/>
      <c r="O39" s="5080"/>
      <c r="P39" s="5080"/>
      <c r="Q39" s="5080"/>
      <c r="R39" s="5080"/>
      <c r="S39" s="5080"/>
      <c r="T39" s="5080"/>
      <c r="U39" s="5080"/>
      <c r="V39" s="5080"/>
      <c r="W39" s="5080"/>
      <c r="X39" s="5080"/>
      <c r="Y39" s="5080"/>
      <c r="Z39" s="5080"/>
      <c r="AA39" s="5080"/>
      <c r="AB39" s="5080"/>
      <c r="AC39" s="5080"/>
      <c r="AD39" s="5080"/>
      <c r="AE39" s="5080"/>
      <c r="AF39" s="5080"/>
      <c r="AG39" s="5080"/>
      <c r="AH39" s="5080"/>
      <c r="AI39" s="5080"/>
      <c r="AJ39" s="5080"/>
      <c r="AK39" s="5080"/>
      <c r="AL39" s="5080"/>
      <c r="AM39" s="5080"/>
      <c r="AN39" s="5080"/>
      <c r="AO39" s="5080"/>
      <c r="AP39" s="5080"/>
      <c r="AQ39" s="5080"/>
      <c r="AR39" s="5080"/>
      <c r="AS39" s="5080"/>
      <c r="AT39" s="5080"/>
      <c r="AU39" s="5080"/>
      <c r="AV39" s="5080"/>
      <c r="AW39" s="5080"/>
      <c r="AX39" s="5080"/>
      <c r="AY39" s="5080"/>
      <c r="AZ39" s="5080"/>
      <c r="BA39" s="5080"/>
      <c r="BB39" s="5080"/>
      <c r="BC39" s="5080"/>
      <c r="BD39" s="5080"/>
      <c r="BE39" s="5080"/>
      <c r="BF39" s="5080"/>
      <c r="BG39" s="5080"/>
      <c r="BH39" s="5080"/>
      <c r="BI39" s="5080"/>
      <c r="BJ39" s="5080"/>
      <c r="BK39" s="5080"/>
      <c r="BL39" s="5080"/>
      <c r="BM39" s="5080"/>
      <c r="BN39" s="5080"/>
      <c r="BO39" s="5080"/>
      <c r="BP39" s="5080"/>
      <c r="BQ39" s="5080"/>
      <c r="BR39" s="5080"/>
      <c r="BS39" s="5080"/>
      <c r="BT39" s="5080"/>
      <c r="BU39" s="5080"/>
      <c r="BV39" s="5080"/>
      <c r="BW39" s="5080"/>
      <c r="BX39" s="5080"/>
    </row>
    <row r="46" spans="1:76">
      <c r="BJ46" s="2099"/>
    </row>
  </sheetData>
  <mergeCells count="49">
    <mergeCell ref="A33:BX33"/>
    <mergeCell ref="A34:B34"/>
    <mergeCell ref="R34:R36"/>
    <mergeCell ref="A35:B35"/>
    <mergeCell ref="A39:BX39"/>
    <mergeCell ref="BT20:BX21"/>
    <mergeCell ref="R20:R32"/>
    <mergeCell ref="S20:W21"/>
    <mergeCell ref="X20:AB21"/>
    <mergeCell ref="AL20:AP21"/>
    <mergeCell ref="AQ20:AT21"/>
    <mergeCell ref="AU20:AY21"/>
    <mergeCell ref="AZ20:BD21"/>
    <mergeCell ref="BE20:BH21"/>
    <mergeCell ref="BI20:BL21"/>
    <mergeCell ref="BM20:BO21"/>
    <mergeCell ref="BP20:BS21"/>
    <mergeCell ref="A19:A22"/>
    <mergeCell ref="B19:B22"/>
    <mergeCell ref="M19:AT19"/>
    <mergeCell ref="AU19:BO19"/>
    <mergeCell ref="C20:E21"/>
    <mergeCell ref="F20:H21"/>
    <mergeCell ref="I20:L20"/>
    <mergeCell ref="M20:Q21"/>
    <mergeCell ref="AL3:AP4"/>
    <mergeCell ref="AX3:AZ4"/>
    <mergeCell ref="BA3:BC4"/>
    <mergeCell ref="BD3:BD5"/>
    <mergeCell ref="AG4:AG5"/>
    <mergeCell ref="AH4:AI4"/>
    <mergeCell ref="AJ4:AK4"/>
    <mergeCell ref="AU3:AW4"/>
    <mergeCell ref="BY20:CA21"/>
    <mergeCell ref="BP19:CA19"/>
    <mergeCell ref="A1:BX1"/>
    <mergeCell ref="A2:AP2"/>
    <mergeCell ref="A3:A5"/>
    <mergeCell ref="B3:B5"/>
    <mergeCell ref="C3:E4"/>
    <mergeCell ref="F3:H4"/>
    <mergeCell ref="I3:L3"/>
    <mergeCell ref="M3:O4"/>
    <mergeCell ref="P3:R4"/>
    <mergeCell ref="S3:U4"/>
    <mergeCell ref="V3:X4"/>
    <mergeCell ref="Y3:AA4"/>
    <mergeCell ref="AB3:AF4"/>
    <mergeCell ref="AG3:AK3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33CC"/>
  </sheetPr>
  <dimension ref="A1:BX94"/>
  <sheetViews>
    <sheetView zoomScale="80" zoomScaleNormal="80" workbookViewId="0">
      <pane xSplit="1" ySplit="7" topLeftCell="AL73" activePane="bottomRight" state="frozen"/>
      <selection pane="topRight" activeCell="B1" sqref="B1"/>
      <selection pane="bottomLeft" activeCell="A8" sqref="A8"/>
      <selection pane="bottomRight" activeCell="AY83" sqref="AY83"/>
    </sheetView>
  </sheetViews>
  <sheetFormatPr defaultRowHeight="12.75"/>
  <cols>
    <col min="1" max="1" width="52.5703125" customWidth="1"/>
    <col min="2" max="13" width="12.7109375" hidden="1" customWidth="1"/>
    <col min="14" max="14" width="11.7109375" hidden="1" customWidth="1"/>
    <col min="15" max="15" width="11.28515625" hidden="1" customWidth="1"/>
    <col min="16" max="27" width="12.7109375" hidden="1" customWidth="1"/>
    <col min="28" max="28" width="11.85546875" hidden="1" customWidth="1"/>
    <col min="29" max="29" width="10.7109375" hidden="1" customWidth="1"/>
    <col min="30" max="32" width="12.7109375" hidden="1" customWidth="1"/>
    <col min="33" max="33" width="12.85546875" hidden="1" customWidth="1"/>
    <col min="34" max="34" width="13.140625" hidden="1" customWidth="1"/>
    <col min="35" max="46" width="12.7109375" hidden="1" customWidth="1"/>
    <col min="47" max="48" width="10.7109375" hidden="1" customWidth="1"/>
    <col min="49" max="51" width="12.7109375" customWidth="1"/>
    <col min="52" max="52" width="13.28515625" customWidth="1"/>
    <col min="53" max="53" width="12" customWidth="1"/>
    <col min="54" max="65" width="12.7109375" hidden="1" customWidth="1"/>
    <col min="66" max="67" width="10.7109375" hidden="1" customWidth="1"/>
    <col min="68" max="70" width="14.28515625" hidden="1" customWidth="1"/>
    <col min="71" max="72" width="10.7109375" hidden="1" customWidth="1"/>
  </cols>
  <sheetData>
    <row r="1" spans="1:76" ht="20.25">
      <c r="A1" s="4133" t="s">
        <v>1893</v>
      </c>
    </row>
    <row r="2" spans="1:76" ht="20.25">
      <c r="A2" s="4133" t="s">
        <v>1920</v>
      </c>
    </row>
    <row r="3" spans="1:76" ht="20.25">
      <c r="A3" s="4134"/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  <c r="S3" s="684"/>
      <c r="T3" s="684"/>
      <c r="U3" s="684"/>
      <c r="V3" s="684"/>
      <c r="W3" s="684"/>
      <c r="X3" s="684"/>
      <c r="Y3" s="684"/>
      <c r="Z3" s="684"/>
      <c r="AA3" s="684"/>
      <c r="AB3" s="684"/>
      <c r="AC3" s="684"/>
      <c r="AD3" s="684"/>
      <c r="AE3" s="684"/>
      <c r="AF3" s="684"/>
      <c r="AG3" s="684"/>
      <c r="AH3" s="684"/>
      <c r="AI3" s="684"/>
      <c r="AJ3" s="684"/>
      <c r="AK3" s="684"/>
      <c r="AL3" s="684"/>
      <c r="AM3" s="684"/>
      <c r="AN3" s="684"/>
      <c r="AO3" s="684"/>
      <c r="AP3" s="684"/>
      <c r="AQ3" s="684"/>
      <c r="AR3" s="684"/>
      <c r="AS3" s="684"/>
      <c r="AT3" s="684"/>
      <c r="AU3" s="684"/>
      <c r="AV3" s="684"/>
      <c r="AW3" s="684"/>
      <c r="AX3" s="684"/>
      <c r="AY3" s="684"/>
      <c r="AZ3" s="684"/>
      <c r="BA3" s="684"/>
      <c r="BB3" s="684"/>
      <c r="BC3" s="684"/>
      <c r="BD3" s="684"/>
      <c r="BE3" s="684"/>
      <c r="BF3" s="684"/>
      <c r="BG3" s="684"/>
      <c r="BH3" s="684"/>
      <c r="BI3" s="684"/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</row>
    <row r="4" spans="1:76" ht="18.75">
      <c r="A4" s="4135" t="s">
        <v>1868</v>
      </c>
      <c r="B4" s="4136"/>
      <c r="C4" s="4136"/>
      <c r="D4" s="4136"/>
      <c r="E4" s="4136"/>
      <c r="F4" s="4136"/>
      <c r="G4" s="4136"/>
      <c r="H4" s="4136"/>
      <c r="I4" s="4136"/>
      <c r="J4" s="4136"/>
      <c r="K4" s="4136"/>
      <c r="L4" s="4136"/>
      <c r="M4" s="4136"/>
      <c r="N4" s="4136"/>
      <c r="O4" s="4136"/>
      <c r="P4" s="4136"/>
      <c r="Q4" s="4136"/>
      <c r="R4" s="4136"/>
      <c r="S4" s="4136"/>
      <c r="T4" s="4136"/>
      <c r="U4" s="4136"/>
      <c r="V4" s="4136"/>
      <c r="W4" s="4136"/>
      <c r="X4" s="4136"/>
      <c r="Y4" s="4136"/>
      <c r="Z4" s="4136"/>
      <c r="AA4" s="4136"/>
      <c r="AB4" s="4136"/>
      <c r="AC4" s="4136"/>
      <c r="AD4" s="4136"/>
      <c r="AE4" s="4136"/>
      <c r="AF4" s="4136"/>
      <c r="AG4" s="4136"/>
      <c r="AH4" s="4136"/>
      <c r="AI4" s="4136"/>
      <c r="AJ4" s="4136"/>
      <c r="AK4" s="4136"/>
      <c r="AL4" s="4136"/>
      <c r="AM4" s="4136"/>
      <c r="AN4" s="4136"/>
      <c r="AO4" s="4136"/>
      <c r="AP4" s="4136"/>
      <c r="AQ4" s="4136"/>
      <c r="AR4" s="4136"/>
      <c r="AS4" s="4136"/>
      <c r="AT4" s="4136"/>
      <c r="AU4" s="4136"/>
      <c r="AV4" s="4136"/>
      <c r="AW4" s="4136"/>
      <c r="AX4" s="4136"/>
      <c r="AY4" s="4136"/>
      <c r="AZ4" s="4136"/>
      <c r="BA4" s="4136"/>
      <c r="BB4" s="4136"/>
      <c r="BC4" s="4136"/>
      <c r="BD4" s="4136"/>
      <c r="BE4" s="4136"/>
      <c r="BF4" s="4136"/>
      <c r="BG4" s="4136"/>
      <c r="BH4" s="4136"/>
      <c r="BI4" s="4136"/>
      <c r="BJ4" s="4136"/>
      <c r="BK4" s="4136"/>
      <c r="BL4" s="4136"/>
      <c r="BM4" s="4136"/>
      <c r="BN4" s="4136"/>
      <c r="BO4" s="4136"/>
      <c r="BP4" s="4136"/>
      <c r="BQ4" s="4136"/>
      <c r="BR4" s="4136"/>
      <c r="BS4" s="4136"/>
      <c r="BT4" s="4137"/>
      <c r="BU4" s="684"/>
      <c r="BV4" s="684"/>
      <c r="BW4" s="684"/>
      <c r="BX4" s="684"/>
    </row>
    <row r="5" spans="1:76" ht="19.5" customHeight="1">
      <c r="A5" s="4304" t="s">
        <v>546</v>
      </c>
      <c r="B5" s="4305" t="s">
        <v>1894</v>
      </c>
      <c r="C5" s="4306"/>
      <c r="D5" s="4306"/>
      <c r="E5" s="4305" t="s">
        <v>1895</v>
      </c>
      <c r="F5" s="4306"/>
      <c r="G5" s="4306"/>
      <c r="H5" s="4305" t="s">
        <v>1896</v>
      </c>
      <c r="I5" s="4306"/>
      <c r="J5" s="4306"/>
      <c r="K5" s="4307" t="s">
        <v>1869</v>
      </c>
      <c r="L5" s="4308"/>
      <c r="M5" s="4308"/>
      <c r="N5" s="4309"/>
      <c r="O5" s="4310"/>
      <c r="P5" s="4305" t="s">
        <v>1897</v>
      </c>
      <c r="Q5" s="4306"/>
      <c r="R5" s="4306"/>
      <c r="S5" s="4305" t="s">
        <v>1898</v>
      </c>
      <c r="T5" s="4306"/>
      <c r="U5" s="4306"/>
      <c r="V5" s="4305" t="s">
        <v>1899</v>
      </c>
      <c r="W5" s="4306"/>
      <c r="X5" s="4306"/>
      <c r="Y5" s="4307" t="s">
        <v>1870</v>
      </c>
      <c r="Z5" s="4308"/>
      <c r="AA5" s="4308"/>
      <c r="AB5" s="4309"/>
      <c r="AC5" s="4310"/>
      <c r="AD5" s="4307" t="s">
        <v>1871</v>
      </c>
      <c r="AE5" s="4308"/>
      <c r="AF5" s="4308"/>
      <c r="AG5" s="4309"/>
      <c r="AH5" s="4310"/>
      <c r="AI5" s="4305" t="s">
        <v>1377</v>
      </c>
      <c r="AJ5" s="4306"/>
      <c r="AK5" s="4306"/>
      <c r="AL5" s="4305" t="s">
        <v>1900</v>
      </c>
      <c r="AM5" s="4306"/>
      <c r="AN5" s="4306"/>
      <c r="AO5" s="4305" t="s">
        <v>1901</v>
      </c>
      <c r="AP5" s="4306"/>
      <c r="AQ5" s="4306"/>
      <c r="AR5" s="4307" t="s">
        <v>1872</v>
      </c>
      <c r="AS5" s="4308"/>
      <c r="AT5" s="4308"/>
      <c r="AU5" s="4309"/>
      <c r="AV5" s="4310"/>
      <c r="AW5" s="4307" t="s">
        <v>1873</v>
      </c>
      <c r="AX5" s="4308"/>
      <c r="AY5" s="4308"/>
      <c r="AZ5" s="4309"/>
      <c r="BA5" s="4310"/>
      <c r="BB5" s="4305" t="s">
        <v>1902</v>
      </c>
      <c r="BC5" s="4306"/>
      <c r="BD5" s="4306"/>
      <c r="BE5" s="4305" t="s">
        <v>1903</v>
      </c>
      <c r="BF5" s="4306"/>
      <c r="BG5" s="4306"/>
      <c r="BH5" s="4305" t="s">
        <v>1904</v>
      </c>
      <c r="BI5" s="4306"/>
      <c r="BJ5" s="4306"/>
      <c r="BK5" s="4307" t="s">
        <v>1874</v>
      </c>
      <c r="BL5" s="4308"/>
      <c r="BM5" s="4308"/>
      <c r="BN5" s="4309"/>
      <c r="BO5" s="4310"/>
      <c r="BP5" s="4314" t="s">
        <v>887</v>
      </c>
      <c r="BQ5" s="4315"/>
      <c r="BR5" s="4315"/>
      <c r="BS5" s="4316"/>
      <c r="BT5" s="4316"/>
      <c r="BU5" s="684"/>
      <c r="BV5" s="684"/>
      <c r="BW5" s="684"/>
      <c r="BX5" s="684"/>
    </row>
    <row r="6" spans="1:76" ht="20.25" customHeight="1">
      <c r="A6" s="4304"/>
      <c r="B6" s="4311" t="s">
        <v>1875</v>
      </c>
      <c r="C6" s="4311" t="s">
        <v>1876</v>
      </c>
      <c r="D6" s="4311" t="s">
        <v>1905</v>
      </c>
      <c r="E6" s="4311" t="s">
        <v>1875</v>
      </c>
      <c r="F6" s="4311" t="s">
        <v>1876</v>
      </c>
      <c r="G6" s="4311" t="s">
        <v>1905</v>
      </c>
      <c r="H6" s="4311" t="s">
        <v>1875</v>
      </c>
      <c r="I6" s="4311" t="s">
        <v>1876</v>
      </c>
      <c r="J6" s="4311" t="s">
        <v>1905</v>
      </c>
      <c r="K6" s="4313" t="s">
        <v>1875</v>
      </c>
      <c r="L6" s="4313" t="s">
        <v>1876</v>
      </c>
      <c r="M6" s="4313" t="s">
        <v>1905</v>
      </c>
      <c r="N6" s="4317" t="s">
        <v>1906</v>
      </c>
      <c r="O6" s="4317"/>
      <c r="P6" s="4311" t="s">
        <v>1875</v>
      </c>
      <c r="Q6" s="4311" t="s">
        <v>1876</v>
      </c>
      <c r="R6" s="4311" t="s">
        <v>1905</v>
      </c>
      <c r="S6" s="4311" t="s">
        <v>1875</v>
      </c>
      <c r="T6" s="4311" t="s">
        <v>1876</v>
      </c>
      <c r="U6" s="4311" t="s">
        <v>1905</v>
      </c>
      <c r="V6" s="4311" t="s">
        <v>1875</v>
      </c>
      <c r="W6" s="4311" t="s">
        <v>1876</v>
      </c>
      <c r="X6" s="4311" t="s">
        <v>1905</v>
      </c>
      <c r="Y6" s="4313" t="s">
        <v>1875</v>
      </c>
      <c r="Z6" s="4313" t="s">
        <v>1876</v>
      </c>
      <c r="AA6" s="4313" t="s">
        <v>1905</v>
      </c>
      <c r="AB6" s="4317" t="s">
        <v>1906</v>
      </c>
      <c r="AC6" s="4317"/>
      <c r="AD6" s="4313" t="s">
        <v>1875</v>
      </c>
      <c r="AE6" s="4313" t="s">
        <v>1876</v>
      </c>
      <c r="AF6" s="4313" t="s">
        <v>1905</v>
      </c>
      <c r="AG6" s="4317" t="s">
        <v>1906</v>
      </c>
      <c r="AH6" s="4317"/>
      <c r="AI6" s="4311" t="s">
        <v>1875</v>
      </c>
      <c r="AJ6" s="4311" t="s">
        <v>1876</v>
      </c>
      <c r="AK6" s="4311" t="s">
        <v>1905</v>
      </c>
      <c r="AL6" s="4311" t="s">
        <v>1875</v>
      </c>
      <c r="AM6" s="4311" t="s">
        <v>1876</v>
      </c>
      <c r="AN6" s="4311" t="s">
        <v>1905</v>
      </c>
      <c r="AO6" s="4311" t="s">
        <v>1875</v>
      </c>
      <c r="AP6" s="4311" t="s">
        <v>1876</v>
      </c>
      <c r="AQ6" s="4311" t="s">
        <v>1905</v>
      </c>
      <c r="AR6" s="4313" t="s">
        <v>1875</v>
      </c>
      <c r="AS6" s="4313" t="s">
        <v>1876</v>
      </c>
      <c r="AT6" s="4313" t="s">
        <v>1905</v>
      </c>
      <c r="AU6" s="4317" t="s">
        <v>1906</v>
      </c>
      <c r="AV6" s="4317"/>
      <c r="AW6" s="4313" t="s">
        <v>1875</v>
      </c>
      <c r="AX6" s="4313" t="s">
        <v>1876</v>
      </c>
      <c r="AY6" s="4313" t="s">
        <v>1905</v>
      </c>
      <c r="AZ6" s="4317" t="s">
        <v>1906</v>
      </c>
      <c r="BA6" s="4317"/>
      <c r="BB6" s="4311" t="s">
        <v>1875</v>
      </c>
      <c r="BC6" s="4311" t="s">
        <v>1876</v>
      </c>
      <c r="BD6" s="4311" t="s">
        <v>1905</v>
      </c>
      <c r="BE6" s="4311" t="s">
        <v>1875</v>
      </c>
      <c r="BF6" s="4311" t="s">
        <v>1876</v>
      </c>
      <c r="BG6" s="4311" t="s">
        <v>1905</v>
      </c>
      <c r="BH6" s="4311" t="s">
        <v>1875</v>
      </c>
      <c r="BI6" s="4311" t="s">
        <v>1876</v>
      </c>
      <c r="BJ6" s="4311" t="s">
        <v>1905</v>
      </c>
      <c r="BK6" s="4313" t="s">
        <v>1875</v>
      </c>
      <c r="BL6" s="4313" t="s">
        <v>1876</v>
      </c>
      <c r="BM6" s="4313" t="s">
        <v>1905</v>
      </c>
      <c r="BN6" s="4317" t="s">
        <v>1906</v>
      </c>
      <c r="BO6" s="4317"/>
      <c r="BP6" s="4321" t="s">
        <v>1875</v>
      </c>
      <c r="BQ6" s="4321" t="s">
        <v>1876</v>
      </c>
      <c r="BR6" s="4321" t="s">
        <v>1905</v>
      </c>
      <c r="BS6" s="4317" t="s">
        <v>1906</v>
      </c>
      <c r="BT6" s="4317"/>
      <c r="BU6" s="684"/>
      <c r="BV6" s="684"/>
      <c r="BW6" s="684"/>
      <c r="BX6" s="684"/>
    </row>
    <row r="7" spans="1:76" ht="25.5" customHeight="1">
      <c r="A7" s="4304"/>
      <c r="B7" s="4312"/>
      <c r="C7" s="4312"/>
      <c r="D7" s="4312"/>
      <c r="E7" s="4312"/>
      <c r="F7" s="4312"/>
      <c r="G7" s="4312"/>
      <c r="H7" s="4312"/>
      <c r="I7" s="4312"/>
      <c r="J7" s="4312"/>
      <c r="K7" s="4312"/>
      <c r="L7" s="4312"/>
      <c r="M7" s="4312"/>
      <c r="N7" s="4138" t="s">
        <v>1907</v>
      </c>
      <c r="O7" s="4138" t="s">
        <v>44</v>
      </c>
      <c r="P7" s="4312"/>
      <c r="Q7" s="4312"/>
      <c r="R7" s="4312"/>
      <c r="S7" s="4312"/>
      <c r="T7" s="4312"/>
      <c r="U7" s="4312"/>
      <c r="V7" s="4312"/>
      <c r="W7" s="4312"/>
      <c r="X7" s="4312"/>
      <c r="Y7" s="4312"/>
      <c r="Z7" s="4312"/>
      <c r="AA7" s="4312"/>
      <c r="AB7" s="4138" t="s">
        <v>1907</v>
      </c>
      <c r="AC7" s="4138" t="s">
        <v>44</v>
      </c>
      <c r="AD7" s="4312"/>
      <c r="AE7" s="4312"/>
      <c r="AF7" s="4312"/>
      <c r="AG7" s="4138" t="s">
        <v>1907</v>
      </c>
      <c r="AH7" s="4138" t="s">
        <v>44</v>
      </c>
      <c r="AI7" s="4312"/>
      <c r="AJ7" s="4312"/>
      <c r="AK7" s="4312"/>
      <c r="AL7" s="4312"/>
      <c r="AM7" s="4312"/>
      <c r="AN7" s="4312"/>
      <c r="AO7" s="4312"/>
      <c r="AP7" s="4312"/>
      <c r="AQ7" s="4312"/>
      <c r="AR7" s="4312"/>
      <c r="AS7" s="4312"/>
      <c r="AT7" s="4312"/>
      <c r="AU7" s="4138" t="s">
        <v>1907</v>
      </c>
      <c r="AV7" s="4138" t="s">
        <v>44</v>
      </c>
      <c r="AW7" s="4312"/>
      <c r="AX7" s="4312"/>
      <c r="AY7" s="4312"/>
      <c r="AZ7" s="4138" t="s">
        <v>1907</v>
      </c>
      <c r="BA7" s="4138" t="s">
        <v>44</v>
      </c>
      <c r="BB7" s="4312"/>
      <c r="BC7" s="4312"/>
      <c r="BD7" s="4312"/>
      <c r="BE7" s="4312"/>
      <c r="BF7" s="4312"/>
      <c r="BG7" s="4312"/>
      <c r="BH7" s="4312"/>
      <c r="BI7" s="4312"/>
      <c r="BJ7" s="4312"/>
      <c r="BK7" s="4312"/>
      <c r="BL7" s="4312"/>
      <c r="BM7" s="4312"/>
      <c r="BN7" s="4138" t="s">
        <v>1907</v>
      </c>
      <c r="BO7" s="4138" t="s">
        <v>44</v>
      </c>
      <c r="BP7" s="4312"/>
      <c r="BQ7" s="4312"/>
      <c r="BR7" s="4312"/>
      <c r="BS7" s="4138" t="s">
        <v>1907</v>
      </c>
      <c r="BT7" s="4138" t="s">
        <v>44</v>
      </c>
      <c r="BU7" s="684"/>
      <c r="BV7" s="684"/>
      <c r="BW7" s="684"/>
      <c r="BX7" s="684"/>
    </row>
    <row r="8" spans="1:76" ht="18.75">
      <c r="A8" s="4139" t="s">
        <v>1726</v>
      </c>
      <c r="B8" s="4214">
        <f>SUM('Произв. прогр. Вода (СВОД)'!E12)</f>
        <v>473.55356467369512</v>
      </c>
      <c r="C8" s="4214">
        <f>SUM('ПОЛНАЯ СЕБЕСТОИМОСТЬ ВОДА 2017'!C163)</f>
        <v>508.25</v>
      </c>
      <c r="D8" s="4268">
        <v>563.54999999999995</v>
      </c>
      <c r="E8" s="4214">
        <f>SUM('Произв. прогр. Вода (СВОД)'!F12)</f>
        <v>474.25489328733858</v>
      </c>
      <c r="F8" s="4214">
        <f>SUM('ПОЛНАЯ СЕБЕСТОИМОСТЬ ВОДА 2017'!D163)</f>
        <v>454.69</v>
      </c>
      <c r="G8" s="4268">
        <v>449.53</v>
      </c>
      <c r="H8" s="4214">
        <f>SUM('Произв. прогр. Вода (СВОД)'!G12)</f>
        <v>476.03516631493545</v>
      </c>
      <c r="I8" s="4214">
        <f>SUM('ПОЛНАЯ СЕБЕСТОИМОСТЬ ВОДА 2017'!E163)</f>
        <v>498.41199999999998</v>
      </c>
      <c r="J8" s="4268">
        <v>538.55999999999995</v>
      </c>
      <c r="K8" s="4256">
        <f t="shared" ref="K8:M9" si="0">SUM(B8+E8+H8)</f>
        <v>1423.8436242759692</v>
      </c>
      <c r="L8" s="4256">
        <f t="shared" si="0"/>
        <v>1461.3520000000001</v>
      </c>
      <c r="M8" s="4256">
        <f t="shared" si="0"/>
        <v>1551.6399999999999</v>
      </c>
      <c r="N8" s="4280">
        <f>SUM(L8-K8)</f>
        <v>37.508375724030884</v>
      </c>
      <c r="O8" s="4280">
        <f>SUM(N8/K8*100)</f>
        <v>2.6343044337543779</v>
      </c>
      <c r="P8" s="4214">
        <f>SUM('Произв. прогр. Вода (СВОД)'!I12)</f>
        <v>469.45941184253223</v>
      </c>
      <c r="Q8" s="4214">
        <f>SUM('ПОЛНАЯ СЕБЕСТОИМОСТЬ ВОДА 2017'!H163)</f>
        <v>538.62</v>
      </c>
      <c r="R8" s="4268">
        <v>527.79</v>
      </c>
      <c r="S8" s="4214">
        <f>SUM('Произв. прогр. Вода (СВОД)'!J12)</f>
        <v>460.230844121757</v>
      </c>
      <c r="T8" s="4214">
        <f>SUM('ПОЛНАЯ СЕБЕСТОИМОСТЬ ВОДА 2017'!I163)</f>
        <v>593.98299999999995</v>
      </c>
      <c r="U8" s="4268">
        <v>586.28499999999997</v>
      </c>
      <c r="V8" s="4214">
        <f>SUM('Произв. прогр. Вода (СВОД)'!K12)</f>
        <v>443.85772256656327</v>
      </c>
      <c r="W8" s="4214">
        <f>SUM('ПОЛНАЯ СЕБЕСТОИМОСТЬ ВОДА 2017'!J163)</f>
        <v>608.50800000000004</v>
      </c>
      <c r="X8" s="4268">
        <v>493.11500000000001</v>
      </c>
      <c r="Y8" s="4256">
        <f t="shared" ref="Y8:AA9" si="1">SUM(P8+S8+V8)</f>
        <v>1373.5479785308526</v>
      </c>
      <c r="Z8" s="4256">
        <f t="shared" si="1"/>
        <v>1741.1110000000001</v>
      </c>
      <c r="AA8" s="4256">
        <f t="shared" si="1"/>
        <v>1607.1899999999998</v>
      </c>
      <c r="AB8" s="4280">
        <f>SUM(Z8-Y8)</f>
        <v>367.56302146914754</v>
      </c>
      <c r="AC8" s="4280">
        <f>SUM(AB8/Y8*100)</f>
        <v>26.760115206335428</v>
      </c>
      <c r="AD8" s="4256">
        <f t="shared" ref="AD8:AF9" si="2">SUM(K8+Y8)</f>
        <v>2797.3916028068215</v>
      </c>
      <c r="AE8" s="4256">
        <f t="shared" si="2"/>
        <v>3202.4630000000002</v>
      </c>
      <c r="AF8" s="4256">
        <f t="shared" si="2"/>
        <v>3158.83</v>
      </c>
      <c r="AG8" s="4280">
        <f>SUM(AE8-AD8)</f>
        <v>405.07139719317865</v>
      </c>
      <c r="AH8" s="4280">
        <f>SUM(AG8/AD8*100)</f>
        <v>14.48032505662567</v>
      </c>
      <c r="AI8" s="4214">
        <f>SUM('Произв. прогр. Вода (СВОД)'!N12)</f>
        <v>431.86569029545223</v>
      </c>
      <c r="AJ8" s="4214">
        <f>SUM('ПОЛНАЯ СЕБЕСТОИМОСТЬ ВОДА 2017'!P163)</f>
        <v>612.81299999999999</v>
      </c>
      <c r="AK8" s="4268">
        <v>537.88</v>
      </c>
      <c r="AL8" s="4214">
        <f>SUM('Произв. прогр. Вода (СВОД)'!O12)</f>
        <v>447.15321011850125</v>
      </c>
      <c r="AM8" s="4214">
        <f>SUM('ПОЛНАЯ СЕБЕСТОИМОСТЬ ВОДА 2017'!Q163)</f>
        <v>615.16999999999996</v>
      </c>
      <c r="AN8" s="4268">
        <v>448.48</v>
      </c>
      <c r="AO8" s="4214">
        <f>SUM('Произв. прогр. Вода (СВОД)'!P12)</f>
        <v>466.16899783441852</v>
      </c>
      <c r="AP8" s="4214">
        <f>SUM('ПОЛНАЯ СЕБЕСТОИМОСТЬ ВОДА 2017'!R163)</f>
        <v>603.98</v>
      </c>
      <c r="AQ8" s="4268">
        <v>537.84</v>
      </c>
      <c r="AR8" s="4256">
        <f t="shared" ref="AR8:AT9" si="3">SUM(AI8+AL8+AO8)</f>
        <v>1345.187898248372</v>
      </c>
      <c r="AS8" s="4256">
        <f t="shared" si="3"/>
        <v>1831.963</v>
      </c>
      <c r="AT8" s="4256">
        <f t="shared" si="3"/>
        <v>1524.2</v>
      </c>
      <c r="AU8" s="4280">
        <f>SUM(AS8-AR8)</f>
        <v>486.77510175162797</v>
      </c>
      <c r="AV8" s="4280">
        <f>SUM(AU8/AR8*100)</f>
        <v>36.186402091892077</v>
      </c>
      <c r="AW8" s="4256">
        <f t="shared" ref="AW8:AY9" si="4">SUM(AD8+AR8)</f>
        <v>4142.5795010551938</v>
      </c>
      <c r="AX8" s="4256">
        <f t="shared" si="4"/>
        <v>5034.4260000000004</v>
      </c>
      <c r="AY8" s="4256">
        <f t="shared" si="4"/>
        <v>4683.03</v>
      </c>
      <c r="AZ8" s="4280">
        <f>SUM(AX8-AW8)</f>
        <v>891.84649894480663</v>
      </c>
      <c r="BA8" s="4280">
        <f>SUM(AZ8/AW8*100)</f>
        <v>21.528772078306194</v>
      </c>
      <c r="BB8" s="4214">
        <f>SUM('Произв. прогр. Вода (СВОД)'!S12)</f>
        <v>476.03516631493545</v>
      </c>
      <c r="BC8" s="4214">
        <f>SUM('ПОЛНАЯ СЕБЕСТОИМОСТЬ ВОДА 2017'!X163)</f>
        <v>0</v>
      </c>
      <c r="BD8" s="4268">
        <v>636.79</v>
      </c>
      <c r="BE8" s="4214">
        <f>SUM('Произв. прогр. Вода (СВОД)'!T12)</f>
        <v>476.03516631493545</v>
      </c>
      <c r="BF8" s="4214">
        <f>SUM('ПОЛНАЯ СЕБЕСТОИМОСТЬ ВОДА 2017'!Y163)</f>
        <v>0</v>
      </c>
      <c r="BG8" s="4268">
        <v>538.9</v>
      </c>
      <c r="BH8" s="4214">
        <f>SUM('Произв. прогр. Вода (СВОД)'!U12)</f>
        <v>476.03516631493545</v>
      </c>
      <c r="BI8" s="4214">
        <f>SUM('ПОЛНАЯ СЕБЕСТОИМОСТЬ ВОДА 2017'!Z163)</f>
        <v>0</v>
      </c>
      <c r="BJ8" s="4268">
        <v>473.31</v>
      </c>
      <c r="BK8" s="4256">
        <f t="shared" ref="BK8:BM9" si="5">SUM(BB8+BE8+BH8)</f>
        <v>1428.1054989448064</v>
      </c>
      <c r="BL8" s="4256">
        <f t="shared" si="5"/>
        <v>0</v>
      </c>
      <c r="BM8" s="4256">
        <f t="shared" si="5"/>
        <v>1649</v>
      </c>
      <c r="BN8" s="4280">
        <f>SUM(BL8-BK8)</f>
        <v>-1428.1054989448064</v>
      </c>
      <c r="BO8" s="4280">
        <f>SUM(BN8/BK8*100)</f>
        <v>-100</v>
      </c>
      <c r="BP8" s="4256">
        <f t="shared" ref="BP8:BR9" si="6">SUM(AW8+BK8)</f>
        <v>5570.6850000000004</v>
      </c>
      <c r="BQ8" s="4256">
        <f t="shared" si="6"/>
        <v>5034.4260000000004</v>
      </c>
      <c r="BR8" s="4256">
        <f t="shared" si="6"/>
        <v>6332.03</v>
      </c>
      <c r="BS8" s="4280">
        <f>SUM(BQ8-BP8)</f>
        <v>-536.25900000000001</v>
      </c>
      <c r="BT8" s="4280">
        <f>SUM(BS8/BP8*100)</f>
        <v>-9.6264462987944928</v>
      </c>
      <c r="BU8" s="684"/>
      <c r="BV8" s="684"/>
      <c r="BW8" s="684"/>
      <c r="BX8" s="684"/>
    </row>
    <row r="9" spans="1:76" ht="18.75">
      <c r="A9" s="4143" t="s">
        <v>20</v>
      </c>
      <c r="B9" s="4226">
        <f>SUM('Произв. прогр. Вода (СВОД)'!E13)</f>
        <v>71.183083333333329</v>
      </c>
      <c r="C9" s="4226">
        <f>SUM('ПОЛНАЯ СЕБЕСТОИМОСТЬ ВОДА 2017'!C164)</f>
        <v>37.540999999999997</v>
      </c>
      <c r="D9" s="4120">
        <v>140.54</v>
      </c>
      <c r="E9" s="4226">
        <f>SUM('Произв. прогр. Вода (СВОД)'!F13)</f>
        <v>71.183083333333329</v>
      </c>
      <c r="F9" s="4226">
        <f>SUM('ПОЛНАЯ СЕБЕСТОИМОСТЬ ВОДА 2017'!D164)</f>
        <v>38.46</v>
      </c>
      <c r="G9" s="4120">
        <v>57.02</v>
      </c>
      <c r="H9" s="4226">
        <f>SUM('Произв. прогр. Вода (СВОД)'!G13)</f>
        <v>71.183083333333329</v>
      </c>
      <c r="I9" s="4226">
        <f>SUM('ПОЛНАЯ СЕБЕСТОИМОСТЬ ВОДА 2017'!E164)</f>
        <v>38.691000000000003</v>
      </c>
      <c r="J9" s="4120">
        <v>97.54</v>
      </c>
      <c r="K9" s="4281">
        <f t="shared" si="0"/>
        <v>213.54924999999997</v>
      </c>
      <c r="L9" s="4281">
        <f t="shared" si="0"/>
        <v>114.69200000000001</v>
      </c>
      <c r="M9" s="4281">
        <f t="shared" si="0"/>
        <v>295.10000000000002</v>
      </c>
      <c r="N9" s="4282">
        <f t="shared" ref="N9:N20" si="7">SUM(L9-K9)</f>
        <v>-98.857249999999965</v>
      </c>
      <c r="O9" s="4282">
        <f t="shared" ref="O9:O20" si="8">SUM(N9/K9*100)</f>
        <v>-46.29248288158351</v>
      </c>
      <c r="P9" s="4226">
        <f>SUM('Произв. прогр. Вода (СВОД)'!I13)</f>
        <v>71.183083333333329</v>
      </c>
      <c r="Q9" s="4226">
        <f>SUM('ПОЛНАЯ СЕБЕСТОИМОСТЬ ВОДА 2017'!H164)</f>
        <v>87.93</v>
      </c>
      <c r="R9" s="4120">
        <v>131.38999999999999</v>
      </c>
      <c r="S9" s="4226">
        <f>SUM('Произв. прогр. Вода (СВОД)'!J13)</f>
        <v>71.183083333333329</v>
      </c>
      <c r="T9" s="4226">
        <f>SUM('ПОЛНАЯ СЕБЕСТОИМОСТЬ ВОДА 2017'!I164)</f>
        <v>120.30800000000001</v>
      </c>
      <c r="U9" s="4120">
        <v>146.18</v>
      </c>
      <c r="V9" s="4226">
        <f>SUM('Произв. прогр. Вода (СВОД)'!K13)</f>
        <v>71.183083333333329</v>
      </c>
      <c r="W9" s="4226">
        <f>SUM('ПОЛНАЯ СЕБЕСТОИМОСТЬ ВОДА 2017'!J164)</f>
        <v>150.96799999999999</v>
      </c>
      <c r="X9" s="4120">
        <v>73.069999999999993</v>
      </c>
      <c r="Y9" s="4281">
        <f t="shared" si="1"/>
        <v>213.54924999999997</v>
      </c>
      <c r="Z9" s="4281">
        <f t="shared" si="1"/>
        <v>359.20600000000002</v>
      </c>
      <c r="AA9" s="4281">
        <f t="shared" si="1"/>
        <v>350.64</v>
      </c>
      <c r="AB9" s="4282">
        <f t="shared" ref="AB9:AB20" si="9">SUM(Z9-Y9)</f>
        <v>145.65675000000005</v>
      </c>
      <c r="AC9" s="4282">
        <f t="shared" ref="AC9:AC20" si="10">SUM(AB9/Y9*100)</f>
        <v>68.20756804343732</v>
      </c>
      <c r="AD9" s="4281">
        <f t="shared" si="2"/>
        <v>427.09849999999994</v>
      </c>
      <c r="AE9" s="4281">
        <f t="shared" si="2"/>
        <v>473.89800000000002</v>
      </c>
      <c r="AF9" s="4281">
        <f t="shared" si="2"/>
        <v>645.74</v>
      </c>
      <c r="AG9" s="4282">
        <f t="shared" ref="AG9:AG20" si="11">SUM(AE9-AD9)</f>
        <v>46.79950000000008</v>
      </c>
      <c r="AH9" s="4282">
        <f t="shared" ref="AH9:AH20" si="12">SUM(AG9/AD9*100)</f>
        <v>10.957542580926901</v>
      </c>
      <c r="AI9" s="4226">
        <f>SUM('Произв. прогр. Вода (СВОД)'!N13)</f>
        <v>71.183083333333329</v>
      </c>
      <c r="AJ9" s="4226">
        <f>SUM('ПОЛНАЯ СЕБЕСТОИМОСТЬ ВОДА 2017'!P164)</f>
        <v>152.94800000000001</v>
      </c>
      <c r="AK9" s="4120">
        <v>105.75</v>
      </c>
      <c r="AL9" s="4226">
        <f>SUM('Произв. прогр. Вода (СВОД)'!O13)</f>
        <v>71.183083333333329</v>
      </c>
      <c r="AM9" s="4226">
        <f>SUM('ПОЛНАЯ СЕБЕСТОИМОСТЬ ВОДА 2017'!Q164)</f>
        <v>138.33000000000001</v>
      </c>
      <c r="AN9" s="4120">
        <v>48.81</v>
      </c>
      <c r="AO9" s="4226">
        <f>SUM('Произв. прогр. Вода (СВОД)'!P13)</f>
        <v>71.183083333333329</v>
      </c>
      <c r="AP9" s="4226">
        <f>SUM('ПОЛНАЯ СЕБЕСТОИМОСТЬ ВОДА 2017'!R164)</f>
        <v>137.273</v>
      </c>
      <c r="AQ9" s="4120">
        <v>77.099999999999994</v>
      </c>
      <c r="AR9" s="4281">
        <f t="shared" si="3"/>
        <v>213.54924999999997</v>
      </c>
      <c r="AS9" s="4281">
        <f t="shared" si="3"/>
        <v>428.55100000000004</v>
      </c>
      <c r="AT9" s="4281">
        <f t="shared" si="3"/>
        <v>231.66</v>
      </c>
      <c r="AU9" s="4282">
        <f t="shared" ref="AU9:AU20" si="13">SUM(AS9-AR9)</f>
        <v>215.00175000000007</v>
      </c>
      <c r="AV9" s="4282">
        <f t="shared" ref="AV9:AV20" si="14">SUM(AU9/AR9*100)</f>
        <v>100.68017096758715</v>
      </c>
      <c r="AW9" s="4281">
        <f t="shared" si="4"/>
        <v>640.64774999999986</v>
      </c>
      <c r="AX9" s="4281">
        <f t="shared" si="4"/>
        <v>902.44900000000007</v>
      </c>
      <c r="AY9" s="4281">
        <f t="shared" si="4"/>
        <v>877.4</v>
      </c>
      <c r="AZ9" s="4282">
        <f t="shared" ref="AZ9:AZ20" si="15">SUM(AX9-AW9)</f>
        <v>261.80125000000021</v>
      </c>
      <c r="BA9" s="4282">
        <f t="shared" ref="BA9:BA20" si="16">SUM(AZ9/AW9*100)</f>
        <v>40.86508537648033</v>
      </c>
      <c r="BB9" s="4226">
        <f>SUM('Произв. прогр. Вода (СВОД)'!S13)</f>
        <v>71.183083333333329</v>
      </c>
      <c r="BC9" s="4226">
        <f>SUM('ПОЛНАЯ СЕБЕСТОИМОСТЬ ВОДА 2017'!X164)</f>
        <v>0</v>
      </c>
      <c r="BD9" s="4120">
        <v>147.29</v>
      </c>
      <c r="BE9" s="4226">
        <f>SUM('Произв. прогр. Вода (СВОД)'!T13)</f>
        <v>71.183083333333329</v>
      </c>
      <c r="BF9" s="4226">
        <f>SUM('ПОЛНАЯ СЕБЕСТОИМОСТЬ ВОДА 2017'!Y164)</f>
        <v>0</v>
      </c>
      <c r="BG9" s="4120">
        <v>98.74</v>
      </c>
      <c r="BH9" s="4226">
        <f>SUM('Произв. прогр. Вода (СВОД)'!U13)</f>
        <v>71.183083333333329</v>
      </c>
      <c r="BI9" s="4226">
        <f>SUM('ПОЛНАЯ СЕБЕСТОИМОСТЬ ВОДА 2017'!Z164)</f>
        <v>0</v>
      </c>
      <c r="BJ9" s="4120">
        <v>61.48</v>
      </c>
      <c r="BK9" s="4281">
        <f t="shared" si="5"/>
        <v>213.54924999999997</v>
      </c>
      <c r="BL9" s="4281">
        <f t="shared" si="5"/>
        <v>0</v>
      </c>
      <c r="BM9" s="4281">
        <f t="shared" si="5"/>
        <v>307.51</v>
      </c>
      <c r="BN9" s="4282">
        <f t="shared" ref="BN9:BN20" si="17">SUM(BL9-BK9)</f>
        <v>-213.54924999999997</v>
      </c>
      <c r="BO9" s="4282">
        <f t="shared" ref="BO9:BO20" si="18">SUM(BN9/BK9*100)</f>
        <v>-100</v>
      </c>
      <c r="BP9" s="4281">
        <f t="shared" si="6"/>
        <v>854.19699999999989</v>
      </c>
      <c r="BQ9" s="4281">
        <f t="shared" si="6"/>
        <v>902.44900000000007</v>
      </c>
      <c r="BR9" s="4281">
        <f t="shared" si="6"/>
        <v>1184.9099999999999</v>
      </c>
      <c r="BS9" s="4282">
        <f t="shared" ref="BS9:BS20" si="19">SUM(BQ9-BP9)</f>
        <v>48.25200000000018</v>
      </c>
      <c r="BT9" s="4282">
        <f t="shared" ref="BT9:BT20" si="20">SUM(BS9/BP9*100)</f>
        <v>5.6488140323602387</v>
      </c>
      <c r="BU9" s="684"/>
      <c r="BV9" s="684"/>
      <c r="BW9" s="684"/>
      <c r="BX9" s="684"/>
    </row>
    <row r="10" spans="1:76" ht="18.75">
      <c r="A10" s="4145" t="s">
        <v>389</v>
      </c>
      <c r="B10" s="4146">
        <f>SUM('Произв. прогр. Вода (СВОД)'!E14)</f>
        <v>0.15031685672640319</v>
      </c>
      <c r="C10" s="4146">
        <f>SUM('ПОЛНАЯ СЕБЕСТОИМОСТЬ ВОДА 2017'!C165)</f>
        <v>7.386325627151992E-2</v>
      </c>
      <c r="D10" s="4146">
        <f t="shared" ref="D10:G10" si="21">SUM(D9/D8)</f>
        <v>0.2493833732588058</v>
      </c>
      <c r="E10" s="4146">
        <f>SUM('Произв. прогр. Вода (СВОД)'!F14)</f>
        <v>0.15009456800734658</v>
      </c>
      <c r="F10" s="4146">
        <f>SUM('ПОЛНАЯ СЕБЕСТОИМОСТЬ ВОДА 2017'!D165)</f>
        <v>8.4585101937583854E-2</v>
      </c>
      <c r="G10" s="4146">
        <f t="shared" si="21"/>
        <v>0.12684359219629393</v>
      </c>
      <c r="H10" s="4146">
        <f>SUM('Произв. прогр. Вода (СВОД)'!G14)</f>
        <v>0.14953324537843074</v>
      </c>
      <c r="I10" s="4146">
        <f>SUM('ПОЛНАЯ СЕБЕСТОИМОСТЬ ВОДА 2017'!E165)</f>
        <v>7.7628548269303321E-2</v>
      </c>
      <c r="J10" s="4146">
        <f>SUM(J9/J8)</f>
        <v>0.18111259655377304</v>
      </c>
      <c r="K10" s="4147">
        <f t="shared" ref="K10:M10" si="22">SUM(K9/K8)</f>
        <v>0.14998083101196644</v>
      </c>
      <c r="L10" s="4147">
        <f t="shared" si="22"/>
        <v>7.8483486524807161E-2</v>
      </c>
      <c r="M10" s="4147">
        <f t="shared" si="22"/>
        <v>0.19018586785594599</v>
      </c>
      <c r="N10" s="4162">
        <f t="shared" si="7"/>
        <v>-7.1497344487159276E-2</v>
      </c>
      <c r="O10" s="4299">
        <f>SUM(N10/K10*100)</f>
        <v>-47.670988355475082</v>
      </c>
      <c r="P10" s="4146">
        <f>SUM('Произв. прогр. Вода (СВОД)'!I14)</f>
        <v>0.15162776916955242</v>
      </c>
      <c r="Q10" s="4146">
        <f>SUM('ПОЛНАЯ СЕБЕСТОИМОСТЬ ВОДА 2017'!H165)</f>
        <v>0.16325052912999891</v>
      </c>
      <c r="R10" s="4146">
        <f t="shared" ref="R10:AA10" si="23">SUM(R9/R8)</f>
        <v>0.24894370867200968</v>
      </c>
      <c r="S10" s="4146">
        <f>SUM('Произв. прогр. Вода (СВОД)'!J14)</f>
        <v>0.15466821540214151</v>
      </c>
      <c r="T10" s="4146">
        <f>SUM('ПОЛНАЯ СЕБЕСТОИМОСТЬ ВОДА 2017'!I165)</f>
        <v>0.20254451726732922</v>
      </c>
      <c r="U10" s="4146">
        <f t="shared" si="23"/>
        <v>0.24933266244232757</v>
      </c>
      <c r="V10" s="4146">
        <f>SUM('Произв. прогр. Вода (СВОД)'!K14)</f>
        <v>0.16037365064130057</v>
      </c>
      <c r="W10" s="4146">
        <f>SUM('ПОЛНАЯ СЕБЕСТОИМОСТЬ ВОДА 2017'!J165)</f>
        <v>0.24809534139238923</v>
      </c>
      <c r="X10" s="4146">
        <f t="shared" si="23"/>
        <v>0.14818044472384737</v>
      </c>
      <c r="Y10" s="4147">
        <f t="shared" si="23"/>
        <v>0.15547272708188348</v>
      </c>
      <c r="Z10" s="4147">
        <f t="shared" si="23"/>
        <v>0.20630850072166565</v>
      </c>
      <c r="AA10" s="4147">
        <f t="shared" si="23"/>
        <v>0.2181696003583895</v>
      </c>
      <c r="AB10" s="4162">
        <f t="shared" si="9"/>
        <v>5.0835773639782172E-2</v>
      </c>
      <c r="AC10" s="4162">
        <f t="shared" si="10"/>
        <v>32.697550621214923</v>
      </c>
      <c r="AD10" s="4147">
        <f t="shared" ref="AD10:AF10" si="24">SUM(AD9/AD8)</f>
        <v>0.15267740832976753</v>
      </c>
      <c r="AE10" s="4147">
        <f t="shared" si="24"/>
        <v>0.14797922723853485</v>
      </c>
      <c r="AF10" s="4147">
        <f t="shared" si="24"/>
        <v>0.20442378982091472</v>
      </c>
      <c r="AG10" s="4162">
        <f t="shared" si="11"/>
        <v>-4.6981810912326838E-3</v>
      </c>
      <c r="AH10" s="4162">
        <f>SUM(AG10/AD10)</f>
        <v>-3.077194682978306E-2</v>
      </c>
      <c r="AI10" s="4146">
        <f>SUM('Произв. прогр. Вода (СВОД)'!N14)</f>
        <v>0.16482690089280966</v>
      </c>
      <c r="AJ10" s="4146">
        <f>SUM('ПОЛНАЯ СЕБЕСТОИМОСТЬ ВОДА 2017'!P165)</f>
        <v>0.24958347815728454</v>
      </c>
      <c r="AK10" s="4146">
        <f t="shared" ref="AK10:AT10" si="25">SUM(AK9/AK8)</f>
        <v>0.19660519074886593</v>
      </c>
      <c r="AL10" s="4146">
        <f>SUM('Произв. прогр. Вода (СВОД)'!O14)</f>
        <v>0.15919170817194606</v>
      </c>
      <c r="AM10" s="4146">
        <f>SUM('ПОЛНАЯ СЕБЕСТОИМОСТЬ ВОДА 2017'!Q165)</f>
        <v>0.22486467155420456</v>
      </c>
      <c r="AN10" s="4146">
        <f t="shared" si="25"/>
        <v>0.10883428469496968</v>
      </c>
      <c r="AO10" s="4146">
        <f>SUM('Произв. прогр. Вода (СВОД)'!P14)</f>
        <v>0.15269802081222333</v>
      </c>
      <c r="AP10" s="4146">
        <f>SUM('ПОЛНАЯ СЕБЕСТОИМОСТЬ ВОДА 2017'!R165)</f>
        <v>0.22728070465909467</v>
      </c>
      <c r="AQ10" s="4146">
        <f t="shared" si="25"/>
        <v>0.14335118250780898</v>
      </c>
      <c r="AR10" s="4147">
        <f t="shared" si="25"/>
        <v>0.15875049892886473</v>
      </c>
      <c r="AS10" s="4147">
        <f t="shared" si="25"/>
        <v>0.23392994290823563</v>
      </c>
      <c r="AT10" s="4147">
        <f t="shared" si="25"/>
        <v>0.15198792809342604</v>
      </c>
      <c r="AU10" s="4162">
        <f t="shared" si="13"/>
        <v>7.5179443979370902E-2</v>
      </c>
      <c r="AV10" s="4162">
        <f>SUM(AU10/AR10)</f>
        <v>0.47356981229431233</v>
      </c>
      <c r="AW10" s="4147">
        <f t="shared" ref="AW10:AY10" si="26">SUM(AW9/AW8)</f>
        <v>0.15464947621085237</v>
      </c>
      <c r="AX10" s="4147">
        <f t="shared" si="26"/>
        <v>0.17925558941575465</v>
      </c>
      <c r="AY10" s="4147">
        <f t="shared" si="26"/>
        <v>0.18735733061714319</v>
      </c>
      <c r="AZ10" s="4162">
        <f t="shared" si="15"/>
        <v>2.4606113204902275E-2</v>
      </c>
      <c r="BA10" s="4162">
        <f t="shared" si="16"/>
        <v>15.91089333620101</v>
      </c>
      <c r="BB10" s="4146">
        <f>SUM('Произв. прогр. Вода (СВОД)'!S14)</f>
        <v>0.14953324537843074</v>
      </c>
      <c r="BC10" s="4146" t="e">
        <f>SUM('ПОЛНАЯ СЕБЕСТОИМОСТЬ ВОДА 2017'!X165)</f>
        <v>#DIV/0!</v>
      </c>
      <c r="BD10" s="4146">
        <f t="shared" ref="BD10:BM10" si="27">SUM(BD9/BD8)</f>
        <v>0.2313007427880463</v>
      </c>
      <c r="BE10" s="4146">
        <f>SUM('Произв. прогр. Вода (СВОД)'!T14)</f>
        <v>0.14953324537843074</v>
      </c>
      <c r="BF10" s="4146" t="e">
        <f>SUM('ПОЛНАЯ СЕБЕСТОИМОСТЬ ВОДА 2017'!Y165)</f>
        <v>#DIV/0!</v>
      </c>
      <c r="BG10" s="4146">
        <f t="shared" si="27"/>
        <v>0.18322508814251251</v>
      </c>
      <c r="BH10" s="4146">
        <f>SUM('Произв. прогр. Вода (СВОД)'!U14)</f>
        <v>0.14953324537843074</v>
      </c>
      <c r="BI10" s="4146" t="e">
        <f>SUM('ПОЛНАЯ СЕБЕСТОИМОСТЬ ВОДА 2017'!Z165)</f>
        <v>#DIV/0!</v>
      </c>
      <c r="BJ10" s="4146">
        <f t="shared" si="27"/>
        <v>0.12989372715556399</v>
      </c>
      <c r="BK10" s="4147">
        <f t="shared" si="27"/>
        <v>0.14953324537843071</v>
      </c>
      <c r="BL10" s="4147" t="e">
        <f t="shared" si="27"/>
        <v>#DIV/0!</v>
      </c>
      <c r="BM10" s="4147">
        <f t="shared" si="27"/>
        <v>0.18648271679805942</v>
      </c>
      <c r="BN10" s="4162" t="e">
        <f t="shared" si="17"/>
        <v>#DIV/0!</v>
      </c>
      <c r="BO10" s="4162" t="e">
        <f t="shared" si="18"/>
        <v>#DIV/0!</v>
      </c>
      <c r="BP10" s="4147">
        <f t="shared" ref="BP10:BR10" si="28">SUM(BP9/BP8)</f>
        <v>0.15333787496510748</v>
      </c>
      <c r="BQ10" s="4147">
        <f t="shared" si="28"/>
        <v>0.17925558941575465</v>
      </c>
      <c r="BR10" s="4147">
        <f t="shared" si="28"/>
        <v>0.18712956192563837</v>
      </c>
      <c r="BS10" s="4162">
        <f t="shared" si="19"/>
        <v>2.5917714450647167E-2</v>
      </c>
      <c r="BT10" s="4162">
        <f t="shared" si="20"/>
        <v>16.902356613814316</v>
      </c>
      <c r="BU10" s="684"/>
      <c r="BV10" s="684"/>
      <c r="BW10" s="684"/>
      <c r="BX10" s="684"/>
    </row>
    <row r="11" spans="1:76" ht="18.75">
      <c r="A11" s="4139" t="s">
        <v>1727</v>
      </c>
      <c r="B11" s="4214">
        <f>SUM('Произв. прогр. Вода (СВОД)'!E15)</f>
        <v>402.37048134036178</v>
      </c>
      <c r="C11" s="4214">
        <f>SUM('ПОЛНАЯ СЕБЕСТОИМОСТЬ ВОДА 2017'!C166)</f>
        <v>470.709</v>
      </c>
      <c r="D11" s="4214">
        <f t="shared" ref="D11:BR11" si="29">SUM(D8-D9)</f>
        <v>423.01</v>
      </c>
      <c r="E11" s="4214">
        <f>SUM('Произв. прогр. Вода (СВОД)'!F15)</f>
        <v>403.07180995400523</v>
      </c>
      <c r="F11" s="4214">
        <f>SUM('ПОЛНАЯ СЕБЕСТОИМОСТЬ ВОДА 2017'!D166)</f>
        <v>416.23</v>
      </c>
      <c r="G11" s="4214">
        <f t="shared" si="29"/>
        <v>392.51</v>
      </c>
      <c r="H11" s="4214">
        <f>SUM('Произв. прогр. Вода (СВОД)'!G15)</f>
        <v>404.85208298160211</v>
      </c>
      <c r="I11" s="4214">
        <f>SUM('ПОЛНАЯ СЕБЕСТОИМОСТЬ ВОДА 2017'!E166)</f>
        <v>459.721</v>
      </c>
      <c r="J11" s="4214">
        <f t="shared" si="29"/>
        <v>441.01999999999992</v>
      </c>
      <c r="K11" s="4256">
        <f t="shared" si="29"/>
        <v>1210.2943742759692</v>
      </c>
      <c r="L11" s="4256">
        <f t="shared" si="29"/>
        <v>1346.66</v>
      </c>
      <c r="M11" s="4256">
        <f t="shared" si="29"/>
        <v>1256.54</v>
      </c>
      <c r="N11" s="4280">
        <f t="shared" si="7"/>
        <v>136.36562572403091</v>
      </c>
      <c r="O11" s="4280">
        <f t="shared" si="8"/>
        <v>11.26714530137418</v>
      </c>
      <c r="P11" s="4214">
        <f>SUM('Произв. прогр. Вода (СВОД)'!I15)</f>
        <v>398.27632850919889</v>
      </c>
      <c r="Q11" s="4214">
        <f>SUM('ПОЛНАЯ СЕБЕСТОИМОСТЬ ВОДА 2017'!H166)</f>
        <v>450.69</v>
      </c>
      <c r="R11" s="4214">
        <f t="shared" si="29"/>
        <v>396.4</v>
      </c>
      <c r="S11" s="4214">
        <f>SUM('Произв. прогр. Вода (СВОД)'!J15)</f>
        <v>389.04776078842366</v>
      </c>
      <c r="T11" s="4214">
        <f>SUM('ПОЛНАЯ СЕБЕСТОИМОСТЬ ВОДА 2017'!I166)</f>
        <v>473.67499999999995</v>
      </c>
      <c r="U11" s="4214">
        <f t="shared" si="29"/>
        <v>440.10499999999996</v>
      </c>
      <c r="V11" s="4214">
        <f>SUM('Произв. прогр. Вода (СВОД)'!K15)</f>
        <v>372.67463923322993</v>
      </c>
      <c r="W11" s="4214">
        <f>SUM('ПОЛНАЯ СЕБЕСТОИМОСТЬ ВОДА 2017'!J166)</f>
        <v>457.54000000000008</v>
      </c>
      <c r="X11" s="4214">
        <f t="shared" si="29"/>
        <v>420.04500000000002</v>
      </c>
      <c r="Y11" s="4256">
        <f t="shared" si="29"/>
        <v>1159.9987285308525</v>
      </c>
      <c r="Z11" s="4256">
        <f t="shared" si="29"/>
        <v>1381.9050000000002</v>
      </c>
      <c r="AA11" s="4256">
        <f t="shared" si="29"/>
        <v>1256.5499999999997</v>
      </c>
      <c r="AB11" s="4280">
        <f t="shared" si="9"/>
        <v>221.90627146914767</v>
      </c>
      <c r="AC11" s="4280">
        <f t="shared" si="10"/>
        <v>19.129871956859272</v>
      </c>
      <c r="AD11" s="4256">
        <f t="shared" si="29"/>
        <v>2370.2931028068215</v>
      </c>
      <c r="AE11" s="4256">
        <f t="shared" si="29"/>
        <v>2728.5650000000001</v>
      </c>
      <c r="AF11" s="4256">
        <f t="shared" si="29"/>
        <v>2513.09</v>
      </c>
      <c r="AG11" s="4280">
        <f t="shared" si="11"/>
        <v>358.27189719317857</v>
      </c>
      <c r="AH11" s="4280">
        <f t="shared" si="12"/>
        <v>15.115088373202665</v>
      </c>
      <c r="AI11" s="4214">
        <f>SUM('Произв. прогр. Вода (СВОД)'!N15)</f>
        <v>360.68260696211888</v>
      </c>
      <c r="AJ11" s="4214">
        <f>SUM('ПОЛНАЯ СЕБЕСТОИМОСТЬ ВОДА 2017'!P166)</f>
        <v>459.86500000000001</v>
      </c>
      <c r="AK11" s="4214">
        <f t="shared" si="29"/>
        <v>432.13</v>
      </c>
      <c r="AL11" s="4214">
        <f>SUM('Произв. прогр. Вода (СВОД)'!O15)</f>
        <v>375.97012678516791</v>
      </c>
      <c r="AM11" s="4214">
        <f>SUM('ПОЛНАЯ СЕБЕСТОИМОСТЬ ВОДА 2017'!Q166)</f>
        <v>476.83999999999992</v>
      </c>
      <c r="AN11" s="4214">
        <f t="shared" si="29"/>
        <v>399.67</v>
      </c>
      <c r="AO11" s="4214">
        <f>SUM('Произв. прогр. Вода (СВОД)'!P15)</f>
        <v>394.98591450108518</v>
      </c>
      <c r="AP11" s="4214">
        <f>SUM('ПОЛНАЯ СЕБЕСТОИМОСТЬ ВОДА 2017'!R166)</f>
        <v>466.70699999999999</v>
      </c>
      <c r="AQ11" s="4214">
        <f t="shared" si="29"/>
        <v>460.74</v>
      </c>
      <c r="AR11" s="4256">
        <f t="shared" si="29"/>
        <v>1131.638648248372</v>
      </c>
      <c r="AS11" s="4256">
        <f t="shared" si="29"/>
        <v>1403.4119999999998</v>
      </c>
      <c r="AT11" s="4256">
        <f t="shared" si="29"/>
        <v>1292.54</v>
      </c>
      <c r="AU11" s="4280">
        <f t="shared" si="13"/>
        <v>271.77335175162784</v>
      </c>
      <c r="AV11" s="4280">
        <f t="shared" si="14"/>
        <v>24.015912868679177</v>
      </c>
      <c r="AW11" s="4256">
        <f t="shared" si="29"/>
        <v>3501.9317510551937</v>
      </c>
      <c r="AX11" s="4256">
        <f t="shared" si="29"/>
        <v>4131.9770000000008</v>
      </c>
      <c r="AY11" s="4256">
        <f t="shared" si="29"/>
        <v>3805.6299999999997</v>
      </c>
      <c r="AZ11" s="4280">
        <f t="shared" si="15"/>
        <v>630.0452489448071</v>
      </c>
      <c r="BA11" s="4280">
        <f t="shared" si="16"/>
        <v>17.991362874361084</v>
      </c>
      <c r="BB11" s="4214">
        <f>SUM('Произв. прогр. Вода (СВОД)'!S15)</f>
        <v>404.85208298160211</v>
      </c>
      <c r="BC11" s="4214">
        <f>SUM('ПОЛНАЯ СЕБЕСТОИМОСТЬ ВОДА 2017'!X166)</f>
        <v>0</v>
      </c>
      <c r="BD11" s="4214">
        <f t="shared" si="29"/>
        <v>489.5</v>
      </c>
      <c r="BE11" s="4214">
        <f>SUM('Произв. прогр. Вода (СВОД)'!T15)</f>
        <v>404.85208298160211</v>
      </c>
      <c r="BF11" s="4214">
        <f>SUM('ПОЛНАЯ СЕБЕСТОИМОСТЬ ВОДА 2017'!Y166)</f>
        <v>0</v>
      </c>
      <c r="BG11" s="4214">
        <f t="shared" si="29"/>
        <v>440.15999999999997</v>
      </c>
      <c r="BH11" s="4214">
        <f>SUM('Произв. прогр. Вода (СВОД)'!U15)</f>
        <v>404.85208298160211</v>
      </c>
      <c r="BI11" s="4214">
        <f>SUM('ПОЛНАЯ СЕБЕСТОИМОСТЬ ВОДА 2017'!Z166)</f>
        <v>0</v>
      </c>
      <c r="BJ11" s="4214">
        <f t="shared" si="29"/>
        <v>411.83</v>
      </c>
      <c r="BK11" s="4256">
        <f t="shared" si="29"/>
        <v>1214.5562489448064</v>
      </c>
      <c r="BL11" s="4256">
        <f t="shared" si="29"/>
        <v>0</v>
      </c>
      <c r="BM11" s="4256">
        <f t="shared" si="29"/>
        <v>1341.49</v>
      </c>
      <c r="BN11" s="4280">
        <f t="shared" si="17"/>
        <v>-1214.5562489448064</v>
      </c>
      <c r="BO11" s="4280">
        <f t="shared" si="18"/>
        <v>-100</v>
      </c>
      <c r="BP11" s="4256">
        <f t="shared" si="29"/>
        <v>4716.4880000000003</v>
      </c>
      <c r="BQ11" s="4256">
        <f t="shared" si="29"/>
        <v>4131.9770000000008</v>
      </c>
      <c r="BR11" s="4256">
        <f t="shared" si="29"/>
        <v>5147.12</v>
      </c>
      <c r="BS11" s="4280">
        <f t="shared" si="19"/>
        <v>-584.51099999999951</v>
      </c>
      <c r="BT11" s="4280">
        <f t="shared" si="20"/>
        <v>-12.39292880634912</v>
      </c>
      <c r="BU11" s="684"/>
      <c r="BV11" s="684"/>
      <c r="BW11" s="684"/>
      <c r="BX11" s="684"/>
    </row>
    <row r="12" spans="1:76" ht="18.75">
      <c r="A12" s="4143" t="s">
        <v>51</v>
      </c>
      <c r="B12" s="4226">
        <f>SUM('Произв. прогр. Вода (СВОД)'!E16)</f>
        <v>80.074958640361785</v>
      </c>
      <c r="C12" s="4226">
        <f>SUM('ПОЛНАЯ СЕБЕСТОИМОСТЬ ВОДА 2017'!C167)</f>
        <v>172.99900000000002</v>
      </c>
      <c r="D12" s="4226">
        <f t="shared" ref="D12:BR12" si="30">SUM(D11-D14)</f>
        <v>105.72999999999996</v>
      </c>
      <c r="E12" s="4226">
        <f>SUM('Произв. прогр. Вода (СВОД)'!F16)</f>
        <v>80.2989704540052</v>
      </c>
      <c r="F12" s="4226">
        <f>SUM('ПОЛНАЯ СЕБЕСТОИМОСТЬ ВОДА 2017'!D167)</f>
        <v>102.49000000000007</v>
      </c>
      <c r="G12" s="4226">
        <f t="shared" si="30"/>
        <v>74.38</v>
      </c>
      <c r="H12" s="4226">
        <f>SUM('Произв. прогр. Вода (СВОД)'!G16)</f>
        <v>80.867608581602099</v>
      </c>
      <c r="I12" s="4226">
        <f>SUM('ПОЛНАЯ СЕБЕСТОИМОСТЬ ВОДА 2017'!E167)</f>
        <v>158.81100000000004</v>
      </c>
      <c r="J12" s="4226">
        <f t="shared" si="30"/>
        <v>136.5499999999999</v>
      </c>
      <c r="K12" s="4281">
        <f t="shared" si="30"/>
        <v>241.24153767596908</v>
      </c>
      <c r="L12" s="4281">
        <f t="shared" si="30"/>
        <v>434.30000000000018</v>
      </c>
      <c r="M12" s="4281">
        <f t="shared" si="30"/>
        <v>316.65999999999997</v>
      </c>
      <c r="N12" s="4282">
        <f t="shared" si="7"/>
        <v>193.0584623240311</v>
      </c>
      <c r="O12" s="4282">
        <f t="shared" si="8"/>
        <v>80.027040195434111</v>
      </c>
      <c r="P12" s="4226">
        <f>SUM('Произв. прогр. Вода (СВОД)'!I16)</f>
        <v>78.767242709198911</v>
      </c>
      <c r="Q12" s="4226">
        <f>SUM('ПОЛНАЯ СЕБЕСТОИМОСТЬ ВОДА 2017'!H167)</f>
        <v>118.62</v>
      </c>
      <c r="R12" s="4226">
        <f t="shared" si="30"/>
        <v>91.699999999999989</v>
      </c>
      <c r="S12" s="4226">
        <f>SUM('Произв. прогр. Вода (СВОД)'!J16)</f>
        <v>75.819540088423707</v>
      </c>
      <c r="T12" s="4226">
        <f>SUM('ПОЛНАЯ СЕБЕСТОИМОСТЬ ВОДА 2017'!I167)</f>
        <v>165.1049999999999</v>
      </c>
      <c r="U12" s="4226">
        <f t="shared" si="30"/>
        <v>148.34499999999997</v>
      </c>
      <c r="V12" s="4226">
        <f>SUM('Произв. прогр. Вода (СВОД)'!K16)</f>
        <v>70.589791033229915</v>
      </c>
      <c r="W12" s="4226">
        <f>SUM('ПОЛНАЯ СЕБЕСТОИМОСТЬ ВОДА 2017'!J167)</f>
        <v>158.38000000000005</v>
      </c>
      <c r="X12" s="4226">
        <f t="shared" si="30"/>
        <v>133.82499999999999</v>
      </c>
      <c r="Y12" s="4281">
        <f t="shared" si="30"/>
        <v>225.17657383085248</v>
      </c>
      <c r="Z12" s="4281">
        <f t="shared" si="30"/>
        <v>442.10500000000025</v>
      </c>
      <c r="AA12" s="4281">
        <f t="shared" si="30"/>
        <v>373.86999999999978</v>
      </c>
      <c r="AB12" s="4282">
        <f t="shared" si="9"/>
        <v>216.92842616914777</v>
      </c>
      <c r="AC12" s="4282">
        <f t="shared" si="10"/>
        <v>96.337031192285338</v>
      </c>
      <c r="AD12" s="4281">
        <f t="shared" si="30"/>
        <v>466.41811150682133</v>
      </c>
      <c r="AE12" s="4281">
        <f t="shared" si="30"/>
        <v>876.40500000000043</v>
      </c>
      <c r="AF12" s="4281">
        <f t="shared" si="30"/>
        <v>690.53000000000043</v>
      </c>
      <c r="AG12" s="4282">
        <f t="shared" si="11"/>
        <v>409.98688849317909</v>
      </c>
      <c r="AH12" s="4282">
        <f t="shared" si="12"/>
        <v>87.901151001333503</v>
      </c>
      <c r="AI12" s="4226">
        <f>SUM('Произв. прогр. Вода (СВОД)'!N16)</f>
        <v>66.75940846211887</v>
      </c>
      <c r="AJ12" s="4226">
        <f>SUM('ПОЛНАЯ СЕБЕСТОИМОСТЬ ВОДА 2017'!P167)</f>
        <v>194.23500000000001</v>
      </c>
      <c r="AK12" s="4226">
        <f t="shared" si="30"/>
        <v>171.71999999999997</v>
      </c>
      <c r="AL12" s="4226">
        <f>SUM('Произв. прогр. Вода (СВОД)'!O16)</f>
        <v>71.642404785167969</v>
      </c>
      <c r="AM12" s="4226">
        <f>SUM('ПОЛНАЯ СЕБЕСТОИМОСТЬ ВОДА 2017'!Q167)</f>
        <v>197.90334999999988</v>
      </c>
      <c r="AN12" s="4226">
        <f t="shared" si="30"/>
        <v>108.89000000000004</v>
      </c>
      <c r="AO12" s="4226">
        <f>SUM('Произв. прогр. Вода (СВОД)'!P16)</f>
        <v>77.716249501085201</v>
      </c>
      <c r="AP12" s="4226">
        <f>SUM('ПОЛНАЯ СЕБЕСТОИМОСТЬ ВОДА 2017'!R167)</f>
        <v>155.05699999999996</v>
      </c>
      <c r="AQ12" s="4226">
        <f t="shared" si="30"/>
        <v>163.36000000000001</v>
      </c>
      <c r="AR12" s="4281">
        <f t="shared" si="30"/>
        <v>216.11806274837204</v>
      </c>
      <c r="AS12" s="4281">
        <f t="shared" si="30"/>
        <v>547.19534999999996</v>
      </c>
      <c r="AT12" s="4281">
        <f t="shared" si="30"/>
        <v>443.97</v>
      </c>
      <c r="AU12" s="4282">
        <f t="shared" si="13"/>
        <v>331.07728725162792</v>
      </c>
      <c r="AV12" s="4282">
        <f t="shared" si="14"/>
        <v>153.19278871988772</v>
      </c>
      <c r="AW12" s="4281">
        <f t="shared" si="30"/>
        <v>682.5361742551936</v>
      </c>
      <c r="AX12" s="4281">
        <f t="shared" si="30"/>
        <v>1423.6003500000011</v>
      </c>
      <c r="AY12" s="4281">
        <f t="shared" si="30"/>
        <v>1134.5</v>
      </c>
      <c r="AZ12" s="4282">
        <f t="shared" si="15"/>
        <v>741.06417574480747</v>
      </c>
      <c r="BA12" s="4282">
        <f t="shared" si="16"/>
        <v>108.57507685266377</v>
      </c>
      <c r="BB12" s="4226">
        <f>SUM('Произв. прогр. Вода (СВОД)'!S16)</f>
        <v>80.867608581602099</v>
      </c>
      <c r="BC12" s="4226">
        <f>SUM('ПОЛНАЯ СЕБЕСТОИМОСТЬ ВОДА 2017'!X167)</f>
        <v>0</v>
      </c>
      <c r="BD12" s="4226">
        <f t="shared" si="30"/>
        <v>193.14999999999998</v>
      </c>
      <c r="BE12" s="4226">
        <f>SUM('Произв. прогр. Вода (СВОД)'!T16)</f>
        <v>80.867608581602099</v>
      </c>
      <c r="BF12" s="4226">
        <f>SUM('ПОЛНАЯ СЕБЕСТОИМОСТЬ ВОДА 2017'!Y167)</f>
        <v>0</v>
      </c>
      <c r="BG12" s="4226">
        <f t="shared" si="30"/>
        <v>131.44</v>
      </c>
      <c r="BH12" s="4226">
        <f>SUM('Произв. прогр. Вода (СВОД)'!U16)</f>
        <v>80.867608581602099</v>
      </c>
      <c r="BI12" s="4226">
        <f>SUM('ПОЛНАЯ СЕБЕСТОИМОСТЬ ВОДА 2017'!Z167)</f>
        <v>0</v>
      </c>
      <c r="BJ12" s="4226">
        <f t="shared" si="30"/>
        <v>119.28999999999996</v>
      </c>
      <c r="BK12" s="4281">
        <f t="shared" si="30"/>
        <v>242.60282574480641</v>
      </c>
      <c r="BL12" s="4281">
        <f t="shared" si="30"/>
        <v>0</v>
      </c>
      <c r="BM12" s="4281">
        <f t="shared" si="30"/>
        <v>443.87999999999988</v>
      </c>
      <c r="BN12" s="4282">
        <f t="shared" si="17"/>
        <v>-242.60282574480641</v>
      </c>
      <c r="BO12" s="4282">
        <f t="shared" si="18"/>
        <v>-100</v>
      </c>
      <c r="BP12" s="4281">
        <f t="shared" si="30"/>
        <v>925.13900000000012</v>
      </c>
      <c r="BQ12" s="4281">
        <f t="shared" si="30"/>
        <v>1423.6003500000011</v>
      </c>
      <c r="BR12" s="4281">
        <f t="shared" si="30"/>
        <v>1578.38</v>
      </c>
      <c r="BS12" s="4282">
        <f t="shared" si="19"/>
        <v>498.46135000000095</v>
      </c>
      <c r="BT12" s="4282">
        <f t="shared" si="20"/>
        <v>53.879617008903622</v>
      </c>
      <c r="BU12" s="684"/>
      <c r="BV12" s="684"/>
      <c r="BW12" s="684"/>
      <c r="BX12" s="684"/>
    </row>
    <row r="13" spans="1:76" ht="18.75">
      <c r="A13" s="4145" t="s">
        <v>117</v>
      </c>
      <c r="B13" s="4146">
        <f>SUM('Произв. прогр. Вода (СВОД)'!E17)</f>
        <v>0.19900803451987586</v>
      </c>
      <c r="C13" s="4146">
        <f>SUM('ПОЛНАЯ СЕБЕСТОИМОСТЬ ВОДА 2017'!C168)</f>
        <v>0.36752855798380746</v>
      </c>
      <c r="D13" s="4146">
        <f t="shared" ref="D13:BR13" si="31">SUM(D12/D11)</f>
        <v>0.2499468097680905</v>
      </c>
      <c r="E13" s="4146">
        <f>SUM('Произв. прогр. Вода (СВОД)'!F17)</f>
        <v>0.19921753015465946</v>
      </c>
      <c r="F13" s="4146">
        <f>SUM('ПОЛНАЯ СЕБЕСТОИМОСТЬ ВОДА 2017'!D168)</f>
        <v>0.24623405328784581</v>
      </c>
      <c r="G13" s="4146">
        <f t="shared" si="31"/>
        <v>0.18949835672976484</v>
      </c>
      <c r="H13" s="4146">
        <f>SUM('Произв. прогр. Вода (СВОД)'!G17)</f>
        <v>0.19974606030439271</v>
      </c>
      <c r="I13" s="4146">
        <f>SUM('ПОЛНАЯ СЕБЕСТОИМОСТЬ ВОДА 2017'!E168)</f>
        <v>0.34545082778467817</v>
      </c>
      <c r="J13" s="4146">
        <f t="shared" si="31"/>
        <v>0.30962314634256932</v>
      </c>
      <c r="K13" s="4147">
        <f t="shared" si="31"/>
        <v>0.19932467902305692</v>
      </c>
      <c r="L13" s="4147">
        <f t="shared" si="31"/>
        <v>0.32250159654255728</v>
      </c>
      <c r="M13" s="4147">
        <f t="shared" si="31"/>
        <v>0.25200948636732612</v>
      </c>
      <c r="N13" s="4162">
        <f t="shared" si="7"/>
        <v>0.12317691751950036</v>
      </c>
      <c r="O13" s="4162">
        <f t="shared" si="8"/>
        <v>61.797123227902873</v>
      </c>
      <c r="P13" s="4146">
        <f>SUM('Произв. прогр. Вода (СВОД)'!I17)</f>
        <v>0.19777033449121906</v>
      </c>
      <c r="Q13" s="4146">
        <f>SUM('ПОЛНАЯ СЕБЕСТОИМОСТЬ ВОДА 2017'!H168)</f>
        <v>0.26319643213738936</v>
      </c>
      <c r="R13" s="4146">
        <f t="shared" si="31"/>
        <v>0.23133198789101916</v>
      </c>
      <c r="S13" s="4146">
        <f>SUM('Произв. прогр. Вода (СВОД)'!J17)</f>
        <v>0.19488491576142689</v>
      </c>
      <c r="T13" s="4146">
        <f>SUM('ПОЛНАЯ СЕБЕСТОИМОСТЬ ВОДА 2017'!I168)</f>
        <v>0.34856177759011964</v>
      </c>
      <c r="U13" s="4146">
        <f t="shared" si="31"/>
        <v>0.33706729076015945</v>
      </c>
      <c r="V13" s="4146">
        <f>SUM('Произв. прогр. Вода (СВОД)'!K17)</f>
        <v>0.18941399172872855</v>
      </c>
      <c r="W13" s="4146">
        <f>SUM('ПОЛНАЯ СЕБЕСТОИМОСТЬ ВОДА 2017'!J168)</f>
        <v>0.34615552738558381</v>
      </c>
      <c r="X13" s="4146">
        <f t="shared" si="31"/>
        <v>0.31859681700770154</v>
      </c>
      <c r="Y13" s="4147">
        <f t="shared" si="31"/>
        <v>0.19411794883261671</v>
      </c>
      <c r="Z13" s="4147">
        <f t="shared" si="31"/>
        <v>0.31992430738726624</v>
      </c>
      <c r="AA13" s="4147">
        <f t="shared" si="31"/>
        <v>0.29753690660936682</v>
      </c>
      <c r="AB13" s="4162">
        <f t="shared" si="9"/>
        <v>0.12580635855464953</v>
      </c>
      <c r="AC13" s="4162">
        <f t="shared" si="10"/>
        <v>64.809235473186135</v>
      </c>
      <c r="AD13" s="4147">
        <f t="shared" si="31"/>
        <v>0.19677655516716674</v>
      </c>
      <c r="AE13" s="4147">
        <f t="shared" si="31"/>
        <v>0.32119630648344477</v>
      </c>
      <c r="AF13" s="4147">
        <f t="shared" si="31"/>
        <v>0.27477328706890736</v>
      </c>
      <c r="AG13" s="4162">
        <f t="shared" si="11"/>
        <v>0.12441975131627803</v>
      </c>
      <c r="AH13" s="4162">
        <f>SUM(AG13/AD13)</f>
        <v>0.63228950832369357</v>
      </c>
      <c r="AI13" s="4146">
        <f>SUM('Произв. прогр. Вода (СВОД)'!N17)</f>
        <v>0.18509184300403583</v>
      </c>
      <c r="AJ13" s="4146">
        <f>SUM('ПОЛНАЯ СЕБЕСТОИМОСТЬ ВОДА 2017'!P168)</f>
        <v>0.42237395757450558</v>
      </c>
      <c r="AK13" s="4146">
        <f t="shared" si="31"/>
        <v>0.39738041792978956</v>
      </c>
      <c r="AL13" s="4146">
        <f>SUM('Произв. прогр. Вода (СВОД)'!O17)</f>
        <v>0.19055345007797644</v>
      </c>
      <c r="AM13" s="4146">
        <f>SUM('ПОЛНАЯ СЕБЕСТОИМОСТЬ ВОДА 2017'!Q168)</f>
        <v>0.41503093280765019</v>
      </c>
      <c r="AN13" s="4146">
        <f t="shared" si="31"/>
        <v>0.2724497710611255</v>
      </c>
      <c r="AO13" s="4146">
        <f>SUM('Произв. прогр. Вода (СВОД)'!P17)</f>
        <v>0.19675701499191481</v>
      </c>
      <c r="AP13" s="4146">
        <f>SUM('ПОЛНАЯ СЕБЕСТОИМОСТЬ ВОДА 2017'!R168)</f>
        <v>0.33223628529248533</v>
      </c>
      <c r="AQ13" s="4146">
        <f t="shared" si="31"/>
        <v>0.3545600555627903</v>
      </c>
      <c r="AR13" s="4147">
        <f t="shared" si="31"/>
        <v>0.19097797966064028</v>
      </c>
      <c r="AS13" s="4147">
        <f t="shared" si="31"/>
        <v>0.38990357072620158</v>
      </c>
      <c r="AT13" s="4147">
        <f t="shared" si="31"/>
        <v>0.3434864685038761</v>
      </c>
      <c r="AU13" s="4162">
        <f t="shared" si="13"/>
        <v>0.19892559106556129</v>
      </c>
      <c r="AV13" s="4162">
        <f>SUM(AU13/AR13)</f>
        <v>1.0416153287360332</v>
      </c>
      <c r="AW13" s="4147">
        <f t="shared" si="31"/>
        <v>0.19490276303915216</v>
      </c>
      <c r="AX13" s="4147">
        <f t="shared" si="31"/>
        <v>0.34453249618766046</v>
      </c>
      <c r="AY13" s="4147">
        <f t="shared" si="31"/>
        <v>0.29811095666157772</v>
      </c>
      <c r="AZ13" s="4162">
        <f t="shared" si="15"/>
        <v>0.1496297331485083</v>
      </c>
      <c r="BA13" s="4162">
        <f t="shared" si="16"/>
        <v>76.771478667262713</v>
      </c>
      <c r="BB13" s="4146">
        <f>SUM('Произв. прогр. Вода (СВОД)'!S17)</f>
        <v>0.19974606030439271</v>
      </c>
      <c r="BC13" s="4146" t="e">
        <f>SUM('ПОЛНАЯ СЕБЕСТОИМОСТЬ ВОДА 2017'!X168)</f>
        <v>#DIV/0!</v>
      </c>
      <c r="BD13" s="4146">
        <f t="shared" si="31"/>
        <v>0.39458631256384058</v>
      </c>
      <c r="BE13" s="4146">
        <f>SUM('Произв. прогр. Вода (СВОД)'!T17)</f>
        <v>0.19974606030439271</v>
      </c>
      <c r="BF13" s="4146" t="e">
        <f>SUM('ПОЛНАЯ СЕБЕСТОИМОСТЬ ВОДА 2017'!Y168)</f>
        <v>#DIV/0!</v>
      </c>
      <c r="BG13" s="4146">
        <f t="shared" si="31"/>
        <v>0.29861868411486736</v>
      </c>
      <c r="BH13" s="4146">
        <f>SUM('Произв. прогр. Вода (СВОД)'!U17)</f>
        <v>0.19974606030439271</v>
      </c>
      <c r="BI13" s="4146" t="e">
        <f>SUM('ПОЛНАЯ СЕБЕСТОИМОСТЬ ВОДА 2017'!Z168)</f>
        <v>#DIV/0!</v>
      </c>
      <c r="BJ13" s="4146">
        <f t="shared" si="31"/>
        <v>0.28965835417526642</v>
      </c>
      <c r="BK13" s="4147">
        <f t="shared" si="31"/>
        <v>0.19974606030439279</v>
      </c>
      <c r="BL13" s="4147" t="e">
        <f t="shared" si="31"/>
        <v>#DIV/0!</v>
      </c>
      <c r="BM13" s="4147">
        <f t="shared" si="31"/>
        <v>0.33088580608129758</v>
      </c>
      <c r="BN13" s="4162" t="e">
        <f t="shared" si="17"/>
        <v>#DIV/0!</v>
      </c>
      <c r="BO13" s="4162" t="e">
        <f t="shared" si="18"/>
        <v>#DIV/0!</v>
      </c>
      <c r="BP13" s="4147">
        <f t="shared" si="31"/>
        <v>0.19614997430291353</v>
      </c>
      <c r="BQ13" s="4147">
        <f t="shared" si="31"/>
        <v>0.34453249618766046</v>
      </c>
      <c r="BR13" s="4147">
        <f t="shared" si="31"/>
        <v>0.30665304092385648</v>
      </c>
      <c r="BS13" s="4162">
        <f t="shared" si="19"/>
        <v>0.14838252188474693</v>
      </c>
      <c r="BT13" s="4162">
        <f t="shared" si="20"/>
        <v>75.64748474328141</v>
      </c>
      <c r="BU13" s="684"/>
      <c r="BV13" s="684"/>
      <c r="BW13" s="684"/>
      <c r="BX13" s="684"/>
    </row>
    <row r="14" spans="1:76" ht="18.75">
      <c r="A14" s="4139" t="s">
        <v>1728</v>
      </c>
      <c r="B14" s="4214">
        <f>SUM('Произв. прогр. Вода (СВОД)'!E18)</f>
        <v>322.29552269999999</v>
      </c>
      <c r="C14" s="4214">
        <f>SUM('ПОЛНАЯ СЕБЕСТОИМОСТЬ ВОДА 2017'!C169)</f>
        <v>297.70999999999998</v>
      </c>
      <c r="D14" s="4214">
        <f t="shared" ref="D14:BR14" si="32">SUM(D15+D16+D18)</f>
        <v>317.28000000000003</v>
      </c>
      <c r="E14" s="4214">
        <f>SUM('Произв. прогр. Вода (СВОД)'!F18)</f>
        <v>322.77283950000003</v>
      </c>
      <c r="F14" s="4214">
        <f>SUM('ПОЛНАЯ СЕБЕСТОИМОСТЬ ВОДА 2017'!D169)</f>
        <v>313.73999999999995</v>
      </c>
      <c r="G14" s="4214">
        <f t="shared" si="32"/>
        <v>318.13</v>
      </c>
      <c r="H14" s="4214">
        <f>SUM('Произв. прогр. Вода (СВОД)'!G18)</f>
        <v>323.98447440000001</v>
      </c>
      <c r="I14" s="4214">
        <f>SUM('ПОЛНАЯ СЕБЕСТОИМОСТЬ ВОДА 2017'!E169)</f>
        <v>300.90999999999997</v>
      </c>
      <c r="J14" s="4214">
        <f t="shared" si="32"/>
        <v>304.47000000000003</v>
      </c>
      <c r="K14" s="4256">
        <f t="shared" si="32"/>
        <v>969.05283660000009</v>
      </c>
      <c r="L14" s="4256">
        <f t="shared" si="32"/>
        <v>912.3599999999999</v>
      </c>
      <c r="M14" s="4256">
        <f t="shared" si="32"/>
        <v>939.88</v>
      </c>
      <c r="N14" s="4280">
        <f t="shared" si="7"/>
        <v>-56.692836600000192</v>
      </c>
      <c r="O14" s="4280">
        <f t="shared" si="8"/>
        <v>-5.8503349310561408</v>
      </c>
      <c r="P14" s="4214">
        <f>SUM('Произв. прогр. Вода (СВОД)'!I18)</f>
        <v>319.50908579999998</v>
      </c>
      <c r="Q14" s="4214">
        <f>SUM('ПОЛНАЯ СЕБЕСТОИМОСТЬ ВОДА 2017'!H169)</f>
        <v>332.07</v>
      </c>
      <c r="R14" s="4214">
        <f t="shared" si="32"/>
        <v>304.7</v>
      </c>
      <c r="S14" s="4214">
        <f>SUM('Произв. прогр. Вода (СВОД)'!J18)</f>
        <v>313.22822069999995</v>
      </c>
      <c r="T14" s="4214">
        <f>SUM('ПОЛНАЯ СЕБЕСТОИМОСТЬ ВОДА 2017'!I169)</f>
        <v>308.57000000000005</v>
      </c>
      <c r="U14" s="4214">
        <f t="shared" si="32"/>
        <v>291.76</v>
      </c>
      <c r="V14" s="4214">
        <f>SUM('Произв. прогр. Вода (СВОД)'!K18)</f>
        <v>302.08484820000001</v>
      </c>
      <c r="W14" s="4214">
        <f>SUM('ПОЛНАЯ СЕБЕСТОИМОСТЬ ВОДА 2017'!J169)</f>
        <v>299.16000000000003</v>
      </c>
      <c r="X14" s="4214">
        <f t="shared" si="32"/>
        <v>286.22000000000003</v>
      </c>
      <c r="Y14" s="4256">
        <f t="shared" si="32"/>
        <v>934.82215470000006</v>
      </c>
      <c r="Z14" s="4256">
        <f t="shared" si="32"/>
        <v>939.8</v>
      </c>
      <c r="AA14" s="4256">
        <f t="shared" si="32"/>
        <v>882.68</v>
      </c>
      <c r="AB14" s="4280">
        <f t="shared" si="9"/>
        <v>4.977845299999899</v>
      </c>
      <c r="AC14" s="4280">
        <f t="shared" si="10"/>
        <v>0.5324911562025797</v>
      </c>
      <c r="AD14" s="4256">
        <f t="shared" si="32"/>
        <v>1903.8749913000001</v>
      </c>
      <c r="AE14" s="4256">
        <f t="shared" si="32"/>
        <v>1852.1599999999996</v>
      </c>
      <c r="AF14" s="4256">
        <f t="shared" si="32"/>
        <v>1822.5599999999997</v>
      </c>
      <c r="AG14" s="4280">
        <f t="shared" si="11"/>
        <v>-51.71499130000052</v>
      </c>
      <c r="AH14" s="4280">
        <f t="shared" si="12"/>
        <v>-2.7163018336980516</v>
      </c>
      <c r="AI14" s="4214">
        <f>SUM('Произв. прогр. Вода (СВОД)'!N18)</f>
        <v>293.92319850000001</v>
      </c>
      <c r="AJ14" s="4214">
        <f>SUM('ПОЛНАЯ СЕБЕСТОИМОСТЬ ВОДА 2017'!P169)</f>
        <v>265.63</v>
      </c>
      <c r="AK14" s="4214">
        <f t="shared" si="32"/>
        <v>260.41000000000003</v>
      </c>
      <c r="AL14" s="4214">
        <f>SUM('Произв. прогр. Вода (СВОД)'!O18)</f>
        <v>304.32772199999994</v>
      </c>
      <c r="AM14" s="4214">
        <f>SUM('ПОЛНАЯ СЕБЕСТОИМОСТЬ ВОДА 2017'!Q169)</f>
        <v>278.93665000000004</v>
      </c>
      <c r="AN14" s="4214">
        <f t="shared" si="32"/>
        <v>290.77999999999997</v>
      </c>
      <c r="AO14" s="4214">
        <f>SUM('Произв. прогр. Вода (СВОД)'!P18)</f>
        <v>317.26966499999997</v>
      </c>
      <c r="AP14" s="4214">
        <f>SUM('ПОЛНАЯ СЕБЕСТОИМОСТЬ ВОДА 2017'!R169)</f>
        <v>311.65000000000003</v>
      </c>
      <c r="AQ14" s="4214">
        <f t="shared" si="32"/>
        <v>297.38</v>
      </c>
      <c r="AR14" s="4256">
        <f t="shared" si="32"/>
        <v>915.52058549999992</v>
      </c>
      <c r="AS14" s="4256">
        <f t="shared" si="32"/>
        <v>856.21664999999985</v>
      </c>
      <c r="AT14" s="4256">
        <f t="shared" si="32"/>
        <v>848.56999999999994</v>
      </c>
      <c r="AU14" s="4280">
        <f t="shared" si="13"/>
        <v>-59.30393550000008</v>
      </c>
      <c r="AV14" s="4280">
        <f t="shared" si="14"/>
        <v>-6.4776190114405772</v>
      </c>
      <c r="AW14" s="4256">
        <f t="shared" si="32"/>
        <v>2819.3955768000001</v>
      </c>
      <c r="AX14" s="4256">
        <f t="shared" si="32"/>
        <v>2708.3766499999997</v>
      </c>
      <c r="AY14" s="4256">
        <f t="shared" si="32"/>
        <v>2671.1299999999997</v>
      </c>
      <c r="AZ14" s="4280">
        <f t="shared" si="15"/>
        <v>-111.01892680000037</v>
      </c>
      <c r="BA14" s="4280">
        <f t="shared" si="16"/>
        <v>-3.9376853575831419</v>
      </c>
      <c r="BB14" s="4214">
        <f>SUM('Произв. прогр. Вода (СВОД)'!S18)</f>
        <v>323.98447440000001</v>
      </c>
      <c r="BC14" s="4214">
        <f>SUM('ПОЛНАЯ СЕБЕСТОИМОСТЬ ВОДА 2017'!X169)</f>
        <v>0</v>
      </c>
      <c r="BD14" s="4214">
        <f t="shared" si="32"/>
        <v>296.35000000000002</v>
      </c>
      <c r="BE14" s="4214">
        <f>SUM('Произв. прогр. Вода (СВОД)'!T18)</f>
        <v>323.98447440000001</v>
      </c>
      <c r="BF14" s="4214">
        <f>SUM('ПОЛНАЯ СЕБЕСТОИМОСТЬ ВОДА 2017'!Y169)</f>
        <v>0</v>
      </c>
      <c r="BG14" s="4214">
        <f t="shared" si="32"/>
        <v>308.71999999999997</v>
      </c>
      <c r="BH14" s="4214">
        <f>SUM('Произв. прогр. Вода (СВОД)'!U18)</f>
        <v>323.98447440000001</v>
      </c>
      <c r="BI14" s="4214">
        <f>SUM('ПОЛНАЯ СЕБЕСТОИМОСТЬ ВОДА 2017'!Z169)</f>
        <v>0</v>
      </c>
      <c r="BJ14" s="4214">
        <f t="shared" si="32"/>
        <v>292.54000000000002</v>
      </c>
      <c r="BK14" s="4256">
        <f t="shared" si="32"/>
        <v>971.95342319999997</v>
      </c>
      <c r="BL14" s="4256">
        <f t="shared" si="32"/>
        <v>0</v>
      </c>
      <c r="BM14" s="4256">
        <f t="shared" si="32"/>
        <v>897.61000000000013</v>
      </c>
      <c r="BN14" s="4280">
        <f t="shared" si="17"/>
        <v>-971.95342319999997</v>
      </c>
      <c r="BO14" s="4280">
        <f t="shared" si="18"/>
        <v>-100</v>
      </c>
      <c r="BP14" s="4256">
        <f t="shared" si="32"/>
        <v>3791.3490000000002</v>
      </c>
      <c r="BQ14" s="4256">
        <f>SUM(BQ15+BQ16+BQ18)</f>
        <v>2708.3766499999997</v>
      </c>
      <c r="BR14" s="4256">
        <f t="shared" si="32"/>
        <v>3568.74</v>
      </c>
      <c r="BS14" s="4280">
        <f t="shared" si="19"/>
        <v>-1082.9723500000005</v>
      </c>
      <c r="BT14" s="4280">
        <f t="shared" si="20"/>
        <v>-28.564301255305182</v>
      </c>
      <c r="BU14" s="684"/>
      <c r="BV14" s="684"/>
      <c r="BW14" s="684"/>
      <c r="BX14" s="684"/>
    </row>
    <row r="15" spans="1:76" ht="18.75">
      <c r="A15" s="4143" t="s">
        <v>24</v>
      </c>
      <c r="B15" s="4226">
        <f>SUM('Произв. прогр. Вода (СВОД)'!E19)</f>
        <v>204.67999999999998</v>
      </c>
      <c r="C15" s="4226">
        <f>SUM('ПОЛНАЯ СЕБЕСТОИМОСТЬ ВОДА 2017'!C170)</f>
        <v>191.23</v>
      </c>
      <c r="D15" s="4120">
        <v>205.65</v>
      </c>
      <c r="E15" s="4226">
        <f>SUM('Произв. прогр. Вода (СВОД)'!F19)</f>
        <v>202.3</v>
      </c>
      <c r="F15" s="4226">
        <f>SUM('ПОЛНАЯ СЕБЕСТОИМОСТЬ ВОДА 2017'!D170)</f>
        <v>200.57</v>
      </c>
      <c r="G15" s="4120">
        <v>205.56</v>
      </c>
      <c r="H15" s="4226">
        <f>SUM('Произв. прогр. Вода (СВОД)'!G19)</f>
        <v>203.25199999999998</v>
      </c>
      <c r="I15" s="4226">
        <f>SUM('ПОЛНАЯ СЕБЕСТОИМОСТЬ ВОДА 2017'!E170)</f>
        <v>200.87</v>
      </c>
      <c r="J15" s="4120">
        <v>193.07</v>
      </c>
      <c r="K15" s="4281">
        <f t="shared" ref="K15:M17" si="33">SUM(B15+E15+H15)</f>
        <v>610.23199999999997</v>
      </c>
      <c r="L15" s="4281">
        <f t="shared" si="33"/>
        <v>592.66999999999996</v>
      </c>
      <c r="M15" s="4281">
        <f t="shared" si="33"/>
        <v>604.28</v>
      </c>
      <c r="N15" s="4282">
        <f t="shared" si="7"/>
        <v>-17.562000000000012</v>
      </c>
      <c r="O15" s="4282">
        <f t="shared" si="8"/>
        <v>-2.8779218395626605</v>
      </c>
      <c r="P15" s="4226">
        <f>SUM('Произв. прогр. Вода (СВОД)'!I19)</f>
        <v>200.63399999999999</v>
      </c>
      <c r="Q15" s="4226">
        <f>SUM('ПОЛНАЯ СЕБЕСТОИМОСТЬ ВОДА 2017'!H170)</f>
        <v>226.93</v>
      </c>
      <c r="R15" s="4120">
        <v>192.68</v>
      </c>
      <c r="S15" s="4226">
        <f>SUM('Произв. прогр. Вода (СВОД)'!J19)</f>
        <v>195.15999999999997</v>
      </c>
      <c r="T15" s="4226">
        <f>SUM('ПОЛНАЯ СЕБЕСТОИМОСТЬ ВОДА 2017'!I170)</f>
        <v>207.3</v>
      </c>
      <c r="U15" s="4120">
        <v>190.32</v>
      </c>
      <c r="V15" s="4226">
        <f>SUM('Произв. прогр. Вода (СВОД)'!K19)</f>
        <v>187.78199999999998</v>
      </c>
      <c r="W15" s="4226">
        <f>SUM('ПОЛНАЯ СЕБЕСТОИМОСТЬ ВОДА 2017'!J170)</f>
        <v>196.74</v>
      </c>
      <c r="X15" s="4120">
        <v>184.56</v>
      </c>
      <c r="Y15" s="4281">
        <f t="shared" ref="Y15:AA17" si="34">SUM(P15+S15+V15)</f>
        <v>583.57600000000002</v>
      </c>
      <c r="Z15" s="4281">
        <f t="shared" si="34"/>
        <v>630.97</v>
      </c>
      <c r="AA15" s="4281">
        <f t="shared" si="34"/>
        <v>567.55999999999995</v>
      </c>
      <c r="AB15" s="4282">
        <f t="shared" si="9"/>
        <v>47.394000000000005</v>
      </c>
      <c r="AC15" s="4282">
        <f t="shared" si="10"/>
        <v>8.1213072504695205</v>
      </c>
      <c r="AD15" s="4281">
        <f t="shared" ref="AD15:AF17" si="35">SUM(K15+Y15)</f>
        <v>1193.808</v>
      </c>
      <c r="AE15" s="4281">
        <f t="shared" si="35"/>
        <v>1223.6399999999999</v>
      </c>
      <c r="AF15" s="4281">
        <f t="shared" si="35"/>
        <v>1171.8399999999999</v>
      </c>
      <c r="AG15" s="4282">
        <f t="shared" si="11"/>
        <v>29.83199999999988</v>
      </c>
      <c r="AH15" s="4282">
        <f t="shared" si="12"/>
        <v>2.4988942945599191</v>
      </c>
      <c r="AI15" s="4226">
        <f>SUM('Произв. прогр. Вода (СВОД)'!N19)</f>
        <v>185.40199999999999</v>
      </c>
      <c r="AJ15" s="4226">
        <f>SUM('ПОЛНАЯ СЕБЕСТОИМОСТЬ ВОДА 2017'!P170)</f>
        <v>181.39</v>
      </c>
      <c r="AK15" s="4120">
        <v>176.92</v>
      </c>
      <c r="AL15" s="4226">
        <f>SUM('Произв. прогр. Вода (СВОД)'!O19)</f>
        <v>193.01799999999997</v>
      </c>
      <c r="AM15" s="4226">
        <f>SUM('ПОЛНАЯ СЕБЕСТОИМОСТЬ ВОДА 2017'!Q170)</f>
        <v>193.56</v>
      </c>
      <c r="AN15" s="4120">
        <v>202.13</v>
      </c>
      <c r="AO15" s="4226">
        <f>SUM('Произв. прогр. Вода (СВОД)'!P19)</f>
        <v>198.01599999999999</v>
      </c>
      <c r="AP15" s="4226">
        <f>SUM('ПОЛНАЯ СЕБЕСТОИМОСТЬ ВОДА 2017'!R170)</f>
        <v>201.08</v>
      </c>
      <c r="AQ15" s="4120">
        <v>193.28</v>
      </c>
      <c r="AR15" s="4281">
        <f t="shared" ref="AR15:AT17" si="36">SUM(AI15+AL15+AO15)</f>
        <v>576.43599999999992</v>
      </c>
      <c r="AS15" s="4281">
        <f t="shared" si="36"/>
        <v>576.03</v>
      </c>
      <c r="AT15" s="4281">
        <f t="shared" si="36"/>
        <v>572.32999999999993</v>
      </c>
      <c r="AU15" s="4282">
        <f t="shared" si="13"/>
        <v>-0.40599999999994907</v>
      </c>
      <c r="AV15" s="4282">
        <f t="shared" si="14"/>
        <v>-7.0432797396406385E-2</v>
      </c>
      <c r="AW15" s="4281">
        <f t="shared" ref="AW15:AY17" si="37">SUM(AD15+AR15)</f>
        <v>1770.2439999999999</v>
      </c>
      <c r="AX15" s="4281">
        <f t="shared" si="37"/>
        <v>1799.6699999999998</v>
      </c>
      <c r="AY15" s="4281">
        <f t="shared" si="37"/>
        <v>1744.1699999999998</v>
      </c>
      <c r="AZ15" s="4282">
        <f t="shared" si="15"/>
        <v>29.425999999999931</v>
      </c>
      <c r="BA15" s="4282">
        <f t="shared" si="16"/>
        <v>1.6622567284509893</v>
      </c>
      <c r="BB15" s="4226">
        <f>SUM('Произв. прогр. Вода (СВОД)'!S19)</f>
        <v>203.25199999999998</v>
      </c>
      <c r="BC15" s="4226">
        <f>SUM('ПОЛНАЯ СЕБЕСТОИМОСТЬ ВОДА 2017'!X170)</f>
        <v>0</v>
      </c>
      <c r="BD15" s="4120">
        <v>191.89</v>
      </c>
      <c r="BE15" s="4226">
        <f>SUM('Произв. прогр. Вода (СВОД)'!T19)</f>
        <v>203.25199999999998</v>
      </c>
      <c r="BF15" s="4226">
        <f>SUM('ПОЛНАЯ СЕБЕСТОИМОСТЬ ВОДА 2017'!Y170)</f>
        <v>0</v>
      </c>
      <c r="BG15" s="4120">
        <v>194.32</v>
      </c>
      <c r="BH15" s="4226">
        <f>SUM('Произв. прогр. Вода (СВОД)'!U19)</f>
        <v>203.25199999999998</v>
      </c>
      <c r="BI15" s="4226">
        <f>SUM('ПОЛНАЯ СЕБЕСТОИМОСТЬ ВОДА 2017'!Z170)</f>
        <v>0</v>
      </c>
      <c r="BJ15" s="4120">
        <v>180.77</v>
      </c>
      <c r="BK15" s="4281">
        <f t="shared" ref="BK15:BM17" si="38">SUM(BB15+BE15+BH15)</f>
        <v>609.75599999999997</v>
      </c>
      <c r="BL15" s="4281">
        <f t="shared" si="38"/>
        <v>0</v>
      </c>
      <c r="BM15" s="4281">
        <f t="shared" si="38"/>
        <v>566.98</v>
      </c>
      <c r="BN15" s="4282">
        <f t="shared" si="17"/>
        <v>-609.75599999999997</v>
      </c>
      <c r="BO15" s="4282">
        <f t="shared" si="18"/>
        <v>-100</v>
      </c>
      <c r="BP15" s="4281">
        <f t="shared" ref="BP15:BR17" si="39">SUM(AW15+BK15)</f>
        <v>2380</v>
      </c>
      <c r="BQ15" s="4281">
        <f t="shared" si="39"/>
        <v>1799.6699999999998</v>
      </c>
      <c r="BR15" s="4281">
        <f t="shared" si="39"/>
        <v>2311.1499999999996</v>
      </c>
      <c r="BS15" s="4282">
        <f t="shared" si="19"/>
        <v>-580.33000000000015</v>
      </c>
      <c r="BT15" s="4282">
        <f t="shared" si="20"/>
        <v>-24.383613445378156</v>
      </c>
      <c r="BU15" s="684"/>
      <c r="BV15" s="684"/>
      <c r="BW15" s="684"/>
      <c r="BX15" s="684"/>
    </row>
    <row r="16" spans="1:76" ht="18.75">
      <c r="A16" s="4143" t="s">
        <v>1729</v>
      </c>
      <c r="B16" s="4226">
        <f>SUM('Произв. прогр. Вода (СВОД)'!E20)</f>
        <v>83.645522700000001</v>
      </c>
      <c r="C16" s="4226">
        <f>SUM('ПОЛНАЯ СЕБЕСТОИМОСТЬ ВОДА 2017'!C171)</f>
        <v>77.11</v>
      </c>
      <c r="D16" s="4120">
        <v>77.900000000000006</v>
      </c>
      <c r="E16" s="4226">
        <f>SUM('Произв. прогр. Вода (СВОД)'!F20)</f>
        <v>86.897839500000018</v>
      </c>
      <c r="F16" s="4226">
        <f>SUM('ПОЛНАЯ СЕБЕСТОИМОСТЬ ВОДА 2017'!D171)</f>
        <v>83.58</v>
      </c>
      <c r="G16" s="4120">
        <v>78.87</v>
      </c>
      <c r="H16" s="4226">
        <f>SUM('Произв. прогр. Вода (СВОД)'!G20)</f>
        <v>86.999474400000011</v>
      </c>
      <c r="I16" s="4226">
        <f>SUM('ПОЛНАЯ СЕБЕСТОИМОСТЬ ВОДА 2017'!E171)</f>
        <v>73.459999999999994</v>
      </c>
      <c r="J16" s="4120">
        <v>78.75</v>
      </c>
      <c r="K16" s="4281">
        <f t="shared" si="33"/>
        <v>257.54283660000004</v>
      </c>
      <c r="L16" s="4281">
        <f t="shared" si="33"/>
        <v>234.14999999999998</v>
      </c>
      <c r="M16" s="4281">
        <f t="shared" si="33"/>
        <v>235.52</v>
      </c>
      <c r="N16" s="4282">
        <f t="shared" si="7"/>
        <v>-23.392836600000066</v>
      </c>
      <c r="O16" s="4282">
        <f t="shared" si="8"/>
        <v>-9.083085714526165</v>
      </c>
      <c r="P16" s="4226">
        <f>SUM('Произв. прогр. Вода (СВОД)'!I20)</f>
        <v>85.576585800000004</v>
      </c>
      <c r="Q16" s="4226">
        <f>SUM('ПОЛНАЯ СЕБЕСТОИМОСТЬ ВОДА 2017'!H171)</f>
        <v>76.84</v>
      </c>
      <c r="R16" s="4120">
        <v>78.2</v>
      </c>
      <c r="S16" s="4226">
        <f>SUM('Произв. прогр. Вода (СВОД)'!J20)</f>
        <v>85.678220699999997</v>
      </c>
      <c r="T16" s="4226">
        <f>SUM('ПОЛНАЯ СЕБЕСТОИМОСТЬ ВОДА 2017'!I171)</f>
        <v>75.739999999999995</v>
      </c>
      <c r="U16" s="4120">
        <v>69.5</v>
      </c>
      <c r="V16" s="4226">
        <f>SUM('Произв. прогр. Вода (СВОД)'!K20)</f>
        <v>83.137348200000005</v>
      </c>
      <c r="W16" s="4226">
        <f>SUM('ПОЛНАЯ СЕБЕСТОИМОСТЬ ВОДА 2017'!J171)</f>
        <v>75.680000000000007</v>
      </c>
      <c r="X16" s="4120">
        <v>75.180000000000007</v>
      </c>
      <c r="Y16" s="4281">
        <f t="shared" si="34"/>
        <v>254.39215469999999</v>
      </c>
      <c r="Z16" s="4281">
        <f t="shared" si="34"/>
        <v>228.26</v>
      </c>
      <c r="AA16" s="4281">
        <f t="shared" si="34"/>
        <v>222.88</v>
      </c>
      <c r="AB16" s="4282">
        <f t="shared" si="9"/>
        <v>-26.132154700000001</v>
      </c>
      <c r="AC16" s="4282">
        <f t="shared" si="10"/>
        <v>-10.272390172887672</v>
      </c>
      <c r="AD16" s="4281">
        <f t="shared" si="35"/>
        <v>511.93499130000004</v>
      </c>
      <c r="AE16" s="4281">
        <f t="shared" si="35"/>
        <v>462.40999999999997</v>
      </c>
      <c r="AF16" s="4281">
        <f t="shared" si="35"/>
        <v>458.4</v>
      </c>
      <c r="AG16" s="4282">
        <f t="shared" si="11"/>
        <v>-49.524991300000067</v>
      </c>
      <c r="AH16" s="4282">
        <f t="shared" si="12"/>
        <v>-9.6740781821217272</v>
      </c>
      <c r="AI16" s="4226">
        <f>SUM('Произв. прогр. Вода (СВОД)'!N20)</f>
        <v>77.750698499999999</v>
      </c>
      <c r="AJ16" s="4226">
        <f>SUM('ПОЛНАЯ СЕБЕСТОИМОСТЬ ВОДА 2017'!P171)</f>
        <v>65.81</v>
      </c>
      <c r="AK16" s="4120">
        <v>66.39</v>
      </c>
      <c r="AL16" s="4226">
        <f>SUM('Произв. прогр. Вода (СВОД)'!O20)</f>
        <v>79.275221999999999</v>
      </c>
      <c r="AM16" s="4226">
        <f>SUM('ПОЛНАЯ СЕБЕСТОИМОСТЬ ВОДА 2017'!Q171)</f>
        <v>63.026649999999997</v>
      </c>
      <c r="AN16" s="4120">
        <v>65.95</v>
      </c>
      <c r="AO16" s="4226">
        <f>SUM('Произв. прогр. Вода (СВОД)'!P20)</f>
        <v>86.389665000000008</v>
      </c>
      <c r="AP16" s="4226">
        <f>SUM('ПОЛНАЯ СЕБЕСТОИМОСТЬ ВОДА 2017'!R171)</f>
        <v>83.78</v>
      </c>
      <c r="AQ16" s="4120">
        <v>80.28</v>
      </c>
      <c r="AR16" s="4281">
        <f t="shared" si="36"/>
        <v>243.41558549999999</v>
      </c>
      <c r="AS16" s="4281">
        <f t="shared" si="36"/>
        <v>212.61664999999999</v>
      </c>
      <c r="AT16" s="4281">
        <f t="shared" si="36"/>
        <v>212.62</v>
      </c>
      <c r="AU16" s="4282">
        <f t="shared" si="13"/>
        <v>-30.798935499999999</v>
      </c>
      <c r="AV16" s="4282">
        <f t="shared" si="14"/>
        <v>-12.65281984172702</v>
      </c>
      <c r="AW16" s="4281">
        <f t="shared" si="37"/>
        <v>755.3505768</v>
      </c>
      <c r="AX16" s="4281">
        <f t="shared" si="37"/>
        <v>675.02665000000002</v>
      </c>
      <c r="AY16" s="4281">
        <f t="shared" si="37"/>
        <v>671.02</v>
      </c>
      <c r="AZ16" s="4282">
        <f t="shared" si="15"/>
        <v>-80.323926799999981</v>
      </c>
      <c r="BA16" s="4282">
        <f t="shared" si="16"/>
        <v>-10.633992912309374</v>
      </c>
      <c r="BB16" s="4226">
        <f>SUM('Произв. прогр. Вода (СВОД)'!S20)</f>
        <v>86.999474400000011</v>
      </c>
      <c r="BC16" s="4226">
        <f>SUM('ПОЛНАЯ СЕБЕСТОИМОСТЬ ВОДА 2017'!X171)</f>
        <v>0</v>
      </c>
      <c r="BD16" s="4120">
        <v>77.430000000000007</v>
      </c>
      <c r="BE16" s="4226">
        <f>SUM('Произв. прогр. Вода (СВОД)'!T20)</f>
        <v>86.999474400000011</v>
      </c>
      <c r="BF16" s="4226">
        <f>SUM('ПОЛНАЯ СЕБЕСТОИМОСТЬ ВОДА 2017'!Y171)</f>
        <v>0</v>
      </c>
      <c r="BG16" s="4120">
        <v>85.1</v>
      </c>
      <c r="BH16" s="4226">
        <f>SUM('Произв. прогр. Вода (СВОД)'!U20)</f>
        <v>86.999474400000011</v>
      </c>
      <c r="BI16" s="4226">
        <f>SUM('ПОЛНАЯ СЕБЕСТОИМОСТЬ ВОДА 2017'!Z171)</f>
        <v>0</v>
      </c>
      <c r="BJ16" s="4120">
        <v>83.41</v>
      </c>
      <c r="BK16" s="4281">
        <f t="shared" si="38"/>
        <v>260.99842320000005</v>
      </c>
      <c r="BL16" s="4281">
        <f t="shared" si="38"/>
        <v>0</v>
      </c>
      <c r="BM16" s="4281">
        <f t="shared" si="38"/>
        <v>245.94</v>
      </c>
      <c r="BN16" s="4282">
        <f t="shared" si="17"/>
        <v>-260.99842320000005</v>
      </c>
      <c r="BO16" s="4282">
        <f t="shared" si="18"/>
        <v>-100</v>
      </c>
      <c r="BP16" s="4281">
        <f t="shared" si="39"/>
        <v>1016.349</v>
      </c>
      <c r="BQ16" s="4281">
        <f t="shared" si="39"/>
        <v>675.02665000000002</v>
      </c>
      <c r="BR16" s="4281">
        <f t="shared" si="39"/>
        <v>916.96</v>
      </c>
      <c r="BS16" s="4282">
        <f t="shared" si="19"/>
        <v>-341.32235000000003</v>
      </c>
      <c r="BT16" s="4282">
        <f t="shared" si="20"/>
        <v>-33.583183532428329</v>
      </c>
      <c r="BU16" s="684"/>
      <c r="BV16" s="684"/>
      <c r="BW16" s="684"/>
      <c r="BX16" s="684"/>
    </row>
    <row r="17" spans="1:76" ht="18.75">
      <c r="A17" s="4145" t="s">
        <v>25</v>
      </c>
      <c r="B17" s="4211">
        <f>SUM('Произв. прогр. Вода (СВОД)'!E21)</f>
        <v>1.6957500000000001</v>
      </c>
      <c r="C17" s="4211">
        <f>SUM('ПОЛНАЯ СЕБЕСТОИМОСТЬ ВОДА 2017'!C172)</f>
        <v>0.27</v>
      </c>
      <c r="D17" s="4124">
        <v>0.32</v>
      </c>
      <c r="E17" s="4211">
        <f>SUM('Произв. прогр. Вода (СВОД)'!F21)</f>
        <v>1.6957500000000001</v>
      </c>
      <c r="F17" s="4211">
        <f>SUM('ПОЛНАЯ СЕБЕСТОИМОСТЬ ВОДА 2017'!D172)</f>
        <v>0.25</v>
      </c>
      <c r="G17" s="4124">
        <v>0.21</v>
      </c>
      <c r="H17" s="4211">
        <f>SUM('Произв. прогр. Вода (СВОД)'!G21)</f>
        <v>1.6957500000000001</v>
      </c>
      <c r="I17" s="4211">
        <f>SUM('ПОЛНАЯ СЕБЕСТОИМОСТЬ ВОДА 2017'!E172)</f>
        <v>0.15</v>
      </c>
      <c r="J17" s="4124">
        <v>0.26</v>
      </c>
      <c r="K17" s="4258">
        <f t="shared" si="33"/>
        <v>5.08725</v>
      </c>
      <c r="L17" s="4258">
        <f t="shared" si="33"/>
        <v>0.67</v>
      </c>
      <c r="M17" s="4258">
        <f t="shared" si="33"/>
        <v>0.79</v>
      </c>
      <c r="N17" s="4283">
        <f t="shared" si="7"/>
        <v>-4.4172500000000001</v>
      </c>
      <c r="O17" s="4283">
        <f t="shared" si="8"/>
        <v>-86.829819647157109</v>
      </c>
      <c r="P17" s="4211">
        <f>SUM('Произв. прогр. Вода (СВОД)'!I21)</f>
        <v>1.6957500000000001</v>
      </c>
      <c r="Q17" s="4211">
        <f>SUM('ПОЛНАЯ СЕБЕСТОИМОСТЬ ВОДА 2017'!H172)</f>
        <v>0.18</v>
      </c>
      <c r="R17" s="4124">
        <v>0.31</v>
      </c>
      <c r="S17" s="4211">
        <f>SUM('Произв. прогр. Вода (СВОД)'!J21)</f>
        <v>1.6957500000000001</v>
      </c>
      <c r="T17" s="4211">
        <f>SUM('ПОЛНАЯ СЕБЕСТОИМОСТЬ ВОДА 2017'!I172)</f>
        <v>0.1</v>
      </c>
      <c r="U17" s="4124">
        <v>0.18</v>
      </c>
      <c r="V17" s="4211">
        <f>SUM('Произв. прогр. Вода (СВОД)'!K21)</f>
        <v>1.6957500000000001</v>
      </c>
      <c r="W17" s="4211">
        <f>SUM('ПОЛНАЯ СЕБЕСТОИМОСТЬ ВОДА 2017'!J172)</f>
        <v>0.13</v>
      </c>
      <c r="X17" s="4124">
        <v>0.19</v>
      </c>
      <c r="Y17" s="4258">
        <f t="shared" si="34"/>
        <v>5.08725</v>
      </c>
      <c r="Z17" s="4258">
        <f t="shared" si="34"/>
        <v>0.41000000000000003</v>
      </c>
      <c r="AA17" s="4258">
        <f t="shared" si="34"/>
        <v>0.67999999999999994</v>
      </c>
      <c r="AB17" s="4283">
        <f t="shared" si="9"/>
        <v>-4.6772499999999999</v>
      </c>
      <c r="AC17" s="4283">
        <f t="shared" si="10"/>
        <v>-91.940635903484207</v>
      </c>
      <c r="AD17" s="4258">
        <f t="shared" si="35"/>
        <v>10.1745</v>
      </c>
      <c r="AE17" s="4258">
        <f t="shared" si="35"/>
        <v>1.08</v>
      </c>
      <c r="AF17" s="4258">
        <f t="shared" si="35"/>
        <v>1.47</v>
      </c>
      <c r="AG17" s="4283">
        <f t="shared" si="11"/>
        <v>-9.0945</v>
      </c>
      <c r="AH17" s="4283">
        <f t="shared" si="12"/>
        <v>-89.385227775320658</v>
      </c>
      <c r="AI17" s="4211">
        <f>SUM('Произв. прогр. Вода (СВОД)'!N21)</f>
        <v>1.6957500000000001</v>
      </c>
      <c r="AJ17" s="4211">
        <f>SUM('ПОЛНАЯ СЕБЕСТОИМОСТЬ ВОДА 2017'!P172)</f>
        <v>0.14000000000000001</v>
      </c>
      <c r="AK17" s="4124">
        <v>0.22</v>
      </c>
      <c r="AL17" s="4211">
        <f>SUM('Произв. прогр. Вода (СВОД)'!O21)</f>
        <v>1.6957500000000001</v>
      </c>
      <c r="AM17" s="4211">
        <f>SUM('ПОЛНАЯ СЕБЕСТОИМОСТЬ ВОДА 2017'!Q172)</f>
        <v>0.17</v>
      </c>
      <c r="AN17" s="4124">
        <v>0.13</v>
      </c>
      <c r="AO17" s="4211">
        <f>SUM('Произв. прогр. Вода (СВОД)'!P21)</f>
        <v>1.6957500000000001</v>
      </c>
      <c r="AP17" s="4211">
        <f>SUM('ПОЛНАЯ СЕБЕСТОИМОСТЬ ВОДА 2017'!R172)</f>
        <v>0</v>
      </c>
      <c r="AQ17" s="4124">
        <v>0.13</v>
      </c>
      <c r="AR17" s="4258">
        <f t="shared" si="36"/>
        <v>5.08725</v>
      </c>
      <c r="AS17" s="4258">
        <f t="shared" si="36"/>
        <v>0.31000000000000005</v>
      </c>
      <c r="AT17" s="4258">
        <f t="shared" si="36"/>
        <v>0.48</v>
      </c>
      <c r="AU17" s="4283">
        <f t="shared" si="13"/>
        <v>-4.7772500000000004</v>
      </c>
      <c r="AV17" s="4283">
        <f t="shared" si="14"/>
        <v>-93.906334463610008</v>
      </c>
      <c r="AW17" s="4258">
        <f t="shared" si="37"/>
        <v>15.261749999999999</v>
      </c>
      <c r="AX17" s="4258">
        <f t="shared" si="37"/>
        <v>1.3900000000000001</v>
      </c>
      <c r="AY17" s="4258">
        <f t="shared" si="37"/>
        <v>1.95</v>
      </c>
      <c r="AZ17" s="4283">
        <f t="shared" si="15"/>
        <v>-13.871749999999999</v>
      </c>
      <c r="BA17" s="4283">
        <f t="shared" si="16"/>
        <v>-90.892263338083765</v>
      </c>
      <c r="BB17" s="4211">
        <f>SUM('Произв. прогр. Вода (СВОД)'!S21)</f>
        <v>1.6957500000000001</v>
      </c>
      <c r="BC17" s="4211">
        <f>SUM('ПОЛНАЯ СЕБЕСТОИМОСТЬ ВОДА 2017'!X172)</f>
        <v>0</v>
      </c>
      <c r="BD17" s="4124">
        <v>0.13</v>
      </c>
      <c r="BE17" s="4211">
        <f>SUM('Произв. прогр. Вода (СВОД)'!T21)</f>
        <v>1.6957500000000001</v>
      </c>
      <c r="BF17" s="4211">
        <f>SUM('ПОЛНАЯ СЕБЕСТОИМОСТЬ ВОДА 2017'!Y172)</f>
        <v>0</v>
      </c>
      <c r="BG17" s="4124">
        <v>7.0000000000000007E-2</v>
      </c>
      <c r="BH17" s="4211">
        <f>SUM('Произв. прогр. Вода (СВОД)'!U21)</f>
        <v>1.6957500000000001</v>
      </c>
      <c r="BI17" s="4211">
        <f>SUM('ПОЛНАЯ СЕБЕСТОИМОСТЬ ВОДА 2017'!Z172)</f>
        <v>0</v>
      </c>
      <c r="BJ17" s="4124">
        <v>0.25</v>
      </c>
      <c r="BK17" s="4258">
        <f t="shared" si="38"/>
        <v>5.08725</v>
      </c>
      <c r="BL17" s="4258">
        <f t="shared" si="38"/>
        <v>0</v>
      </c>
      <c r="BM17" s="4258">
        <f t="shared" si="38"/>
        <v>0.45</v>
      </c>
      <c r="BN17" s="4283">
        <f t="shared" si="17"/>
        <v>-5.08725</v>
      </c>
      <c r="BO17" s="4283">
        <f t="shared" si="18"/>
        <v>-100</v>
      </c>
      <c r="BP17" s="4258">
        <f t="shared" si="39"/>
        <v>20.349</v>
      </c>
      <c r="BQ17" s="4258">
        <f t="shared" si="39"/>
        <v>1.3900000000000001</v>
      </c>
      <c r="BR17" s="4258">
        <f t="shared" si="39"/>
        <v>2.4</v>
      </c>
      <c r="BS17" s="4283">
        <f t="shared" si="19"/>
        <v>-18.959</v>
      </c>
      <c r="BT17" s="4283">
        <f t="shared" si="20"/>
        <v>-93.169197503562827</v>
      </c>
      <c r="BU17" s="684"/>
      <c r="BV17" s="684"/>
      <c r="BW17" s="684"/>
      <c r="BX17" s="684"/>
    </row>
    <row r="18" spans="1:76" ht="18.75">
      <c r="A18" s="4139" t="s">
        <v>1730</v>
      </c>
      <c r="B18" s="4214">
        <f>SUM('Произв. прогр. Вода (СВОД)'!E22)</f>
        <v>33.97</v>
      </c>
      <c r="C18" s="4214">
        <f>SUM('ПОЛНАЯ СЕБЕСТОИМОСТЬ ВОДА 2017'!C173)</f>
        <v>29.37</v>
      </c>
      <c r="D18" s="4214">
        <f t="shared" ref="D18:BR18" si="40">SUM(D19:D20)</f>
        <v>33.729999999999997</v>
      </c>
      <c r="E18" s="4214">
        <f>SUM('Произв. прогр. Вода (СВОД)'!F22)</f>
        <v>33.575000000000003</v>
      </c>
      <c r="F18" s="4214">
        <f>SUM('ПОЛНАЯ СЕБЕСТОИМОСТЬ ВОДА 2017'!D173)</f>
        <v>29.59</v>
      </c>
      <c r="G18" s="4214">
        <f t="shared" si="40"/>
        <v>33.700000000000003</v>
      </c>
      <c r="H18" s="4214">
        <f>SUM('Произв. прогр. Вода (СВОД)'!G22)</f>
        <v>33.732999999999997</v>
      </c>
      <c r="I18" s="4214">
        <f>SUM('ПОЛНАЯ СЕБЕСТОИМОСТЬ ВОДА 2017'!E173)</f>
        <v>26.58</v>
      </c>
      <c r="J18" s="4214">
        <f t="shared" si="40"/>
        <v>32.650000000000006</v>
      </c>
      <c r="K18" s="4256">
        <f t="shared" si="40"/>
        <v>101.27799999999999</v>
      </c>
      <c r="L18" s="4256">
        <f t="shared" si="40"/>
        <v>85.539999999999992</v>
      </c>
      <c r="M18" s="4256">
        <f t="shared" si="40"/>
        <v>100.08</v>
      </c>
      <c r="N18" s="4280">
        <f t="shared" si="7"/>
        <v>-15.738</v>
      </c>
      <c r="O18" s="4280">
        <f t="shared" si="8"/>
        <v>-15.539406386382037</v>
      </c>
      <c r="P18" s="4214">
        <f>SUM('Произв. прогр. Вода (СВОД)'!I22)</f>
        <v>33.298499999999997</v>
      </c>
      <c r="Q18" s="4214">
        <f>SUM('ПОЛНАЯ СЕБЕСТОИМОСТЬ ВОДА 2017'!H173)</f>
        <v>28.3</v>
      </c>
      <c r="R18" s="4214">
        <f t="shared" si="40"/>
        <v>33.82</v>
      </c>
      <c r="S18" s="4214">
        <f>SUM('Произв. прогр. Вода (СВОД)'!J22)</f>
        <v>32.389999999999993</v>
      </c>
      <c r="T18" s="4214">
        <f>SUM('ПОЛНАЯ СЕБЕСТОИМОСТЬ ВОДА 2017'!I173)</f>
        <v>25.53</v>
      </c>
      <c r="U18" s="4214">
        <f t="shared" si="40"/>
        <v>31.94</v>
      </c>
      <c r="V18" s="4214">
        <f>SUM('Произв. прогр. Вода (СВОД)'!K22)</f>
        <v>31.165499999999998</v>
      </c>
      <c r="W18" s="4214">
        <f>SUM('ПОЛНАЯ СЕБЕСТОИМОСТЬ ВОДА 2017'!J173)</f>
        <v>26.74</v>
      </c>
      <c r="X18" s="4214">
        <f t="shared" si="40"/>
        <v>26.48</v>
      </c>
      <c r="Y18" s="4256">
        <f t="shared" si="40"/>
        <v>96.853999999999985</v>
      </c>
      <c r="Z18" s="4256">
        <f t="shared" si="40"/>
        <v>80.569999999999993</v>
      </c>
      <c r="AA18" s="4256">
        <f t="shared" si="40"/>
        <v>92.24</v>
      </c>
      <c r="AB18" s="4280">
        <f t="shared" si="9"/>
        <v>-16.283999999999992</v>
      </c>
      <c r="AC18" s="4280">
        <f t="shared" si="10"/>
        <v>-16.812934932991922</v>
      </c>
      <c r="AD18" s="4256">
        <f t="shared" si="40"/>
        <v>198.13200000000001</v>
      </c>
      <c r="AE18" s="4256">
        <f t="shared" si="40"/>
        <v>166.10999999999999</v>
      </c>
      <c r="AF18" s="4256">
        <f t="shared" si="40"/>
        <v>192.32</v>
      </c>
      <c r="AG18" s="4280">
        <f t="shared" si="11"/>
        <v>-32.02200000000002</v>
      </c>
      <c r="AH18" s="4280">
        <f t="shared" si="12"/>
        <v>-16.161952637635526</v>
      </c>
      <c r="AI18" s="4214">
        <f>SUM('Произв. прогр. Вода (СВОД)'!N22)</f>
        <v>30.770500000000002</v>
      </c>
      <c r="AJ18" s="4214">
        <f>SUM('ПОЛНАЯ СЕБЕСТОИМОСТЬ ВОДА 2017'!P173)</f>
        <v>18.43</v>
      </c>
      <c r="AK18" s="4214">
        <f t="shared" si="40"/>
        <v>17.100000000000001</v>
      </c>
      <c r="AL18" s="4214">
        <f>SUM('Произв. прогр. Вода (СВОД)'!O22)</f>
        <v>32.034499999999994</v>
      </c>
      <c r="AM18" s="4214">
        <f>SUM('ПОЛНАЯ СЕБЕСТОИМОСТЬ ВОДА 2017'!Q173)</f>
        <v>22.35</v>
      </c>
      <c r="AN18" s="4214">
        <f t="shared" si="40"/>
        <v>22.7</v>
      </c>
      <c r="AO18" s="4214">
        <f>SUM('Произв. прогр. Вода (СВОД)'!P22)</f>
        <v>32.863999999999997</v>
      </c>
      <c r="AP18" s="4214">
        <f>SUM('ПОЛНАЯ СЕБЕСТОИМОСТЬ ВОДА 2017'!R173)</f>
        <v>26.79</v>
      </c>
      <c r="AQ18" s="4214">
        <f t="shared" si="40"/>
        <v>23.82</v>
      </c>
      <c r="AR18" s="4256">
        <f t="shared" si="40"/>
        <v>95.668999999999997</v>
      </c>
      <c r="AS18" s="4256">
        <f t="shared" si="40"/>
        <v>67.569999999999993</v>
      </c>
      <c r="AT18" s="4256">
        <f t="shared" si="40"/>
        <v>63.62</v>
      </c>
      <c r="AU18" s="4280">
        <f t="shared" si="13"/>
        <v>-28.099000000000004</v>
      </c>
      <c r="AV18" s="4280">
        <f t="shared" si="14"/>
        <v>-29.371060636151736</v>
      </c>
      <c r="AW18" s="4256">
        <f t="shared" si="40"/>
        <v>293.80099999999999</v>
      </c>
      <c r="AX18" s="4256">
        <f t="shared" si="40"/>
        <v>233.67999999999998</v>
      </c>
      <c r="AY18" s="4256">
        <f t="shared" si="40"/>
        <v>255.94</v>
      </c>
      <c r="AZ18" s="4280">
        <f t="shared" si="15"/>
        <v>-60.121000000000009</v>
      </c>
      <c r="BA18" s="4280">
        <f t="shared" si="16"/>
        <v>-20.463170649521278</v>
      </c>
      <c r="BB18" s="4214">
        <f>SUM('Произв. прогр. Вода (СВОД)'!S22)</f>
        <v>33.732999999999997</v>
      </c>
      <c r="BC18" s="4214">
        <f>SUM('ПОЛНАЯ СЕБЕСТОИМОСТЬ ВОДА 2017'!X173)</f>
        <v>0</v>
      </c>
      <c r="BD18" s="4214">
        <f t="shared" si="40"/>
        <v>27.03</v>
      </c>
      <c r="BE18" s="4214">
        <f>SUM('Произв. прогр. Вода (СВОД)'!T22)</f>
        <v>33.732999999999997</v>
      </c>
      <c r="BF18" s="4214">
        <f>SUM('ПОЛНАЯ СЕБЕСТОИМОСТЬ ВОДА 2017'!Y173)</f>
        <v>0</v>
      </c>
      <c r="BG18" s="4214">
        <f t="shared" si="40"/>
        <v>29.3</v>
      </c>
      <c r="BH18" s="4214">
        <f>SUM('Произв. прогр. Вода (СВОД)'!U22)</f>
        <v>33.732999999999997</v>
      </c>
      <c r="BI18" s="4214">
        <f>SUM('ПОЛНАЯ СЕБЕСТОИМОСТЬ ВОДА 2017'!Z173)</f>
        <v>0</v>
      </c>
      <c r="BJ18" s="4214">
        <f t="shared" si="40"/>
        <v>28.36</v>
      </c>
      <c r="BK18" s="4256">
        <f t="shared" si="40"/>
        <v>101.19899999999998</v>
      </c>
      <c r="BL18" s="4256">
        <f t="shared" si="40"/>
        <v>0</v>
      </c>
      <c r="BM18" s="4256">
        <f t="shared" si="40"/>
        <v>84.69</v>
      </c>
      <c r="BN18" s="4280">
        <f t="shared" si="17"/>
        <v>-101.19899999999998</v>
      </c>
      <c r="BO18" s="4280">
        <f t="shared" si="18"/>
        <v>-100</v>
      </c>
      <c r="BP18" s="4256">
        <f t="shared" si="40"/>
        <v>395</v>
      </c>
      <c r="BQ18" s="4256">
        <f>SUM(BQ19:BQ20)</f>
        <v>233.67999999999998</v>
      </c>
      <c r="BR18" s="4256">
        <f t="shared" si="40"/>
        <v>340.63</v>
      </c>
      <c r="BS18" s="4280">
        <f t="shared" si="19"/>
        <v>-161.32000000000002</v>
      </c>
      <c r="BT18" s="4280">
        <f t="shared" si="20"/>
        <v>-40.840506329113929</v>
      </c>
      <c r="BU18" s="684"/>
      <c r="BV18" s="684"/>
      <c r="BW18" s="684"/>
      <c r="BX18" s="684"/>
    </row>
    <row r="19" spans="1:76" ht="18.75">
      <c r="A19" s="4145" t="s">
        <v>655</v>
      </c>
      <c r="B19" s="4211">
        <f>SUM('Произв. прогр. Вода (СВОД)'!E23)</f>
        <v>30.099999999999998</v>
      </c>
      <c r="C19" s="4211">
        <f>SUM('ПОЛНАЯ СЕБЕСТОИМОСТЬ ВОДА 2017'!C174)</f>
        <v>29.37</v>
      </c>
      <c r="D19" s="4124">
        <v>30.38</v>
      </c>
      <c r="E19" s="4211">
        <f>SUM('Произв. прогр. Вода (СВОД)'!F23)</f>
        <v>29.750000000000004</v>
      </c>
      <c r="F19" s="4211">
        <f>SUM('ПОЛНАЯ СЕБЕСТОИМОСТЬ ВОДА 2017'!D174)</f>
        <v>29.59</v>
      </c>
      <c r="G19" s="4124">
        <v>29.39</v>
      </c>
      <c r="H19" s="4211">
        <f>SUM('Произв. прогр. Вода (СВОД)'!G23)</f>
        <v>29.889999999999997</v>
      </c>
      <c r="I19" s="4211">
        <f>SUM('ПОЛНАЯ СЕБЕСТОИМОСТЬ ВОДА 2017'!E174)</f>
        <v>26.58</v>
      </c>
      <c r="J19" s="4124">
        <v>28.42</v>
      </c>
      <c r="K19" s="4258">
        <f t="shared" ref="K19:M20" si="41">SUM(B19+E19+H19)</f>
        <v>89.74</v>
      </c>
      <c r="L19" s="4258">
        <f t="shared" si="41"/>
        <v>85.539999999999992</v>
      </c>
      <c r="M19" s="4258">
        <f t="shared" si="41"/>
        <v>88.19</v>
      </c>
      <c r="N19" s="4283">
        <f t="shared" si="7"/>
        <v>-4.2000000000000028</v>
      </c>
      <c r="O19" s="4283">
        <f t="shared" si="8"/>
        <v>-4.6801872074883031</v>
      </c>
      <c r="P19" s="4211">
        <f>SUM('Произв. прогр. Вода (СВОД)'!I23)</f>
        <v>29.504999999999999</v>
      </c>
      <c r="Q19" s="4211">
        <f>SUM('ПОЛНАЯ СЕБЕСТОИМОСТЬ ВОДА 2017'!H174)</f>
        <v>28.3</v>
      </c>
      <c r="R19" s="4124">
        <v>29.11</v>
      </c>
      <c r="S19" s="4211">
        <f>SUM('Произв. прогр. Вода (СВОД)'!J23)</f>
        <v>28.699999999999996</v>
      </c>
      <c r="T19" s="4211">
        <f>SUM('ПОЛНАЯ СЕБЕСТОИМОСТЬ ВОДА 2017'!I174)</f>
        <v>25.53</v>
      </c>
      <c r="U19" s="4124">
        <v>27.55</v>
      </c>
      <c r="V19" s="4211">
        <f>SUM('Произв. прогр. Вода (СВОД)'!K23)</f>
        <v>27.614999999999998</v>
      </c>
      <c r="W19" s="4211">
        <f>SUM('ПОЛНАЯ СЕБЕСТОИМОСТЬ ВОДА 2017'!J174)</f>
        <v>26.74</v>
      </c>
      <c r="X19" s="4124">
        <v>26.48</v>
      </c>
      <c r="Y19" s="4258">
        <f t="shared" ref="Y19:AA20" si="42">SUM(P19+S19+V19)</f>
        <v>85.82</v>
      </c>
      <c r="Z19" s="4258">
        <f t="shared" si="42"/>
        <v>80.569999999999993</v>
      </c>
      <c r="AA19" s="4258">
        <f t="shared" si="42"/>
        <v>83.14</v>
      </c>
      <c r="AB19" s="4283">
        <f t="shared" si="9"/>
        <v>-5.25</v>
      </c>
      <c r="AC19" s="4283">
        <f t="shared" si="10"/>
        <v>-6.1174551386623168</v>
      </c>
      <c r="AD19" s="4258">
        <f t="shared" ref="AD19:AF20" si="43">SUM(K19+Y19)</f>
        <v>175.56</v>
      </c>
      <c r="AE19" s="4258">
        <f t="shared" si="43"/>
        <v>166.10999999999999</v>
      </c>
      <c r="AF19" s="4258">
        <f t="shared" si="43"/>
        <v>171.32999999999998</v>
      </c>
      <c r="AG19" s="4283">
        <f t="shared" si="11"/>
        <v>-9.4500000000000171</v>
      </c>
      <c r="AH19" s="4283">
        <f t="shared" si="12"/>
        <v>-5.382775119617234</v>
      </c>
      <c r="AI19" s="4211">
        <f>SUM('Произв. прогр. Вода (СВОД)'!N23)</f>
        <v>27.265000000000001</v>
      </c>
      <c r="AJ19" s="4211">
        <f>SUM('ПОЛНАЯ СЕБЕСТОИМОСТЬ ВОДА 2017'!P174)</f>
        <v>18.43</v>
      </c>
      <c r="AK19" s="4124">
        <v>17.100000000000001</v>
      </c>
      <c r="AL19" s="4211">
        <f>SUM('Произв. прогр. Вода (СВОД)'!O23)</f>
        <v>28.384999999999998</v>
      </c>
      <c r="AM19" s="4211">
        <f>SUM('ПОЛНАЯ СЕБЕСТОИМОСТЬ ВОДА 2017'!Q174)</f>
        <v>22.35</v>
      </c>
      <c r="AN19" s="4124">
        <v>22.7</v>
      </c>
      <c r="AO19" s="4211">
        <f>SUM('Произв. прогр. Вода (СВОД)'!P23)</f>
        <v>29.119999999999997</v>
      </c>
      <c r="AP19" s="4211">
        <f>SUM('ПОЛНАЯ СЕБЕСТОИМОСТЬ ВОДА 2017'!R174)</f>
        <v>26.79</v>
      </c>
      <c r="AQ19" s="4124">
        <v>23.82</v>
      </c>
      <c r="AR19" s="4258">
        <f t="shared" ref="AR19:AT20" si="44">SUM(AI19+AL19+AO19)</f>
        <v>84.77</v>
      </c>
      <c r="AS19" s="4258">
        <f t="shared" si="44"/>
        <v>67.569999999999993</v>
      </c>
      <c r="AT19" s="4258">
        <f t="shared" si="44"/>
        <v>63.62</v>
      </c>
      <c r="AU19" s="4283">
        <f t="shared" si="13"/>
        <v>-17.200000000000003</v>
      </c>
      <c r="AV19" s="4283">
        <f t="shared" si="14"/>
        <v>-20.29019700365696</v>
      </c>
      <c r="AW19" s="4258">
        <f t="shared" ref="AW19:AY20" si="45">SUM(AD19+AR19)</f>
        <v>260.33</v>
      </c>
      <c r="AX19" s="4258">
        <f t="shared" si="45"/>
        <v>233.67999999999998</v>
      </c>
      <c r="AY19" s="4258">
        <f t="shared" si="45"/>
        <v>234.95</v>
      </c>
      <c r="AZ19" s="4283">
        <f t="shared" si="15"/>
        <v>-26.650000000000006</v>
      </c>
      <c r="BA19" s="4283">
        <f t="shared" si="16"/>
        <v>-10.237006875888298</v>
      </c>
      <c r="BB19" s="4211">
        <f>SUM('Произв. прогр. Вода (СВОД)'!S23)</f>
        <v>29.889999999999997</v>
      </c>
      <c r="BC19" s="4211">
        <f>SUM('ПОЛНАЯ СЕБЕСТОИМОСТЬ ВОДА 2017'!X174)</f>
        <v>0</v>
      </c>
      <c r="BD19" s="4124">
        <v>27.03</v>
      </c>
      <c r="BE19" s="4211">
        <f>SUM('Произв. прогр. Вода (СВОД)'!T23)</f>
        <v>29.889999999999997</v>
      </c>
      <c r="BF19" s="4211">
        <f>SUM('ПОЛНАЯ СЕБЕСТОИМОСТЬ ВОДА 2017'!Y174)</f>
        <v>0</v>
      </c>
      <c r="BG19" s="4124">
        <v>29.3</v>
      </c>
      <c r="BH19" s="4211">
        <f>SUM('Произв. прогр. Вода (СВОД)'!U23)</f>
        <v>29.889999999999997</v>
      </c>
      <c r="BI19" s="4211">
        <f>SUM('ПОЛНАЯ СЕБЕСТОИМОСТЬ ВОДА 2017'!Z174)</f>
        <v>0</v>
      </c>
      <c r="BJ19" s="4124">
        <v>28.36</v>
      </c>
      <c r="BK19" s="4258">
        <f t="shared" ref="BK19:BM20" si="46">SUM(BB19+BE19+BH19)</f>
        <v>89.669999999999987</v>
      </c>
      <c r="BL19" s="4258">
        <f t="shared" si="46"/>
        <v>0</v>
      </c>
      <c r="BM19" s="4258">
        <f t="shared" si="46"/>
        <v>84.69</v>
      </c>
      <c r="BN19" s="4283">
        <f t="shared" si="17"/>
        <v>-89.669999999999987</v>
      </c>
      <c r="BO19" s="4283">
        <f t="shared" si="18"/>
        <v>-100</v>
      </c>
      <c r="BP19" s="4258">
        <f t="shared" ref="BP19:BR20" si="47">SUM(AW19+BK19)</f>
        <v>350</v>
      </c>
      <c r="BQ19" s="4258">
        <f t="shared" si="47"/>
        <v>233.67999999999998</v>
      </c>
      <c r="BR19" s="4258">
        <f t="shared" si="47"/>
        <v>319.64</v>
      </c>
      <c r="BS19" s="4283">
        <f t="shared" si="19"/>
        <v>-116.32000000000002</v>
      </c>
      <c r="BT19" s="4283">
        <f t="shared" si="20"/>
        <v>-33.234285714285718</v>
      </c>
      <c r="BU19" s="684"/>
      <c r="BV19" s="684"/>
      <c r="BW19" s="684"/>
      <c r="BX19" s="684"/>
    </row>
    <row r="20" spans="1:76" ht="18.75">
      <c r="A20" s="4145" t="s">
        <v>656</v>
      </c>
      <c r="B20" s="4211">
        <f>SUM('Произв. прогр. Вода (СВОД)'!E24)</f>
        <v>3.8699999999999997</v>
      </c>
      <c r="C20" s="4211">
        <f>SUM('ПОЛНАЯ СЕБЕСТОИМОСТЬ ВОДА 2017'!C175)</f>
        <v>0</v>
      </c>
      <c r="D20" s="4124">
        <v>3.35</v>
      </c>
      <c r="E20" s="4211">
        <f>SUM('Произв. прогр. Вода (СВОД)'!F24)</f>
        <v>3.8250000000000002</v>
      </c>
      <c r="F20" s="4211">
        <f>SUM('ПОЛНАЯ СЕБЕСТОИМОСТЬ ВОДА 2017'!D175)</f>
        <v>0</v>
      </c>
      <c r="G20" s="4124">
        <v>4.3099999999999996</v>
      </c>
      <c r="H20" s="4211">
        <f>SUM('Произв. прогр. Вода (СВОД)'!G24)</f>
        <v>3.8429999999999995</v>
      </c>
      <c r="I20" s="4211">
        <f>SUM('ПОЛНАЯ СЕБЕСТОИМОСТЬ ВОДА 2017'!E175)</f>
        <v>0</v>
      </c>
      <c r="J20" s="4124">
        <v>4.2300000000000004</v>
      </c>
      <c r="K20" s="4258">
        <f t="shared" si="41"/>
        <v>11.538</v>
      </c>
      <c r="L20" s="4258">
        <f t="shared" si="41"/>
        <v>0</v>
      </c>
      <c r="M20" s="4258">
        <f t="shared" si="41"/>
        <v>11.89</v>
      </c>
      <c r="N20" s="4283">
        <f t="shared" si="7"/>
        <v>-11.538</v>
      </c>
      <c r="O20" s="4283">
        <f t="shared" si="8"/>
        <v>-100</v>
      </c>
      <c r="P20" s="4211">
        <f>SUM('Произв. прогр. Вода (СВОД)'!I24)</f>
        <v>3.7934999999999999</v>
      </c>
      <c r="Q20" s="4211">
        <f>SUM('ПОЛНАЯ СЕБЕСТОИМОСТЬ ВОДА 2017'!H175)</f>
        <v>0</v>
      </c>
      <c r="R20" s="4124">
        <v>4.71</v>
      </c>
      <c r="S20" s="4211">
        <f>SUM('Произв. прогр. Вода (СВОД)'!J24)</f>
        <v>3.6899999999999995</v>
      </c>
      <c r="T20" s="4211">
        <f>SUM('ПОЛНАЯ СЕБЕСТОИМОСТЬ ВОДА 2017'!I175)</f>
        <v>0</v>
      </c>
      <c r="U20" s="4124">
        <v>4.3899999999999997</v>
      </c>
      <c r="V20" s="4211">
        <f>SUM('Произв. прогр. Вода (СВОД)'!K24)</f>
        <v>3.5505</v>
      </c>
      <c r="W20" s="4211">
        <f>SUM('ПОЛНАЯ СЕБЕСТОИМОСТЬ ВОДА 2017'!J175)</f>
        <v>0</v>
      </c>
      <c r="X20" s="4124">
        <v>0</v>
      </c>
      <c r="Y20" s="4258">
        <f t="shared" si="42"/>
        <v>11.033999999999999</v>
      </c>
      <c r="Z20" s="4258">
        <f t="shared" si="42"/>
        <v>0</v>
      </c>
      <c r="AA20" s="4258">
        <f t="shared" si="42"/>
        <v>9.1</v>
      </c>
      <c r="AB20" s="4283">
        <f t="shared" si="9"/>
        <v>-11.033999999999999</v>
      </c>
      <c r="AC20" s="4283">
        <f t="shared" si="10"/>
        <v>-100</v>
      </c>
      <c r="AD20" s="4258">
        <f t="shared" si="43"/>
        <v>22.571999999999999</v>
      </c>
      <c r="AE20" s="4258">
        <f t="shared" si="43"/>
        <v>0</v>
      </c>
      <c r="AF20" s="4258">
        <f t="shared" si="43"/>
        <v>20.990000000000002</v>
      </c>
      <c r="AG20" s="4283">
        <f t="shared" si="11"/>
        <v>-22.571999999999999</v>
      </c>
      <c r="AH20" s="4283">
        <f t="shared" si="12"/>
        <v>-100</v>
      </c>
      <c r="AI20" s="4211">
        <f>SUM('Произв. прогр. Вода (СВОД)'!N24)</f>
        <v>3.5055000000000001</v>
      </c>
      <c r="AJ20" s="4211">
        <f>SUM('ПОЛНАЯ СЕБЕСТОИМОСТЬ ВОДА 2017'!P175)</f>
        <v>0</v>
      </c>
      <c r="AK20" s="4124">
        <v>0</v>
      </c>
      <c r="AL20" s="4211">
        <f>SUM('Произв. прогр. Вода (СВОД)'!O24)</f>
        <v>3.6494999999999997</v>
      </c>
      <c r="AM20" s="4211">
        <f>SUM('ПОЛНАЯ СЕБЕСТОИМОСТЬ ВОДА 2017'!Q175)</f>
        <v>0</v>
      </c>
      <c r="AN20" s="4124">
        <v>0</v>
      </c>
      <c r="AO20" s="4211">
        <f>SUM('Произв. прогр. Вода (СВОД)'!P24)</f>
        <v>3.7439999999999998</v>
      </c>
      <c r="AP20" s="4211">
        <f>SUM('ПОЛНАЯ СЕБЕСТОИМОСТЬ ВОДА 2017'!R175)</f>
        <v>0</v>
      </c>
      <c r="AQ20" s="4124">
        <v>0</v>
      </c>
      <c r="AR20" s="4258">
        <f t="shared" si="44"/>
        <v>10.898999999999999</v>
      </c>
      <c r="AS20" s="4258">
        <f t="shared" si="44"/>
        <v>0</v>
      </c>
      <c r="AT20" s="4258">
        <f t="shared" si="44"/>
        <v>0</v>
      </c>
      <c r="AU20" s="4283">
        <f t="shared" si="13"/>
        <v>-10.898999999999999</v>
      </c>
      <c r="AV20" s="4283">
        <f t="shared" si="14"/>
        <v>-100</v>
      </c>
      <c r="AW20" s="4258">
        <f t="shared" si="45"/>
        <v>33.470999999999997</v>
      </c>
      <c r="AX20" s="4258">
        <f t="shared" si="45"/>
        <v>0</v>
      </c>
      <c r="AY20" s="4258">
        <f t="shared" si="45"/>
        <v>20.990000000000002</v>
      </c>
      <c r="AZ20" s="4283">
        <f t="shared" si="15"/>
        <v>-33.470999999999997</v>
      </c>
      <c r="BA20" s="4283">
        <f t="shared" si="16"/>
        <v>-100</v>
      </c>
      <c r="BB20" s="4211">
        <f>SUM('Произв. прогр. Вода (СВОД)'!S24)</f>
        <v>3.8429999999999995</v>
      </c>
      <c r="BC20" s="4211">
        <f>SUM('ПОЛНАЯ СЕБЕСТОИМОСТЬ ВОДА 2017'!X175)</f>
        <v>0</v>
      </c>
      <c r="BD20" s="4124">
        <v>0</v>
      </c>
      <c r="BE20" s="4211">
        <f>SUM('Произв. прогр. Вода (СВОД)'!T24)</f>
        <v>3.8429999999999995</v>
      </c>
      <c r="BF20" s="4211">
        <f>SUM('ПОЛНАЯ СЕБЕСТОИМОСТЬ ВОДА 2017'!Y175)</f>
        <v>0</v>
      </c>
      <c r="BG20" s="4124">
        <v>0</v>
      </c>
      <c r="BH20" s="4211">
        <f>SUM('Произв. прогр. Вода (СВОД)'!U24)</f>
        <v>3.8429999999999995</v>
      </c>
      <c r="BI20" s="4211">
        <f>SUM('ПОЛНАЯ СЕБЕСТОИМОСТЬ ВОДА 2017'!Z175)</f>
        <v>0</v>
      </c>
      <c r="BJ20" s="4124">
        <v>0</v>
      </c>
      <c r="BK20" s="4258">
        <f t="shared" si="46"/>
        <v>11.528999999999998</v>
      </c>
      <c r="BL20" s="4258">
        <f t="shared" si="46"/>
        <v>0</v>
      </c>
      <c r="BM20" s="4258">
        <f t="shared" si="46"/>
        <v>0</v>
      </c>
      <c r="BN20" s="4283">
        <f t="shared" si="17"/>
        <v>-11.528999999999998</v>
      </c>
      <c r="BO20" s="4283">
        <f t="shared" si="18"/>
        <v>-100</v>
      </c>
      <c r="BP20" s="4258">
        <f t="shared" si="47"/>
        <v>44.999999999999993</v>
      </c>
      <c r="BQ20" s="4258">
        <f t="shared" si="47"/>
        <v>0</v>
      </c>
      <c r="BR20" s="4284">
        <f t="shared" si="47"/>
        <v>20.990000000000002</v>
      </c>
      <c r="BS20" s="4283">
        <f t="shared" si="19"/>
        <v>-44.999999999999993</v>
      </c>
      <c r="BT20" s="4283">
        <f t="shared" si="20"/>
        <v>-100</v>
      </c>
      <c r="BU20" s="684"/>
      <c r="BV20" s="684"/>
      <c r="BW20" s="684"/>
      <c r="BX20" s="684"/>
    </row>
    <row r="21" spans="1:76" ht="18.75">
      <c r="A21" s="4135" t="s">
        <v>1908</v>
      </c>
      <c r="B21" s="4136"/>
      <c r="C21" s="4136"/>
      <c r="D21" s="4136"/>
      <c r="E21" s="4136"/>
      <c r="F21" s="4136"/>
      <c r="G21" s="4136"/>
      <c r="H21" s="4136"/>
      <c r="I21" s="4136"/>
      <c r="J21" s="4136"/>
      <c r="K21" s="4136"/>
      <c r="L21" s="4136"/>
      <c r="M21" s="4136"/>
      <c r="N21" s="4136"/>
      <c r="O21" s="4136"/>
      <c r="P21" s="4136"/>
      <c r="Q21" s="4136"/>
      <c r="R21" s="4136"/>
      <c r="S21" s="4136"/>
      <c r="T21" s="4136"/>
      <c r="U21" s="4136"/>
      <c r="V21" s="4136"/>
      <c r="W21" s="4136"/>
      <c r="X21" s="4136"/>
      <c r="Y21" s="4136"/>
      <c r="Z21" s="4136"/>
      <c r="AA21" s="4136"/>
      <c r="AB21" s="4136"/>
      <c r="AC21" s="4136"/>
      <c r="AD21" s="4136"/>
      <c r="AE21" s="4136"/>
      <c r="AF21" s="4136"/>
      <c r="AG21" s="4136"/>
      <c r="AH21" s="4136"/>
      <c r="AI21" s="4136"/>
      <c r="AJ21" s="4136"/>
      <c r="AK21" s="4136"/>
      <c r="AL21" s="4136"/>
      <c r="AM21" s="4136"/>
      <c r="AN21" s="4136"/>
      <c r="AO21" s="4136"/>
      <c r="AP21" s="4136"/>
      <c r="AQ21" s="4136"/>
      <c r="AR21" s="4136"/>
      <c r="AS21" s="4136"/>
      <c r="AT21" s="4136"/>
      <c r="AU21" s="4136"/>
      <c r="AV21" s="4136"/>
      <c r="AW21" s="4136"/>
      <c r="AX21" s="4136"/>
      <c r="AY21" s="4136"/>
      <c r="AZ21" s="4136"/>
      <c r="BA21" s="4136"/>
      <c r="BB21" s="4136"/>
      <c r="BC21" s="4136"/>
      <c r="BD21" s="4136"/>
      <c r="BE21" s="4136"/>
      <c r="BF21" s="4136"/>
      <c r="BG21" s="4136"/>
      <c r="BH21" s="4136"/>
      <c r="BI21" s="4136"/>
      <c r="BJ21" s="4136"/>
      <c r="BK21" s="4136"/>
      <c r="BL21" s="4136"/>
      <c r="BM21" s="4136"/>
      <c r="BN21" s="4136"/>
      <c r="BO21" s="4136"/>
      <c r="BP21" s="4136"/>
      <c r="BQ21" s="4136"/>
      <c r="BR21" s="4136"/>
      <c r="BS21" s="4136"/>
      <c r="BT21" s="4137"/>
      <c r="BU21" s="684"/>
      <c r="BV21" s="684"/>
      <c r="BW21" s="684"/>
      <c r="BX21" s="684"/>
    </row>
    <row r="22" spans="1:76" ht="20.25" customHeight="1">
      <c r="A22" s="4304" t="s">
        <v>546</v>
      </c>
      <c r="B22" s="4305" t="s">
        <v>1894</v>
      </c>
      <c r="C22" s="4306"/>
      <c r="D22" s="4306"/>
      <c r="E22" s="4305" t="s">
        <v>1895</v>
      </c>
      <c r="F22" s="4306"/>
      <c r="G22" s="4306"/>
      <c r="H22" s="4305" t="s">
        <v>1896</v>
      </c>
      <c r="I22" s="4306"/>
      <c r="J22" s="4306"/>
      <c r="K22" s="4307" t="s">
        <v>1869</v>
      </c>
      <c r="L22" s="4308"/>
      <c r="M22" s="4308"/>
      <c r="N22" s="4309"/>
      <c r="O22" s="4310"/>
      <c r="P22" s="4305" t="s">
        <v>1897</v>
      </c>
      <c r="Q22" s="4306"/>
      <c r="R22" s="4306"/>
      <c r="S22" s="4305" t="s">
        <v>1898</v>
      </c>
      <c r="T22" s="4306"/>
      <c r="U22" s="4306"/>
      <c r="V22" s="4305" t="s">
        <v>1899</v>
      </c>
      <c r="W22" s="4306"/>
      <c r="X22" s="4306"/>
      <c r="Y22" s="4307" t="s">
        <v>1870</v>
      </c>
      <c r="Z22" s="4308"/>
      <c r="AA22" s="4308"/>
      <c r="AB22" s="4309"/>
      <c r="AC22" s="4310"/>
      <c r="AD22" s="4318" t="s">
        <v>1871</v>
      </c>
      <c r="AE22" s="4319"/>
      <c r="AF22" s="4319"/>
      <c r="AG22" s="4319"/>
      <c r="AH22" s="4320"/>
      <c r="AI22" s="4305" t="s">
        <v>1377</v>
      </c>
      <c r="AJ22" s="4306"/>
      <c r="AK22" s="4306"/>
      <c r="AL22" s="4305" t="s">
        <v>1900</v>
      </c>
      <c r="AM22" s="4306"/>
      <c r="AN22" s="4306"/>
      <c r="AO22" s="4305" t="s">
        <v>1901</v>
      </c>
      <c r="AP22" s="4306"/>
      <c r="AQ22" s="4306"/>
      <c r="AR22" s="4307" t="s">
        <v>1872</v>
      </c>
      <c r="AS22" s="4308"/>
      <c r="AT22" s="4308"/>
      <c r="AU22" s="4309"/>
      <c r="AV22" s="4310"/>
      <c r="AW22" s="4307" t="s">
        <v>1873</v>
      </c>
      <c r="AX22" s="4308"/>
      <c r="AY22" s="4308"/>
      <c r="AZ22" s="4309"/>
      <c r="BA22" s="4310"/>
      <c r="BB22" s="4305" t="s">
        <v>1902</v>
      </c>
      <c r="BC22" s="4306"/>
      <c r="BD22" s="4306"/>
      <c r="BE22" s="4305" t="s">
        <v>1903</v>
      </c>
      <c r="BF22" s="4306"/>
      <c r="BG22" s="4306"/>
      <c r="BH22" s="4305" t="s">
        <v>1904</v>
      </c>
      <c r="BI22" s="4306"/>
      <c r="BJ22" s="4306"/>
      <c r="BK22" s="4307" t="s">
        <v>1874</v>
      </c>
      <c r="BL22" s="4308"/>
      <c r="BM22" s="4308"/>
      <c r="BN22" s="4309"/>
      <c r="BO22" s="4310"/>
      <c r="BP22" s="4314" t="s">
        <v>887</v>
      </c>
      <c r="BQ22" s="4315"/>
      <c r="BR22" s="4315"/>
      <c r="BS22" s="4316"/>
      <c r="BT22" s="4316"/>
      <c r="BU22" s="684"/>
      <c r="BV22" s="684"/>
      <c r="BW22" s="684"/>
      <c r="BX22" s="684"/>
    </row>
    <row r="23" spans="1:76" ht="20.25" customHeight="1">
      <c r="A23" s="4304"/>
      <c r="B23" s="4311" t="s">
        <v>1875</v>
      </c>
      <c r="C23" s="4311" t="s">
        <v>1876</v>
      </c>
      <c r="D23" s="4311" t="s">
        <v>1905</v>
      </c>
      <c r="E23" s="4311" t="s">
        <v>1875</v>
      </c>
      <c r="F23" s="4311" t="s">
        <v>1876</v>
      </c>
      <c r="G23" s="4311" t="s">
        <v>1905</v>
      </c>
      <c r="H23" s="4311" t="s">
        <v>1875</v>
      </c>
      <c r="I23" s="4311" t="s">
        <v>1876</v>
      </c>
      <c r="J23" s="4311" t="s">
        <v>1905</v>
      </c>
      <c r="K23" s="4313" t="s">
        <v>1875</v>
      </c>
      <c r="L23" s="4313" t="s">
        <v>1876</v>
      </c>
      <c r="M23" s="4313" t="s">
        <v>1905</v>
      </c>
      <c r="N23" s="4317" t="s">
        <v>1906</v>
      </c>
      <c r="O23" s="4317"/>
      <c r="P23" s="4311" t="s">
        <v>1875</v>
      </c>
      <c r="Q23" s="4311" t="s">
        <v>1876</v>
      </c>
      <c r="R23" s="4311" t="s">
        <v>1905</v>
      </c>
      <c r="S23" s="4311" t="s">
        <v>1875</v>
      </c>
      <c r="T23" s="4311" t="s">
        <v>1876</v>
      </c>
      <c r="U23" s="4311" t="s">
        <v>1905</v>
      </c>
      <c r="V23" s="4311" t="s">
        <v>1875</v>
      </c>
      <c r="W23" s="4311" t="s">
        <v>1876</v>
      </c>
      <c r="X23" s="4311" t="s">
        <v>1905</v>
      </c>
      <c r="Y23" s="4313" t="s">
        <v>1875</v>
      </c>
      <c r="Z23" s="4313" t="s">
        <v>1876</v>
      </c>
      <c r="AA23" s="4313" t="s">
        <v>1905</v>
      </c>
      <c r="AB23" s="4317" t="s">
        <v>1906</v>
      </c>
      <c r="AC23" s="4317"/>
      <c r="AD23" s="4313" t="s">
        <v>1875</v>
      </c>
      <c r="AE23" s="4313" t="s">
        <v>1876</v>
      </c>
      <c r="AF23" s="4313" t="s">
        <v>1905</v>
      </c>
      <c r="AG23" s="4317" t="s">
        <v>1906</v>
      </c>
      <c r="AH23" s="4317"/>
      <c r="AI23" s="4311" t="s">
        <v>1875</v>
      </c>
      <c r="AJ23" s="4311" t="s">
        <v>1876</v>
      </c>
      <c r="AK23" s="4311" t="s">
        <v>1905</v>
      </c>
      <c r="AL23" s="4311" t="s">
        <v>1875</v>
      </c>
      <c r="AM23" s="4311" t="s">
        <v>1876</v>
      </c>
      <c r="AN23" s="4311" t="s">
        <v>1905</v>
      </c>
      <c r="AO23" s="4311" t="s">
        <v>1875</v>
      </c>
      <c r="AP23" s="4311" t="s">
        <v>1876</v>
      </c>
      <c r="AQ23" s="4311" t="s">
        <v>1905</v>
      </c>
      <c r="AR23" s="4313" t="s">
        <v>1875</v>
      </c>
      <c r="AS23" s="4313" t="s">
        <v>1876</v>
      </c>
      <c r="AT23" s="4313" t="s">
        <v>1905</v>
      </c>
      <c r="AU23" s="4317" t="s">
        <v>1906</v>
      </c>
      <c r="AV23" s="4317"/>
      <c r="AW23" s="4313" t="s">
        <v>1875</v>
      </c>
      <c r="AX23" s="4313" t="s">
        <v>1876</v>
      </c>
      <c r="AY23" s="4313" t="s">
        <v>1905</v>
      </c>
      <c r="AZ23" s="4317" t="s">
        <v>1906</v>
      </c>
      <c r="BA23" s="4317"/>
      <c r="BB23" s="4311" t="s">
        <v>1875</v>
      </c>
      <c r="BC23" s="4311" t="s">
        <v>1876</v>
      </c>
      <c r="BD23" s="4311" t="s">
        <v>1905</v>
      </c>
      <c r="BE23" s="4311" t="s">
        <v>1875</v>
      </c>
      <c r="BF23" s="4311" t="s">
        <v>1876</v>
      </c>
      <c r="BG23" s="4311" t="s">
        <v>1905</v>
      </c>
      <c r="BH23" s="4311" t="s">
        <v>1875</v>
      </c>
      <c r="BI23" s="4311" t="s">
        <v>1876</v>
      </c>
      <c r="BJ23" s="4311" t="s">
        <v>1905</v>
      </c>
      <c r="BK23" s="4313" t="s">
        <v>1875</v>
      </c>
      <c r="BL23" s="4313" t="s">
        <v>1876</v>
      </c>
      <c r="BM23" s="4313" t="s">
        <v>1905</v>
      </c>
      <c r="BN23" s="4317" t="s">
        <v>1906</v>
      </c>
      <c r="BO23" s="4317"/>
      <c r="BP23" s="4321" t="s">
        <v>1875</v>
      </c>
      <c r="BQ23" s="4321" t="s">
        <v>1876</v>
      </c>
      <c r="BR23" s="4321" t="s">
        <v>1905</v>
      </c>
      <c r="BS23" s="4317" t="s">
        <v>1906</v>
      </c>
      <c r="BT23" s="4317"/>
      <c r="BU23" s="684"/>
      <c r="BV23" s="684"/>
      <c r="BW23" s="684"/>
      <c r="BX23" s="684"/>
    </row>
    <row r="24" spans="1:76" ht="25.5" customHeight="1">
      <c r="A24" s="4304"/>
      <c r="B24" s="4312"/>
      <c r="C24" s="4312"/>
      <c r="D24" s="4312"/>
      <c r="E24" s="4312"/>
      <c r="F24" s="4312"/>
      <c r="G24" s="4312"/>
      <c r="H24" s="4312"/>
      <c r="I24" s="4312"/>
      <c r="J24" s="4312"/>
      <c r="K24" s="4312"/>
      <c r="L24" s="4312"/>
      <c r="M24" s="4312"/>
      <c r="N24" s="4138" t="s">
        <v>1907</v>
      </c>
      <c r="O24" s="4138" t="s">
        <v>44</v>
      </c>
      <c r="P24" s="4312"/>
      <c r="Q24" s="4312"/>
      <c r="R24" s="4312"/>
      <c r="S24" s="4312"/>
      <c r="T24" s="4312"/>
      <c r="U24" s="4312"/>
      <c r="V24" s="4312"/>
      <c r="W24" s="4312"/>
      <c r="X24" s="4312"/>
      <c r="Y24" s="4312"/>
      <c r="Z24" s="4312"/>
      <c r="AA24" s="4312"/>
      <c r="AB24" s="4138" t="s">
        <v>1907</v>
      </c>
      <c r="AC24" s="4138" t="s">
        <v>44</v>
      </c>
      <c r="AD24" s="4312"/>
      <c r="AE24" s="4312"/>
      <c r="AF24" s="4312"/>
      <c r="AG24" s="4138" t="s">
        <v>1907</v>
      </c>
      <c r="AH24" s="4138" t="s">
        <v>44</v>
      </c>
      <c r="AI24" s="4312"/>
      <c r="AJ24" s="4312"/>
      <c r="AK24" s="4312"/>
      <c r="AL24" s="4312"/>
      <c r="AM24" s="4312"/>
      <c r="AN24" s="4312"/>
      <c r="AO24" s="4312"/>
      <c r="AP24" s="4312"/>
      <c r="AQ24" s="4312"/>
      <c r="AR24" s="4312"/>
      <c r="AS24" s="4312"/>
      <c r="AT24" s="4312"/>
      <c r="AU24" s="4138" t="s">
        <v>1907</v>
      </c>
      <c r="AV24" s="4138" t="s">
        <v>44</v>
      </c>
      <c r="AW24" s="4312"/>
      <c r="AX24" s="4312"/>
      <c r="AY24" s="4312"/>
      <c r="AZ24" s="4138" t="s">
        <v>1907</v>
      </c>
      <c r="BA24" s="4138" t="s">
        <v>44</v>
      </c>
      <c r="BB24" s="4312"/>
      <c r="BC24" s="4312"/>
      <c r="BD24" s="4312"/>
      <c r="BE24" s="4312"/>
      <c r="BF24" s="4312"/>
      <c r="BG24" s="4312"/>
      <c r="BH24" s="4312"/>
      <c r="BI24" s="4312"/>
      <c r="BJ24" s="4312"/>
      <c r="BK24" s="4312"/>
      <c r="BL24" s="4312"/>
      <c r="BM24" s="4312"/>
      <c r="BN24" s="4138" t="s">
        <v>1907</v>
      </c>
      <c r="BO24" s="4138" t="s">
        <v>44</v>
      </c>
      <c r="BP24" s="4312"/>
      <c r="BQ24" s="4312"/>
      <c r="BR24" s="4312"/>
      <c r="BS24" s="4138" t="s">
        <v>1907</v>
      </c>
      <c r="BT24" s="4138" t="s">
        <v>44</v>
      </c>
      <c r="BU24" s="684"/>
      <c r="BV24" s="684"/>
      <c r="BW24" s="684"/>
      <c r="BX24" s="684"/>
    </row>
    <row r="25" spans="1:76" ht="18.75">
      <c r="A25" s="4151" t="s">
        <v>1732</v>
      </c>
      <c r="B25" s="4226">
        <f>SUM('Произв. прогр. Вода (СВОД)'!E28)</f>
        <v>5690.1039999999994</v>
      </c>
      <c r="C25" s="4120">
        <v>5315.6</v>
      </c>
      <c r="D25" s="4120">
        <v>5336.44</v>
      </c>
      <c r="E25" s="4226">
        <f>SUM('Произв. прогр. Вода (СВОД)'!F28)</f>
        <v>5623.9400000000005</v>
      </c>
      <c r="F25" s="4120">
        <v>5575.26</v>
      </c>
      <c r="G25" s="4120">
        <v>5334.04</v>
      </c>
      <c r="H25" s="4226">
        <f>SUM('Произв. прогр. Вода (СВОД)'!G28)</f>
        <v>5650.4056</v>
      </c>
      <c r="I25" s="4120">
        <v>5583.39</v>
      </c>
      <c r="J25" s="4120">
        <v>5010.13</v>
      </c>
      <c r="K25" s="4281">
        <f t="shared" ref="K25:M25" si="48">SUM(B25+E25+H25)</f>
        <v>16964.4496</v>
      </c>
      <c r="L25" s="4281">
        <f t="shared" si="48"/>
        <v>16474.25</v>
      </c>
      <c r="M25" s="4281">
        <f t="shared" si="48"/>
        <v>15680.61</v>
      </c>
      <c r="N25" s="4282">
        <f t="shared" ref="N25:N34" si="49">SUM(L25-K25)</f>
        <v>-490.19959999999992</v>
      </c>
      <c r="O25" s="4282">
        <f t="shared" ref="O25:O34" si="50">SUM(N25/K25*100)</f>
        <v>-2.889569727036708</v>
      </c>
      <c r="P25" s="4226">
        <f>SUM('Произв. прогр. Вода (СВОД)'!I28)</f>
        <v>5577.6251999999995</v>
      </c>
      <c r="Q25" s="4120">
        <v>6307.87</v>
      </c>
      <c r="R25" s="4120">
        <v>4999.78</v>
      </c>
      <c r="S25" s="4226">
        <f>SUM('Произв. прогр. Вода (СВОД)'!J28)</f>
        <v>5425.4479999999994</v>
      </c>
      <c r="T25" s="4120">
        <v>5762.1</v>
      </c>
      <c r="U25" s="4120">
        <v>4940.8500000000004</v>
      </c>
      <c r="V25" s="4226">
        <f>SUM('Произв. прогр. Вода (СВОД)'!K28)</f>
        <v>5220.3395999999993</v>
      </c>
      <c r="W25" s="4120">
        <v>5469.02</v>
      </c>
      <c r="X25" s="4120">
        <v>4791.6400000000003</v>
      </c>
      <c r="Y25" s="4281">
        <f t="shared" ref="Y25:AA33" si="51">SUM(P25+S25+V25)</f>
        <v>16223.412799999998</v>
      </c>
      <c r="Z25" s="4281">
        <f t="shared" si="51"/>
        <v>17538.990000000002</v>
      </c>
      <c r="AA25" s="4281">
        <f t="shared" si="51"/>
        <v>14732.27</v>
      </c>
      <c r="AB25" s="4282">
        <f t="shared" ref="AB25:AB34" si="52">SUM(Z25-Y25)</f>
        <v>1315.5772000000034</v>
      </c>
      <c r="AC25" s="4282">
        <f t="shared" ref="AC25:AC34" si="53">SUM(AB25/Y25*100)</f>
        <v>8.10912732245834</v>
      </c>
      <c r="AD25" s="4281">
        <f t="shared" ref="AD25:AD33" si="54">SUM(K25+Y25)</f>
        <v>33187.862399999998</v>
      </c>
      <c r="AE25" s="4281">
        <f t="shared" ref="AE25:AF33" si="55">SUM(L25+Z25)</f>
        <v>34013.240000000005</v>
      </c>
      <c r="AF25" s="4281">
        <f t="shared" si="55"/>
        <v>30412.880000000001</v>
      </c>
      <c r="AG25" s="4282">
        <f t="shared" ref="AG25:AG34" si="56">SUM(AE25-AD25)</f>
        <v>825.37760000000708</v>
      </c>
      <c r="AH25" s="4282">
        <f t="shared" ref="AH25:AH34" si="57">SUM(AG25/AD25*100)</f>
        <v>2.4869863266638323</v>
      </c>
      <c r="AI25" s="4226">
        <f>SUM('Произв. прогр. Вода (СВОД)'!N28)</f>
        <v>5369.2419199999995</v>
      </c>
      <c r="AJ25" s="4120">
        <v>5253.22</v>
      </c>
      <c r="AK25" s="4120">
        <v>4921.3599999999997</v>
      </c>
      <c r="AL25" s="4226">
        <f>SUM('Произв. прогр. Вода (СВОД)'!O28)</f>
        <v>5589.8012799999997</v>
      </c>
      <c r="AM25" s="4120">
        <v>5605.38</v>
      </c>
      <c r="AN25" s="4120">
        <v>5622.49</v>
      </c>
      <c r="AO25" s="4226">
        <f>SUM('Произв. прогр. Вода (СВОД)'!P28)</f>
        <v>5734.5433599999997</v>
      </c>
      <c r="AP25" s="4120">
        <v>5822.81</v>
      </c>
      <c r="AQ25" s="4120">
        <v>5379.01</v>
      </c>
      <c r="AR25" s="4281">
        <f t="shared" ref="AR25:AT33" si="58">SUM(AI25+AL25+AO25)</f>
        <v>16693.58656</v>
      </c>
      <c r="AS25" s="4281">
        <f t="shared" si="58"/>
        <v>16681.41</v>
      </c>
      <c r="AT25" s="4281">
        <f t="shared" si="58"/>
        <v>15922.859999999999</v>
      </c>
      <c r="AU25" s="4282">
        <f t="shared" ref="AU25:AU34" si="59">SUM(AS25-AR25)</f>
        <v>-12.176559999999881</v>
      </c>
      <c r="AV25" s="4282">
        <f t="shared" ref="AV25:AV34" si="60">SUM(AU25/AR25*100)</f>
        <v>-7.2941545282884268E-2</v>
      </c>
      <c r="AW25" s="4281">
        <f t="shared" ref="AW25:AW33" si="61">SUM(AD25+AR25)</f>
        <v>49881.448959999994</v>
      </c>
      <c r="AX25" s="4281">
        <f t="shared" ref="AX25:AY33" si="62">SUM(AE25+AS25)</f>
        <v>50694.650000000009</v>
      </c>
      <c r="AY25" s="4281">
        <f t="shared" si="62"/>
        <v>46335.74</v>
      </c>
      <c r="AZ25" s="4282">
        <f t="shared" ref="AZ25:AZ34" si="63">SUM(AX25-AW25)</f>
        <v>813.20104000001447</v>
      </c>
      <c r="BA25" s="4282">
        <f t="shared" ref="BA25:BA34" si="64">SUM(AZ25/AW25*100)</f>
        <v>1.6302674781001683</v>
      </c>
      <c r="BB25" s="4226">
        <f>SUM('Произв. прогр. Вода (СВОД)'!S28)</f>
        <v>5886.1779199999992</v>
      </c>
      <c r="BC25" s="4120"/>
      <c r="BD25" s="4120">
        <v>5335.73</v>
      </c>
      <c r="BE25" s="4226">
        <f>SUM('Произв. прогр. Вода (СВОД)'!T28)</f>
        <v>5886.1779199999992</v>
      </c>
      <c r="BF25" s="4120"/>
      <c r="BG25" s="4120">
        <v>5402.41</v>
      </c>
      <c r="BH25" s="4226">
        <f>SUM('Произв. прогр. Вода (СВОД)'!U28)</f>
        <v>5886.1779199999992</v>
      </c>
      <c r="BI25" s="4120"/>
      <c r="BJ25" s="4120">
        <v>5024.57</v>
      </c>
      <c r="BK25" s="4281">
        <f t="shared" ref="BK25:BM33" si="65">SUM(BB25+BE25+BH25)</f>
        <v>17658.533759999998</v>
      </c>
      <c r="BL25" s="4281">
        <f t="shared" si="65"/>
        <v>0</v>
      </c>
      <c r="BM25" s="4281">
        <f t="shared" si="65"/>
        <v>15762.71</v>
      </c>
      <c r="BN25" s="4282">
        <f t="shared" ref="BN25:BN34" si="66">SUM(BL25-BK25)</f>
        <v>-17658.533759999998</v>
      </c>
      <c r="BO25" s="4282">
        <f t="shared" ref="BO25:BO34" si="67">SUM(BN25/BK25*100)</f>
        <v>-100</v>
      </c>
      <c r="BP25" s="4281">
        <f t="shared" ref="BP25:BP33" si="68">SUM(AW25+BK25)</f>
        <v>67539.98272</v>
      </c>
      <c r="BQ25" s="4281">
        <f t="shared" ref="BQ25:BR33" si="69">SUM(AX25+BL25)</f>
        <v>50694.650000000009</v>
      </c>
      <c r="BR25" s="4281">
        <f t="shared" si="69"/>
        <v>62098.45</v>
      </c>
      <c r="BS25" s="4282">
        <f t="shared" ref="BS25:BS34" si="70">SUM(BQ25-BP25)</f>
        <v>-16845.332719999991</v>
      </c>
      <c r="BT25" s="4282">
        <f t="shared" ref="BT25:BT34" si="71">SUM(BS25/BP25*100)</f>
        <v>-24.941274844317864</v>
      </c>
      <c r="BU25" s="684"/>
      <c r="BV25" s="684"/>
      <c r="BW25" s="684"/>
      <c r="BX25" s="684"/>
    </row>
    <row r="26" spans="1:76" ht="18.75">
      <c r="A26" s="4151" t="s">
        <v>1733</v>
      </c>
      <c r="B26" s="4226">
        <f>SUM('Произв. прогр. Вода (СВОД)'!E29)</f>
        <v>1211.7055999999995</v>
      </c>
      <c r="C26" s="4120">
        <v>1132.0899999999999</v>
      </c>
      <c r="D26" s="4120">
        <v>1145.47</v>
      </c>
      <c r="E26" s="4226">
        <f>SUM('Произв. прогр. Вода (СВОД)'!F29)</f>
        <v>1197.6159999999998</v>
      </c>
      <c r="F26" s="4120">
        <v>1187.3900000000001</v>
      </c>
      <c r="G26" s="4120">
        <v>1144.95</v>
      </c>
      <c r="H26" s="4226">
        <f>SUM('Произв. прогр. Вода (СВОД)'!G29)</f>
        <v>1203.2518399999994</v>
      </c>
      <c r="I26" s="4120">
        <v>1189.1199999999999</v>
      </c>
      <c r="J26" s="4120">
        <v>1075.43</v>
      </c>
      <c r="K26" s="4281">
        <f t="shared" ref="K26:M33" si="72">SUM(B26+E26+H26)</f>
        <v>3612.5734399999988</v>
      </c>
      <c r="L26" s="4281">
        <f t="shared" si="72"/>
        <v>3508.6</v>
      </c>
      <c r="M26" s="4281">
        <f t="shared" si="72"/>
        <v>3365.8500000000004</v>
      </c>
      <c r="N26" s="4282">
        <f t="shared" si="49"/>
        <v>-103.97343999999885</v>
      </c>
      <c r="O26" s="4282">
        <f t="shared" si="50"/>
        <v>-2.8780989985908461</v>
      </c>
      <c r="P26" s="4226">
        <f>SUM('Произв. прогр. Вода (СВОД)'!I29)</f>
        <v>1187.7532799999994</v>
      </c>
      <c r="Q26" s="4120">
        <v>1343.41</v>
      </c>
      <c r="R26" s="4120">
        <v>1073.21</v>
      </c>
      <c r="S26" s="4226">
        <f>SUM('Произв. прогр. Вода (СВОД)'!J29)</f>
        <v>1155.3471999999995</v>
      </c>
      <c r="T26" s="4120">
        <v>1227.18</v>
      </c>
      <c r="U26" s="4120">
        <v>1060.06</v>
      </c>
      <c r="V26" s="4226">
        <f>SUM('Произв. прогр. Вода (СВОД)'!K29)</f>
        <v>1111.6694399999994</v>
      </c>
      <c r="W26" s="4120">
        <v>1164.75</v>
      </c>
      <c r="X26" s="4120">
        <v>1028.04</v>
      </c>
      <c r="Y26" s="4281">
        <f t="shared" si="51"/>
        <v>3454.7699199999988</v>
      </c>
      <c r="Z26" s="4281">
        <f t="shared" si="51"/>
        <v>3735.34</v>
      </c>
      <c r="AA26" s="4281">
        <f t="shared" si="51"/>
        <v>3161.31</v>
      </c>
      <c r="AB26" s="4282">
        <f t="shared" si="52"/>
        <v>280.57008000000133</v>
      </c>
      <c r="AC26" s="4282">
        <f t="shared" si="53"/>
        <v>8.1212377812992376</v>
      </c>
      <c r="AD26" s="4281">
        <f t="shared" si="54"/>
        <v>7067.3433599999971</v>
      </c>
      <c r="AE26" s="4281">
        <f t="shared" si="55"/>
        <v>7243.9400000000005</v>
      </c>
      <c r="AF26" s="4281">
        <f t="shared" si="55"/>
        <v>6527.16</v>
      </c>
      <c r="AG26" s="4282">
        <f t="shared" si="56"/>
        <v>176.59664000000339</v>
      </c>
      <c r="AH26" s="4282">
        <f t="shared" si="57"/>
        <v>2.4987697781815918</v>
      </c>
      <c r="AI26" s="4226">
        <f>SUM('Произв. прогр. Вода (СВОД)'!N29)</f>
        <v>1310.79214</v>
      </c>
      <c r="AJ26" s="4120">
        <v>1282.45</v>
      </c>
      <c r="AK26" s="4120">
        <v>1047.4000000000001</v>
      </c>
      <c r="AL26" s="4226">
        <f>SUM('Произв. прогр. Вода (СВОД)'!O29)</f>
        <v>1364.63726</v>
      </c>
      <c r="AM26" s="4120">
        <v>1368.5</v>
      </c>
      <c r="AN26" s="4120">
        <v>1196.6300000000001</v>
      </c>
      <c r="AO26" s="4226">
        <f>SUM('Произв. прогр. Вода (СВОД)'!P29)</f>
        <v>1399.9731199999999</v>
      </c>
      <c r="AP26" s="4120">
        <v>1421.63</v>
      </c>
      <c r="AQ26" s="4120">
        <v>1144.22</v>
      </c>
      <c r="AR26" s="4281">
        <f t="shared" si="58"/>
        <v>4075.4025199999996</v>
      </c>
      <c r="AS26" s="4281">
        <f t="shared" si="58"/>
        <v>4072.58</v>
      </c>
      <c r="AT26" s="4281">
        <f t="shared" si="58"/>
        <v>3388.25</v>
      </c>
      <c r="AU26" s="4282">
        <f t="shared" si="59"/>
        <v>-2.822519999999713</v>
      </c>
      <c r="AV26" s="4282">
        <f t="shared" si="60"/>
        <v>-6.9257453371739913E-2</v>
      </c>
      <c r="AW26" s="4281">
        <f t="shared" si="61"/>
        <v>11142.745879999997</v>
      </c>
      <c r="AX26" s="4281">
        <f t="shared" si="62"/>
        <v>11316.52</v>
      </c>
      <c r="AY26" s="4281">
        <f t="shared" si="62"/>
        <v>9915.41</v>
      </c>
      <c r="AZ26" s="4282">
        <f t="shared" si="63"/>
        <v>173.77412000000368</v>
      </c>
      <c r="BA26" s="4282">
        <f t="shared" si="64"/>
        <v>1.5595269054094565</v>
      </c>
      <c r="BB26" s="4226">
        <f>SUM('Произв. прогр. Вода (СВОД)'!S29)</f>
        <v>1436.99164</v>
      </c>
      <c r="BC26" s="4120"/>
      <c r="BD26" s="4120">
        <v>1135.97</v>
      </c>
      <c r="BE26" s="4226">
        <f>SUM('Произв. прогр. Вода (СВОД)'!T29)</f>
        <v>1436.99164</v>
      </c>
      <c r="BF26" s="4120"/>
      <c r="BG26" s="4120">
        <v>1150.3399999999999</v>
      </c>
      <c r="BH26" s="4226">
        <f>SUM('Произв. прогр. Вода (СВОД)'!U29)</f>
        <v>1436.99164</v>
      </c>
      <c r="BI26" s="4120"/>
      <c r="BJ26" s="4120">
        <v>1070.1600000000001</v>
      </c>
      <c r="BK26" s="4281">
        <f t="shared" si="65"/>
        <v>4310.9749199999997</v>
      </c>
      <c r="BL26" s="4281">
        <f t="shared" si="65"/>
        <v>0</v>
      </c>
      <c r="BM26" s="4281">
        <f t="shared" si="65"/>
        <v>3356.4700000000003</v>
      </c>
      <c r="BN26" s="4282">
        <f t="shared" si="66"/>
        <v>-4310.9749199999997</v>
      </c>
      <c r="BO26" s="4282">
        <f t="shared" si="67"/>
        <v>-100</v>
      </c>
      <c r="BP26" s="4281">
        <f t="shared" si="68"/>
        <v>15453.720799999996</v>
      </c>
      <c r="BQ26" s="4281">
        <f t="shared" si="69"/>
        <v>11316.52</v>
      </c>
      <c r="BR26" s="4281">
        <f t="shared" si="69"/>
        <v>13271.880000000001</v>
      </c>
      <c r="BS26" s="4282">
        <f t="shared" si="70"/>
        <v>-4137.2007999999951</v>
      </c>
      <c r="BT26" s="4282">
        <f t="shared" si="71"/>
        <v>-26.771551353509608</v>
      </c>
      <c r="BU26" s="684"/>
      <c r="BV26" s="684"/>
      <c r="BW26" s="684"/>
      <c r="BX26" s="684"/>
    </row>
    <row r="27" spans="1:76" ht="18.75">
      <c r="A27" s="4151" t="s">
        <v>1734</v>
      </c>
      <c r="B27" s="4226">
        <f>SUM('Произв. прогр. Вода (СВОД)'!E30)</f>
        <v>2763.3463354439996</v>
      </c>
      <c r="C27" s="4120">
        <v>2590.7399999999998</v>
      </c>
      <c r="D27" s="4120">
        <v>2445.61</v>
      </c>
      <c r="E27" s="4226">
        <f>SUM('Произв. прогр. Вода (СВОД)'!F30)</f>
        <v>2873.0144579400003</v>
      </c>
      <c r="F27" s="4120">
        <v>2809.98</v>
      </c>
      <c r="G27" s="4120">
        <v>2479.3200000000002</v>
      </c>
      <c r="H27" s="4226">
        <f>SUM('Произв. прогр. Вода (СВОД)'!G30)</f>
        <v>2876.441586768</v>
      </c>
      <c r="I27" s="4120">
        <v>2472.2399999999998</v>
      </c>
      <c r="J27" s="4120">
        <v>2474.06</v>
      </c>
      <c r="K27" s="4281">
        <f t="shared" si="72"/>
        <v>8512.8023801519994</v>
      </c>
      <c r="L27" s="4281">
        <f t="shared" si="72"/>
        <v>7872.9599999999991</v>
      </c>
      <c r="M27" s="4281">
        <f t="shared" si="72"/>
        <v>7398.99</v>
      </c>
      <c r="N27" s="4282">
        <f t="shared" si="49"/>
        <v>-639.84238015200026</v>
      </c>
      <c r="O27" s="4282">
        <f t="shared" si="50"/>
        <v>-7.5162367406040458</v>
      </c>
      <c r="P27" s="4226">
        <f>SUM('Произв. прогр. Вода (СВОД)'!I30)</f>
        <v>2828.4617831759997</v>
      </c>
      <c r="Q27" s="4120">
        <v>2585.19</v>
      </c>
      <c r="R27" s="4120">
        <v>2455.59</v>
      </c>
      <c r="S27" s="4226">
        <f>SUM('Произв. прогр. Вода (СВОД)'!J30)</f>
        <v>2831.8889120039998</v>
      </c>
      <c r="T27" s="4120">
        <v>2550.56</v>
      </c>
      <c r="U27" s="4120">
        <v>2185.31</v>
      </c>
      <c r="V27" s="4226">
        <f>SUM('Произв. прогр. Вода (СВОД)'!K30)</f>
        <v>2746.2106913039997</v>
      </c>
      <c r="W27" s="4120">
        <v>2547.4699999999998</v>
      </c>
      <c r="X27" s="4120">
        <v>2363.27</v>
      </c>
      <c r="Y27" s="4281">
        <f t="shared" si="51"/>
        <v>8406.5613864839979</v>
      </c>
      <c r="Z27" s="4281">
        <f t="shared" si="51"/>
        <v>7683.2199999999993</v>
      </c>
      <c r="AA27" s="4281">
        <f t="shared" si="51"/>
        <v>7004.17</v>
      </c>
      <c r="AB27" s="4282">
        <f t="shared" si="52"/>
        <v>-723.34138648399858</v>
      </c>
      <c r="AC27" s="4282">
        <f t="shared" si="53"/>
        <v>-8.6044858679909364</v>
      </c>
      <c r="AD27" s="4281">
        <f t="shared" si="54"/>
        <v>16919.363766635997</v>
      </c>
      <c r="AE27" s="4281">
        <f t="shared" si="55"/>
        <v>15556.179999999998</v>
      </c>
      <c r="AF27" s="4281">
        <f t="shared" si="55"/>
        <v>14403.16</v>
      </c>
      <c r="AG27" s="4282">
        <f t="shared" si="56"/>
        <v>-1363.1837666359988</v>
      </c>
      <c r="AH27" s="4282">
        <f t="shared" si="57"/>
        <v>-8.0569446075987674</v>
      </c>
      <c r="AI27" s="4226">
        <f>SUM('Произв. прогр. Вода (СВОД)'!N30)</f>
        <v>2740.2597944549998</v>
      </c>
      <c r="AJ27" s="4120">
        <v>2365.41</v>
      </c>
      <c r="AK27" s="4120">
        <v>2230.37</v>
      </c>
      <c r="AL27" s="4226">
        <f>SUM('Произв. прогр. Вода (СВОД)'!O30)</f>
        <v>2795.1883761599997</v>
      </c>
      <c r="AM27" s="4120">
        <f>(3069849.77-805270.5)/1000</f>
        <v>2264.5792700000002</v>
      </c>
      <c r="AN27" s="4120">
        <v>2217.73</v>
      </c>
      <c r="AO27" s="4226">
        <f>SUM('Произв. прогр. Вода (СВОД)'!P30)</f>
        <v>3051.5217574500002</v>
      </c>
      <c r="AP27" s="4120">
        <v>3018.2</v>
      </c>
      <c r="AQ27" s="4120">
        <v>2702.5</v>
      </c>
      <c r="AR27" s="4281">
        <f t="shared" si="58"/>
        <v>8586.9699280650002</v>
      </c>
      <c r="AS27" s="4281">
        <f t="shared" si="58"/>
        <v>7648.1892699999999</v>
      </c>
      <c r="AT27" s="4281">
        <f t="shared" si="58"/>
        <v>7150.6</v>
      </c>
      <c r="AU27" s="4282">
        <f t="shared" si="59"/>
        <v>-938.78065806500035</v>
      </c>
      <c r="AV27" s="4282">
        <f t="shared" si="60"/>
        <v>-10.932618443168888</v>
      </c>
      <c r="AW27" s="4281">
        <f t="shared" si="61"/>
        <v>25506.333694700996</v>
      </c>
      <c r="AX27" s="4281">
        <f t="shared" si="62"/>
        <v>23204.369269999999</v>
      </c>
      <c r="AY27" s="4281">
        <f t="shared" si="62"/>
        <v>21553.760000000002</v>
      </c>
      <c r="AZ27" s="4282">
        <f t="shared" si="63"/>
        <v>-2301.9644247009965</v>
      </c>
      <c r="BA27" s="4282">
        <f t="shared" si="64"/>
        <v>-9.0250698209097582</v>
      </c>
      <c r="BB27" s="4226">
        <f>SUM('Произв. прогр. Вода (СВОД)'!S30)</f>
        <v>3073.4931901320006</v>
      </c>
      <c r="BC27" s="4120"/>
      <c r="BD27" s="4120">
        <v>2607.2600000000002</v>
      </c>
      <c r="BE27" s="4226">
        <f>SUM('Произв. прогр. Вода (СВОД)'!T30)</f>
        <v>3073.4931901320006</v>
      </c>
      <c r="BF27" s="4120"/>
      <c r="BG27" s="4120">
        <v>2840.3</v>
      </c>
      <c r="BH27" s="4226">
        <f>SUM('Произв. прогр. Вода (СВОД)'!U30)</f>
        <v>3073.4931901320006</v>
      </c>
      <c r="BI27" s="4120"/>
      <c r="BJ27" s="4120">
        <v>2804.38</v>
      </c>
      <c r="BK27" s="4281">
        <f t="shared" si="65"/>
        <v>9220.4795703960008</v>
      </c>
      <c r="BL27" s="4281">
        <f t="shared" si="65"/>
        <v>0</v>
      </c>
      <c r="BM27" s="4281">
        <f t="shared" si="65"/>
        <v>8251.94</v>
      </c>
      <c r="BN27" s="4282">
        <f t="shared" si="66"/>
        <v>-9220.4795703960008</v>
      </c>
      <c r="BO27" s="4282">
        <f t="shared" si="67"/>
        <v>-100</v>
      </c>
      <c r="BP27" s="4281">
        <f t="shared" si="68"/>
        <v>34726.813265096993</v>
      </c>
      <c r="BQ27" s="4281">
        <f t="shared" si="69"/>
        <v>23204.369269999999</v>
      </c>
      <c r="BR27" s="4281">
        <f t="shared" si="69"/>
        <v>29805.700000000004</v>
      </c>
      <c r="BS27" s="4282">
        <f t="shared" si="70"/>
        <v>-11522.443995096994</v>
      </c>
      <c r="BT27" s="4282">
        <f t="shared" si="71"/>
        <v>-33.180251545505044</v>
      </c>
      <c r="BU27" s="684"/>
      <c r="BV27" s="684"/>
      <c r="BW27" s="684"/>
      <c r="BX27" s="684"/>
    </row>
    <row r="28" spans="1:76" ht="18.75">
      <c r="A28" s="4151" t="s">
        <v>1735</v>
      </c>
      <c r="B28" s="4226">
        <f>SUM('Произв. прогр. Вода (СВОД)'!E31)</f>
        <v>27.233744999999999</v>
      </c>
      <c r="C28" s="4120">
        <v>4.43</v>
      </c>
      <c r="D28" s="4120">
        <v>5.8</v>
      </c>
      <c r="E28" s="4226">
        <f>SUM('Произв. прогр. Вода (СВОД)'!F31)</f>
        <v>27.233744999999999</v>
      </c>
      <c r="F28" s="4120">
        <v>3.97</v>
      </c>
      <c r="G28" s="4120">
        <v>2.6</v>
      </c>
      <c r="H28" s="4226">
        <f>SUM('Произв. прогр. Вода (СВОД)'!G31)</f>
        <v>27.233744999999999</v>
      </c>
      <c r="I28" s="4120">
        <v>2.39</v>
      </c>
      <c r="J28" s="4120">
        <v>4.2</v>
      </c>
      <c r="K28" s="4281">
        <f t="shared" si="72"/>
        <v>81.701234999999997</v>
      </c>
      <c r="L28" s="4281">
        <f t="shared" si="72"/>
        <v>10.790000000000001</v>
      </c>
      <c r="M28" s="4281">
        <f t="shared" si="72"/>
        <v>12.600000000000001</v>
      </c>
      <c r="N28" s="4282">
        <f t="shared" si="49"/>
        <v>-70.911234999999991</v>
      </c>
      <c r="O28" s="4282">
        <f t="shared" si="50"/>
        <v>-86.793345290312914</v>
      </c>
      <c r="P28" s="4226">
        <f>SUM('Произв. прогр. Вода (СВОД)'!I31)</f>
        <v>27.233744999999999</v>
      </c>
      <c r="Q28" s="4120">
        <v>2.81</v>
      </c>
      <c r="R28" s="4120">
        <v>4.9000000000000004</v>
      </c>
      <c r="S28" s="4226">
        <f>SUM('Произв. прогр. Вода (СВОД)'!J31)</f>
        <v>27.233744999999999</v>
      </c>
      <c r="T28" s="4120">
        <v>1.67</v>
      </c>
      <c r="U28" s="4120">
        <v>2.9</v>
      </c>
      <c r="V28" s="4226">
        <f>SUM('Произв. прогр. Вода (СВОД)'!K31)</f>
        <v>27.233744999999999</v>
      </c>
      <c r="W28" s="4120">
        <v>2.0099999999999998</v>
      </c>
      <c r="X28" s="4120">
        <v>3.1</v>
      </c>
      <c r="Y28" s="4281">
        <f t="shared" si="51"/>
        <v>81.701234999999997</v>
      </c>
      <c r="Z28" s="4281">
        <f t="shared" si="51"/>
        <v>6.49</v>
      </c>
      <c r="AA28" s="4281">
        <f t="shared" si="51"/>
        <v>10.9</v>
      </c>
      <c r="AB28" s="4282">
        <f t="shared" si="52"/>
        <v>-75.211235000000002</v>
      </c>
      <c r="AC28" s="4282">
        <f t="shared" si="53"/>
        <v>-92.056423626888872</v>
      </c>
      <c r="AD28" s="4281">
        <f t="shared" si="54"/>
        <v>163.40246999999999</v>
      </c>
      <c r="AE28" s="4281">
        <f t="shared" si="55"/>
        <v>17.28</v>
      </c>
      <c r="AF28" s="4281">
        <f t="shared" si="55"/>
        <v>23.5</v>
      </c>
      <c r="AG28" s="4282">
        <f t="shared" si="56"/>
        <v>-146.12246999999999</v>
      </c>
      <c r="AH28" s="4282">
        <f t="shared" si="57"/>
        <v>-89.4248844586009</v>
      </c>
      <c r="AI28" s="4226">
        <f>SUM('Произв. прогр. Вода (СВОД)'!N31)</f>
        <v>30.404797500000001</v>
      </c>
      <c r="AJ28" s="4120">
        <v>2.5099999999999998</v>
      </c>
      <c r="AK28" s="4120">
        <v>3.53</v>
      </c>
      <c r="AL28" s="4226">
        <f>SUM('Произв. прогр. Вода (СВОД)'!O31)</f>
        <v>30.404797500000001</v>
      </c>
      <c r="AM28" s="4120">
        <v>3.12</v>
      </c>
      <c r="AN28" s="4120">
        <v>2.15</v>
      </c>
      <c r="AO28" s="4226">
        <f>SUM('Произв. прогр. Вода (СВОД)'!P31)</f>
        <v>30.404797500000001</v>
      </c>
      <c r="AP28" s="4120">
        <v>0</v>
      </c>
      <c r="AQ28" s="4120">
        <v>2.09</v>
      </c>
      <c r="AR28" s="4281">
        <f t="shared" si="58"/>
        <v>91.214392500000002</v>
      </c>
      <c r="AS28" s="4281">
        <f t="shared" si="58"/>
        <v>5.63</v>
      </c>
      <c r="AT28" s="4281">
        <f t="shared" si="58"/>
        <v>7.77</v>
      </c>
      <c r="AU28" s="4282">
        <f t="shared" si="59"/>
        <v>-85.584392500000007</v>
      </c>
      <c r="AV28" s="4282">
        <f t="shared" si="60"/>
        <v>-93.827728447569285</v>
      </c>
      <c r="AW28" s="4281">
        <f t="shared" si="61"/>
        <v>254.6168625</v>
      </c>
      <c r="AX28" s="4281">
        <f t="shared" si="62"/>
        <v>22.91</v>
      </c>
      <c r="AY28" s="4281">
        <f t="shared" si="62"/>
        <v>31.27</v>
      </c>
      <c r="AZ28" s="4282">
        <f t="shared" si="63"/>
        <v>-231.7068625</v>
      </c>
      <c r="BA28" s="4282">
        <f t="shared" si="64"/>
        <v>-91.002167030473089</v>
      </c>
      <c r="BB28" s="4226">
        <f>SUM('Произв. прогр. Вода (СВОД)'!S31)</f>
        <v>30.404797500000001</v>
      </c>
      <c r="BC28" s="4120"/>
      <c r="BD28" s="4120">
        <v>1.81</v>
      </c>
      <c r="BE28" s="4226">
        <f>SUM('Произв. прогр. Вода (СВОД)'!T31)</f>
        <v>30.404797500000001</v>
      </c>
      <c r="BF28" s="4120"/>
      <c r="BG28" s="4120">
        <v>1.45</v>
      </c>
      <c r="BH28" s="4226">
        <f>SUM('Произв. прогр. Вода (СВОД)'!U31)</f>
        <v>30.404797500000001</v>
      </c>
      <c r="BI28" s="4120"/>
      <c r="BJ28" s="4120">
        <v>4</v>
      </c>
      <c r="BK28" s="4281">
        <f t="shared" si="65"/>
        <v>91.214392500000002</v>
      </c>
      <c r="BL28" s="4281">
        <f t="shared" si="65"/>
        <v>0</v>
      </c>
      <c r="BM28" s="4281">
        <f t="shared" si="65"/>
        <v>7.26</v>
      </c>
      <c r="BN28" s="4282">
        <f t="shared" si="66"/>
        <v>-91.214392500000002</v>
      </c>
      <c r="BO28" s="4282">
        <f t="shared" si="67"/>
        <v>-100</v>
      </c>
      <c r="BP28" s="4281">
        <f t="shared" si="68"/>
        <v>345.831255</v>
      </c>
      <c r="BQ28" s="4281">
        <f t="shared" si="69"/>
        <v>22.91</v>
      </c>
      <c r="BR28" s="4281">
        <f t="shared" si="69"/>
        <v>38.53</v>
      </c>
      <c r="BS28" s="4282">
        <f t="shared" si="70"/>
        <v>-322.92125499999997</v>
      </c>
      <c r="BT28" s="4282">
        <f t="shared" si="71"/>
        <v>-93.375381875186491</v>
      </c>
      <c r="BU28" s="684"/>
      <c r="BV28" s="684"/>
      <c r="BW28" s="684"/>
      <c r="BX28" s="684"/>
    </row>
    <row r="29" spans="1:76" ht="18.75">
      <c r="A29" s="4151" t="s">
        <v>1736</v>
      </c>
      <c r="B29" s="4226">
        <f>SUM('Произв. прогр. Вода (СВОД)'!E32)</f>
        <v>1145.4683999999997</v>
      </c>
      <c r="C29" s="4226">
        <f>SUM(C30:C31)</f>
        <v>990.32</v>
      </c>
      <c r="D29" s="4226">
        <f>SUM(D30:D31)</f>
        <v>1063.17</v>
      </c>
      <c r="E29" s="4226">
        <f>SUM('Произв. прогр. Вода (СВОД)'!F32)</f>
        <v>1132.1490000000001</v>
      </c>
      <c r="F29" s="4226">
        <f t="shared" ref="F29:G29" si="73">SUM(F30:F31)</f>
        <v>997.64</v>
      </c>
      <c r="G29" s="4226">
        <f t="shared" si="73"/>
        <v>1062.1299999999999</v>
      </c>
      <c r="H29" s="4226">
        <f>SUM('Произв. прогр. Вода (СВОД)'!G32)</f>
        <v>1137.4767599999998</v>
      </c>
      <c r="I29" s="4226">
        <f t="shared" ref="I29:J29" si="74">SUM(I30:I31)</f>
        <v>896.35</v>
      </c>
      <c r="J29" s="4226">
        <f t="shared" si="74"/>
        <v>1029.1599999999999</v>
      </c>
      <c r="K29" s="4281">
        <f t="shared" si="72"/>
        <v>3415.0941599999996</v>
      </c>
      <c r="L29" s="4281">
        <f t="shared" si="72"/>
        <v>2884.31</v>
      </c>
      <c r="M29" s="4281">
        <f t="shared" si="72"/>
        <v>3154.46</v>
      </c>
      <c r="N29" s="4282">
        <f t="shared" si="49"/>
        <v>-530.7841599999997</v>
      </c>
      <c r="O29" s="4282">
        <f t="shared" si="50"/>
        <v>-15.542299425208228</v>
      </c>
      <c r="P29" s="4226">
        <f>SUM('Произв. прогр. Вода (СВОД)'!I32)</f>
        <v>1122.8254199999999</v>
      </c>
      <c r="Q29" s="4226">
        <f t="shared" ref="Q29:R29" si="75">SUM(Q30:Q31)</f>
        <v>954.41</v>
      </c>
      <c r="R29" s="4226">
        <f t="shared" si="75"/>
        <v>1065.8499999999999</v>
      </c>
      <c r="S29" s="4226">
        <f>SUM('Произв. прогр. Вода (СВОД)'!J32)</f>
        <v>1092.1907999999999</v>
      </c>
      <c r="T29" s="4226">
        <f t="shared" ref="T29:U29" si="76">SUM(T30:T31)</f>
        <v>860.94</v>
      </c>
      <c r="U29" s="4226">
        <f t="shared" si="76"/>
        <v>1006.71</v>
      </c>
      <c r="V29" s="4226">
        <f>SUM('Произв. прогр. Вода (СВОД)'!K32)</f>
        <v>1050.90066</v>
      </c>
      <c r="W29" s="4226">
        <f t="shared" ref="W29:X29" si="77">SUM(W30:W31)</f>
        <v>901.47</v>
      </c>
      <c r="X29" s="4226">
        <f t="shared" si="77"/>
        <v>834.68</v>
      </c>
      <c r="Y29" s="4281">
        <f t="shared" si="51"/>
        <v>3265.9168799999998</v>
      </c>
      <c r="Z29" s="4281">
        <f t="shared" si="51"/>
        <v>2716.8199999999997</v>
      </c>
      <c r="AA29" s="4281">
        <f t="shared" si="51"/>
        <v>2907.24</v>
      </c>
      <c r="AB29" s="4282">
        <f t="shared" si="52"/>
        <v>-549.09688000000006</v>
      </c>
      <c r="AC29" s="4282">
        <f t="shared" si="53"/>
        <v>-16.812947180701062</v>
      </c>
      <c r="AD29" s="4281">
        <f t="shared" si="54"/>
        <v>6681.0110399999994</v>
      </c>
      <c r="AE29" s="4281">
        <f t="shared" si="55"/>
        <v>5601.1299999999992</v>
      </c>
      <c r="AF29" s="4281">
        <f t="shared" si="55"/>
        <v>6061.7</v>
      </c>
      <c r="AG29" s="4282">
        <f t="shared" si="56"/>
        <v>-1079.8810400000002</v>
      </c>
      <c r="AH29" s="4282">
        <f t="shared" si="57"/>
        <v>-16.163437442845481</v>
      </c>
      <c r="AI29" s="4226">
        <f>SUM('Произв. прогр. Вода (СВОД)'!N32)</f>
        <v>1108.6611150000001</v>
      </c>
      <c r="AJ29" s="4226">
        <f t="shared" ref="AJ29:AK29" si="78">SUM(AJ30:AJ31)</f>
        <v>663.89</v>
      </c>
      <c r="AK29" s="4226">
        <f t="shared" si="78"/>
        <v>576.51</v>
      </c>
      <c r="AL29" s="4226">
        <f>SUM('Произв. прогр. Вода (СВОД)'!O32)</f>
        <v>1154.203035</v>
      </c>
      <c r="AM29" s="4226">
        <f t="shared" ref="AM29:AN29" si="79">SUM(AM30:AM31)</f>
        <v>805.27</v>
      </c>
      <c r="AN29" s="4226">
        <f t="shared" si="79"/>
        <v>765.28</v>
      </c>
      <c r="AO29" s="4226">
        <f>SUM('Произв. прогр. Вода (СВОД)'!P32)</f>
        <v>1184.0899199999999</v>
      </c>
      <c r="AP29" s="4226">
        <f t="shared" ref="AP29:AQ29" si="80">SUM(AP30:AP31)</f>
        <v>965.28</v>
      </c>
      <c r="AQ29" s="4226">
        <f t="shared" si="80"/>
        <v>803.31</v>
      </c>
      <c r="AR29" s="4281">
        <f t="shared" si="58"/>
        <v>3446.9540700000002</v>
      </c>
      <c r="AS29" s="4281">
        <f t="shared" si="58"/>
        <v>2434.4399999999996</v>
      </c>
      <c r="AT29" s="4281">
        <f t="shared" si="58"/>
        <v>2145.1</v>
      </c>
      <c r="AU29" s="4282">
        <f t="shared" si="59"/>
        <v>-1012.5140700000006</v>
      </c>
      <c r="AV29" s="4282">
        <f t="shared" si="60"/>
        <v>-29.374167727160945</v>
      </c>
      <c r="AW29" s="4281">
        <f t="shared" si="61"/>
        <v>10127.965109999999</v>
      </c>
      <c r="AX29" s="4281">
        <f t="shared" si="62"/>
        <v>8035.5699999999988</v>
      </c>
      <c r="AY29" s="4281">
        <f t="shared" si="62"/>
        <v>8206.7999999999993</v>
      </c>
      <c r="AZ29" s="4282">
        <f t="shared" si="63"/>
        <v>-2092.3951100000004</v>
      </c>
      <c r="BA29" s="4282">
        <f t="shared" si="64"/>
        <v>-20.659580550233557</v>
      </c>
      <c r="BB29" s="4226">
        <f>SUM('Произв. прогр. Вода (СВОД)'!S32)</f>
        <v>1215.3999899999999</v>
      </c>
      <c r="BC29" s="4226">
        <f t="shared" ref="BC29:BD29" si="81">SUM(BC30:BC31)</f>
        <v>0</v>
      </c>
      <c r="BD29" s="4226">
        <f t="shared" si="81"/>
        <v>911.45</v>
      </c>
      <c r="BE29" s="4226">
        <f>SUM('Произв. прогр. Вода (СВОД)'!T32)</f>
        <v>1215.3999899999999</v>
      </c>
      <c r="BF29" s="4226">
        <f t="shared" ref="BF29:BG29" si="82">SUM(BF30:BF31)</f>
        <v>0</v>
      </c>
      <c r="BG29" s="4226">
        <f t="shared" si="82"/>
        <v>988.2</v>
      </c>
      <c r="BH29" s="4226">
        <f>SUM('Произв. прогр. Вода (СВОД)'!U32)</f>
        <v>1215.3999899999999</v>
      </c>
      <c r="BI29" s="4226">
        <f t="shared" ref="BI29:BJ29" si="83">SUM(BI30:BI31)</f>
        <v>0</v>
      </c>
      <c r="BJ29" s="4226">
        <f t="shared" si="83"/>
        <v>956.33</v>
      </c>
      <c r="BK29" s="4281">
        <f t="shared" si="65"/>
        <v>3646.1999699999997</v>
      </c>
      <c r="BL29" s="4281">
        <f t="shared" si="65"/>
        <v>0</v>
      </c>
      <c r="BM29" s="4281">
        <f t="shared" si="65"/>
        <v>2855.98</v>
      </c>
      <c r="BN29" s="4282">
        <f t="shared" si="66"/>
        <v>-3646.1999699999997</v>
      </c>
      <c r="BO29" s="4282">
        <f t="shared" si="67"/>
        <v>-100</v>
      </c>
      <c r="BP29" s="4281">
        <f t="shared" si="68"/>
        <v>13774.165079999999</v>
      </c>
      <c r="BQ29" s="4281">
        <f t="shared" si="69"/>
        <v>8035.5699999999988</v>
      </c>
      <c r="BR29" s="4281">
        <f t="shared" si="69"/>
        <v>11062.779999999999</v>
      </c>
      <c r="BS29" s="4282">
        <f t="shared" si="70"/>
        <v>-5738.5950800000001</v>
      </c>
      <c r="BT29" s="4282">
        <f t="shared" si="71"/>
        <v>-41.662017600851932</v>
      </c>
      <c r="BU29" s="684"/>
      <c r="BV29" s="684"/>
      <c r="BW29" s="684"/>
      <c r="BX29" s="684"/>
    </row>
    <row r="30" spans="1:76" ht="18.75">
      <c r="A30" s="4152" t="s">
        <v>655</v>
      </c>
      <c r="B30" s="4211">
        <f>SUM('Произв. прогр. Вода (СВОД)'!E33)</f>
        <v>1014.9719999999999</v>
      </c>
      <c r="C30" s="4124">
        <v>990.32</v>
      </c>
      <c r="D30" s="4124">
        <v>957.67</v>
      </c>
      <c r="E30" s="4211">
        <f>SUM('Произв. прогр. Вода (СВОД)'!F33)</f>
        <v>1003.1700000000001</v>
      </c>
      <c r="F30" s="4124">
        <v>997.64</v>
      </c>
      <c r="G30" s="4124">
        <v>926.28</v>
      </c>
      <c r="H30" s="4211">
        <f>SUM('Произв. прогр. Вода (СВОД)'!G33)</f>
        <v>1007.8907999999999</v>
      </c>
      <c r="I30" s="4124">
        <v>896.35</v>
      </c>
      <c r="J30" s="4124">
        <v>895.8</v>
      </c>
      <c r="K30" s="4258">
        <f t="shared" si="72"/>
        <v>3026.0328</v>
      </c>
      <c r="L30" s="4258">
        <f t="shared" si="72"/>
        <v>2884.31</v>
      </c>
      <c r="M30" s="4258">
        <f t="shared" si="72"/>
        <v>2779.75</v>
      </c>
      <c r="N30" s="4283">
        <f t="shared" si="49"/>
        <v>-141.72280000000001</v>
      </c>
      <c r="O30" s="4283">
        <f t="shared" si="50"/>
        <v>-4.6834522084492933</v>
      </c>
      <c r="P30" s="4211">
        <f>SUM('Произв. прогр. Вода (СВОД)'!I33)</f>
        <v>994.90859999999998</v>
      </c>
      <c r="Q30" s="4124">
        <v>954.41</v>
      </c>
      <c r="R30" s="4124">
        <v>917.39</v>
      </c>
      <c r="S30" s="4211">
        <f>SUM('Произв. прогр. Вода (СВОД)'!J33)</f>
        <v>967.76399999999978</v>
      </c>
      <c r="T30" s="4124">
        <v>860.94</v>
      </c>
      <c r="U30" s="4124">
        <v>868.34</v>
      </c>
      <c r="V30" s="4211">
        <f>SUM('Произв. прогр. Вода (СВОД)'!K33)</f>
        <v>931.17779999999993</v>
      </c>
      <c r="W30" s="4124">
        <v>901.47</v>
      </c>
      <c r="X30" s="4124">
        <v>834.68</v>
      </c>
      <c r="Y30" s="4258">
        <f t="shared" si="51"/>
        <v>2893.8503999999998</v>
      </c>
      <c r="Z30" s="4258">
        <f t="shared" si="51"/>
        <v>2716.8199999999997</v>
      </c>
      <c r="AA30" s="4258">
        <f t="shared" si="51"/>
        <v>2620.41</v>
      </c>
      <c r="AB30" s="4283">
        <f t="shared" si="52"/>
        <v>-177.0304000000001</v>
      </c>
      <c r="AC30" s="4283">
        <f t="shared" si="53"/>
        <v>-6.1174689610769137</v>
      </c>
      <c r="AD30" s="4258">
        <f t="shared" si="54"/>
        <v>5919.8832000000002</v>
      </c>
      <c r="AE30" s="4258">
        <f t="shared" si="55"/>
        <v>5601.1299999999992</v>
      </c>
      <c r="AF30" s="4258">
        <f t="shared" si="55"/>
        <v>5400.16</v>
      </c>
      <c r="AG30" s="4283">
        <f t="shared" si="56"/>
        <v>-318.75320000000102</v>
      </c>
      <c r="AH30" s="4283">
        <f t="shared" si="57"/>
        <v>-5.3844508283541979</v>
      </c>
      <c r="AI30" s="4211">
        <f>SUM('Произв. прогр. Вода (СВОД)'!N33)</f>
        <v>982.35795000000007</v>
      </c>
      <c r="AJ30" s="4124">
        <v>663.89</v>
      </c>
      <c r="AK30" s="4124">
        <v>576.51</v>
      </c>
      <c r="AL30" s="4211">
        <f>SUM('Произв. прогр. Вода (СВОД)'!O33)</f>
        <v>1022.71155</v>
      </c>
      <c r="AM30" s="4124">
        <v>805.27</v>
      </c>
      <c r="AN30" s="4124">
        <v>765.28</v>
      </c>
      <c r="AO30" s="4211">
        <f>SUM('Произв. прогр. Вода (СВОД)'!P33)</f>
        <v>1049.1935999999998</v>
      </c>
      <c r="AP30" s="4124">
        <v>965.28</v>
      </c>
      <c r="AQ30" s="4124">
        <v>803.31</v>
      </c>
      <c r="AR30" s="4258">
        <f t="shared" si="58"/>
        <v>3054.2631000000001</v>
      </c>
      <c r="AS30" s="4258">
        <f t="shared" si="58"/>
        <v>2434.4399999999996</v>
      </c>
      <c r="AT30" s="4258">
        <f t="shared" si="58"/>
        <v>2145.1</v>
      </c>
      <c r="AU30" s="4283">
        <f t="shared" si="59"/>
        <v>-619.82310000000052</v>
      </c>
      <c r="AV30" s="4283">
        <f t="shared" si="60"/>
        <v>-20.293703577795917</v>
      </c>
      <c r="AW30" s="4258">
        <f t="shared" si="61"/>
        <v>8974.1463000000003</v>
      </c>
      <c r="AX30" s="4258">
        <f t="shared" si="62"/>
        <v>8035.5699999999988</v>
      </c>
      <c r="AY30" s="4258">
        <f t="shared" si="62"/>
        <v>7545.26</v>
      </c>
      <c r="AZ30" s="4283">
        <f t="shared" si="63"/>
        <v>-938.57630000000154</v>
      </c>
      <c r="BA30" s="4283">
        <f t="shared" si="64"/>
        <v>-10.458669478120738</v>
      </c>
      <c r="BB30" s="4211">
        <f>SUM('Произв. прогр. Вода (СВОД)'!S33)</f>
        <v>1076.9367</v>
      </c>
      <c r="BC30" s="4124"/>
      <c r="BD30" s="4124">
        <v>911.45</v>
      </c>
      <c r="BE30" s="4211">
        <f>SUM('Произв. прогр. Вода (СВОД)'!T33)</f>
        <v>1076.9367</v>
      </c>
      <c r="BF30" s="4124"/>
      <c r="BG30" s="4124">
        <v>988.2</v>
      </c>
      <c r="BH30" s="4211">
        <f>SUM('Произв. прогр. Вода (СВОД)'!U33)</f>
        <v>1076.9367</v>
      </c>
      <c r="BI30" s="4124"/>
      <c r="BJ30" s="4124">
        <v>956.33</v>
      </c>
      <c r="BK30" s="4258">
        <f t="shared" si="65"/>
        <v>3230.8100999999997</v>
      </c>
      <c r="BL30" s="4258">
        <f t="shared" si="65"/>
        <v>0</v>
      </c>
      <c r="BM30" s="4258">
        <f t="shared" si="65"/>
        <v>2855.98</v>
      </c>
      <c r="BN30" s="4283">
        <f t="shared" si="66"/>
        <v>-3230.8100999999997</v>
      </c>
      <c r="BO30" s="4283">
        <f t="shared" si="67"/>
        <v>-100</v>
      </c>
      <c r="BP30" s="4258">
        <f t="shared" si="68"/>
        <v>12204.956399999999</v>
      </c>
      <c r="BQ30" s="4258">
        <f t="shared" si="69"/>
        <v>8035.5699999999988</v>
      </c>
      <c r="BR30" s="4258">
        <f t="shared" si="69"/>
        <v>10401.24</v>
      </c>
      <c r="BS30" s="4283">
        <f t="shared" si="70"/>
        <v>-4169.3864000000003</v>
      </c>
      <c r="BT30" s="4283">
        <f t="shared" si="71"/>
        <v>-34.161419863818608</v>
      </c>
      <c r="BU30" s="684"/>
      <c r="BV30" s="684"/>
      <c r="BW30" s="684"/>
      <c r="BX30" s="684"/>
    </row>
    <row r="31" spans="1:76" ht="18.75">
      <c r="A31" s="4152" t="s">
        <v>656</v>
      </c>
      <c r="B31" s="4211">
        <f>SUM('Произв. прогр. Вода (СВОД)'!E34)</f>
        <v>130.49639999999999</v>
      </c>
      <c r="C31" s="4124">
        <v>0</v>
      </c>
      <c r="D31" s="4124">
        <v>105.5</v>
      </c>
      <c r="E31" s="4211">
        <f>SUM('Произв. прогр. Вода (СВОД)'!F34)</f>
        <v>128.97900000000001</v>
      </c>
      <c r="F31" s="4124">
        <v>0</v>
      </c>
      <c r="G31" s="4124">
        <v>135.85</v>
      </c>
      <c r="H31" s="4211">
        <f>SUM('Произв. прогр. Вода (СВОД)'!G34)</f>
        <v>129.58595999999997</v>
      </c>
      <c r="I31" s="4124">
        <v>0</v>
      </c>
      <c r="J31" s="4124">
        <v>133.36000000000001</v>
      </c>
      <c r="K31" s="4258">
        <f t="shared" si="72"/>
        <v>389.06136000000004</v>
      </c>
      <c r="L31" s="4258">
        <f t="shared" si="72"/>
        <v>0</v>
      </c>
      <c r="M31" s="4258">
        <f t="shared" si="72"/>
        <v>374.71000000000004</v>
      </c>
      <c r="N31" s="4283">
        <f t="shared" si="49"/>
        <v>-389.06136000000004</v>
      </c>
      <c r="O31" s="4283">
        <f t="shared" si="50"/>
        <v>-100</v>
      </c>
      <c r="P31" s="4211">
        <f>SUM('Произв. прогр. Вода (СВОД)'!I34)</f>
        <v>127.91681999999999</v>
      </c>
      <c r="Q31" s="4124">
        <v>0</v>
      </c>
      <c r="R31" s="4124">
        <v>148.46</v>
      </c>
      <c r="S31" s="4211">
        <f>SUM('Произв. прогр. Вода (СВОД)'!J34)</f>
        <v>124.42679999999999</v>
      </c>
      <c r="T31" s="4124">
        <v>0</v>
      </c>
      <c r="U31" s="4124">
        <v>138.37</v>
      </c>
      <c r="V31" s="4211">
        <f>SUM('Произв. прогр. Вода (СВОД)'!K34)</f>
        <v>119.72286</v>
      </c>
      <c r="W31" s="4124">
        <v>0</v>
      </c>
      <c r="X31" s="4124">
        <v>0</v>
      </c>
      <c r="Y31" s="4258">
        <f t="shared" si="51"/>
        <v>372.06647999999996</v>
      </c>
      <c r="Z31" s="4258">
        <f t="shared" si="51"/>
        <v>0</v>
      </c>
      <c r="AA31" s="4258">
        <f t="shared" si="51"/>
        <v>286.83000000000004</v>
      </c>
      <c r="AB31" s="4283">
        <f t="shared" si="52"/>
        <v>-372.06647999999996</v>
      </c>
      <c r="AC31" s="4283">
        <f t="shared" si="53"/>
        <v>-100</v>
      </c>
      <c r="AD31" s="4258">
        <f t="shared" si="54"/>
        <v>761.12783999999999</v>
      </c>
      <c r="AE31" s="4258">
        <f t="shared" si="55"/>
        <v>0</v>
      </c>
      <c r="AF31" s="4258">
        <f t="shared" si="55"/>
        <v>661.54000000000008</v>
      </c>
      <c r="AG31" s="4283">
        <f t="shared" si="56"/>
        <v>-761.12783999999999</v>
      </c>
      <c r="AH31" s="4283">
        <f t="shared" si="57"/>
        <v>-100</v>
      </c>
      <c r="AI31" s="4211">
        <f>SUM('Произв. прогр. Вода (СВОД)'!N34)</f>
        <v>126.30316500000001</v>
      </c>
      <c r="AJ31" s="4124">
        <v>0</v>
      </c>
      <c r="AK31" s="4124">
        <v>0</v>
      </c>
      <c r="AL31" s="4211">
        <f>SUM('Произв. прогр. Вода (СВОД)'!O34)</f>
        <v>131.49148499999998</v>
      </c>
      <c r="AM31" s="4124">
        <v>0</v>
      </c>
      <c r="AN31" s="4124">
        <v>0</v>
      </c>
      <c r="AO31" s="4211">
        <f>SUM('Произв. прогр. Вода (СВОД)'!P34)</f>
        <v>134.89632</v>
      </c>
      <c r="AP31" s="4124">
        <v>0</v>
      </c>
      <c r="AQ31" s="4124">
        <v>0</v>
      </c>
      <c r="AR31" s="4258">
        <f t="shared" si="58"/>
        <v>392.69096999999999</v>
      </c>
      <c r="AS31" s="4258">
        <f t="shared" si="58"/>
        <v>0</v>
      </c>
      <c r="AT31" s="4258">
        <f t="shared" si="58"/>
        <v>0</v>
      </c>
      <c r="AU31" s="4283">
        <f t="shared" si="59"/>
        <v>-392.69096999999999</v>
      </c>
      <c r="AV31" s="4283">
        <f t="shared" si="60"/>
        <v>-100</v>
      </c>
      <c r="AW31" s="4258">
        <f t="shared" si="61"/>
        <v>1153.81881</v>
      </c>
      <c r="AX31" s="4258">
        <f t="shared" si="62"/>
        <v>0</v>
      </c>
      <c r="AY31" s="4258">
        <f t="shared" si="62"/>
        <v>661.54000000000008</v>
      </c>
      <c r="AZ31" s="4283">
        <f t="shared" si="63"/>
        <v>-1153.81881</v>
      </c>
      <c r="BA31" s="4283">
        <f t="shared" si="64"/>
        <v>-100</v>
      </c>
      <c r="BB31" s="4211">
        <f>SUM('Произв. прогр. Вода (СВОД)'!S34)</f>
        <v>138.46329</v>
      </c>
      <c r="BC31" s="4124"/>
      <c r="BD31" s="4124">
        <v>0</v>
      </c>
      <c r="BE31" s="4211">
        <f>SUM('Произв. прогр. Вода (СВОД)'!T34)</f>
        <v>138.46329</v>
      </c>
      <c r="BF31" s="4124"/>
      <c r="BG31" s="4124">
        <v>0</v>
      </c>
      <c r="BH31" s="4211">
        <f>SUM('Произв. прогр. Вода (СВОД)'!U34)</f>
        <v>138.46329</v>
      </c>
      <c r="BI31" s="4124"/>
      <c r="BJ31" s="4124">
        <v>0</v>
      </c>
      <c r="BK31" s="4258">
        <f t="shared" si="65"/>
        <v>415.38986999999997</v>
      </c>
      <c r="BL31" s="4258">
        <f t="shared" si="65"/>
        <v>0</v>
      </c>
      <c r="BM31" s="4258">
        <f t="shared" si="65"/>
        <v>0</v>
      </c>
      <c r="BN31" s="4283">
        <f t="shared" si="66"/>
        <v>-415.38986999999997</v>
      </c>
      <c r="BO31" s="4283">
        <f t="shared" si="67"/>
        <v>-100</v>
      </c>
      <c r="BP31" s="4258">
        <f t="shared" si="68"/>
        <v>1569.20868</v>
      </c>
      <c r="BQ31" s="4258">
        <f t="shared" si="69"/>
        <v>0</v>
      </c>
      <c r="BR31" s="4258">
        <f t="shared" si="69"/>
        <v>661.54000000000008</v>
      </c>
      <c r="BS31" s="4283">
        <f t="shared" si="70"/>
        <v>-1569.20868</v>
      </c>
      <c r="BT31" s="4283">
        <f t="shared" si="71"/>
        <v>-100</v>
      </c>
      <c r="BU31" s="684"/>
      <c r="BV31" s="684"/>
      <c r="BW31" s="684"/>
      <c r="BX31" s="684"/>
    </row>
    <row r="32" spans="1:76" ht="18.75">
      <c r="A32" s="4153" t="s">
        <v>1737</v>
      </c>
      <c r="B32" s="4214">
        <f>SUM('Произв. прогр. Вода (СВОД)'!E35)</f>
        <v>10837.858080443997</v>
      </c>
      <c r="C32" s="4214">
        <f t="shared" ref="C32:BJ32" si="84">SUM(C25+C26+C27+C28+C29)</f>
        <v>10033.18</v>
      </c>
      <c r="D32" s="4214">
        <f t="shared" si="84"/>
        <v>9996.49</v>
      </c>
      <c r="E32" s="4214">
        <f>SUM('Произв. прогр. Вода (СВОД)'!F35)</f>
        <v>10853.95320294</v>
      </c>
      <c r="F32" s="4214">
        <f t="shared" si="84"/>
        <v>10574.24</v>
      </c>
      <c r="G32" s="4214">
        <f t="shared" si="84"/>
        <v>10023.039999999999</v>
      </c>
      <c r="H32" s="4214">
        <f>SUM('Произв. прогр. Вода (СВОД)'!G35)</f>
        <v>10894.809531767998</v>
      </c>
      <c r="I32" s="4214">
        <f t="shared" si="84"/>
        <v>10143.49</v>
      </c>
      <c r="J32" s="4214">
        <f t="shared" si="84"/>
        <v>9592.9800000000014</v>
      </c>
      <c r="K32" s="4256">
        <f t="shared" si="72"/>
        <v>32586.620815151997</v>
      </c>
      <c r="L32" s="4256">
        <f t="shared" si="72"/>
        <v>30750.909999999996</v>
      </c>
      <c r="M32" s="4256">
        <f t="shared" si="72"/>
        <v>29612.510000000002</v>
      </c>
      <c r="N32" s="4280">
        <f t="shared" si="49"/>
        <v>-1835.7108151520006</v>
      </c>
      <c r="O32" s="4280">
        <f t="shared" si="50"/>
        <v>-5.6333267127177518</v>
      </c>
      <c r="P32" s="4214">
        <f>SUM('Произв. прогр. Вода (СВОД)'!I35)</f>
        <v>10743.899428175999</v>
      </c>
      <c r="Q32" s="4214">
        <f t="shared" si="84"/>
        <v>11193.689999999999</v>
      </c>
      <c r="R32" s="4214">
        <f t="shared" si="84"/>
        <v>9599.33</v>
      </c>
      <c r="S32" s="4214">
        <f>SUM('Произв. прогр. Вода (СВОД)'!J35)</f>
        <v>10532.108657003999</v>
      </c>
      <c r="T32" s="4214">
        <f t="shared" si="84"/>
        <v>10402.450000000001</v>
      </c>
      <c r="U32" s="4214">
        <f t="shared" si="84"/>
        <v>9195.8299999999981</v>
      </c>
      <c r="V32" s="4214">
        <f>SUM('Произв. прогр. Вода (СВОД)'!K35)</f>
        <v>10156.354136303997</v>
      </c>
      <c r="W32" s="4214">
        <f t="shared" si="84"/>
        <v>10084.719999999999</v>
      </c>
      <c r="X32" s="4214">
        <f t="shared" si="84"/>
        <v>9020.7300000000014</v>
      </c>
      <c r="Y32" s="4256">
        <f t="shared" si="51"/>
        <v>31432.362221483992</v>
      </c>
      <c r="Z32" s="4256">
        <f t="shared" si="51"/>
        <v>31680.86</v>
      </c>
      <c r="AA32" s="4256">
        <f t="shared" si="51"/>
        <v>27815.89</v>
      </c>
      <c r="AB32" s="4280">
        <f t="shared" si="52"/>
        <v>248.49777851600811</v>
      </c>
      <c r="AC32" s="4280">
        <f t="shared" si="53"/>
        <v>0.79057939319037274</v>
      </c>
      <c r="AD32" s="4256">
        <f t="shared" si="54"/>
        <v>64018.983036635989</v>
      </c>
      <c r="AE32" s="4256">
        <f t="shared" si="55"/>
        <v>62431.77</v>
      </c>
      <c r="AF32" s="4256">
        <f t="shared" si="55"/>
        <v>57428.4</v>
      </c>
      <c r="AG32" s="4280">
        <f t="shared" si="56"/>
        <v>-1587.2130366359925</v>
      </c>
      <c r="AH32" s="4280">
        <f t="shared" si="57"/>
        <v>-2.4792849891534234</v>
      </c>
      <c r="AI32" s="4214">
        <f>SUM('Произв. прогр. Вода (СВОД)'!N35)</f>
        <v>10559.359766955</v>
      </c>
      <c r="AJ32" s="4214">
        <f t="shared" si="84"/>
        <v>9567.48</v>
      </c>
      <c r="AK32" s="4214">
        <f t="shared" si="84"/>
        <v>8779.1700000000019</v>
      </c>
      <c r="AL32" s="4214">
        <f>SUM('Произв. прогр. Вода (СВОД)'!O35)</f>
        <v>10934.234748659999</v>
      </c>
      <c r="AM32" s="4214">
        <f t="shared" si="84"/>
        <v>10046.849270000001</v>
      </c>
      <c r="AN32" s="4214">
        <f t="shared" si="84"/>
        <v>9804.2800000000007</v>
      </c>
      <c r="AO32" s="4214">
        <f>SUM('Произв. прогр. Вода (СВОД)'!P35)</f>
        <v>11400.53295495</v>
      </c>
      <c r="AP32" s="4214">
        <f t="shared" si="84"/>
        <v>11227.92</v>
      </c>
      <c r="AQ32" s="4214">
        <f t="shared" si="84"/>
        <v>10031.129999999999</v>
      </c>
      <c r="AR32" s="4256">
        <f t="shared" si="58"/>
        <v>32894.127470564999</v>
      </c>
      <c r="AS32" s="4256">
        <f t="shared" si="58"/>
        <v>30842.24927</v>
      </c>
      <c r="AT32" s="4256">
        <f t="shared" si="58"/>
        <v>28614.58</v>
      </c>
      <c r="AU32" s="4280">
        <f t="shared" si="59"/>
        <v>-2051.8782005649991</v>
      </c>
      <c r="AV32" s="4280">
        <f t="shared" si="60"/>
        <v>-6.237825284774928</v>
      </c>
      <c r="AW32" s="4256">
        <f t="shared" si="61"/>
        <v>96913.110507200996</v>
      </c>
      <c r="AX32" s="4256">
        <f t="shared" si="62"/>
        <v>93274.01926999999</v>
      </c>
      <c r="AY32" s="4256">
        <f t="shared" si="62"/>
        <v>86042.98000000001</v>
      </c>
      <c r="AZ32" s="4280">
        <f t="shared" si="63"/>
        <v>-3639.0912372010062</v>
      </c>
      <c r="BA32" s="4280">
        <f t="shared" si="64"/>
        <v>-3.7550040630783474</v>
      </c>
      <c r="BB32" s="4214">
        <f>SUM('Произв. прогр. Вода (СВОД)'!S35)</f>
        <v>11642.467537631999</v>
      </c>
      <c r="BC32" s="4214">
        <f t="shared" si="84"/>
        <v>0</v>
      </c>
      <c r="BD32" s="4214">
        <f t="shared" si="84"/>
        <v>9992.2199999999993</v>
      </c>
      <c r="BE32" s="4214">
        <f>SUM('Произв. прогр. Вода (СВОД)'!T35)</f>
        <v>11642.467537631999</v>
      </c>
      <c r="BF32" s="4214">
        <f t="shared" si="84"/>
        <v>0</v>
      </c>
      <c r="BG32" s="4214">
        <f t="shared" si="84"/>
        <v>10382.700000000001</v>
      </c>
      <c r="BH32" s="4214">
        <f>SUM('Произв. прогр. Вода (СВОД)'!U35)</f>
        <v>11642.467537631999</v>
      </c>
      <c r="BI32" s="4214">
        <f t="shared" si="84"/>
        <v>0</v>
      </c>
      <c r="BJ32" s="4214">
        <f t="shared" si="84"/>
        <v>9859.44</v>
      </c>
      <c r="BK32" s="4256">
        <f t="shared" si="65"/>
        <v>34927.402612895996</v>
      </c>
      <c r="BL32" s="4256">
        <f t="shared" si="65"/>
        <v>0</v>
      </c>
      <c r="BM32" s="4256">
        <f t="shared" si="65"/>
        <v>30234.36</v>
      </c>
      <c r="BN32" s="4280">
        <f t="shared" si="66"/>
        <v>-34927.402612895996</v>
      </c>
      <c r="BO32" s="4280">
        <f t="shared" si="67"/>
        <v>-100</v>
      </c>
      <c r="BP32" s="4256">
        <f t="shared" si="68"/>
        <v>131840.51312009699</v>
      </c>
      <c r="BQ32" s="4256">
        <f t="shared" si="69"/>
        <v>93274.01926999999</v>
      </c>
      <c r="BR32" s="4256">
        <f t="shared" si="69"/>
        <v>116277.34000000001</v>
      </c>
      <c r="BS32" s="4280">
        <f t="shared" si="70"/>
        <v>-38566.493850097002</v>
      </c>
      <c r="BT32" s="4280">
        <f t="shared" si="71"/>
        <v>-29.252384519290946</v>
      </c>
      <c r="BU32" s="684"/>
      <c r="BV32" s="684"/>
      <c r="BW32" s="684"/>
      <c r="BX32" s="684"/>
    </row>
    <row r="33" spans="1:76" ht="18.75" customHeight="1">
      <c r="A33" s="4152" t="s">
        <v>1738</v>
      </c>
      <c r="B33" s="4211">
        <f>SUM('Произв. прогр. Вода (СВОД)'!E36)</f>
        <v>-100.45291666666667</v>
      </c>
      <c r="C33" s="4124"/>
      <c r="D33" s="4124"/>
      <c r="E33" s="4211">
        <f>SUM('Произв. прогр. Вода (СВОД)'!F36)</f>
        <v>-100.45291666666667</v>
      </c>
      <c r="F33" s="4124"/>
      <c r="G33" s="4124"/>
      <c r="H33" s="4211">
        <f>SUM('Произв. прогр. Вода (СВОД)'!G36)</f>
        <v>-100.45291666666667</v>
      </c>
      <c r="I33" s="4124"/>
      <c r="J33" s="4124"/>
      <c r="K33" s="4258">
        <f t="shared" ref="K33" si="85">SUM(B33+E33+H33)</f>
        <v>-301.35874999999999</v>
      </c>
      <c r="L33" s="4258">
        <f t="shared" si="72"/>
        <v>0</v>
      </c>
      <c r="M33" s="4258">
        <f t="shared" si="72"/>
        <v>0</v>
      </c>
      <c r="N33" s="4283">
        <f t="shared" si="49"/>
        <v>301.35874999999999</v>
      </c>
      <c r="O33" s="4283">
        <f t="shared" si="50"/>
        <v>-100</v>
      </c>
      <c r="P33" s="4211">
        <f>SUM('Произв. прогр. Вода (СВОД)'!I36)</f>
        <v>-100.45291666666667</v>
      </c>
      <c r="Q33" s="4124"/>
      <c r="R33" s="4124"/>
      <c r="S33" s="4211">
        <f>SUM('Произв. прогр. Вода (СВОД)'!J36)</f>
        <v>-100.45291666666667</v>
      </c>
      <c r="T33" s="4124"/>
      <c r="U33" s="4124"/>
      <c r="V33" s="4211">
        <f>SUM('Произв. прогр. Вода (СВОД)'!K36)</f>
        <v>-100.45291666666667</v>
      </c>
      <c r="W33" s="4124"/>
      <c r="X33" s="4124"/>
      <c r="Y33" s="4258">
        <f t="shared" si="51"/>
        <v>-301.35874999999999</v>
      </c>
      <c r="Z33" s="4258">
        <f t="shared" si="51"/>
        <v>0</v>
      </c>
      <c r="AA33" s="4258">
        <f t="shared" si="51"/>
        <v>0</v>
      </c>
      <c r="AB33" s="4283">
        <f t="shared" si="52"/>
        <v>301.35874999999999</v>
      </c>
      <c r="AC33" s="4283">
        <f t="shared" si="53"/>
        <v>-100</v>
      </c>
      <c r="AD33" s="4258">
        <f t="shared" si="54"/>
        <v>-602.71749999999997</v>
      </c>
      <c r="AE33" s="4258">
        <f t="shared" si="55"/>
        <v>0</v>
      </c>
      <c r="AF33" s="4258">
        <f t="shared" si="55"/>
        <v>0</v>
      </c>
      <c r="AG33" s="4283">
        <f t="shared" si="56"/>
        <v>602.71749999999997</v>
      </c>
      <c r="AH33" s="4283">
        <f t="shared" si="57"/>
        <v>-100</v>
      </c>
      <c r="AI33" s="4211">
        <f>SUM('Произв. прогр. Вода (СВОД)'!N36)</f>
        <v>-100.45291666666667</v>
      </c>
      <c r="AJ33" s="4124"/>
      <c r="AK33" s="4124"/>
      <c r="AL33" s="4211">
        <f>SUM('Произв. прогр. Вода (СВОД)'!O36)</f>
        <v>-100.45291666666667</v>
      </c>
      <c r="AM33" s="4124"/>
      <c r="AN33" s="4124"/>
      <c r="AO33" s="4211">
        <f>SUM('Произв. прогр. Вода (СВОД)'!P36)</f>
        <v>-100.45291666666667</v>
      </c>
      <c r="AP33" s="4212"/>
      <c r="AQ33" s="4212"/>
      <c r="AR33" s="4258">
        <f t="shared" si="58"/>
        <v>-301.35874999999999</v>
      </c>
      <c r="AS33" s="4258">
        <f t="shared" si="58"/>
        <v>0</v>
      </c>
      <c r="AT33" s="4258">
        <f t="shared" si="58"/>
        <v>0</v>
      </c>
      <c r="AU33" s="4283">
        <f t="shared" si="59"/>
        <v>301.35874999999999</v>
      </c>
      <c r="AV33" s="4283">
        <f t="shared" si="60"/>
        <v>-100</v>
      </c>
      <c r="AW33" s="4258">
        <f t="shared" si="61"/>
        <v>-904.07624999999996</v>
      </c>
      <c r="AX33" s="4258">
        <f t="shared" si="62"/>
        <v>0</v>
      </c>
      <c r="AY33" s="4258">
        <f t="shared" si="62"/>
        <v>0</v>
      </c>
      <c r="AZ33" s="4283">
        <f t="shared" si="63"/>
        <v>904.07624999999996</v>
      </c>
      <c r="BA33" s="4283">
        <f t="shared" si="64"/>
        <v>-100</v>
      </c>
      <c r="BB33" s="4211">
        <f>SUM('Произв. прогр. Вода (СВОД)'!S36)</f>
        <v>-100.45291666666667</v>
      </c>
      <c r="BC33" s="4124"/>
      <c r="BD33" s="4124"/>
      <c r="BE33" s="4211">
        <f>SUM('Произв. прогр. Вода (СВОД)'!T36)</f>
        <v>-100.45291666666667</v>
      </c>
      <c r="BF33" s="4124"/>
      <c r="BG33" s="4124"/>
      <c r="BH33" s="4211">
        <f>SUM('Произв. прогр. Вода (СВОД)'!U36)</f>
        <v>-100.45291666666667</v>
      </c>
      <c r="BI33" s="4124"/>
      <c r="BJ33" s="4124"/>
      <c r="BK33" s="4258">
        <f t="shared" si="65"/>
        <v>-301.35874999999999</v>
      </c>
      <c r="BL33" s="4258">
        <f t="shared" si="65"/>
        <v>0</v>
      </c>
      <c r="BM33" s="4258">
        <f t="shared" si="65"/>
        <v>0</v>
      </c>
      <c r="BN33" s="4283">
        <f t="shared" si="66"/>
        <v>301.35874999999999</v>
      </c>
      <c r="BO33" s="4283">
        <f t="shared" si="67"/>
        <v>-100</v>
      </c>
      <c r="BP33" s="4258">
        <f t="shared" si="68"/>
        <v>-1205.4349999999999</v>
      </c>
      <c r="BQ33" s="4258">
        <f t="shared" si="69"/>
        <v>0</v>
      </c>
      <c r="BR33" s="4258">
        <f t="shared" si="69"/>
        <v>0</v>
      </c>
      <c r="BS33" s="4283">
        <f t="shared" si="70"/>
        <v>1205.4349999999999</v>
      </c>
      <c r="BT33" s="4283">
        <f t="shared" si="71"/>
        <v>-100</v>
      </c>
      <c r="BU33" s="684"/>
      <c r="BV33" s="684"/>
      <c r="BW33" s="684"/>
      <c r="BX33" s="684"/>
    </row>
    <row r="34" spans="1:76" ht="18.75">
      <c r="A34" s="4153" t="s">
        <v>1739</v>
      </c>
      <c r="B34" s="4214">
        <f>SUM('Произв. прогр. Вода (СВОД)'!E37)</f>
        <v>33.627082342475241</v>
      </c>
      <c r="C34" s="4214">
        <f t="shared" ref="C34:BR34" si="86">SUM(C32/C14)</f>
        <v>33.701185717644691</v>
      </c>
      <c r="D34" s="4214">
        <f t="shared" si="86"/>
        <v>31.506839384770547</v>
      </c>
      <c r="E34" s="4214">
        <f>SUM('Произв. прогр. Вода (СВОД)'!F37)</f>
        <v>33.627219749200734</v>
      </c>
      <c r="F34" s="4214">
        <f t="shared" si="86"/>
        <v>33.703831197807105</v>
      </c>
      <c r="G34" s="4214">
        <f t="shared" si="86"/>
        <v>31.506113852827458</v>
      </c>
      <c r="H34" s="4214">
        <f>SUM('Произв. прогр. Вода (СВОД)'!G37)</f>
        <v>33.62756672814195</v>
      </c>
      <c r="I34" s="4214">
        <f t="shared" si="86"/>
        <v>33.709381542653951</v>
      </c>
      <c r="J34" s="4214">
        <f t="shared" si="86"/>
        <v>31.507143560941966</v>
      </c>
      <c r="K34" s="4256">
        <f t="shared" si="86"/>
        <v>33.627290055189128</v>
      </c>
      <c r="L34" s="4256">
        <f t="shared" si="86"/>
        <v>33.704798544434212</v>
      </c>
      <c r="M34" s="4256">
        <f t="shared" si="86"/>
        <v>31.506692343703453</v>
      </c>
      <c r="N34" s="4280">
        <f t="shared" si="49"/>
        <v>7.7508489245083467E-2</v>
      </c>
      <c r="O34" s="4280">
        <f t="shared" si="50"/>
        <v>0.23049282031908155</v>
      </c>
      <c r="P34" s="4214">
        <f>SUM('Произв. прогр. Вода (СВОД)'!I37)</f>
        <v>33.626272008118271</v>
      </c>
      <c r="Q34" s="4214">
        <f t="shared" si="86"/>
        <v>33.708826452254037</v>
      </c>
      <c r="R34" s="4214">
        <f t="shared" si="86"/>
        <v>31.504200853298329</v>
      </c>
      <c r="S34" s="4214">
        <f>SUM('Произв. прогр. Вода (СВОД)'!J37)</f>
        <v>33.62439257058935</v>
      </c>
      <c r="T34" s="4214">
        <f t="shared" si="86"/>
        <v>33.711799591664771</v>
      </c>
      <c r="U34" s="4214">
        <f t="shared" si="86"/>
        <v>31.51847408829174</v>
      </c>
      <c r="V34" s="4214">
        <f>SUM('Произв. прогр. Вода (СВОД)'!K37)</f>
        <v>33.620865782648664</v>
      </c>
      <c r="W34" s="4214">
        <f t="shared" si="86"/>
        <v>33.710121674020584</v>
      </c>
      <c r="X34" s="4214">
        <f t="shared" si="86"/>
        <v>31.516770316539727</v>
      </c>
      <c r="Y34" s="4256">
        <f t="shared" si="86"/>
        <v>33.623895265480911</v>
      </c>
      <c r="Z34" s="4256">
        <f t="shared" si="86"/>
        <v>33.710214939348802</v>
      </c>
      <c r="AA34" s="4256">
        <f t="shared" si="86"/>
        <v>31.512994516699145</v>
      </c>
      <c r="AB34" s="4280">
        <f t="shared" si="52"/>
        <v>8.6319673867890856E-2</v>
      </c>
      <c r="AC34" s="4280">
        <f t="shared" si="53"/>
        <v>0.25672121919945629</v>
      </c>
      <c r="AD34" s="4256">
        <f t="shared" si="86"/>
        <v>33.62562317861147</v>
      </c>
      <c r="AE34" s="4256">
        <f t="shared" si="86"/>
        <v>33.707546864201802</v>
      </c>
      <c r="AF34" s="4256">
        <f t="shared" si="86"/>
        <v>31.509744535159342</v>
      </c>
      <c r="AG34" s="4280">
        <f t="shared" si="56"/>
        <v>8.1923685590332695E-2</v>
      </c>
      <c r="AH34" s="4280">
        <f t="shared" si="57"/>
        <v>0.24363469832268439</v>
      </c>
      <c r="AI34" s="4214">
        <f>SUM('Произв. прогр. Вода (СВОД)'!N37)</f>
        <v>35.925574506685287</v>
      </c>
      <c r="AJ34" s="4214">
        <f t="shared" si="86"/>
        <v>36.018070248089444</v>
      </c>
      <c r="AK34" s="4214">
        <f t="shared" si="86"/>
        <v>33.712875849621753</v>
      </c>
      <c r="AL34" s="4214">
        <f>SUM('Произв. прогр. Вода (СВОД)'!O37)</f>
        <v>35.929144662871039</v>
      </c>
      <c r="AM34" s="4214">
        <f t="shared" si="86"/>
        <v>36.018390806658068</v>
      </c>
      <c r="AN34" s="4214">
        <f t="shared" si="86"/>
        <v>33.717174496182686</v>
      </c>
      <c r="AO34" s="4214">
        <f>SUM('Произв. прогр. Вода (СВОД)'!P37)</f>
        <v>35.933258715263563</v>
      </c>
      <c r="AP34" s="4214">
        <f t="shared" si="86"/>
        <v>36.027338360340124</v>
      </c>
      <c r="AQ34" s="4214">
        <f t="shared" si="86"/>
        <v>33.731690093483081</v>
      </c>
      <c r="AR34" s="4256">
        <f t="shared" si="86"/>
        <v>35.929424189408358</v>
      </c>
      <c r="AS34" s="4256">
        <f t="shared" si="86"/>
        <v>36.02154813270684</v>
      </c>
      <c r="AT34" s="4256">
        <f t="shared" si="86"/>
        <v>33.720942291148646</v>
      </c>
      <c r="AU34" s="4280">
        <f t="shared" si="59"/>
        <v>9.2123943298481947E-2</v>
      </c>
      <c r="AV34" s="4280">
        <f t="shared" si="60"/>
        <v>0.25640250401129216</v>
      </c>
      <c r="AW34" s="4256">
        <f t="shared" si="86"/>
        <v>34.373718716405484</v>
      </c>
      <c r="AX34" s="4256">
        <f t="shared" si="86"/>
        <v>34.4390870708474</v>
      </c>
      <c r="AY34" s="4256">
        <f t="shared" si="86"/>
        <v>32.21220232635627</v>
      </c>
      <c r="AZ34" s="4280">
        <f t="shared" si="63"/>
        <v>6.5368354441915244E-2</v>
      </c>
      <c r="BA34" s="4280">
        <f t="shared" si="64"/>
        <v>0.19016957397372605</v>
      </c>
      <c r="BB34" s="4214">
        <f>SUM('Произв. прогр. Вода (СВОД)'!S37)</f>
        <v>35.935263747416158</v>
      </c>
      <c r="BC34" s="4214" t="e">
        <f t="shared" si="86"/>
        <v>#DIV/0!</v>
      </c>
      <c r="BD34" s="4214">
        <f t="shared" si="86"/>
        <v>33.717631179348736</v>
      </c>
      <c r="BE34" s="4214">
        <f>SUM('Произв. прогр. Вода (СВОД)'!T37)</f>
        <v>35.935263747416158</v>
      </c>
      <c r="BF34" s="4214" t="e">
        <f t="shared" si="86"/>
        <v>#DIV/0!</v>
      </c>
      <c r="BG34" s="4214">
        <f t="shared" si="86"/>
        <v>33.631445970458671</v>
      </c>
      <c r="BH34" s="4214">
        <f>SUM('Произв. прогр. Вода (СВОД)'!U37)</f>
        <v>35.935263747416158</v>
      </c>
      <c r="BI34" s="4214" t="e">
        <f t="shared" si="86"/>
        <v>#DIV/0!</v>
      </c>
      <c r="BJ34" s="4214">
        <f t="shared" si="86"/>
        <v>33.702878238873318</v>
      </c>
      <c r="BK34" s="4256">
        <f t="shared" si="86"/>
        <v>35.935263747416158</v>
      </c>
      <c r="BL34" s="4256" t="e">
        <f t="shared" si="86"/>
        <v>#DIV/0!</v>
      </c>
      <c r="BM34" s="4256">
        <f t="shared" si="86"/>
        <v>33.683180891478479</v>
      </c>
      <c r="BN34" s="4280" t="e">
        <f t="shared" si="66"/>
        <v>#DIV/0!</v>
      </c>
      <c r="BO34" s="4280" t="e">
        <f t="shared" si="67"/>
        <v>#DIV/0!</v>
      </c>
      <c r="BP34" s="4256">
        <f t="shared" si="86"/>
        <v>34.774037715888724</v>
      </c>
      <c r="BQ34" s="4256">
        <f t="shared" si="86"/>
        <v>34.4390870708474</v>
      </c>
      <c r="BR34" s="4285">
        <f t="shared" si="86"/>
        <v>32.582183067413155</v>
      </c>
      <c r="BS34" s="4280">
        <f t="shared" si="70"/>
        <v>-0.33495064504132444</v>
      </c>
      <c r="BT34" s="4280">
        <f t="shared" si="71"/>
        <v>-0.96322045710636872</v>
      </c>
      <c r="BU34" s="684"/>
      <c r="BV34" s="684"/>
      <c r="BW34" s="684"/>
      <c r="BX34" s="684"/>
    </row>
    <row r="35" spans="1:76" ht="18" customHeight="1">
      <c r="A35" s="4135" t="s">
        <v>1878</v>
      </c>
      <c r="B35" s="4155"/>
      <c r="C35" s="4155"/>
      <c r="D35" s="4155"/>
      <c r="E35" s="4155"/>
      <c r="F35" s="4155"/>
      <c r="G35" s="4155"/>
      <c r="H35" s="4155"/>
      <c r="I35" s="4155"/>
      <c r="J35" s="4155"/>
      <c r="K35" s="4155"/>
      <c r="L35" s="4155"/>
      <c r="M35" s="4155"/>
      <c r="N35" s="4155"/>
      <c r="O35" s="4155"/>
      <c r="P35" s="4155"/>
      <c r="Q35" s="4155"/>
      <c r="R35" s="4155"/>
      <c r="S35" s="4155"/>
      <c r="T35" s="4155"/>
      <c r="U35" s="4155"/>
      <c r="V35" s="4155"/>
      <c r="W35" s="4155"/>
      <c r="X35" s="4155"/>
      <c r="Y35" s="4136"/>
      <c r="Z35" s="4136"/>
      <c r="AA35" s="4136"/>
      <c r="AB35" s="4136"/>
      <c r="AC35" s="4136"/>
      <c r="AD35" s="4136"/>
      <c r="AE35" s="4136"/>
      <c r="AF35" s="4136"/>
      <c r="AG35" s="4136"/>
      <c r="AH35" s="4136"/>
      <c r="AI35" s="4136"/>
      <c r="AJ35" s="4136"/>
      <c r="AK35" s="4136"/>
      <c r="AL35" s="4136"/>
      <c r="AM35" s="4136"/>
      <c r="AN35" s="4136"/>
      <c r="AO35" s="4136"/>
      <c r="AP35" s="4136"/>
      <c r="AQ35" s="4136"/>
      <c r="AR35" s="4136"/>
      <c r="AS35" s="4136"/>
      <c r="AT35" s="4136"/>
      <c r="AU35" s="4136"/>
      <c r="AV35" s="4136"/>
      <c r="AW35" s="4136"/>
      <c r="AX35" s="4136"/>
      <c r="AY35" s="4136"/>
      <c r="AZ35" s="4136"/>
      <c r="BA35" s="4136"/>
      <c r="BB35" s="4136"/>
      <c r="BC35" s="4136"/>
      <c r="BD35" s="4136"/>
      <c r="BE35" s="4136"/>
      <c r="BF35" s="4136"/>
      <c r="BG35" s="4136"/>
      <c r="BH35" s="4136"/>
      <c r="BI35" s="4136"/>
      <c r="BJ35" s="4136"/>
      <c r="BK35" s="4136"/>
      <c r="BL35" s="4136"/>
      <c r="BM35" s="4136"/>
      <c r="BN35" s="4136"/>
      <c r="BO35" s="4136"/>
      <c r="BP35" s="4136"/>
      <c r="BQ35" s="4136"/>
      <c r="BR35" s="4136"/>
      <c r="BS35" s="4136"/>
      <c r="BT35" s="4137"/>
      <c r="BU35" s="684"/>
      <c r="BV35" s="684"/>
      <c r="BW35" s="684"/>
      <c r="BX35" s="684"/>
    </row>
    <row r="36" spans="1:76" ht="20.25" customHeight="1">
      <c r="A36" s="4304" t="s">
        <v>546</v>
      </c>
      <c r="B36" s="4305" t="s">
        <v>1894</v>
      </c>
      <c r="C36" s="4306"/>
      <c r="D36" s="4306"/>
      <c r="E36" s="4305" t="s">
        <v>1895</v>
      </c>
      <c r="F36" s="4306"/>
      <c r="G36" s="4306"/>
      <c r="H36" s="4305" t="s">
        <v>1896</v>
      </c>
      <c r="I36" s="4306"/>
      <c r="J36" s="4306"/>
      <c r="K36" s="4307" t="s">
        <v>1869</v>
      </c>
      <c r="L36" s="4308"/>
      <c r="M36" s="4308"/>
      <c r="N36" s="4309"/>
      <c r="O36" s="4310"/>
      <c r="P36" s="4305" t="s">
        <v>1897</v>
      </c>
      <c r="Q36" s="4306"/>
      <c r="R36" s="4306"/>
      <c r="S36" s="4305" t="s">
        <v>1898</v>
      </c>
      <c r="T36" s="4306"/>
      <c r="U36" s="4306"/>
      <c r="V36" s="4305" t="s">
        <v>1899</v>
      </c>
      <c r="W36" s="4306"/>
      <c r="X36" s="4306"/>
      <c r="Y36" s="4307" t="s">
        <v>1870</v>
      </c>
      <c r="Z36" s="4308"/>
      <c r="AA36" s="4308"/>
      <c r="AB36" s="4309"/>
      <c r="AC36" s="4310"/>
      <c r="AD36" s="4318" t="s">
        <v>1871</v>
      </c>
      <c r="AE36" s="4319"/>
      <c r="AF36" s="4319"/>
      <c r="AG36" s="4319"/>
      <c r="AH36" s="4320"/>
      <c r="AI36" s="4305" t="s">
        <v>1377</v>
      </c>
      <c r="AJ36" s="4306"/>
      <c r="AK36" s="4306"/>
      <c r="AL36" s="4305" t="s">
        <v>1900</v>
      </c>
      <c r="AM36" s="4306"/>
      <c r="AN36" s="4306"/>
      <c r="AO36" s="4305" t="s">
        <v>1901</v>
      </c>
      <c r="AP36" s="4306"/>
      <c r="AQ36" s="4306"/>
      <c r="AR36" s="4307" t="s">
        <v>1872</v>
      </c>
      <c r="AS36" s="4308"/>
      <c r="AT36" s="4308"/>
      <c r="AU36" s="4309"/>
      <c r="AV36" s="4310"/>
      <c r="AW36" s="4307" t="s">
        <v>1873</v>
      </c>
      <c r="AX36" s="4308"/>
      <c r="AY36" s="4308"/>
      <c r="AZ36" s="4309"/>
      <c r="BA36" s="4310"/>
      <c r="BB36" s="4305" t="s">
        <v>1902</v>
      </c>
      <c r="BC36" s="4306"/>
      <c r="BD36" s="4306"/>
      <c r="BE36" s="4305" t="s">
        <v>1903</v>
      </c>
      <c r="BF36" s="4306"/>
      <c r="BG36" s="4306"/>
      <c r="BH36" s="4305" t="s">
        <v>1904</v>
      </c>
      <c r="BI36" s="4306"/>
      <c r="BJ36" s="4306"/>
      <c r="BK36" s="4307" t="s">
        <v>1874</v>
      </c>
      <c r="BL36" s="4308"/>
      <c r="BM36" s="4308"/>
      <c r="BN36" s="4309"/>
      <c r="BO36" s="4310"/>
      <c r="BP36" s="4314" t="s">
        <v>887</v>
      </c>
      <c r="BQ36" s="4315"/>
      <c r="BR36" s="4315"/>
      <c r="BS36" s="4316"/>
      <c r="BT36" s="4316"/>
      <c r="BU36" s="684"/>
      <c r="BV36" s="684"/>
      <c r="BW36" s="684"/>
      <c r="BX36" s="684"/>
    </row>
    <row r="37" spans="1:76" ht="20.25" customHeight="1">
      <c r="A37" s="4304"/>
      <c r="B37" s="4311" t="s">
        <v>1875</v>
      </c>
      <c r="C37" s="4311" t="s">
        <v>1876</v>
      </c>
      <c r="D37" s="4311" t="s">
        <v>1905</v>
      </c>
      <c r="E37" s="4311" t="s">
        <v>1875</v>
      </c>
      <c r="F37" s="4311" t="s">
        <v>1876</v>
      </c>
      <c r="G37" s="4311" t="s">
        <v>1905</v>
      </c>
      <c r="H37" s="4311" t="s">
        <v>1875</v>
      </c>
      <c r="I37" s="4311" t="s">
        <v>1876</v>
      </c>
      <c r="J37" s="4311" t="s">
        <v>1905</v>
      </c>
      <c r="K37" s="4313" t="s">
        <v>1875</v>
      </c>
      <c r="L37" s="4313" t="s">
        <v>1876</v>
      </c>
      <c r="M37" s="4313" t="s">
        <v>1905</v>
      </c>
      <c r="N37" s="4317" t="s">
        <v>1906</v>
      </c>
      <c r="O37" s="4317"/>
      <c r="P37" s="4311" t="s">
        <v>1875</v>
      </c>
      <c r="Q37" s="4311" t="s">
        <v>1876</v>
      </c>
      <c r="R37" s="4311" t="s">
        <v>1905</v>
      </c>
      <c r="S37" s="4311" t="s">
        <v>1875</v>
      </c>
      <c r="T37" s="4311" t="s">
        <v>1876</v>
      </c>
      <c r="U37" s="4311" t="s">
        <v>1905</v>
      </c>
      <c r="V37" s="4311" t="s">
        <v>1875</v>
      </c>
      <c r="W37" s="4311" t="s">
        <v>1876</v>
      </c>
      <c r="X37" s="4311" t="s">
        <v>1905</v>
      </c>
      <c r="Y37" s="4313" t="s">
        <v>1875</v>
      </c>
      <c r="Z37" s="4313" t="s">
        <v>1876</v>
      </c>
      <c r="AA37" s="4313" t="s">
        <v>1905</v>
      </c>
      <c r="AB37" s="4317" t="s">
        <v>1906</v>
      </c>
      <c r="AC37" s="4317"/>
      <c r="AD37" s="4313" t="s">
        <v>1875</v>
      </c>
      <c r="AE37" s="4313" t="s">
        <v>1876</v>
      </c>
      <c r="AF37" s="4313" t="s">
        <v>1905</v>
      </c>
      <c r="AG37" s="4317" t="s">
        <v>1906</v>
      </c>
      <c r="AH37" s="4317"/>
      <c r="AI37" s="4311" t="s">
        <v>1875</v>
      </c>
      <c r="AJ37" s="4311" t="s">
        <v>1876</v>
      </c>
      <c r="AK37" s="4311" t="s">
        <v>1905</v>
      </c>
      <c r="AL37" s="4311" t="s">
        <v>1875</v>
      </c>
      <c r="AM37" s="4311" t="s">
        <v>1876</v>
      </c>
      <c r="AN37" s="4311" t="s">
        <v>1905</v>
      </c>
      <c r="AO37" s="4311" t="s">
        <v>1875</v>
      </c>
      <c r="AP37" s="4311" t="s">
        <v>1876</v>
      </c>
      <c r="AQ37" s="4311" t="s">
        <v>1905</v>
      </c>
      <c r="AR37" s="4313" t="s">
        <v>1875</v>
      </c>
      <c r="AS37" s="4313" t="s">
        <v>1876</v>
      </c>
      <c r="AT37" s="4313" t="s">
        <v>1905</v>
      </c>
      <c r="AU37" s="4317" t="s">
        <v>1906</v>
      </c>
      <c r="AV37" s="4317"/>
      <c r="AW37" s="4313" t="s">
        <v>1875</v>
      </c>
      <c r="AX37" s="4313" t="s">
        <v>1876</v>
      </c>
      <c r="AY37" s="4313" t="s">
        <v>1905</v>
      </c>
      <c r="AZ37" s="4317" t="s">
        <v>1906</v>
      </c>
      <c r="BA37" s="4317"/>
      <c r="BB37" s="4311" t="s">
        <v>1875</v>
      </c>
      <c r="BC37" s="4311" t="s">
        <v>1876</v>
      </c>
      <c r="BD37" s="4311" t="s">
        <v>1905</v>
      </c>
      <c r="BE37" s="4311" t="s">
        <v>1875</v>
      </c>
      <c r="BF37" s="4311" t="s">
        <v>1876</v>
      </c>
      <c r="BG37" s="4311" t="s">
        <v>1905</v>
      </c>
      <c r="BH37" s="4311" t="s">
        <v>1875</v>
      </c>
      <c r="BI37" s="4311" t="s">
        <v>1876</v>
      </c>
      <c r="BJ37" s="4311" t="s">
        <v>1905</v>
      </c>
      <c r="BK37" s="4313" t="s">
        <v>1875</v>
      </c>
      <c r="BL37" s="4313" t="s">
        <v>1876</v>
      </c>
      <c r="BM37" s="4313" t="s">
        <v>1905</v>
      </c>
      <c r="BN37" s="4317" t="s">
        <v>1906</v>
      </c>
      <c r="BO37" s="4317"/>
      <c r="BP37" s="4321" t="s">
        <v>1875</v>
      </c>
      <c r="BQ37" s="4321" t="s">
        <v>1876</v>
      </c>
      <c r="BR37" s="4321" t="s">
        <v>1905</v>
      </c>
      <c r="BS37" s="4317" t="s">
        <v>1906</v>
      </c>
      <c r="BT37" s="4317"/>
      <c r="BU37" s="435"/>
      <c r="BV37" s="435"/>
      <c r="BW37" s="435"/>
      <c r="BX37" s="435"/>
    </row>
    <row r="38" spans="1:76" ht="25.5" customHeight="1">
      <c r="A38" s="4304"/>
      <c r="B38" s="4312"/>
      <c r="C38" s="4312"/>
      <c r="D38" s="4312"/>
      <c r="E38" s="4312"/>
      <c r="F38" s="4312"/>
      <c r="G38" s="4312"/>
      <c r="H38" s="4312"/>
      <c r="I38" s="4312"/>
      <c r="J38" s="4312"/>
      <c r="K38" s="4312"/>
      <c r="L38" s="4312"/>
      <c r="M38" s="4312"/>
      <c r="N38" s="4138" t="s">
        <v>1907</v>
      </c>
      <c r="O38" s="4138" t="s">
        <v>44</v>
      </c>
      <c r="P38" s="4312"/>
      <c r="Q38" s="4312"/>
      <c r="R38" s="4312"/>
      <c r="S38" s="4312"/>
      <c r="T38" s="4312"/>
      <c r="U38" s="4312"/>
      <c r="V38" s="4312"/>
      <c r="W38" s="4312"/>
      <c r="X38" s="4312"/>
      <c r="Y38" s="4312"/>
      <c r="Z38" s="4312"/>
      <c r="AA38" s="4312"/>
      <c r="AB38" s="4138" t="s">
        <v>1907</v>
      </c>
      <c r="AC38" s="4138" t="s">
        <v>44</v>
      </c>
      <c r="AD38" s="4312"/>
      <c r="AE38" s="4312"/>
      <c r="AF38" s="4312"/>
      <c r="AG38" s="4138" t="s">
        <v>1907</v>
      </c>
      <c r="AH38" s="4138" t="s">
        <v>44</v>
      </c>
      <c r="AI38" s="4312"/>
      <c r="AJ38" s="4312"/>
      <c r="AK38" s="4312"/>
      <c r="AL38" s="4312"/>
      <c r="AM38" s="4312"/>
      <c r="AN38" s="4312"/>
      <c r="AO38" s="4312"/>
      <c r="AP38" s="4312"/>
      <c r="AQ38" s="4312"/>
      <c r="AR38" s="4312"/>
      <c r="AS38" s="4312"/>
      <c r="AT38" s="4312"/>
      <c r="AU38" s="4138" t="s">
        <v>1907</v>
      </c>
      <c r="AV38" s="4138" t="s">
        <v>44</v>
      </c>
      <c r="AW38" s="4312"/>
      <c r="AX38" s="4312"/>
      <c r="AY38" s="4312"/>
      <c r="AZ38" s="4138" t="s">
        <v>1907</v>
      </c>
      <c r="BA38" s="4138" t="s">
        <v>44</v>
      </c>
      <c r="BB38" s="4312"/>
      <c r="BC38" s="4312"/>
      <c r="BD38" s="4312"/>
      <c r="BE38" s="4312"/>
      <c r="BF38" s="4312"/>
      <c r="BG38" s="4312"/>
      <c r="BH38" s="4312"/>
      <c r="BI38" s="4312"/>
      <c r="BJ38" s="4312"/>
      <c r="BK38" s="4312"/>
      <c r="BL38" s="4312"/>
      <c r="BM38" s="4312"/>
      <c r="BN38" s="4138" t="s">
        <v>1907</v>
      </c>
      <c r="BO38" s="4138" t="s">
        <v>44</v>
      </c>
      <c r="BP38" s="4312"/>
      <c r="BQ38" s="4312"/>
      <c r="BR38" s="4312"/>
      <c r="BS38" s="4138" t="s">
        <v>1907</v>
      </c>
      <c r="BT38" s="4138" t="s">
        <v>44</v>
      </c>
      <c r="BU38" s="435"/>
      <c r="BV38" s="435"/>
      <c r="BW38" s="435"/>
      <c r="BX38" s="435"/>
    </row>
    <row r="39" spans="1:76" ht="18.75">
      <c r="A39" s="4156" t="s">
        <v>1</v>
      </c>
      <c r="B39" s="4205">
        <f>SUM('Произв. прогр. Вода (СВОД)'!E45)</f>
        <v>724.43963276186139</v>
      </c>
      <c r="C39" s="4205">
        <f>SUM('ПОЛНАЯ СЕБЕСТОИМОСТЬ ВОДА 2017'!C180)</f>
        <v>906.26</v>
      </c>
      <c r="D39" s="4206">
        <v>1083.71</v>
      </c>
      <c r="E39" s="4205">
        <f>SUM('Произв. прогр. Вода (СВОД)'!F45)</f>
        <v>725.6213751605469</v>
      </c>
      <c r="F39" s="4205">
        <f>SUM('ПОЛНАЯ СЕБЕСТОИМОСТЬ ВОДА 2017'!D180)</f>
        <v>770.47</v>
      </c>
      <c r="G39" s="4206">
        <v>926.24</v>
      </c>
      <c r="H39" s="4205">
        <f>SUM('Произв. прогр. Вода (СВОД)'!G45)</f>
        <v>728.62114456538848</v>
      </c>
      <c r="I39" s="4205">
        <f>SUM('ПОЛНАЯ СЕБЕСТОИМОСТЬ ВОДА 2017'!E180)</f>
        <v>878.01</v>
      </c>
      <c r="J39" s="4206">
        <v>1010.21</v>
      </c>
      <c r="K39" s="4281">
        <f t="shared" ref="K39:M45" si="87">SUM(B39+E39+H39)</f>
        <v>2178.6821524877969</v>
      </c>
      <c r="L39" s="4281">
        <f t="shared" si="87"/>
        <v>2554.7399999999998</v>
      </c>
      <c r="M39" s="4281">
        <f t="shared" si="87"/>
        <v>3020.16</v>
      </c>
      <c r="N39" s="4282">
        <f t="shared" ref="N39:N81" si="88">SUM(L39-K39)</f>
        <v>376.0578475122029</v>
      </c>
      <c r="O39" s="4282">
        <f t="shared" ref="O39:O81" si="89">SUM(N39/K39*100)</f>
        <v>17.260794424867775</v>
      </c>
      <c r="P39" s="4205">
        <f>SUM('Произв. прогр. Вода (СВОД)'!I45)</f>
        <v>717.54096373116442</v>
      </c>
      <c r="Q39" s="4205">
        <f>SUM('ПОЛНАЯ СЕБЕСТОИМОСТЬ ВОДА 2017'!H180)</f>
        <v>916.38</v>
      </c>
      <c r="R39" s="4206">
        <v>911.79</v>
      </c>
      <c r="S39" s="4205">
        <f>SUM('Произв. прогр. Вода (СВОД)'!J45)</f>
        <v>701.99077863587127</v>
      </c>
      <c r="T39" s="4205">
        <f>SUM('ПОЛНАЯ СЕБЕСТОИМОСТЬ ВОДА 2017'!I180)</f>
        <v>1012.93</v>
      </c>
      <c r="U39" s="4206">
        <v>875.88</v>
      </c>
      <c r="V39" s="4205">
        <f>SUM('Произв. прогр. Вода (СВОД)'!K45)</f>
        <v>674.40198279295464</v>
      </c>
      <c r="W39" s="4205">
        <f>SUM('ПОЛНАЯ СЕБЕСТОИМОСТЬ ВОДА 2017'!J180)</f>
        <v>800.26</v>
      </c>
      <c r="X39" s="4206">
        <v>717.02</v>
      </c>
      <c r="Y39" s="4281">
        <f t="shared" ref="Y39:AA45" si="90">SUM(P39+S39+V39)</f>
        <v>2093.9337251599904</v>
      </c>
      <c r="Z39" s="4281">
        <f t="shared" si="90"/>
        <v>2729.5699999999997</v>
      </c>
      <c r="AA39" s="4281">
        <f t="shared" si="90"/>
        <v>2504.69</v>
      </c>
      <c r="AB39" s="4282">
        <f t="shared" ref="AB39:AB81" si="91">SUM(Z39-Y39)</f>
        <v>635.63627484000926</v>
      </c>
      <c r="AC39" s="4282">
        <f t="shared" ref="AC39:AC77" si="92">SUM(AB39/Y39*100)</f>
        <v>30.356083729032179</v>
      </c>
      <c r="AD39" s="4281">
        <f t="shared" ref="AD39:AD45" si="93">SUM(K39+Y39)</f>
        <v>4272.6158776477878</v>
      </c>
      <c r="AE39" s="4281">
        <f t="shared" ref="AE39:AF45" si="94">SUM(L39+Z39)</f>
        <v>5284.3099999999995</v>
      </c>
      <c r="AF39" s="4281">
        <f t="shared" si="94"/>
        <v>5524.85</v>
      </c>
      <c r="AG39" s="4282">
        <f t="shared" ref="AG39:AG81" si="95">SUM(AE39-AD39)</f>
        <v>1011.6941223522117</v>
      </c>
      <c r="AH39" s="4282">
        <f t="shared" ref="AH39:AH77" si="96">SUM(AG39/AD39*100)</f>
        <v>23.678564872749146</v>
      </c>
      <c r="AI39" s="4205">
        <f>SUM('Произв. прогр. Вода (СВОД)'!N45)</f>
        <v>699.7562116679012</v>
      </c>
      <c r="AJ39" s="4205">
        <f>SUM('ПОЛНАЯ СЕБЕСТОИМОСТЬ ВОДА 2017'!P180)</f>
        <v>928.74</v>
      </c>
      <c r="AK39" s="4206">
        <v>660.41</v>
      </c>
      <c r="AL39" s="4205">
        <f>SUM('Произв. прогр. Вода (СВОД)'!O45)</f>
        <v>727.30969481240072</v>
      </c>
      <c r="AM39" s="4205">
        <f>SUM('ПОЛНАЯ СЕБЕСТОИМОСТЬ ВОДА 2017'!Q180)</f>
        <v>954.06999999999994</v>
      </c>
      <c r="AN39" s="4206">
        <v>643.04</v>
      </c>
      <c r="AO39" s="4205">
        <f>SUM('Произв. прогр. Вода (СВОД)'!P45)</f>
        <v>761.58282690802969</v>
      </c>
      <c r="AP39" s="4205">
        <f>SUM('ПОЛНАЯ СЕБЕСТОИМОСТЬ ВОДА 2017'!R180)</f>
        <v>931.78000000000009</v>
      </c>
      <c r="AQ39" s="4206">
        <v>789.03</v>
      </c>
      <c r="AR39" s="4281">
        <f t="shared" ref="AR39:AT45" si="97">SUM(AI39+AL39+AO39)</f>
        <v>2188.6487333883315</v>
      </c>
      <c r="AS39" s="4281">
        <f t="shared" si="97"/>
        <v>2814.59</v>
      </c>
      <c r="AT39" s="4281">
        <f t="shared" si="97"/>
        <v>2092.4799999999996</v>
      </c>
      <c r="AU39" s="4282">
        <f t="shared" ref="AU39:AU81" si="98">SUM(AS39-AR39)</f>
        <v>625.94126661166865</v>
      </c>
      <c r="AV39" s="4282">
        <f t="shared" ref="AV39:AV77" si="99">SUM(AU39/AR39*100)</f>
        <v>28.599439328147685</v>
      </c>
      <c r="AW39" s="4281">
        <f t="shared" ref="AW39:AW45" si="100">SUM(AD39+AR39)</f>
        <v>6461.2646110361193</v>
      </c>
      <c r="AX39" s="4281">
        <f t="shared" ref="AX39:AY45" si="101">SUM(AE39+AS39)</f>
        <v>8098.9</v>
      </c>
      <c r="AY39" s="4281">
        <f t="shared" si="101"/>
        <v>7617.33</v>
      </c>
      <c r="AZ39" s="4282">
        <f t="shared" ref="AZ39:AZ81" si="102">SUM(AX39-AW39)</f>
        <v>1637.6353889638804</v>
      </c>
      <c r="BA39" s="4282">
        <f t="shared" ref="BA39:BA77" si="103">SUM(AZ39/AW39*100)</f>
        <v>25.345431390733143</v>
      </c>
      <c r="BB39" s="4205">
        <f>SUM('Произв. прогр. Вода (СВОД)'!S45)</f>
        <v>779.3651297325107</v>
      </c>
      <c r="BC39" s="4205">
        <f>SUM('ПОЛНАЯ СЕБЕСТОИМОСТЬ ВОДА 2017'!X180)</f>
        <v>0</v>
      </c>
      <c r="BD39" s="4206">
        <v>998.34</v>
      </c>
      <c r="BE39" s="4205">
        <f>SUM('Произв. прогр. Вода (СВОД)'!T45)</f>
        <v>779.3651297325107</v>
      </c>
      <c r="BF39" s="4205">
        <f>SUM('ПОЛНАЯ СЕБЕСТОИМОСТЬ ВОДА 2017'!Y180)</f>
        <v>0</v>
      </c>
      <c r="BG39" s="4206">
        <v>911.06</v>
      </c>
      <c r="BH39" s="4205">
        <f>SUM('Произв. прогр. Вода (СВОД)'!U45)</f>
        <v>779.3651297325107</v>
      </c>
      <c r="BI39" s="4205">
        <f>SUM('ПОЛНАЯ СЕБЕСТОИМОСТЬ ВОДА 2017'!Z180)</f>
        <v>0</v>
      </c>
      <c r="BJ39" s="4206">
        <v>926.03</v>
      </c>
      <c r="BK39" s="4281">
        <f t="shared" ref="BK39:BM45" si="104">SUM(BB39+BE39+BH39)</f>
        <v>2338.0953891975323</v>
      </c>
      <c r="BL39" s="4281">
        <f t="shared" si="104"/>
        <v>0</v>
      </c>
      <c r="BM39" s="4281">
        <f t="shared" si="104"/>
        <v>2835.4300000000003</v>
      </c>
      <c r="BN39" s="4282">
        <f t="shared" ref="BN39:BN81" si="105">SUM(BL39-BK39)</f>
        <v>-2338.0953891975323</v>
      </c>
      <c r="BO39" s="4282">
        <f t="shared" ref="BO39:BO77" si="106">SUM(BN39/BK39*100)</f>
        <v>-100</v>
      </c>
      <c r="BP39" s="4281">
        <f t="shared" ref="BP39:BP45" si="107">SUM(AW39+BK39)</f>
        <v>8799.3600002336516</v>
      </c>
      <c r="BQ39" s="4281">
        <f t="shared" ref="BQ39:BR45" si="108">SUM(AX39+BL39)</f>
        <v>8098.9</v>
      </c>
      <c r="BR39" s="4281">
        <f t="shared" si="108"/>
        <v>10452.76</v>
      </c>
      <c r="BS39" s="4282">
        <f t="shared" ref="BS39:BS81" si="109">SUM(BQ39-BP39)</f>
        <v>-700.46000023365195</v>
      </c>
      <c r="BT39" s="4282">
        <f t="shared" ref="BT39:BT77" si="110">SUM(BS39/BP39*100)</f>
        <v>-7.9603516643830057</v>
      </c>
      <c r="BU39" s="435"/>
      <c r="BV39" s="435"/>
      <c r="BW39" s="435"/>
      <c r="BX39" s="435"/>
    </row>
    <row r="40" spans="1:76" ht="18.75">
      <c r="A40" s="4156" t="s">
        <v>2</v>
      </c>
      <c r="B40" s="4205">
        <f>SUM('Произв. прогр. Вода (СВОД)'!E46)</f>
        <v>691.3900000000001</v>
      </c>
      <c r="C40" s="4205">
        <f>SUM('ПОЛНАЯ СЕБЕСТОИМОСТЬ ВОДА 2017'!C181)</f>
        <v>748.98</v>
      </c>
      <c r="D40" s="4206">
        <v>732.15</v>
      </c>
      <c r="E40" s="4205">
        <f>SUM('Произв. прогр. Вода (СВОД)'!F46)</f>
        <v>691.3900000000001</v>
      </c>
      <c r="F40" s="4205">
        <f>SUM('ПОЛНАЯ СЕБЕСТОИМОСТЬ ВОДА 2017'!D181)</f>
        <v>748.98</v>
      </c>
      <c r="G40" s="4206">
        <v>732.15</v>
      </c>
      <c r="H40" s="4205">
        <f>SUM('Произв. прогр. Вода (СВОД)'!G46)</f>
        <v>691.3900000000001</v>
      </c>
      <c r="I40" s="4205">
        <f>SUM('ПОЛНАЯ СЕБЕСТОИМОСТЬ ВОДА 2017'!E181)</f>
        <v>748.81</v>
      </c>
      <c r="J40" s="4206">
        <v>732.15</v>
      </c>
      <c r="K40" s="4281">
        <f t="shared" si="87"/>
        <v>2074.17</v>
      </c>
      <c r="L40" s="4281">
        <f t="shared" si="87"/>
        <v>2246.77</v>
      </c>
      <c r="M40" s="4281">
        <f t="shared" si="87"/>
        <v>2196.4499999999998</v>
      </c>
      <c r="N40" s="4282">
        <f t="shared" si="88"/>
        <v>172.59999999999991</v>
      </c>
      <c r="O40" s="4282">
        <f t="shared" si="89"/>
        <v>8.3214008494964204</v>
      </c>
      <c r="P40" s="4205">
        <f>SUM('Произв. прогр. Вода (СВОД)'!I46)</f>
        <v>691.3900000000001</v>
      </c>
      <c r="Q40" s="4205">
        <f>SUM('ПОЛНАЯ СЕБЕСТОИМОСТЬ ВОДА 2017'!H181)</f>
        <v>747.8</v>
      </c>
      <c r="R40" s="4206">
        <v>731.42</v>
      </c>
      <c r="S40" s="4205">
        <f>SUM('Произв. прогр. Вода (СВОД)'!J46)</f>
        <v>691.3900000000001</v>
      </c>
      <c r="T40" s="4205">
        <f>SUM('ПОЛНАЯ СЕБЕСТОИМОСТЬ ВОДА 2017'!I181)</f>
        <v>825.21</v>
      </c>
      <c r="U40" s="4206">
        <v>731.43</v>
      </c>
      <c r="V40" s="4205">
        <f>SUM('Произв. прогр. Вода (СВОД)'!K46)</f>
        <v>691.3900000000001</v>
      </c>
      <c r="W40" s="4205">
        <f>SUM('ПОЛНАЯ СЕБЕСТОИМОСТЬ ВОДА 2017'!J181)</f>
        <v>923.7</v>
      </c>
      <c r="X40" s="4206">
        <v>727.66</v>
      </c>
      <c r="Y40" s="4281">
        <f t="shared" si="90"/>
        <v>2074.17</v>
      </c>
      <c r="Z40" s="4281">
        <f t="shared" si="90"/>
        <v>2496.71</v>
      </c>
      <c r="AA40" s="4281">
        <f t="shared" si="90"/>
        <v>2190.5099999999998</v>
      </c>
      <c r="AB40" s="4282">
        <f t="shared" si="91"/>
        <v>422.53999999999996</v>
      </c>
      <c r="AC40" s="4282">
        <f t="shared" si="92"/>
        <v>20.371522102817028</v>
      </c>
      <c r="AD40" s="4281">
        <f t="shared" si="93"/>
        <v>4148.34</v>
      </c>
      <c r="AE40" s="4281">
        <f t="shared" si="94"/>
        <v>4743.4799999999996</v>
      </c>
      <c r="AF40" s="4281">
        <f t="shared" si="94"/>
        <v>4386.9599999999991</v>
      </c>
      <c r="AG40" s="4282">
        <f t="shared" si="95"/>
        <v>595.13999999999942</v>
      </c>
      <c r="AH40" s="4282">
        <f t="shared" si="96"/>
        <v>14.346461476156714</v>
      </c>
      <c r="AI40" s="4205">
        <f>SUM('Произв. прогр. Вода (СВОД)'!N46)</f>
        <v>691.3900000000001</v>
      </c>
      <c r="AJ40" s="4205">
        <f>SUM('ПОЛНАЯ СЕБЕСТОИМОСТЬ ВОДА 2017'!P181)</f>
        <v>923.54</v>
      </c>
      <c r="AK40" s="4206">
        <v>672.46</v>
      </c>
      <c r="AL40" s="4205">
        <f>SUM('Произв. прогр. Вода (СВОД)'!O46)</f>
        <v>691.3900000000001</v>
      </c>
      <c r="AM40" s="4205">
        <f>SUM('ПОЛНАЯ СЕБЕСТОИМОСТЬ ВОДА 2017'!Q181)</f>
        <v>901.34000000000015</v>
      </c>
      <c r="AN40" s="4206">
        <v>672.49</v>
      </c>
      <c r="AO40" s="4205">
        <f>SUM('Произв. прогр. Вода (СВОД)'!P46)</f>
        <v>691.3900000000001</v>
      </c>
      <c r="AP40" s="4205">
        <f>SUM('ПОЛНАЯ СЕБЕСТОИМОСТЬ ВОДА 2017'!R181)</f>
        <v>903.3900000000001</v>
      </c>
      <c r="AQ40" s="4206">
        <v>672.49</v>
      </c>
      <c r="AR40" s="4281">
        <f t="shared" si="97"/>
        <v>2074.17</v>
      </c>
      <c r="AS40" s="4281">
        <f t="shared" si="97"/>
        <v>2728.2700000000004</v>
      </c>
      <c r="AT40" s="4281">
        <f t="shared" si="97"/>
        <v>2017.44</v>
      </c>
      <c r="AU40" s="4282">
        <f t="shared" si="98"/>
        <v>654.10000000000036</v>
      </c>
      <c r="AV40" s="4282">
        <f t="shared" si="99"/>
        <v>31.535505768572509</v>
      </c>
      <c r="AW40" s="4281">
        <f t="shared" si="100"/>
        <v>6222.51</v>
      </c>
      <c r="AX40" s="4281">
        <f t="shared" si="101"/>
        <v>7471.75</v>
      </c>
      <c r="AY40" s="4281">
        <f t="shared" si="101"/>
        <v>6404.4</v>
      </c>
      <c r="AZ40" s="4282">
        <f t="shared" si="102"/>
        <v>1249.2399999999998</v>
      </c>
      <c r="BA40" s="4282">
        <f t="shared" si="103"/>
        <v>20.076142906961977</v>
      </c>
      <c r="BB40" s="4205">
        <f>SUM('Произв. прогр. Вода (СВОД)'!S46)</f>
        <v>691.3900000000001</v>
      </c>
      <c r="BC40" s="4205">
        <f>SUM('ПОЛНАЯ СЕБЕСТОИМОСТЬ ВОДА 2017'!X181)</f>
        <v>0</v>
      </c>
      <c r="BD40" s="4206">
        <v>672.48</v>
      </c>
      <c r="BE40" s="4205">
        <f>SUM('Произв. прогр. Вода (СВОД)'!T46)</f>
        <v>691.3900000000001</v>
      </c>
      <c r="BF40" s="4205">
        <f>SUM('ПОЛНАЯ СЕБЕСТОИМОСТЬ ВОДА 2017'!Y181)</f>
        <v>0</v>
      </c>
      <c r="BG40" s="4206">
        <v>672.03</v>
      </c>
      <c r="BH40" s="4205">
        <f>SUM('Произв. прогр. Вода (СВОД)'!U46)</f>
        <v>691.3900000000001</v>
      </c>
      <c r="BI40" s="4205">
        <f>SUM('ПОЛНАЯ СЕБЕСТОИМОСТЬ ВОДА 2017'!Z181)</f>
        <v>0</v>
      </c>
      <c r="BJ40" s="4206">
        <v>748.99</v>
      </c>
      <c r="BK40" s="4281">
        <f t="shared" si="104"/>
        <v>2074.17</v>
      </c>
      <c r="BL40" s="4281">
        <f t="shared" si="104"/>
        <v>0</v>
      </c>
      <c r="BM40" s="4281">
        <f t="shared" si="104"/>
        <v>2093.5</v>
      </c>
      <c r="BN40" s="4282">
        <f t="shared" si="105"/>
        <v>-2074.17</v>
      </c>
      <c r="BO40" s="4282">
        <f t="shared" si="106"/>
        <v>-100</v>
      </c>
      <c r="BP40" s="4281">
        <f t="shared" si="107"/>
        <v>8296.68</v>
      </c>
      <c r="BQ40" s="4281">
        <f t="shared" si="108"/>
        <v>7471.75</v>
      </c>
      <c r="BR40" s="4281">
        <f t="shared" si="108"/>
        <v>8497.9</v>
      </c>
      <c r="BS40" s="4282">
        <f t="shared" si="109"/>
        <v>-824.93000000000029</v>
      </c>
      <c r="BT40" s="4282">
        <f t="shared" si="110"/>
        <v>-9.9428928197785158</v>
      </c>
      <c r="BU40" s="435"/>
      <c r="BV40" s="435"/>
      <c r="BW40" s="435"/>
      <c r="BX40" s="435"/>
    </row>
    <row r="41" spans="1:76" ht="18.75">
      <c r="A41" s="4156" t="s">
        <v>219</v>
      </c>
      <c r="B41" s="4205">
        <f>SUM('Произв. прогр. Вода (СВОД)'!E47)</f>
        <v>0</v>
      </c>
      <c r="C41" s="4205">
        <f>SUM('ПОЛНАЯ СЕБЕСТОИМОСТЬ ВОДА 2017'!C182)</f>
        <v>0</v>
      </c>
      <c r="D41" s="4206">
        <v>0</v>
      </c>
      <c r="E41" s="4205">
        <f>SUM('Произв. прогр. Вода (СВОД)'!F47)</f>
        <v>0</v>
      </c>
      <c r="F41" s="4205">
        <f>SUM('ПОЛНАЯ СЕБЕСТОИМОСТЬ ВОДА 2017'!D182)</f>
        <v>0</v>
      </c>
      <c r="G41" s="4206">
        <v>0</v>
      </c>
      <c r="H41" s="4205">
        <f>SUM('Произв. прогр. Вода (СВОД)'!G47)</f>
        <v>0</v>
      </c>
      <c r="I41" s="4205">
        <f>SUM('ПОЛНАЯ СЕБЕСТОИМОСТЬ ВОДА 2017'!E182)</f>
        <v>0</v>
      </c>
      <c r="J41" s="4206">
        <v>0</v>
      </c>
      <c r="K41" s="4281">
        <f t="shared" si="87"/>
        <v>0</v>
      </c>
      <c r="L41" s="4281">
        <f t="shared" si="87"/>
        <v>0</v>
      </c>
      <c r="M41" s="4281">
        <f t="shared" si="87"/>
        <v>0</v>
      </c>
      <c r="N41" s="4282">
        <f t="shared" si="88"/>
        <v>0</v>
      </c>
      <c r="O41" s="4282" t="e">
        <f t="shared" si="89"/>
        <v>#DIV/0!</v>
      </c>
      <c r="P41" s="4205">
        <f>SUM('Произв. прогр. Вода (СВОД)'!I47)</f>
        <v>0</v>
      </c>
      <c r="Q41" s="4205">
        <f>SUM('ПОЛНАЯ СЕБЕСТОИМОСТЬ ВОДА 2017'!H182)</f>
        <v>0</v>
      </c>
      <c r="R41" s="4206">
        <v>0</v>
      </c>
      <c r="S41" s="4205">
        <f>SUM('Произв. прогр. Вода (СВОД)'!J47)</f>
        <v>0</v>
      </c>
      <c r="T41" s="4205">
        <f>SUM('ПОЛНАЯ СЕБЕСТОИМОСТЬ ВОДА 2017'!I182)</f>
        <v>0</v>
      </c>
      <c r="U41" s="4206">
        <v>0</v>
      </c>
      <c r="V41" s="4205">
        <f>SUM('Произв. прогр. Вода (СВОД)'!K47)</f>
        <v>0</v>
      </c>
      <c r="W41" s="4205">
        <f>SUM('ПОЛНАЯ СЕБЕСТОИМОСТЬ ВОДА 2017'!J182)</f>
        <v>0</v>
      </c>
      <c r="X41" s="4206">
        <v>0</v>
      </c>
      <c r="Y41" s="4281">
        <f t="shared" si="90"/>
        <v>0</v>
      </c>
      <c r="Z41" s="4281">
        <f t="shared" si="90"/>
        <v>0</v>
      </c>
      <c r="AA41" s="4281">
        <f t="shared" si="90"/>
        <v>0</v>
      </c>
      <c r="AB41" s="4282">
        <f t="shared" si="91"/>
        <v>0</v>
      </c>
      <c r="AC41" s="4282" t="e">
        <f t="shared" si="92"/>
        <v>#DIV/0!</v>
      </c>
      <c r="AD41" s="4281">
        <f t="shared" si="93"/>
        <v>0</v>
      </c>
      <c r="AE41" s="4281">
        <f t="shared" si="94"/>
        <v>0</v>
      </c>
      <c r="AF41" s="4281">
        <f t="shared" si="94"/>
        <v>0</v>
      </c>
      <c r="AG41" s="4282">
        <f t="shared" si="95"/>
        <v>0</v>
      </c>
      <c r="AH41" s="4282" t="e">
        <f t="shared" si="96"/>
        <v>#DIV/0!</v>
      </c>
      <c r="AI41" s="4205">
        <f>SUM('Произв. прогр. Вода (СВОД)'!N47)</f>
        <v>0</v>
      </c>
      <c r="AJ41" s="4205">
        <f>SUM('ПОЛНАЯ СЕБЕСТОИМОСТЬ ВОДА 2017'!P182)</f>
        <v>0</v>
      </c>
      <c r="AK41" s="4206">
        <v>0</v>
      </c>
      <c r="AL41" s="4205">
        <f>SUM('Произв. прогр. Вода (СВОД)'!O47)</f>
        <v>0</v>
      </c>
      <c r="AM41" s="4205">
        <f>SUM('ПОЛНАЯ СЕБЕСТОИМОСТЬ ВОДА 2017'!Q182)</f>
        <v>0</v>
      </c>
      <c r="AN41" s="4206">
        <v>0</v>
      </c>
      <c r="AO41" s="4205">
        <f>SUM('Произв. прогр. Вода (СВОД)'!P47)</f>
        <v>0</v>
      </c>
      <c r="AP41" s="4205">
        <f>SUM('ПОЛНАЯ СЕБЕСТОИМОСТЬ ВОДА 2017'!R182)</f>
        <v>0</v>
      </c>
      <c r="AQ41" s="4206">
        <v>0</v>
      </c>
      <c r="AR41" s="4281">
        <f t="shared" si="97"/>
        <v>0</v>
      </c>
      <c r="AS41" s="4281">
        <f t="shared" si="97"/>
        <v>0</v>
      </c>
      <c r="AT41" s="4281">
        <f t="shared" si="97"/>
        <v>0</v>
      </c>
      <c r="AU41" s="4282">
        <f t="shared" si="98"/>
        <v>0</v>
      </c>
      <c r="AV41" s="4282" t="e">
        <f t="shared" si="99"/>
        <v>#DIV/0!</v>
      </c>
      <c r="AW41" s="4281">
        <f t="shared" si="100"/>
        <v>0</v>
      </c>
      <c r="AX41" s="4281">
        <f t="shared" si="101"/>
        <v>0</v>
      </c>
      <c r="AY41" s="4281">
        <f t="shared" si="101"/>
        <v>0</v>
      </c>
      <c r="AZ41" s="4282">
        <f t="shared" si="102"/>
        <v>0</v>
      </c>
      <c r="BA41" s="4282" t="e">
        <f t="shared" si="103"/>
        <v>#DIV/0!</v>
      </c>
      <c r="BB41" s="4205">
        <f>SUM('Произв. прогр. Вода (СВОД)'!S47)</f>
        <v>0</v>
      </c>
      <c r="BC41" s="4205">
        <f>SUM('ПОЛНАЯ СЕБЕСТОИМОСТЬ ВОДА 2017'!X182)</f>
        <v>0</v>
      </c>
      <c r="BD41" s="4206">
        <v>0</v>
      </c>
      <c r="BE41" s="4205">
        <f>SUM('Произв. прогр. Вода (СВОД)'!T47)</f>
        <v>0</v>
      </c>
      <c r="BF41" s="4205">
        <f>SUM('ПОЛНАЯ СЕБЕСТОИМОСТЬ ВОДА 2017'!Y182)</f>
        <v>0</v>
      </c>
      <c r="BG41" s="4206">
        <v>0</v>
      </c>
      <c r="BH41" s="4205">
        <f>SUM('Произв. прогр. Вода (СВОД)'!U47)</f>
        <v>0</v>
      </c>
      <c r="BI41" s="4205">
        <f>SUM('ПОЛНАЯ СЕБЕСТОИМОСТЬ ВОДА 2017'!Z182)</f>
        <v>0</v>
      </c>
      <c r="BJ41" s="4206">
        <v>0</v>
      </c>
      <c r="BK41" s="4281">
        <f t="shared" si="104"/>
        <v>0</v>
      </c>
      <c r="BL41" s="4281">
        <f t="shared" si="104"/>
        <v>0</v>
      </c>
      <c r="BM41" s="4281">
        <f t="shared" si="104"/>
        <v>0</v>
      </c>
      <c r="BN41" s="4282">
        <f t="shared" si="105"/>
        <v>0</v>
      </c>
      <c r="BO41" s="4282" t="e">
        <f t="shared" si="106"/>
        <v>#DIV/0!</v>
      </c>
      <c r="BP41" s="4281">
        <f t="shared" si="107"/>
        <v>0</v>
      </c>
      <c r="BQ41" s="4281">
        <f t="shared" si="108"/>
        <v>0</v>
      </c>
      <c r="BR41" s="4281">
        <f t="shared" si="108"/>
        <v>0</v>
      </c>
      <c r="BS41" s="4282">
        <f t="shared" si="109"/>
        <v>0</v>
      </c>
      <c r="BT41" s="4282" t="e">
        <f t="shared" si="110"/>
        <v>#DIV/0!</v>
      </c>
      <c r="BU41" s="435"/>
      <c r="BV41" s="435"/>
      <c r="BW41" s="435"/>
      <c r="BX41" s="435"/>
    </row>
    <row r="42" spans="1:76" ht="18.75">
      <c r="A42" s="4156" t="s">
        <v>3</v>
      </c>
      <c r="B42" s="4205">
        <f>SUM('Произв. прогр. Вода (СВОД)'!E48)</f>
        <v>44.2264435813983</v>
      </c>
      <c r="C42" s="4205">
        <f>SUM('ПОЛНАЯ СЕБЕСТОИМОСТЬ ВОДА 2017'!C183)</f>
        <v>163.24</v>
      </c>
      <c r="D42" s="4206">
        <v>79.319999999999993</v>
      </c>
      <c r="E42" s="4205">
        <f>SUM('Произв. прогр. Вода (СВОД)'!F48)</f>
        <v>44.2264435813983</v>
      </c>
      <c r="F42" s="4205">
        <f>SUM('ПОЛНАЯ СЕБЕСТОИМОСТЬ ВОДА 2017'!D183)</f>
        <v>146.70999999999998</v>
      </c>
      <c r="G42" s="4206">
        <v>201.28</v>
      </c>
      <c r="H42" s="4205">
        <f>SUM('Произв. прогр. Вода (СВОД)'!G48)</f>
        <v>44.2264435813983</v>
      </c>
      <c r="I42" s="4205">
        <f>SUM('ПОЛНАЯ СЕБЕСТОИМОСТЬ ВОДА 2017'!E183)</f>
        <v>100.52</v>
      </c>
      <c r="J42" s="4206">
        <v>167.46</v>
      </c>
      <c r="K42" s="4281">
        <f t="shared" si="87"/>
        <v>132.67933074419489</v>
      </c>
      <c r="L42" s="4281">
        <f t="shared" si="87"/>
        <v>410.46999999999997</v>
      </c>
      <c r="M42" s="4281">
        <f t="shared" si="87"/>
        <v>448.06000000000006</v>
      </c>
      <c r="N42" s="4282">
        <f t="shared" si="88"/>
        <v>277.79066925580508</v>
      </c>
      <c r="O42" s="4282">
        <f t="shared" si="89"/>
        <v>209.36996568921816</v>
      </c>
      <c r="P42" s="4205">
        <f>SUM('Произв. прогр. Вода (СВОД)'!I48)</f>
        <v>44.2264435813983</v>
      </c>
      <c r="Q42" s="4205">
        <f>SUM('ПОЛНАЯ СЕБЕСТОИМОСТЬ ВОДА 2017'!H183)</f>
        <v>2242.0300000000002</v>
      </c>
      <c r="R42" s="4206">
        <v>127.63</v>
      </c>
      <c r="S42" s="4205">
        <f>SUM('Произв. прогр. Вода (СВОД)'!J48)</f>
        <v>44.2264435813983</v>
      </c>
      <c r="T42" s="4205">
        <f>SUM('ПОЛНАЯ СЕБЕСТОИМОСТЬ ВОДА 2017'!I183)</f>
        <v>153.35999999999999</v>
      </c>
      <c r="U42" s="4206">
        <v>239.39</v>
      </c>
      <c r="V42" s="4205">
        <f>SUM('Произв. прогр. Вода (СВОД)'!K48)</f>
        <v>44.2264435813983</v>
      </c>
      <c r="W42" s="4205">
        <f>SUM('ПОЛНАЯ СЕБЕСТОИМОСТЬ ВОДА 2017'!J183)</f>
        <v>400.28999999999996</v>
      </c>
      <c r="X42" s="4206">
        <v>208.37</v>
      </c>
      <c r="Y42" s="4281">
        <f t="shared" si="90"/>
        <v>132.67933074419489</v>
      </c>
      <c r="Z42" s="4281">
        <f t="shared" si="90"/>
        <v>2795.6800000000003</v>
      </c>
      <c r="AA42" s="4281">
        <f t="shared" si="90"/>
        <v>575.39</v>
      </c>
      <c r="AB42" s="4282">
        <f t="shared" si="91"/>
        <v>2663.0006692558054</v>
      </c>
      <c r="AC42" s="4282">
        <f t="shared" si="92"/>
        <v>2007.095343576957</v>
      </c>
      <c r="AD42" s="4281">
        <f t="shared" si="93"/>
        <v>265.35866148838977</v>
      </c>
      <c r="AE42" s="4281">
        <f t="shared" si="94"/>
        <v>3206.15</v>
      </c>
      <c r="AF42" s="4281">
        <f t="shared" si="94"/>
        <v>1023.45</v>
      </c>
      <c r="AG42" s="4282">
        <f t="shared" si="95"/>
        <v>2940.7913385116103</v>
      </c>
      <c r="AH42" s="4282">
        <f t="shared" si="96"/>
        <v>1108.2326546330873</v>
      </c>
      <c r="AI42" s="4205">
        <f>SUM('Произв. прогр. Вода (СВОД)'!N48)</f>
        <v>44.2264435813983</v>
      </c>
      <c r="AJ42" s="4205">
        <f>SUM('ПОЛНАЯ СЕБЕСТОИМОСТЬ ВОДА 2017'!P183)</f>
        <v>200.88</v>
      </c>
      <c r="AK42" s="4206">
        <v>237.36</v>
      </c>
      <c r="AL42" s="4205">
        <f>SUM('Произв. прогр. Вода (СВОД)'!O48)</f>
        <v>44.2264435813983</v>
      </c>
      <c r="AM42" s="4205">
        <f>SUM('ПОЛНАЯ СЕБЕСТОИМОСТЬ ВОДА 2017'!Q183)</f>
        <v>472.29</v>
      </c>
      <c r="AN42" s="4206">
        <v>259.66000000000003</v>
      </c>
      <c r="AO42" s="4205">
        <f>SUM('Произв. прогр. Вода (СВОД)'!P48)</f>
        <v>44.2264435813983</v>
      </c>
      <c r="AP42" s="4205">
        <f>SUM('ПОЛНАЯ СЕБЕСТОИМОСТЬ ВОДА 2017'!R183)</f>
        <v>579.78</v>
      </c>
      <c r="AQ42" s="4206">
        <v>123.47</v>
      </c>
      <c r="AR42" s="4281">
        <f t="shared" si="97"/>
        <v>132.67933074419489</v>
      </c>
      <c r="AS42" s="4281">
        <f t="shared" si="97"/>
        <v>1252.95</v>
      </c>
      <c r="AT42" s="4281">
        <f t="shared" si="97"/>
        <v>620.49</v>
      </c>
      <c r="AU42" s="4282">
        <f t="shared" si="98"/>
        <v>1120.2706692558052</v>
      </c>
      <c r="AV42" s="4282">
        <f t="shared" si="99"/>
        <v>844.34452824885113</v>
      </c>
      <c r="AW42" s="4281">
        <f t="shared" si="100"/>
        <v>398.03799223258466</v>
      </c>
      <c r="AX42" s="4281">
        <f t="shared" si="101"/>
        <v>4459.1000000000004</v>
      </c>
      <c r="AY42" s="4281">
        <f t="shared" si="101"/>
        <v>1643.94</v>
      </c>
      <c r="AZ42" s="4282">
        <f t="shared" si="102"/>
        <v>4061.0620077674157</v>
      </c>
      <c r="BA42" s="4282">
        <f t="shared" si="103"/>
        <v>1020.2699458383421</v>
      </c>
      <c r="BB42" s="4205">
        <f>SUM('Произв. прогр. Вода (СВОД)'!S48)</f>
        <v>44.2264435813983</v>
      </c>
      <c r="BC42" s="4205">
        <f>SUM('ПОЛНАЯ СЕБЕСТОИМОСТЬ ВОДА 2017'!X183)</f>
        <v>0</v>
      </c>
      <c r="BD42" s="4206">
        <v>225.06</v>
      </c>
      <c r="BE42" s="4205">
        <f>SUM('Произв. прогр. Вода (СВОД)'!T48)</f>
        <v>44.2264435813983</v>
      </c>
      <c r="BF42" s="4205">
        <f>SUM('ПОЛНАЯ СЕБЕСТОИМОСТЬ ВОДА 2017'!Y183)</f>
        <v>0</v>
      </c>
      <c r="BG42" s="4206">
        <v>614.41</v>
      </c>
      <c r="BH42" s="4205">
        <f>SUM('Произв. прогр. Вода (СВОД)'!U48)</f>
        <v>44.2264435813983</v>
      </c>
      <c r="BI42" s="4205">
        <f>SUM('ПОЛНАЯ СЕБЕСТОИМОСТЬ ВОДА 2017'!Z183)</f>
        <v>0</v>
      </c>
      <c r="BJ42" s="4206">
        <v>433.25</v>
      </c>
      <c r="BK42" s="4281">
        <f t="shared" si="104"/>
        <v>132.67933074419489</v>
      </c>
      <c r="BL42" s="4281">
        <f t="shared" si="104"/>
        <v>0</v>
      </c>
      <c r="BM42" s="4281">
        <f t="shared" si="104"/>
        <v>1272.72</v>
      </c>
      <c r="BN42" s="4282">
        <f t="shared" si="105"/>
        <v>-132.67933074419489</v>
      </c>
      <c r="BO42" s="4282">
        <f t="shared" si="106"/>
        <v>-100</v>
      </c>
      <c r="BP42" s="4281">
        <f t="shared" si="107"/>
        <v>530.71732297677954</v>
      </c>
      <c r="BQ42" s="4281">
        <f t="shared" si="108"/>
        <v>4459.1000000000004</v>
      </c>
      <c r="BR42" s="4281">
        <f t="shared" si="108"/>
        <v>2916.66</v>
      </c>
      <c r="BS42" s="4282">
        <f t="shared" si="109"/>
        <v>3928.3826770232208</v>
      </c>
      <c r="BT42" s="4282">
        <f t="shared" si="110"/>
        <v>740.20245937875654</v>
      </c>
      <c r="BU42" s="435"/>
      <c r="BV42" s="435"/>
      <c r="BW42" s="435"/>
      <c r="BX42" s="435"/>
    </row>
    <row r="43" spans="1:76" ht="18.75">
      <c r="A43" s="4156" t="s">
        <v>8</v>
      </c>
      <c r="B43" s="4205">
        <f>SUM('Произв. прогр. Вода (СВОД)'!E49)</f>
        <v>617.21498966203001</v>
      </c>
      <c r="C43" s="4205">
        <f>SUM('ПОЛНАЯ СЕБЕСТОИМОСТЬ ВОДА 2017'!C184)</f>
        <v>286.25</v>
      </c>
      <c r="D43" s="4206">
        <v>543.53</v>
      </c>
      <c r="E43" s="4205">
        <f>SUM('Произв. прогр. Вода (СВОД)'!F49)</f>
        <v>617.21498966203001</v>
      </c>
      <c r="F43" s="4205">
        <f>SUM('ПОЛНАЯ СЕБЕСТОИМОСТЬ ВОДА 2017'!D184)</f>
        <v>147.15</v>
      </c>
      <c r="G43" s="4206">
        <v>740.33</v>
      </c>
      <c r="H43" s="4205">
        <f>SUM('Произв. прогр. Вода (СВОД)'!G49)</f>
        <v>617.21498966203001</v>
      </c>
      <c r="I43" s="4205">
        <f>SUM('ПОЛНАЯ СЕБЕСТОИМОСТЬ ВОДА 2017'!E184)</f>
        <v>132.66</v>
      </c>
      <c r="J43" s="4206">
        <v>216.07</v>
      </c>
      <c r="K43" s="4281">
        <f t="shared" si="87"/>
        <v>1851.6449689860901</v>
      </c>
      <c r="L43" s="4281">
        <f t="shared" si="87"/>
        <v>566.05999999999995</v>
      </c>
      <c r="M43" s="4281">
        <f t="shared" si="87"/>
        <v>1499.93</v>
      </c>
      <c r="N43" s="4282">
        <f t="shared" si="88"/>
        <v>-1285.5849689860902</v>
      </c>
      <c r="O43" s="4282">
        <f t="shared" si="89"/>
        <v>-69.429344745825716</v>
      </c>
      <c r="P43" s="4205">
        <f>SUM('Произв. прогр. Вода (СВОД)'!I49)</f>
        <v>617.21498966203001</v>
      </c>
      <c r="Q43" s="4205">
        <f>SUM('ПОЛНАЯ СЕБЕСТОИМОСТЬ ВОДА 2017'!H184)</f>
        <v>962.24</v>
      </c>
      <c r="R43" s="4206">
        <v>1335.88</v>
      </c>
      <c r="S43" s="4205">
        <f>SUM('Произв. прогр. Вода (СВОД)'!J49)</f>
        <v>617.21498966203001</v>
      </c>
      <c r="T43" s="4205">
        <f>SUM('ПОЛНАЯ СЕБЕСТОИМОСТЬ ВОДА 2017'!I184)</f>
        <v>2063.1</v>
      </c>
      <c r="U43" s="4206">
        <v>1467.15</v>
      </c>
      <c r="V43" s="4205">
        <f>SUM('Произв. прогр. Вода (СВОД)'!K49)</f>
        <v>617.21498966203001</v>
      </c>
      <c r="W43" s="4205">
        <f>SUM('ПОЛНАЯ СЕБЕСТОИМОСТЬ ВОДА 2017'!J184)</f>
        <v>977.27</v>
      </c>
      <c r="X43" s="4206">
        <v>212.25</v>
      </c>
      <c r="Y43" s="4281">
        <f t="shared" si="90"/>
        <v>1851.6449689860901</v>
      </c>
      <c r="Z43" s="4281">
        <f t="shared" si="90"/>
        <v>4002.61</v>
      </c>
      <c r="AA43" s="4281">
        <f t="shared" si="90"/>
        <v>3015.28</v>
      </c>
      <c r="AB43" s="4282">
        <f t="shared" si="91"/>
        <v>2150.96503101391</v>
      </c>
      <c r="AC43" s="4282">
        <f t="shared" si="92"/>
        <v>116.16508926069771</v>
      </c>
      <c r="AD43" s="4281">
        <f t="shared" si="93"/>
        <v>3703.2899379721803</v>
      </c>
      <c r="AE43" s="4281">
        <f t="shared" si="94"/>
        <v>4568.67</v>
      </c>
      <c r="AF43" s="4281">
        <f t="shared" si="94"/>
        <v>4515.21</v>
      </c>
      <c r="AG43" s="4282">
        <f t="shared" si="95"/>
        <v>865.3800620278198</v>
      </c>
      <c r="AH43" s="4282">
        <f t="shared" si="96"/>
        <v>23.367872257435994</v>
      </c>
      <c r="AI43" s="4205">
        <f>SUM('Произв. прогр. Вода (СВОД)'!N49)</f>
        <v>617.21498966203001</v>
      </c>
      <c r="AJ43" s="4205">
        <f>SUM('ПОЛНАЯ СЕБЕСТОИМОСТЬ ВОДА 2017'!P184)</f>
        <v>1348.43</v>
      </c>
      <c r="AK43" s="4206">
        <v>1295.25</v>
      </c>
      <c r="AL43" s="4205">
        <f>SUM('Произв. прогр. Вода (СВОД)'!O49)</f>
        <v>617.21498966203001</v>
      </c>
      <c r="AM43" s="4205">
        <f>SUM('ПОЛНАЯ СЕБЕСТОИМОСТЬ ВОДА 2017'!Q184)</f>
        <v>1801.3</v>
      </c>
      <c r="AN43" s="4206">
        <v>688.17</v>
      </c>
      <c r="AO43" s="4205">
        <f>SUM('Произв. прогр. Вода (СВОД)'!P49)</f>
        <v>617.21498966203001</v>
      </c>
      <c r="AP43" s="4205">
        <f>SUM('ПОЛНАЯ СЕБЕСТОИМОСТЬ ВОДА 2017'!R184)</f>
        <v>2369.5300000000002</v>
      </c>
      <c r="AQ43" s="4206">
        <v>563.23</v>
      </c>
      <c r="AR43" s="4281">
        <f t="shared" si="97"/>
        <v>1851.6449689860901</v>
      </c>
      <c r="AS43" s="4281">
        <f t="shared" si="97"/>
        <v>5519.26</v>
      </c>
      <c r="AT43" s="4281">
        <f t="shared" si="97"/>
        <v>2546.65</v>
      </c>
      <c r="AU43" s="4282">
        <f t="shared" si="98"/>
        <v>3667.6150310139101</v>
      </c>
      <c r="AV43" s="4282">
        <f t="shared" si="99"/>
        <v>198.07333978404051</v>
      </c>
      <c r="AW43" s="4281">
        <f t="shared" si="100"/>
        <v>5554.9349069582704</v>
      </c>
      <c r="AX43" s="4281">
        <f t="shared" si="101"/>
        <v>10087.93</v>
      </c>
      <c r="AY43" s="4281">
        <f t="shared" si="101"/>
        <v>7061.8600000000006</v>
      </c>
      <c r="AZ43" s="4282">
        <f t="shared" si="102"/>
        <v>4532.9950930417299</v>
      </c>
      <c r="BA43" s="4282">
        <f t="shared" si="103"/>
        <v>81.603028099637513</v>
      </c>
      <c r="BB43" s="4205">
        <f>SUM('Произв. прогр. Вода (СВОД)'!S49)</f>
        <v>617.21498966203001</v>
      </c>
      <c r="BC43" s="4205">
        <f>SUM('ПОЛНАЯ СЕБЕСТОИМОСТЬ ВОДА 2017'!X184)</f>
        <v>0</v>
      </c>
      <c r="BD43" s="4206">
        <v>736.93</v>
      </c>
      <c r="BE43" s="4205">
        <f>SUM('Произв. прогр. Вода (СВОД)'!T49)</f>
        <v>617.21498966203001</v>
      </c>
      <c r="BF43" s="4205">
        <f>SUM('ПОЛНАЯ СЕБЕСТОИМОСТЬ ВОДА 2017'!Y184)</f>
        <v>0</v>
      </c>
      <c r="BG43" s="4206">
        <v>855.11</v>
      </c>
      <c r="BH43" s="4205">
        <f>SUM('Произв. прогр. Вода (СВОД)'!U49)</f>
        <v>617.21498966203001</v>
      </c>
      <c r="BI43" s="4205">
        <f>SUM('ПОЛНАЯ СЕБЕСТОИМОСТЬ ВОДА 2017'!Z184)</f>
        <v>0</v>
      </c>
      <c r="BJ43" s="4206">
        <v>223.45</v>
      </c>
      <c r="BK43" s="4281">
        <f t="shared" si="104"/>
        <v>1851.6449689860901</v>
      </c>
      <c r="BL43" s="4281">
        <f t="shared" si="104"/>
        <v>0</v>
      </c>
      <c r="BM43" s="4281">
        <f t="shared" si="104"/>
        <v>1815.49</v>
      </c>
      <c r="BN43" s="4282">
        <f t="shared" si="105"/>
        <v>-1851.6449689860901</v>
      </c>
      <c r="BO43" s="4282">
        <f t="shared" si="106"/>
        <v>-100</v>
      </c>
      <c r="BP43" s="4281">
        <f t="shared" si="107"/>
        <v>7406.5798759443605</v>
      </c>
      <c r="BQ43" s="4281">
        <f t="shared" si="108"/>
        <v>10087.93</v>
      </c>
      <c r="BR43" s="4281">
        <f t="shared" si="108"/>
        <v>8877.35</v>
      </c>
      <c r="BS43" s="4282">
        <f t="shared" si="109"/>
        <v>2681.3501240556398</v>
      </c>
      <c r="BT43" s="4282">
        <f t="shared" si="110"/>
        <v>36.202271074728124</v>
      </c>
      <c r="BU43" s="435"/>
      <c r="BV43" s="435"/>
      <c r="BW43" s="435"/>
      <c r="BX43" s="435"/>
    </row>
    <row r="44" spans="1:76" ht="18.75">
      <c r="A44" s="4156" t="s">
        <v>4</v>
      </c>
      <c r="B44" s="4205">
        <f>SUM('Произв. прогр. Вода (СВОД)'!E50)</f>
        <v>4071.0691300239259</v>
      </c>
      <c r="C44" s="4205">
        <f>SUM('ПОЛНАЯ СЕБЕСТОИМОСТЬ ВОДА 2017'!C185)</f>
        <v>3291.94</v>
      </c>
      <c r="D44" s="4206">
        <v>3171.94</v>
      </c>
      <c r="E44" s="4205">
        <f>SUM('Произв. прогр. Вода (СВОД)'!F50)</f>
        <v>4071.0691300239259</v>
      </c>
      <c r="F44" s="4205">
        <f>SUM('ПОЛНАЯ СЕБЕСТОИМОСТЬ ВОДА 2017'!D185)</f>
        <v>3314.02</v>
      </c>
      <c r="G44" s="4206">
        <v>2970.4</v>
      </c>
      <c r="H44" s="4205">
        <f>SUM('Произв. прогр. Вода (СВОД)'!G50)</f>
        <v>4071.0691300239259</v>
      </c>
      <c r="I44" s="4205">
        <f>SUM('ПОЛНАЯ СЕБЕСТОИМОСТЬ ВОДА 2017'!E185)</f>
        <v>3777.0499999999997</v>
      </c>
      <c r="J44" s="4206">
        <v>3443.02</v>
      </c>
      <c r="K44" s="4281">
        <f t="shared" si="87"/>
        <v>12213.207390071777</v>
      </c>
      <c r="L44" s="4281">
        <f t="shared" si="87"/>
        <v>10383.01</v>
      </c>
      <c r="M44" s="4281">
        <f t="shared" si="87"/>
        <v>9585.36</v>
      </c>
      <c r="N44" s="4282">
        <f t="shared" si="88"/>
        <v>-1830.1973900717767</v>
      </c>
      <c r="O44" s="4282">
        <f t="shared" si="89"/>
        <v>-14.985395167853779</v>
      </c>
      <c r="P44" s="4205">
        <f>SUM('Произв. прогр. Вода (СВОД)'!I50)</f>
        <v>4071.0691300239259</v>
      </c>
      <c r="Q44" s="4205">
        <f>SUM('ПОЛНАЯ СЕБЕСТОИМОСТЬ ВОДА 2017'!H185)</f>
        <v>3662.3799999999997</v>
      </c>
      <c r="R44" s="4206">
        <v>3597.76</v>
      </c>
      <c r="S44" s="4205">
        <f>SUM('Произв. прогр. Вода (СВОД)'!J50)</f>
        <v>4071.0691300239259</v>
      </c>
      <c r="T44" s="4205">
        <f>SUM('ПОЛНАЯ СЕБЕСТОИМОСТЬ ВОДА 2017'!I185)</f>
        <v>4002.68</v>
      </c>
      <c r="U44" s="4206">
        <v>3301</v>
      </c>
      <c r="V44" s="4205">
        <f>SUM('Произв. прогр. Вода (СВОД)'!K50)</f>
        <v>4071.0691300239259</v>
      </c>
      <c r="W44" s="4205">
        <f>SUM('ПОЛНАЯ СЕБЕСТОИМОСТЬ ВОДА 2017'!J185)</f>
        <v>3998.6299999999997</v>
      </c>
      <c r="X44" s="4206">
        <v>3742.34</v>
      </c>
      <c r="Y44" s="4281">
        <f t="shared" si="90"/>
        <v>12213.207390071777</v>
      </c>
      <c r="Z44" s="4281">
        <f t="shared" si="90"/>
        <v>11663.689999999999</v>
      </c>
      <c r="AA44" s="4281">
        <f t="shared" si="90"/>
        <v>10641.1</v>
      </c>
      <c r="AB44" s="4282">
        <f t="shared" si="91"/>
        <v>-549.51739007177821</v>
      </c>
      <c r="AC44" s="4282">
        <f t="shared" si="92"/>
        <v>-4.4993700059370614</v>
      </c>
      <c r="AD44" s="4281">
        <f t="shared" si="93"/>
        <v>24426.414780143554</v>
      </c>
      <c r="AE44" s="4281">
        <f t="shared" si="94"/>
        <v>22046.699999999997</v>
      </c>
      <c r="AF44" s="4281">
        <f t="shared" si="94"/>
        <v>20226.46</v>
      </c>
      <c r="AG44" s="4282">
        <f t="shared" si="95"/>
        <v>-2379.7147801435567</v>
      </c>
      <c r="AH44" s="4282">
        <f t="shared" si="96"/>
        <v>-9.7423825868954275</v>
      </c>
      <c r="AI44" s="4205">
        <f>SUM('Произв. прогр. Вода (СВОД)'!N50)</f>
        <v>4316.5545985643676</v>
      </c>
      <c r="AJ44" s="4205">
        <f>SUM('ПОЛНАЯ СЕБЕСТОИМОСТЬ ВОДА 2017'!P185)</f>
        <v>3620.3599999999997</v>
      </c>
      <c r="AK44" s="4206">
        <v>3735.7</v>
      </c>
      <c r="AL44" s="4205">
        <f>SUM('Произв. прогр. Вода (СВОД)'!O50)</f>
        <v>4316.5545985643676</v>
      </c>
      <c r="AM44" s="4205">
        <f>SUM('ПОЛНАЯ СЕБЕСТОИМОСТЬ ВОДА 2017'!Q185)</f>
        <v>3781.48</v>
      </c>
      <c r="AN44" s="4206">
        <v>3845.39</v>
      </c>
      <c r="AO44" s="4205">
        <f>SUM('Произв. прогр. Вода (СВОД)'!P50)</f>
        <v>4316.5545985643676</v>
      </c>
      <c r="AP44" s="4205">
        <f>SUM('ПОЛНАЯ СЕБЕСТОИМОСТЬ ВОДА 2017'!R185)</f>
        <v>3475.6899999999996</v>
      </c>
      <c r="AQ44" s="4206">
        <v>3557.45</v>
      </c>
      <c r="AR44" s="4281">
        <f t="shared" si="97"/>
        <v>12949.663795693103</v>
      </c>
      <c r="AS44" s="4281">
        <f t="shared" si="97"/>
        <v>10877.529999999999</v>
      </c>
      <c r="AT44" s="4281">
        <f t="shared" si="97"/>
        <v>11138.54</v>
      </c>
      <c r="AU44" s="4282">
        <f t="shared" si="98"/>
        <v>-2072.1337956931038</v>
      </c>
      <c r="AV44" s="4282">
        <f t="shared" si="99"/>
        <v>-16.001448596544027</v>
      </c>
      <c r="AW44" s="4281">
        <f t="shared" si="100"/>
        <v>37376.078575836655</v>
      </c>
      <c r="AX44" s="4281">
        <f t="shared" si="101"/>
        <v>32924.229999999996</v>
      </c>
      <c r="AY44" s="4281">
        <f t="shared" si="101"/>
        <v>31365</v>
      </c>
      <c r="AZ44" s="4282">
        <f t="shared" si="102"/>
        <v>-4451.8485758366587</v>
      </c>
      <c r="BA44" s="4282">
        <f t="shared" si="103"/>
        <v>-11.910956808386914</v>
      </c>
      <c r="BB44" s="4205">
        <f>SUM('Произв. прогр. Вода (СВОД)'!S50)</f>
        <v>4316.5545985643676</v>
      </c>
      <c r="BC44" s="4205">
        <f>SUM('ПОЛНАЯ СЕБЕСТОИМОСТЬ ВОДА 2017'!X185)</f>
        <v>0</v>
      </c>
      <c r="BD44" s="4206">
        <v>3259.16</v>
      </c>
      <c r="BE44" s="4205">
        <f>SUM('Произв. прогр. Вода (СВОД)'!T50)</f>
        <v>4316.5545985643676</v>
      </c>
      <c r="BF44" s="4205">
        <f>SUM('ПОЛНАЯ СЕБЕСТОИМОСТЬ ВОДА 2017'!Y185)</f>
        <v>0</v>
      </c>
      <c r="BG44" s="4206">
        <v>3449.57</v>
      </c>
      <c r="BH44" s="4205">
        <f>SUM('Произв. прогр. Вода (СВОД)'!U50)</f>
        <v>4316.5545985643676</v>
      </c>
      <c r="BI44" s="4205">
        <f>SUM('ПОЛНАЯ СЕБЕСТОИМОСТЬ ВОДА 2017'!Z185)</f>
        <v>0</v>
      </c>
      <c r="BJ44" s="4206">
        <v>3329.17</v>
      </c>
      <c r="BK44" s="4281">
        <f t="shared" si="104"/>
        <v>12949.663795693103</v>
      </c>
      <c r="BL44" s="4281">
        <f t="shared" si="104"/>
        <v>0</v>
      </c>
      <c r="BM44" s="4281">
        <f t="shared" si="104"/>
        <v>10037.9</v>
      </c>
      <c r="BN44" s="4282">
        <f t="shared" si="105"/>
        <v>-12949.663795693103</v>
      </c>
      <c r="BO44" s="4282">
        <f t="shared" si="106"/>
        <v>-100</v>
      </c>
      <c r="BP44" s="4281">
        <f t="shared" si="107"/>
        <v>50325.742371529755</v>
      </c>
      <c r="BQ44" s="4281">
        <f t="shared" si="108"/>
        <v>32924.229999999996</v>
      </c>
      <c r="BR44" s="4281">
        <f t="shared" si="108"/>
        <v>41402.9</v>
      </c>
      <c r="BS44" s="4282">
        <f t="shared" si="109"/>
        <v>-17401.51237152976</v>
      </c>
      <c r="BT44" s="4282">
        <f t="shared" si="110"/>
        <v>-34.577755938627007</v>
      </c>
      <c r="BU44" s="435"/>
      <c r="BV44" s="435"/>
      <c r="BW44" s="435"/>
      <c r="BX44" s="435"/>
    </row>
    <row r="45" spans="1:76" ht="18.75">
      <c r="A45" s="4156" t="s">
        <v>5</v>
      </c>
      <c r="B45" s="4205">
        <f>SUM('Произв. прогр. Вода (СВОД)'!E51)</f>
        <v>1219.401086400602</v>
      </c>
      <c r="C45" s="4205">
        <f>SUM('ПОЛНАЯ СЕБЕСТОИМОСТЬ ВОДА 2017'!C186)</f>
        <v>991.65</v>
      </c>
      <c r="D45" s="4206">
        <v>956.36</v>
      </c>
      <c r="E45" s="4205">
        <f>SUM('Произв. прогр. Вода (СВОД)'!F51)</f>
        <v>1219.401086400602</v>
      </c>
      <c r="F45" s="4205">
        <f>SUM('ПОЛНАЯ СЕБЕСТОИМОСТЬ ВОДА 2017'!D186)</f>
        <v>994.56999999999994</v>
      </c>
      <c r="G45" s="4206">
        <v>896.4</v>
      </c>
      <c r="H45" s="4205">
        <f>SUM('Произв. прогр. Вода (СВОД)'!G51)</f>
        <v>1219.401086400602</v>
      </c>
      <c r="I45" s="4205">
        <f>SUM('ПОЛНАЯ СЕБЕСТОИМОСТЬ ВОДА 2017'!E186)</f>
        <v>1122.23</v>
      </c>
      <c r="J45" s="4206">
        <v>1031.51</v>
      </c>
      <c r="K45" s="4281">
        <f t="shared" si="87"/>
        <v>3658.2032592018058</v>
      </c>
      <c r="L45" s="4281">
        <f t="shared" si="87"/>
        <v>3108.45</v>
      </c>
      <c r="M45" s="4281">
        <f t="shared" si="87"/>
        <v>2884.27</v>
      </c>
      <c r="N45" s="4282">
        <f t="shared" si="88"/>
        <v>-549.75325920180603</v>
      </c>
      <c r="O45" s="4282">
        <f t="shared" si="89"/>
        <v>-15.027958269376162</v>
      </c>
      <c r="P45" s="4205">
        <f>SUM('Произв. прогр. Вода (СВОД)'!I51)</f>
        <v>1219.401086400602</v>
      </c>
      <c r="Q45" s="4205">
        <f>SUM('ПОЛНАЯ СЕБЕСТОИМОСТЬ ВОДА 2017'!H186)</f>
        <v>1103.9000000000001</v>
      </c>
      <c r="R45" s="4206">
        <v>1074.24</v>
      </c>
      <c r="S45" s="4205">
        <f>SUM('Произв. прогр. Вода (СВОД)'!J51)</f>
        <v>1219.401086400602</v>
      </c>
      <c r="T45" s="4205">
        <f>SUM('ПОЛНАЯ СЕБЕСТОИМОСТЬ ВОДА 2017'!I186)</f>
        <v>1212.8</v>
      </c>
      <c r="U45" s="4206">
        <v>992.22</v>
      </c>
      <c r="V45" s="4205">
        <f>SUM('Произв. прогр. Вода (СВОД)'!K51)</f>
        <v>1219.401086400602</v>
      </c>
      <c r="W45" s="4205">
        <f>SUM('ПОЛНАЯ СЕБЕСТОИМОСТЬ ВОДА 2017'!J186)</f>
        <v>1215.74</v>
      </c>
      <c r="X45" s="4206">
        <v>1114.1500000000001</v>
      </c>
      <c r="Y45" s="4281">
        <f t="shared" si="90"/>
        <v>3658.2032592018058</v>
      </c>
      <c r="Z45" s="4281">
        <f t="shared" si="90"/>
        <v>3532.4399999999996</v>
      </c>
      <c r="AA45" s="4281">
        <f t="shared" si="90"/>
        <v>3180.61</v>
      </c>
      <c r="AB45" s="4282">
        <f t="shared" si="91"/>
        <v>-125.76325920180625</v>
      </c>
      <c r="AC45" s="4282">
        <f t="shared" si="92"/>
        <v>-3.4378423037446781</v>
      </c>
      <c r="AD45" s="4281">
        <f t="shared" si="93"/>
        <v>7316.4065184036117</v>
      </c>
      <c r="AE45" s="4281">
        <f t="shared" si="94"/>
        <v>6640.8899999999994</v>
      </c>
      <c r="AF45" s="4281">
        <f t="shared" si="94"/>
        <v>6064.88</v>
      </c>
      <c r="AG45" s="4282">
        <f t="shared" si="95"/>
        <v>-675.51651840361228</v>
      </c>
      <c r="AH45" s="4282">
        <f t="shared" si="96"/>
        <v>-9.2329002865604188</v>
      </c>
      <c r="AI45" s="4205">
        <f>SUM('Произв. прогр. Вода (СВОД)'!N51)</f>
        <v>1292.9309719105581</v>
      </c>
      <c r="AJ45" s="4205">
        <f>SUM('ПОЛНАЯ СЕБЕСТОИМОСТЬ ВОДА 2017'!P186)</f>
        <v>1081.3800000000001</v>
      </c>
      <c r="AK45" s="4206">
        <v>1118.98</v>
      </c>
      <c r="AL45" s="4205">
        <f>SUM('Произв. прогр. Вода (СВОД)'!O51)</f>
        <v>1292.9309719105581</v>
      </c>
      <c r="AM45" s="4205">
        <f>SUM('ПОЛНАЯ СЕБЕСТОИМОСТЬ ВОДА 2017'!Q186)</f>
        <v>1141.58</v>
      </c>
      <c r="AN45" s="4206">
        <v>1134.68</v>
      </c>
      <c r="AO45" s="4205">
        <f>SUM('Произв. прогр. Вода (СВОД)'!P51)</f>
        <v>1292.9309719105581</v>
      </c>
      <c r="AP45" s="4205">
        <f>SUM('ПОЛНАЯ СЕБЕСТОИМОСТЬ ВОДА 2017'!R186)</f>
        <v>1079.9100000000001</v>
      </c>
      <c r="AQ45" s="4206">
        <v>1058.3900000000001</v>
      </c>
      <c r="AR45" s="4281">
        <f t="shared" si="97"/>
        <v>3878.7929157316744</v>
      </c>
      <c r="AS45" s="4281">
        <f t="shared" si="97"/>
        <v>3302.87</v>
      </c>
      <c r="AT45" s="4281">
        <f t="shared" si="97"/>
        <v>3312.05</v>
      </c>
      <c r="AU45" s="4282">
        <f t="shared" si="98"/>
        <v>-575.92291573167449</v>
      </c>
      <c r="AV45" s="4282">
        <f t="shared" si="99"/>
        <v>-14.847993389794967</v>
      </c>
      <c r="AW45" s="4281">
        <f t="shared" si="100"/>
        <v>11195.199434135286</v>
      </c>
      <c r="AX45" s="4281">
        <f t="shared" si="101"/>
        <v>9943.7599999999984</v>
      </c>
      <c r="AY45" s="4281">
        <f t="shared" si="101"/>
        <v>9376.93</v>
      </c>
      <c r="AZ45" s="4282">
        <f t="shared" si="102"/>
        <v>-1251.4394341352872</v>
      </c>
      <c r="BA45" s="4282">
        <f t="shared" si="103"/>
        <v>-11.178357665693055</v>
      </c>
      <c r="BB45" s="4205">
        <f>SUM('Произв. прогр. Вода (СВОД)'!S51)</f>
        <v>1292.9309719105581</v>
      </c>
      <c r="BC45" s="4205">
        <f>SUM('ПОЛНАЯ СЕБЕСТОИМОСТЬ ВОДА 2017'!X186)</f>
        <v>0</v>
      </c>
      <c r="BD45" s="4206">
        <v>976.19</v>
      </c>
      <c r="BE45" s="4205">
        <f>SUM('Произв. прогр. Вода (СВОД)'!T51)</f>
        <v>1292.9309719105581</v>
      </c>
      <c r="BF45" s="4205">
        <f>SUM('ПОЛНАЯ СЕБЕСТОИМОСТЬ ВОДА 2017'!Y186)</f>
        <v>0</v>
      </c>
      <c r="BG45" s="4206">
        <v>1041.67</v>
      </c>
      <c r="BH45" s="4205">
        <f>SUM('Произв. прогр. Вода (СВОД)'!U51)</f>
        <v>1292.9309719105581</v>
      </c>
      <c r="BI45" s="4205">
        <f>SUM('ПОЛНАЯ СЕБЕСТОИМОСТЬ ВОДА 2017'!Z186)</f>
        <v>0</v>
      </c>
      <c r="BJ45" s="4206">
        <v>1019.59</v>
      </c>
      <c r="BK45" s="4281">
        <f t="shared" si="104"/>
        <v>3878.7929157316744</v>
      </c>
      <c r="BL45" s="4281">
        <f t="shared" si="104"/>
        <v>0</v>
      </c>
      <c r="BM45" s="4281">
        <f t="shared" si="104"/>
        <v>3037.4500000000003</v>
      </c>
      <c r="BN45" s="4282">
        <f t="shared" si="105"/>
        <v>-3878.7929157316744</v>
      </c>
      <c r="BO45" s="4282">
        <f t="shared" si="106"/>
        <v>-100</v>
      </c>
      <c r="BP45" s="4281">
        <f t="shared" si="107"/>
        <v>15073.99234986696</v>
      </c>
      <c r="BQ45" s="4281">
        <f t="shared" si="108"/>
        <v>9943.7599999999984</v>
      </c>
      <c r="BR45" s="4281">
        <f t="shared" si="108"/>
        <v>12414.380000000001</v>
      </c>
      <c r="BS45" s="4282">
        <f t="shared" si="109"/>
        <v>-5130.2323498669612</v>
      </c>
      <c r="BT45" s="4282">
        <f t="shared" si="110"/>
        <v>-34.033666933048693</v>
      </c>
      <c r="BU45" s="435"/>
      <c r="BV45" s="435"/>
      <c r="BW45" s="435"/>
      <c r="BX45" s="435"/>
    </row>
    <row r="46" spans="1:76" ht="18.75">
      <c r="A46" s="4159" t="s">
        <v>322</v>
      </c>
      <c r="B46" s="4160">
        <f>SUM('Произв. прогр. Вода (СВОД)'!E52)</f>
        <v>0.29952846474838307</v>
      </c>
      <c r="C46" s="4160">
        <f>SUM('ПОЛНАЯ СЕБЕСТОИМОСТЬ ВОДА 2017'!C187)</f>
        <v>0.30123574548746329</v>
      </c>
      <c r="D46" s="4160">
        <f t="shared" ref="D46:BR46" si="111">SUM(D45/D44)</f>
        <v>0.30150633366331014</v>
      </c>
      <c r="E46" s="4160">
        <f>SUM('Произв. прогр. Вода (СВОД)'!F52)</f>
        <v>0.29952846474838307</v>
      </c>
      <c r="F46" s="4160">
        <f>SUM('ПОЛНАЯ СЕБЕСТОИМОСТЬ ВОДА 2017'!D187)</f>
        <v>0.30010983639205557</v>
      </c>
      <c r="G46" s="4160">
        <f t="shared" si="111"/>
        <v>0.3017775383786695</v>
      </c>
      <c r="H46" s="4160">
        <f>SUM('Произв. прогр. Вода (СВОД)'!G52)</f>
        <v>0.29952846474838307</v>
      </c>
      <c r="I46" s="4160">
        <f>SUM('ПОЛНАЯ СЕБЕСТОИМОСТЬ ВОДА 2017'!E187)</f>
        <v>0.29711812128512993</v>
      </c>
      <c r="J46" s="4160">
        <f t="shared" si="111"/>
        <v>0.29959454200091779</v>
      </c>
      <c r="K46" s="4161">
        <f t="shared" si="111"/>
        <v>0.29952846474838307</v>
      </c>
      <c r="L46" s="4161">
        <f t="shared" si="111"/>
        <v>0.29937850392130988</v>
      </c>
      <c r="M46" s="4161">
        <f t="shared" si="111"/>
        <v>0.30090366976305533</v>
      </c>
      <c r="N46" s="4149">
        <f t="shared" si="88"/>
        <v>-1.4996082707319225E-4</v>
      </c>
      <c r="O46" s="4149">
        <f t="shared" si="89"/>
        <v>-5.0065634729963268E-2</v>
      </c>
      <c r="P46" s="4160">
        <f>SUM('Произв. прогр. Вода (СВОД)'!I52)</f>
        <v>0.29952846474838307</v>
      </c>
      <c r="Q46" s="4160">
        <f>SUM('ПОЛНАЯ СЕБЕСТОИМОСТЬ ВОДА 2017'!H187)</f>
        <v>0.30141601909141058</v>
      </c>
      <c r="R46" s="4160">
        <f t="shared" si="111"/>
        <v>0.29858578671173175</v>
      </c>
      <c r="S46" s="4160">
        <f>SUM('Произв. прогр. Вода (СВОД)'!J52)</f>
        <v>0.29952846474838307</v>
      </c>
      <c r="T46" s="4160">
        <f>SUM('ПОЛНАЯ СЕБЕСТОИМОСТЬ ВОДА 2017'!I187)</f>
        <v>0.30299699201534974</v>
      </c>
      <c r="U46" s="4160">
        <f t="shared" si="111"/>
        <v>0.3005816419266889</v>
      </c>
      <c r="V46" s="4160">
        <f>SUM('Произв. прогр. Вода (СВОД)'!K52)</f>
        <v>0.29952846474838307</v>
      </c>
      <c r="W46" s="4160">
        <f>SUM('ПОЛНАЯ СЕБЕСТОИМОСТЬ ВОДА 2017'!J187)</f>
        <v>0.30403913340319061</v>
      </c>
      <c r="X46" s="4160">
        <f t="shared" si="111"/>
        <v>0.29771479876227175</v>
      </c>
      <c r="Y46" s="4161">
        <f t="shared" si="111"/>
        <v>0.29952846474838307</v>
      </c>
      <c r="Z46" s="4161">
        <f t="shared" si="111"/>
        <v>0.30285784344405586</v>
      </c>
      <c r="AA46" s="4161">
        <f t="shared" si="111"/>
        <v>0.29889861010609803</v>
      </c>
      <c r="AB46" s="4149">
        <f t="shared" si="91"/>
        <v>3.3293786956727911E-3</v>
      </c>
      <c r="AC46" s="4149">
        <f t="shared" si="92"/>
        <v>1.1115399995354744</v>
      </c>
      <c r="AD46" s="4161">
        <f t="shared" si="111"/>
        <v>0.29952846474838307</v>
      </c>
      <c r="AE46" s="4161">
        <f t="shared" si="111"/>
        <v>0.30121923008885687</v>
      </c>
      <c r="AF46" s="4161">
        <f t="shared" si="111"/>
        <v>0.29984881190282436</v>
      </c>
      <c r="AG46" s="4149">
        <f t="shared" si="95"/>
        <v>1.6907653404737988E-3</v>
      </c>
      <c r="AH46" s="4149">
        <f t="shared" si="96"/>
        <v>0.56447568076513699</v>
      </c>
      <c r="AI46" s="4160">
        <f>SUM('Произв. прогр. Вода (СВОД)'!N52)</f>
        <v>0.29952846474838307</v>
      </c>
      <c r="AJ46" s="4160">
        <f>SUM('ПОЛНАЯ СЕБЕСТОИМОСТЬ ВОДА 2017'!P187)</f>
        <v>0.29869405252516329</v>
      </c>
      <c r="AK46" s="4160">
        <f t="shared" si="111"/>
        <v>0.2995369007147255</v>
      </c>
      <c r="AL46" s="4160">
        <f>SUM('Произв. прогр. Вода (СВОД)'!O52)</f>
        <v>0.29952846474838307</v>
      </c>
      <c r="AM46" s="4160">
        <f>SUM('ПОЛНАЯ СЕБЕСТОИМОСТЬ ВОДА 2017'!Q187)</f>
        <v>0.3018870918264806</v>
      </c>
      <c r="AN46" s="4160">
        <f t="shared" si="111"/>
        <v>0.29507540197483223</v>
      </c>
      <c r="AO46" s="4160">
        <f>SUM('Произв. прогр. Вода (СВОД)'!P52)</f>
        <v>0.29952846474838307</v>
      </c>
      <c r="AP46" s="4160">
        <f>SUM('ПОЛНАЯ СЕБЕСТОИМОСТЬ ВОДА 2017'!R187)</f>
        <v>0.31070377392690379</v>
      </c>
      <c r="AQ46" s="4160">
        <f t="shared" si="111"/>
        <v>0.29751366849850319</v>
      </c>
      <c r="AR46" s="4161">
        <f t="shared" si="111"/>
        <v>0.29952846474838307</v>
      </c>
      <c r="AS46" s="4161">
        <f t="shared" si="111"/>
        <v>0.30364154362249518</v>
      </c>
      <c r="AT46" s="4161">
        <f t="shared" si="111"/>
        <v>0.29735046065283244</v>
      </c>
      <c r="AU46" s="4149">
        <f t="shared" si="98"/>
        <v>4.1130788741121083E-3</v>
      </c>
      <c r="AV46" s="4149">
        <f t="shared" si="99"/>
        <v>1.3731846412551385</v>
      </c>
      <c r="AW46" s="4161">
        <f t="shared" si="111"/>
        <v>0.29952846474838307</v>
      </c>
      <c r="AX46" s="4161">
        <f t="shared" si="111"/>
        <v>0.30201951571836305</v>
      </c>
      <c r="AY46" s="4161">
        <f t="shared" si="111"/>
        <v>0.2989615813805197</v>
      </c>
      <c r="AZ46" s="4149">
        <f t="shared" si="102"/>
        <v>2.4910509699799799E-3</v>
      </c>
      <c r="BA46" s="4149">
        <f t="shared" si="103"/>
        <v>0.83165750943656414</v>
      </c>
      <c r="BB46" s="4160">
        <f>SUM('Произв. прогр. Вода (СВОД)'!S52)</f>
        <v>0.29952846474838307</v>
      </c>
      <c r="BC46" s="4160" t="e">
        <f>SUM('ПОЛНАЯ СЕБЕСТОИМОСТЬ ВОДА 2017'!X187)</f>
        <v>#DIV/0!</v>
      </c>
      <c r="BD46" s="4160">
        <f t="shared" si="111"/>
        <v>0.29952196271431908</v>
      </c>
      <c r="BE46" s="4160">
        <f>SUM('Произв. прогр. Вода (СВОД)'!T52)</f>
        <v>0.29952846474838307</v>
      </c>
      <c r="BF46" s="4160" t="e">
        <f>SUM('ПОЛНАЯ СЕБЕСТОИМОСТЬ ВОДА 2017'!Y187)</f>
        <v>#DIV/0!</v>
      </c>
      <c r="BG46" s="4160">
        <f t="shared" si="111"/>
        <v>0.30197097029484837</v>
      </c>
      <c r="BH46" s="4160">
        <f>SUM('Произв. прогр. Вода (СВОД)'!U52)</f>
        <v>0.29952846474838307</v>
      </c>
      <c r="BI46" s="4160" t="e">
        <f>SUM('ПОЛНАЯ СЕБЕСТОИМОСТЬ ВОДА 2017'!Z187)</f>
        <v>#DIV/0!</v>
      </c>
      <c r="BJ46" s="4160">
        <f t="shared" si="111"/>
        <v>0.30625951813815455</v>
      </c>
      <c r="BK46" s="4161">
        <f t="shared" si="111"/>
        <v>0.29952846474838307</v>
      </c>
      <c r="BL46" s="4161" t="e">
        <f t="shared" si="111"/>
        <v>#DIV/0!</v>
      </c>
      <c r="BM46" s="4161">
        <f t="shared" si="111"/>
        <v>0.30259815300012954</v>
      </c>
      <c r="BN46" s="4149" t="e">
        <f t="shared" si="105"/>
        <v>#DIV/0!</v>
      </c>
      <c r="BO46" s="4149" t="e">
        <f t="shared" si="106"/>
        <v>#DIV/0!</v>
      </c>
      <c r="BP46" s="4161">
        <f t="shared" si="111"/>
        <v>0.29952846474838307</v>
      </c>
      <c r="BQ46" s="4161">
        <f t="shared" si="111"/>
        <v>0.30201951571836305</v>
      </c>
      <c r="BR46" s="4161">
        <f t="shared" si="111"/>
        <v>0.29984324769520976</v>
      </c>
      <c r="BS46" s="4149">
        <f t="shared" si="109"/>
        <v>2.4910509699799799E-3</v>
      </c>
      <c r="BT46" s="4149">
        <f t="shared" si="110"/>
        <v>0.83165750943656414</v>
      </c>
      <c r="BU46" s="435"/>
      <c r="BV46" s="435"/>
      <c r="BW46" s="435"/>
      <c r="BX46" s="435"/>
    </row>
    <row r="47" spans="1:76" ht="18.75">
      <c r="A47" s="4156" t="s">
        <v>1765</v>
      </c>
      <c r="B47" s="4157">
        <f>SUM('Произв. прогр. Вода (СВОД)'!E53)</f>
        <v>1956.1587320419364</v>
      </c>
      <c r="C47" s="4157">
        <f>SUM('ПОЛНАЯ СЕБЕСТОИМОСТЬ ВОДА 2017'!C188)</f>
        <v>2392.38</v>
      </c>
      <c r="D47" s="4163">
        <f>SUM(D48:D51)</f>
        <v>1853.1599999999999</v>
      </c>
      <c r="E47" s="4157">
        <f>SUM('Произв. прогр. Вода (СВОД)'!F53)</f>
        <v>1859.2014602321169</v>
      </c>
      <c r="F47" s="4157">
        <f>SUM('ПОЛНАЯ СЕБЕСТОИМОСТЬ ВОДА 2017'!D188)</f>
        <v>1828.22</v>
      </c>
      <c r="G47" s="4163">
        <f>SUM(G48:G51)</f>
        <v>1493.01</v>
      </c>
      <c r="H47" s="4157">
        <f>SUM('Произв. прогр. Вода (СВОД)'!G53)</f>
        <v>1817.2116475469747</v>
      </c>
      <c r="I47" s="4157">
        <f>SUM('ПОЛНАЯ СЕБЕСТОИМОСТЬ ВОДА 2017'!E188)</f>
        <v>1683.0900000000001</v>
      </c>
      <c r="J47" s="4163">
        <f>SUM(J48:J51)</f>
        <v>1569.85</v>
      </c>
      <c r="K47" s="4144">
        <f t="shared" ref="K47:M70" si="112">SUM(B47+E47+H47)</f>
        <v>5632.5718398210283</v>
      </c>
      <c r="L47" s="4144">
        <f t="shared" si="112"/>
        <v>5903.6900000000005</v>
      </c>
      <c r="M47" s="4144">
        <f t="shared" si="112"/>
        <v>4916.0200000000004</v>
      </c>
      <c r="N47" s="4142">
        <f t="shared" si="88"/>
        <v>271.11816017897218</v>
      </c>
      <c r="O47" s="4142">
        <f t="shared" si="89"/>
        <v>4.8133990633235628</v>
      </c>
      <c r="P47" s="4157">
        <f>SUM('Произв. прогр. Вода (СВОД)'!I53)</f>
        <v>1671.0170626237189</v>
      </c>
      <c r="Q47" s="4157">
        <f>SUM('ПОЛНАЯ СЕБЕСТОИМОСТЬ ВОДА 2017'!H188)</f>
        <v>1656.22</v>
      </c>
      <c r="R47" s="4163">
        <f>SUM(R48:R51)</f>
        <v>1441.72</v>
      </c>
      <c r="S47" s="4157">
        <f>SUM('Произв. прогр. Вода (СВОД)'!J53)</f>
        <v>1379.3831637844823</v>
      </c>
      <c r="T47" s="4157">
        <f>SUM('ПОЛНАЯ СЕБЕСТОИМОСТЬ ВОДА 2017'!I188)</f>
        <v>1743.9099999999999</v>
      </c>
      <c r="U47" s="4163">
        <v>1215.42</v>
      </c>
      <c r="V47" s="4157">
        <f>SUM('Произв. прогр. Вода (СВОД)'!K53)</f>
        <v>1292.3381439109739</v>
      </c>
      <c r="W47" s="4157">
        <f>SUM('ПОЛНАЯ СЕБЕСТОИМОСТЬ ВОДА 2017'!J188)</f>
        <v>1076.5600000000002</v>
      </c>
      <c r="X47" s="4163">
        <f>SUM(X48:X51)</f>
        <v>1365.73</v>
      </c>
      <c r="Y47" s="4144">
        <f t="shared" ref="Y47:AA66" si="113">SUM(P47+S47+V47)</f>
        <v>4342.7383703191754</v>
      </c>
      <c r="Z47" s="4144">
        <f t="shared" si="113"/>
        <v>4476.6900000000005</v>
      </c>
      <c r="AA47" s="4144">
        <f t="shared" si="113"/>
        <v>4022.8700000000003</v>
      </c>
      <c r="AB47" s="4142">
        <f t="shared" si="91"/>
        <v>133.95162968082514</v>
      </c>
      <c r="AC47" s="4142">
        <f t="shared" si="92"/>
        <v>3.0844968832644688</v>
      </c>
      <c r="AD47" s="4144">
        <f t="shared" ref="AD47:AF66" si="114">SUM(K47+Y47)</f>
        <v>9975.3102101402037</v>
      </c>
      <c r="AE47" s="4144">
        <f t="shared" si="114"/>
        <v>10380.380000000001</v>
      </c>
      <c r="AF47" s="4144">
        <f t="shared" si="114"/>
        <v>8938.8900000000012</v>
      </c>
      <c r="AG47" s="4142">
        <f t="shared" si="95"/>
        <v>405.06978985979731</v>
      </c>
      <c r="AH47" s="4142">
        <f t="shared" si="96"/>
        <v>4.0607237401803467</v>
      </c>
      <c r="AI47" s="4157">
        <f>SUM('Произв. прогр. Вода (СВОД)'!N53)</f>
        <v>1345.1914518890169</v>
      </c>
      <c r="AJ47" s="4157">
        <f>SUM('ПОЛНАЯ СЕБЕСТОИМОСТЬ ВОДА 2017'!P188)</f>
        <v>1194.3900000000001</v>
      </c>
      <c r="AK47" s="4163">
        <f>SUM(AK48:AK51)</f>
        <v>1517.4299999999998</v>
      </c>
      <c r="AL47" s="4157">
        <f>SUM('Произв. прогр. Вода (СВОД)'!O53)</f>
        <v>1343.9281250874378</v>
      </c>
      <c r="AM47" s="4157">
        <f>SUM('ПОЛНАЯ СЕБЕСТОИМОСТЬ ВОДА 2017'!Q188)</f>
        <v>1393.37</v>
      </c>
      <c r="AN47" s="4163">
        <f>SUM(AN48:AN51)</f>
        <v>1430.73</v>
      </c>
      <c r="AO47" s="4157">
        <f>SUM('Произв. прогр. Вода (СВОД)'!P53)</f>
        <v>1506.9441371873888</v>
      </c>
      <c r="AP47" s="4157">
        <f>SUM('ПОЛНАЯ СЕБЕСТОИМОСТЬ ВОДА 2017'!R188)</f>
        <v>1628.0899999999997</v>
      </c>
      <c r="AQ47" s="4163">
        <f>SUM(AQ48:AQ51)</f>
        <v>1596.49</v>
      </c>
      <c r="AR47" s="4144">
        <f t="shared" ref="AR47:AT66" si="115">SUM(AI47+AL47+AO47)</f>
        <v>4196.0637141638435</v>
      </c>
      <c r="AS47" s="4144">
        <f t="shared" si="115"/>
        <v>4215.8500000000004</v>
      </c>
      <c r="AT47" s="4144">
        <f t="shared" si="115"/>
        <v>4544.6499999999996</v>
      </c>
      <c r="AU47" s="4142">
        <f t="shared" si="98"/>
        <v>19.786285836156821</v>
      </c>
      <c r="AV47" s="4142">
        <f t="shared" si="99"/>
        <v>0.47154397988209928</v>
      </c>
      <c r="AW47" s="4144">
        <f t="shared" ref="AW47:AY66" si="116">SUM(AD47+AR47)</f>
        <v>14171.373924304047</v>
      </c>
      <c r="AX47" s="4144">
        <f t="shared" si="116"/>
        <v>14596.230000000001</v>
      </c>
      <c r="AY47" s="4144">
        <f t="shared" si="116"/>
        <v>13483.54</v>
      </c>
      <c r="AZ47" s="4142">
        <f t="shared" si="102"/>
        <v>424.85607569595413</v>
      </c>
      <c r="BA47" s="4142">
        <f t="shared" si="103"/>
        <v>2.9979879012812001</v>
      </c>
      <c r="BB47" s="4157">
        <f>SUM('Произв. прогр. Вода (СВОД)'!S53)</f>
        <v>1745.6647682955079</v>
      </c>
      <c r="BC47" s="4157">
        <f>SUM('ПОЛНАЯ СЕБЕСТОИМОСТЬ ВОДА 2017'!X188)</f>
        <v>0</v>
      </c>
      <c r="BD47" s="4249">
        <f>SUM(BD48:BD51)</f>
        <v>1707.62</v>
      </c>
      <c r="BE47" s="4205">
        <f>SUM('Произв. прогр. Вода (СВОД)'!T53)</f>
        <v>1851.4933491685608</v>
      </c>
      <c r="BF47" s="4205">
        <f>SUM('ПОЛНАЯ СЕБЕСТОИМОСТЬ ВОДА 2017'!Y188)</f>
        <v>0</v>
      </c>
      <c r="BG47" s="4249">
        <f>SUM(BG48:BG51)</f>
        <v>2116.52</v>
      </c>
      <c r="BH47" s="4205">
        <f>SUM('Произв. прогр. Вода (СВОД)'!U53)</f>
        <v>1983.5187721781131</v>
      </c>
      <c r="BI47" s="4205">
        <f>SUM('ПОЛНАЯ СЕБЕСТОИМОСТЬ ВОДА 2017'!Z188)</f>
        <v>0</v>
      </c>
      <c r="BJ47" s="4249">
        <f>SUM(BJ48:BJ51)</f>
        <v>2116.63</v>
      </c>
      <c r="BK47" s="4281">
        <f t="shared" ref="BK47:BM66" si="117">SUM(BB47+BE47+BH47)</f>
        <v>5580.6768896421818</v>
      </c>
      <c r="BL47" s="4281">
        <f t="shared" si="117"/>
        <v>0</v>
      </c>
      <c r="BM47" s="4281">
        <f t="shared" si="117"/>
        <v>5940.77</v>
      </c>
      <c r="BN47" s="4282">
        <f t="shared" si="105"/>
        <v>-5580.6768896421818</v>
      </c>
      <c r="BO47" s="4282">
        <f t="shared" si="106"/>
        <v>-100</v>
      </c>
      <c r="BP47" s="4281">
        <f t="shared" ref="BP47:BR66" si="118">SUM(AW47+BK47)</f>
        <v>19752.050813946229</v>
      </c>
      <c r="BQ47" s="4281">
        <f t="shared" si="118"/>
        <v>14596.230000000001</v>
      </c>
      <c r="BR47" s="4281">
        <f t="shared" si="118"/>
        <v>19424.310000000001</v>
      </c>
      <c r="BS47" s="4282">
        <f t="shared" si="109"/>
        <v>-5155.8208139462276</v>
      </c>
      <c r="BT47" s="4282">
        <f t="shared" si="110"/>
        <v>-26.102711371651004</v>
      </c>
      <c r="BU47" s="435"/>
      <c r="BV47" s="435"/>
      <c r="BW47" s="435"/>
      <c r="BX47" s="435"/>
    </row>
    <row r="48" spans="1:76" ht="18.75">
      <c r="A48" s="4159" t="s">
        <v>1766</v>
      </c>
      <c r="B48" s="4164">
        <f>SUM('Произв. прогр. Вода (СВОД)'!E54)</f>
        <v>622.32528932990977</v>
      </c>
      <c r="C48" s="4164">
        <f>SUM('ПОЛНАЯ СЕБЕСТОИМОСТЬ ВОДА 2017'!C189)</f>
        <v>718.24</v>
      </c>
      <c r="D48" s="4266">
        <v>596.55999999999995</v>
      </c>
      <c r="E48" s="4164">
        <f>SUM('Произв. прогр. Вода (СВОД)'!F54)</f>
        <v>622.32528932990977</v>
      </c>
      <c r="F48" s="4164">
        <f>SUM('ПОЛНАЯ СЕБЕСТОИМОСТЬ ВОДА 2017'!D189)</f>
        <v>467.44</v>
      </c>
      <c r="G48" s="4266">
        <v>505.16</v>
      </c>
      <c r="H48" s="4164">
        <f>SUM('Произв. прогр. Вода (СВОД)'!G54)</f>
        <v>622.32528932990977</v>
      </c>
      <c r="I48" s="4164">
        <f>SUM('ПОЛНАЯ СЕБЕСТОИМОСТЬ ВОДА 2017'!E189)</f>
        <v>375.23000000000008</v>
      </c>
      <c r="J48" s="4266">
        <v>530.71</v>
      </c>
      <c r="K48" s="4150">
        <f t="shared" si="112"/>
        <v>1866.9758679897293</v>
      </c>
      <c r="L48" s="4150">
        <f t="shared" si="112"/>
        <v>1560.91</v>
      </c>
      <c r="M48" s="4150">
        <f t="shared" si="112"/>
        <v>1632.43</v>
      </c>
      <c r="N48" s="4149">
        <f t="shared" si="88"/>
        <v>-306.06586798972921</v>
      </c>
      <c r="O48" s="4149">
        <f t="shared" si="89"/>
        <v>-16.393670279160403</v>
      </c>
      <c r="P48" s="4164">
        <f>SUM('Произв. прогр. Вода (СВОД)'!I54)</f>
        <v>622.32528932990977</v>
      </c>
      <c r="Q48" s="4164">
        <f>SUM('ПОЛНАЯ СЕБЕСТОИМОСТЬ ВОДА 2017'!H189)</f>
        <v>383.89</v>
      </c>
      <c r="R48" s="4266">
        <v>526.48</v>
      </c>
      <c r="S48" s="4164">
        <f>SUM('Произв. прогр. Вода (СВОД)'!J54)</f>
        <v>622.32528932990977</v>
      </c>
      <c r="T48" s="4164">
        <f>SUM('ПОЛНАЯ СЕБЕСТОИМОСТЬ ВОДА 2017'!I189)</f>
        <v>541.89</v>
      </c>
      <c r="U48" s="4266">
        <v>526.46</v>
      </c>
      <c r="V48" s="4164">
        <f>SUM('Произв. прогр. Вода (СВОД)'!K54)</f>
        <v>622.32528932990977</v>
      </c>
      <c r="W48" s="4164">
        <f>SUM('ПОЛНАЯ СЕБЕСТОИМОСТЬ ВОДА 2017'!J189)</f>
        <v>455.82</v>
      </c>
      <c r="X48" s="4266">
        <v>578.41</v>
      </c>
      <c r="Y48" s="4150">
        <f t="shared" si="113"/>
        <v>1866.9758679897293</v>
      </c>
      <c r="Z48" s="4150">
        <f t="shared" si="113"/>
        <v>1381.6</v>
      </c>
      <c r="AA48" s="4150">
        <f t="shared" si="113"/>
        <v>1631.35</v>
      </c>
      <c r="AB48" s="4149">
        <f t="shared" si="91"/>
        <v>-485.37586798972939</v>
      </c>
      <c r="AC48" s="4149">
        <f t="shared" si="92"/>
        <v>-25.997972245477335</v>
      </c>
      <c r="AD48" s="4150">
        <f t="shared" si="114"/>
        <v>3733.9517359794586</v>
      </c>
      <c r="AE48" s="4150">
        <f t="shared" si="114"/>
        <v>2942.51</v>
      </c>
      <c r="AF48" s="4150">
        <f t="shared" si="114"/>
        <v>3263.7799999999997</v>
      </c>
      <c r="AG48" s="4149">
        <f t="shared" si="95"/>
        <v>-791.44173597945837</v>
      </c>
      <c r="AH48" s="4149">
        <f t="shared" si="96"/>
        <v>-21.195821262318862</v>
      </c>
      <c r="AI48" s="4164">
        <f>SUM('Произв. прогр. Вода (СВОД)'!N54)</f>
        <v>661.98864441075011</v>
      </c>
      <c r="AJ48" s="4164">
        <f>SUM('ПОЛНАЯ СЕБЕСТОИМОСТЬ ВОДА 2017'!P189)</f>
        <v>460.62</v>
      </c>
      <c r="AK48" s="4266">
        <v>587.26</v>
      </c>
      <c r="AL48" s="4164">
        <f>SUM('Произв. прогр. Вода (СВОД)'!O54)</f>
        <v>661.98864441075011</v>
      </c>
      <c r="AM48" s="4164">
        <f>SUM('ПОЛНАЯ СЕБЕСТОИМОСТЬ ВОДА 2017'!Q189)</f>
        <v>630.38</v>
      </c>
      <c r="AN48" s="4266">
        <v>593.45000000000005</v>
      </c>
      <c r="AO48" s="4164">
        <f>SUM('Произв. прогр. Вода (СВОД)'!P54)</f>
        <v>661.98864441075011</v>
      </c>
      <c r="AP48" s="4164">
        <f>SUM('ПОЛНАЯ СЕБЕСТОИМОСТЬ ВОДА 2017'!R189)</f>
        <v>642.69000000000005</v>
      </c>
      <c r="AQ48" s="4266">
        <v>514.70000000000005</v>
      </c>
      <c r="AR48" s="4150">
        <f t="shared" si="115"/>
        <v>1985.9659332322503</v>
      </c>
      <c r="AS48" s="4150">
        <f t="shared" si="115"/>
        <v>1733.69</v>
      </c>
      <c r="AT48" s="4150">
        <f t="shared" si="115"/>
        <v>1695.41</v>
      </c>
      <c r="AU48" s="4149">
        <f t="shared" si="98"/>
        <v>-252.27593323225028</v>
      </c>
      <c r="AV48" s="4149">
        <f t="shared" si="99"/>
        <v>-12.70293357055021</v>
      </c>
      <c r="AW48" s="4150">
        <f t="shared" si="116"/>
        <v>5719.9176692117089</v>
      </c>
      <c r="AX48" s="4150">
        <f t="shared" si="116"/>
        <v>4676.2000000000007</v>
      </c>
      <c r="AY48" s="4150">
        <f t="shared" si="116"/>
        <v>4959.1899999999996</v>
      </c>
      <c r="AZ48" s="4149">
        <f t="shared" si="102"/>
        <v>-1043.7176692117082</v>
      </c>
      <c r="BA48" s="4149">
        <f t="shared" si="103"/>
        <v>-18.247075037979492</v>
      </c>
      <c r="BB48" s="4164">
        <f>SUM('Произв. прогр. Вода (СВОД)'!S54)</f>
        <v>661.98864441075011</v>
      </c>
      <c r="BC48" s="4164">
        <f>SUM('ПОЛНАЯ СЕБЕСТОИМОСТЬ ВОДА 2017'!X189)</f>
        <v>0</v>
      </c>
      <c r="BD48" s="4209">
        <v>506.22</v>
      </c>
      <c r="BE48" s="4165">
        <f>SUM('Произв. прогр. Вода (СВОД)'!T54)</f>
        <v>661.98864441075011</v>
      </c>
      <c r="BF48" s="4165">
        <f>SUM('ПОЛНАЯ СЕБЕСТОИМОСТЬ ВОДА 2017'!Y189)</f>
        <v>0</v>
      </c>
      <c r="BG48" s="4209">
        <v>583.92999999999995</v>
      </c>
      <c r="BH48" s="4165">
        <f>SUM('Произв. прогр. Вода (СВОД)'!U54)</f>
        <v>661.98864441075011</v>
      </c>
      <c r="BI48" s="4165">
        <f>SUM('ПОЛНАЯ СЕБЕСТОИМОСТЬ ВОДА 2017'!Z189)</f>
        <v>0</v>
      </c>
      <c r="BJ48" s="4209">
        <v>556.55999999999995</v>
      </c>
      <c r="BK48" s="4258">
        <f t="shared" si="117"/>
        <v>1985.9659332322503</v>
      </c>
      <c r="BL48" s="4258">
        <f t="shared" si="117"/>
        <v>0</v>
      </c>
      <c r="BM48" s="4258">
        <f t="shared" si="117"/>
        <v>1646.71</v>
      </c>
      <c r="BN48" s="4283">
        <f t="shared" si="105"/>
        <v>-1985.9659332322503</v>
      </c>
      <c r="BO48" s="4283">
        <f t="shared" si="106"/>
        <v>-100</v>
      </c>
      <c r="BP48" s="4258">
        <f t="shared" si="118"/>
        <v>7705.8836024439588</v>
      </c>
      <c r="BQ48" s="4258">
        <f t="shared" si="118"/>
        <v>4676.2000000000007</v>
      </c>
      <c r="BR48" s="4258">
        <f t="shared" si="118"/>
        <v>6605.9</v>
      </c>
      <c r="BS48" s="4283">
        <f t="shared" si="109"/>
        <v>-3029.6836024439581</v>
      </c>
      <c r="BT48" s="4283">
        <f t="shared" si="110"/>
        <v>-39.316498389400522</v>
      </c>
      <c r="BU48" s="435"/>
      <c r="BV48" s="435"/>
      <c r="BW48" s="435"/>
      <c r="BX48" s="435"/>
    </row>
    <row r="49" spans="1:76" ht="18.75">
      <c r="A49" s="4125" t="s">
        <v>1767</v>
      </c>
      <c r="B49" s="4164">
        <f>SUM('Произв. прогр. Вода (СВОД)'!E55)</f>
        <v>330.49671893800678</v>
      </c>
      <c r="C49" s="4164">
        <f>SUM('ПОЛНАЯ СЕБЕСТОИМОСТЬ ВОДА 2017'!C190)</f>
        <v>200.93</v>
      </c>
      <c r="D49" s="4266">
        <v>179.96</v>
      </c>
      <c r="E49" s="4164">
        <f>SUM('Произв. прогр. Вода (СВОД)'!F55)</f>
        <v>330.49671893800678</v>
      </c>
      <c r="F49" s="4164">
        <f>SUM('ПОЛНАЯ СЕБЕСТОИМОСТЬ ВОДА 2017'!D190)</f>
        <v>141.16</v>
      </c>
      <c r="G49" s="4266">
        <v>152.36000000000001</v>
      </c>
      <c r="H49" s="4164">
        <f>SUM('Произв. прогр. Вода (СВОД)'!G55)</f>
        <v>330.49671893800678</v>
      </c>
      <c r="I49" s="4164">
        <f>SUM('ПОЛНАЯ СЕБЕСТОИМОСТЬ ВОДА 2017'!E190)</f>
        <v>100.82000000000001</v>
      </c>
      <c r="J49" s="4266">
        <v>160.06</v>
      </c>
      <c r="K49" s="4150">
        <f t="shared" si="112"/>
        <v>991.49015681402034</v>
      </c>
      <c r="L49" s="4150">
        <f t="shared" si="112"/>
        <v>442.91</v>
      </c>
      <c r="M49" s="4150">
        <f t="shared" si="112"/>
        <v>492.38000000000005</v>
      </c>
      <c r="N49" s="4149">
        <f t="shared" si="88"/>
        <v>-548.58015681402026</v>
      </c>
      <c r="O49" s="4149">
        <f t="shared" si="89"/>
        <v>-55.328855565927796</v>
      </c>
      <c r="P49" s="4164">
        <f>SUM('Произв. прогр. Вода (СВОД)'!I55)</f>
        <v>330.49671893800678</v>
      </c>
      <c r="Q49" s="4164">
        <f>SUM('ПОЛНАЯ СЕБЕСТОИМОСТЬ ВОДА 2017'!H190)</f>
        <v>111.99000000000001</v>
      </c>
      <c r="R49" s="4266">
        <v>157.63</v>
      </c>
      <c r="S49" s="4164">
        <f>SUM('Произв. прогр. Вода (СВОД)'!J55)</f>
        <v>330.49671893800678</v>
      </c>
      <c r="T49" s="4164">
        <f>SUM('ПОЛНАЯ СЕБЕСТОИМОСТЬ ВОДА 2017'!I190)</f>
        <v>151.26</v>
      </c>
      <c r="U49" s="4266">
        <v>157.76</v>
      </c>
      <c r="V49" s="4164">
        <f>SUM('Произв. прогр. Вода (СВОД)'!K55)</f>
        <v>330.49671893800678</v>
      </c>
      <c r="W49" s="4164">
        <f>SUM('ПОЛНАЯ СЕБЕСТОИМОСТЬ ВОДА 2017'!J190)</f>
        <v>137.66000000000003</v>
      </c>
      <c r="X49" s="4266">
        <v>174.47</v>
      </c>
      <c r="Y49" s="4150">
        <f t="shared" si="113"/>
        <v>991.49015681402034</v>
      </c>
      <c r="Z49" s="4150">
        <f t="shared" si="113"/>
        <v>400.91</v>
      </c>
      <c r="AA49" s="4150">
        <f t="shared" si="113"/>
        <v>489.86</v>
      </c>
      <c r="AB49" s="4149">
        <f t="shared" si="91"/>
        <v>-590.58015681402026</v>
      </c>
      <c r="AC49" s="4149">
        <f t="shared" si="92"/>
        <v>-59.564903671030478</v>
      </c>
      <c r="AD49" s="4150">
        <f t="shared" si="114"/>
        <v>1982.9803136280407</v>
      </c>
      <c r="AE49" s="4150">
        <f t="shared" si="114"/>
        <v>843.82</v>
      </c>
      <c r="AF49" s="4150">
        <f t="shared" si="114"/>
        <v>982.24</v>
      </c>
      <c r="AG49" s="4149">
        <f t="shared" si="95"/>
        <v>-1139.1603136280405</v>
      </c>
      <c r="AH49" s="4149">
        <f t="shared" si="96"/>
        <v>-57.44687961847913</v>
      </c>
      <c r="AI49" s="4164">
        <f>SUM('Произв. прогр. Вода (СВОД)'!N55)</f>
        <v>350.4256710899686</v>
      </c>
      <c r="AJ49" s="4164">
        <f>SUM('ПОЛНАЯ СЕБЕСТОИМОСТЬ ВОДА 2017'!P190)</f>
        <v>139.1</v>
      </c>
      <c r="AK49" s="4266">
        <v>177.36</v>
      </c>
      <c r="AL49" s="4164">
        <f>SUM('Произв. прогр. Вода (СВОД)'!O55)</f>
        <v>350.4256710899686</v>
      </c>
      <c r="AM49" s="4164">
        <f>SUM('ПОЛНАЯ СЕБЕСТОИМОСТЬ ВОДА 2017'!Q190)</f>
        <v>201.42999999999998</v>
      </c>
      <c r="AN49" s="4266">
        <v>179.22</v>
      </c>
      <c r="AO49" s="4164">
        <f>SUM('Произв. прогр. Вода (СВОД)'!P55)</f>
        <v>350.4256710899686</v>
      </c>
      <c r="AP49" s="4164">
        <f>SUM('ПОЛНАЯ СЕБЕСТОИМОСТЬ ВОДА 2017'!R190)</f>
        <v>194.08999999999997</v>
      </c>
      <c r="AQ49" s="4266">
        <v>153.91999999999999</v>
      </c>
      <c r="AR49" s="4150">
        <f t="shared" si="115"/>
        <v>1051.2770132699059</v>
      </c>
      <c r="AS49" s="4150">
        <f t="shared" si="115"/>
        <v>534.61999999999989</v>
      </c>
      <c r="AT49" s="4150">
        <f t="shared" si="115"/>
        <v>510.5</v>
      </c>
      <c r="AU49" s="4149">
        <f t="shared" si="98"/>
        <v>-516.65701326990597</v>
      </c>
      <c r="AV49" s="4149">
        <f t="shared" si="99"/>
        <v>-49.145658732030029</v>
      </c>
      <c r="AW49" s="4150">
        <f t="shared" si="116"/>
        <v>3034.2573268979468</v>
      </c>
      <c r="AX49" s="4150">
        <f t="shared" si="116"/>
        <v>1378.44</v>
      </c>
      <c r="AY49" s="4150">
        <f t="shared" si="116"/>
        <v>1492.74</v>
      </c>
      <c r="AZ49" s="4149">
        <f t="shared" si="102"/>
        <v>-1655.8173268979467</v>
      </c>
      <c r="BA49" s="4149">
        <f t="shared" si="103"/>
        <v>-54.57076142552355</v>
      </c>
      <c r="BB49" s="4164">
        <f>SUM('Произв. прогр. Вода (СВОД)'!S55)</f>
        <v>350.4256710899686</v>
      </c>
      <c r="BC49" s="4164">
        <f>SUM('ПОЛНАЯ СЕБЕСТОИМОСТЬ ВОДА 2017'!X190)</f>
        <v>0</v>
      </c>
      <c r="BD49" s="4209">
        <v>152.87</v>
      </c>
      <c r="BE49" s="4165">
        <f>SUM('Произв. прогр. Вода (СВОД)'!T55)</f>
        <v>350.4256710899686</v>
      </c>
      <c r="BF49" s="4165">
        <f>SUM('ПОЛНАЯ СЕБЕСТОИМОСТЬ ВОДА 2017'!Y190)</f>
        <v>0</v>
      </c>
      <c r="BG49" s="4209">
        <v>176.36</v>
      </c>
      <c r="BH49" s="4165">
        <f>SUM('Произв. прогр. Вода (СВОД)'!U55)</f>
        <v>350.4256710899686</v>
      </c>
      <c r="BI49" s="4165">
        <f>SUM('ПОЛНАЯ СЕБЕСТОИМОСТЬ ВОДА 2017'!Z190)</f>
        <v>0</v>
      </c>
      <c r="BJ49" s="4209">
        <v>165.54</v>
      </c>
      <c r="BK49" s="4258">
        <f t="shared" si="117"/>
        <v>1051.2770132699059</v>
      </c>
      <c r="BL49" s="4258">
        <f t="shared" si="117"/>
        <v>0</v>
      </c>
      <c r="BM49" s="4258">
        <f t="shared" si="117"/>
        <v>494.77</v>
      </c>
      <c r="BN49" s="4283">
        <f t="shared" si="105"/>
        <v>-1051.2770132699059</v>
      </c>
      <c r="BO49" s="4283">
        <f t="shared" si="106"/>
        <v>-100</v>
      </c>
      <c r="BP49" s="4258">
        <f t="shared" si="118"/>
        <v>4085.5343401678529</v>
      </c>
      <c r="BQ49" s="4258">
        <f t="shared" si="118"/>
        <v>1378.44</v>
      </c>
      <c r="BR49" s="4258">
        <f t="shared" si="118"/>
        <v>1987.51</v>
      </c>
      <c r="BS49" s="4283">
        <f t="shared" si="109"/>
        <v>-2707.0943401678528</v>
      </c>
      <c r="BT49" s="4283">
        <f t="shared" si="110"/>
        <v>-66.26047206487641</v>
      </c>
      <c r="BU49" s="435"/>
      <c r="BV49" s="435"/>
      <c r="BW49" s="435"/>
      <c r="BX49" s="435"/>
    </row>
    <row r="50" spans="1:76" ht="18.75">
      <c r="A50" s="4125" t="s">
        <v>31</v>
      </c>
      <c r="B50" s="4164">
        <f>SUM('Произв. прогр. Вода'!E115)</f>
        <v>170.45735876499717</v>
      </c>
      <c r="C50" s="4164">
        <f>SUM('ПОЛНАЯ СЕБЕСТОИМОСТЬ ВОДА 2017'!C191)</f>
        <v>135.53</v>
      </c>
      <c r="D50" s="4266">
        <v>129.29</v>
      </c>
      <c r="E50" s="4164">
        <f>SUM('Произв. прогр. Вода'!F115)</f>
        <v>170.45735876499717</v>
      </c>
      <c r="F50" s="4164">
        <f>SUM('ПОЛНАЯ СЕБЕСТОИМОСТЬ ВОДА 2017'!D191)</f>
        <v>175.2</v>
      </c>
      <c r="G50" s="4266">
        <v>110.25</v>
      </c>
      <c r="H50" s="4164">
        <f>SUM('Произв. прогр. Вода'!G115)</f>
        <v>170.45735876499717</v>
      </c>
      <c r="I50" s="4164">
        <f>SUM('ПОЛНАЯ СЕБЕСТОИМОСТЬ ВОДА 2017'!E191)</f>
        <v>145.05000000000001</v>
      </c>
      <c r="J50" s="4266">
        <v>89.18</v>
      </c>
      <c r="K50" s="4150">
        <f t="shared" si="112"/>
        <v>511.37207629499153</v>
      </c>
      <c r="L50" s="4150">
        <f t="shared" si="112"/>
        <v>455.78000000000003</v>
      </c>
      <c r="M50" s="4150">
        <f t="shared" si="112"/>
        <v>328.72</v>
      </c>
      <c r="N50" s="4149">
        <f t="shared" si="88"/>
        <v>-55.5920762949915</v>
      </c>
      <c r="O50" s="4149">
        <f t="shared" si="89"/>
        <v>-10.871159938526347</v>
      </c>
      <c r="P50" s="4164">
        <f>SUM('Произв. прогр. Вода'!I115)</f>
        <v>170.45735876499717</v>
      </c>
      <c r="Q50" s="4164">
        <f>SUM('ПОЛНАЯ СЕБЕСТОИМОСТЬ ВОДА 2017'!H191)</f>
        <v>163.84</v>
      </c>
      <c r="R50" s="4266">
        <v>144.15</v>
      </c>
      <c r="S50" s="4164">
        <f>SUM('Произв. прогр. Вода'!J115)</f>
        <v>170.45735876499717</v>
      </c>
      <c r="T50" s="4164">
        <f>SUM('ПОЛНАЯ СЕБЕСТОИМОСТЬ ВОДА 2017'!I191)</f>
        <v>136.81</v>
      </c>
      <c r="U50" s="4266">
        <v>159.49</v>
      </c>
      <c r="V50" s="4164">
        <f>SUM('Произв. прогр. Вода'!K115)</f>
        <v>170.45735876499717</v>
      </c>
      <c r="W50" s="4164">
        <f>SUM('ПОЛНАЯ СЕБЕСТОИМОСТЬ ВОДА 2017'!J191)</f>
        <v>131.74</v>
      </c>
      <c r="X50" s="4266">
        <v>155.04</v>
      </c>
      <c r="Y50" s="4150">
        <f t="shared" si="113"/>
        <v>511.37207629499153</v>
      </c>
      <c r="Z50" s="4150">
        <f t="shared" si="113"/>
        <v>432.39</v>
      </c>
      <c r="AA50" s="4150">
        <f t="shared" si="113"/>
        <v>458.67999999999995</v>
      </c>
      <c r="AB50" s="4149">
        <f t="shared" si="91"/>
        <v>-78.982076294991543</v>
      </c>
      <c r="AC50" s="4149">
        <f t="shared" si="92"/>
        <v>-15.445128890735466</v>
      </c>
      <c r="AD50" s="4150">
        <f t="shared" si="114"/>
        <v>1022.7441525899831</v>
      </c>
      <c r="AE50" s="4150">
        <f t="shared" si="114"/>
        <v>888.17000000000007</v>
      </c>
      <c r="AF50" s="4150">
        <f t="shared" si="114"/>
        <v>787.4</v>
      </c>
      <c r="AG50" s="4149">
        <f t="shared" si="95"/>
        <v>-134.57415258998299</v>
      </c>
      <c r="AH50" s="4149">
        <f t="shared" si="96"/>
        <v>-13.1581444146309</v>
      </c>
      <c r="AI50" s="4165">
        <f>SUM('Произв. прогр. Вода'!N115)</f>
        <v>170.45735876499717</v>
      </c>
      <c r="AJ50" s="4164">
        <f>SUM('ПОЛНАЯ СЕБЕСТОИМОСТЬ ВОДА 2017'!P191)</f>
        <v>124.55</v>
      </c>
      <c r="AK50" s="4266">
        <v>126.05</v>
      </c>
      <c r="AL50" s="4165">
        <f>SUM('Произв. прогр. Вода'!O115)</f>
        <v>170.45735876499717</v>
      </c>
      <c r="AM50" s="4164">
        <f>SUM('ПОЛНАЯ СЕБЕСТОИМОСТЬ ВОДА 2017'!Q191)</f>
        <v>151.10000000000002</v>
      </c>
      <c r="AN50" s="4266">
        <v>134.72</v>
      </c>
      <c r="AO50" s="4165">
        <f>SUM('Произв. прогр. Вода'!P115)</f>
        <v>170.45735876499717</v>
      </c>
      <c r="AP50" s="4164">
        <f>SUM('ПОЛНАЯ СЕБЕСТОИМОСТЬ ВОДА 2017'!R191)</f>
        <v>131.97</v>
      </c>
      <c r="AQ50" s="4266">
        <v>102.29</v>
      </c>
      <c r="AR50" s="4150">
        <f t="shared" si="115"/>
        <v>511.37207629499153</v>
      </c>
      <c r="AS50" s="4150">
        <f t="shared" si="115"/>
        <v>407.62</v>
      </c>
      <c r="AT50" s="4150">
        <f t="shared" si="115"/>
        <v>363.06</v>
      </c>
      <c r="AU50" s="4149">
        <f t="shared" si="98"/>
        <v>-103.75207629499153</v>
      </c>
      <c r="AV50" s="4149">
        <f t="shared" si="99"/>
        <v>-20.288960055601628</v>
      </c>
      <c r="AW50" s="4150">
        <f t="shared" si="116"/>
        <v>1534.1162288849746</v>
      </c>
      <c r="AX50" s="4150">
        <f t="shared" si="116"/>
        <v>1295.79</v>
      </c>
      <c r="AY50" s="4150">
        <f t="shared" si="116"/>
        <v>1150.46</v>
      </c>
      <c r="AZ50" s="4149">
        <f t="shared" si="102"/>
        <v>-238.32622888497463</v>
      </c>
      <c r="BA50" s="4149">
        <f t="shared" si="103"/>
        <v>-15.535082961621152</v>
      </c>
      <c r="BB50" s="4165">
        <f>SUM('Произв. прогр. Вода'!S115)</f>
        <v>170.45735876499717</v>
      </c>
      <c r="BC50" s="4164">
        <f>SUM('ПОЛНАЯ СЕБЕСТОИМОСТЬ ВОДА 2017'!X191)</f>
        <v>0</v>
      </c>
      <c r="BD50" s="4209">
        <v>120.86</v>
      </c>
      <c r="BE50" s="4165">
        <f>SUM('Произв. прогр. Вода'!T115)</f>
        <v>170.45735876499717</v>
      </c>
      <c r="BF50" s="4165">
        <f>SUM('ПОЛНАЯ СЕБЕСТОИМОСТЬ ВОДА 2017'!Y191)</f>
        <v>0</v>
      </c>
      <c r="BG50" s="4209">
        <v>199.33</v>
      </c>
      <c r="BH50" s="4165">
        <f>SUM('Произв. прогр. Вода'!U115)</f>
        <v>170.45735876499717</v>
      </c>
      <c r="BI50" s="4165">
        <f>SUM('ПОЛНАЯ СЕБЕСТОИМОСТЬ ВОДА 2017'!Z191)</f>
        <v>0</v>
      </c>
      <c r="BJ50" s="4209">
        <v>172.36</v>
      </c>
      <c r="BK50" s="4258">
        <f t="shared" si="117"/>
        <v>511.37207629499153</v>
      </c>
      <c r="BL50" s="4258">
        <f t="shared" si="117"/>
        <v>0</v>
      </c>
      <c r="BM50" s="4258">
        <f t="shared" si="117"/>
        <v>492.55</v>
      </c>
      <c r="BN50" s="4283">
        <f t="shared" si="105"/>
        <v>-511.37207629499153</v>
      </c>
      <c r="BO50" s="4283">
        <f t="shared" si="106"/>
        <v>-100</v>
      </c>
      <c r="BP50" s="4258">
        <f t="shared" si="118"/>
        <v>2045.4883051799661</v>
      </c>
      <c r="BQ50" s="4258">
        <f t="shared" si="118"/>
        <v>1295.79</v>
      </c>
      <c r="BR50" s="4258">
        <f t="shared" si="118"/>
        <v>1643.01</v>
      </c>
      <c r="BS50" s="4283">
        <f t="shared" si="109"/>
        <v>-749.69830517996616</v>
      </c>
      <c r="BT50" s="4283">
        <f t="shared" si="110"/>
        <v>-36.651312221215868</v>
      </c>
      <c r="BU50" s="435"/>
      <c r="BV50" s="435"/>
      <c r="BW50" s="435"/>
      <c r="BX50" s="435"/>
    </row>
    <row r="51" spans="1:76" ht="18.75">
      <c r="A51" s="4159" t="s">
        <v>300</v>
      </c>
      <c r="B51" s="4164">
        <f>SUM(B47-B48-B49-B50)</f>
        <v>832.87936500902276</v>
      </c>
      <c r="C51" s="4164">
        <f>SUM('ПОЛНАЯ СЕБЕСТОИМОСТЬ ВОДА 2017'!C192)</f>
        <v>1337.68</v>
      </c>
      <c r="D51" s="4266">
        <v>947.35</v>
      </c>
      <c r="E51" s="4164">
        <f t="shared" ref="E51:H51" si="119">SUM(E47-E48-E49-E50)</f>
        <v>735.92209319920323</v>
      </c>
      <c r="F51" s="4164">
        <f>SUM('ПОЛНАЯ СЕБЕСТОИМОСТЬ ВОДА 2017'!D192)</f>
        <v>1044.42</v>
      </c>
      <c r="G51" s="4266">
        <v>725.24</v>
      </c>
      <c r="H51" s="4164">
        <f t="shared" si="119"/>
        <v>693.93228051406106</v>
      </c>
      <c r="I51" s="4164">
        <f>SUM('ПОЛНАЯ СЕБЕСТОИМОСТЬ ВОДА 2017'!E192)</f>
        <v>1061.99</v>
      </c>
      <c r="J51" s="4266">
        <v>789.9</v>
      </c>
      <c r="K51" s="4150">
        <f t="shared" si="112"/>
        <v>2262.7337387222869</v>
      </c>
      <c r="L51" s="4150">
        <f t="shared" si="112"/>
        <v>3444.09</v>
      </c>
      <c r="M51" s="4150">
        <f t="shared" si="112"/>
        <v>2462.4900000000002</v>
      </c>
      <c r="N51" s="4149">
        <f t="shared" si="88"/>
        <v>1181.3562612777132</v>
      </c>
      <c r="O51" s="4149">
        <f t="shared" si="89"/>
        <v>52.209247648589788</v>
      </c>
      <c r="P51" s="4164">
        <f t="shared" ref="P51" si="120">SUM(P47-P48-P49-P50)</f>
        <v>547.73769559080517</v>
      </c>
      <c r="Q51" s="4164">
        <f>SUM('ПОЛНАЯ СЕБЕСТОИМОСТЬ ВОДА 2017'!H192)</f>
        <v>996.5</v>
      </c>
      <c r="R51" s="4266">
        <v>613.46</v>
      </c>
      <c r="S51" s="4164">
        <f t="shared" ref="S51" si="121">SUM(S47-S48-S49-S50)</f>
        <v>256.10379675156867</v>
      </c>
      <c r="T51" s="4164">
        <f>SUM('ПОЛНАЯ СЕБЕСТОИМОСТЬ ВОДА 2017'!I192)</f>
        <v>913.94999999999982</v>
      </c>
      <c r="U51" s="4266">
        <v>371.71</v>
      </c>
      <c r="V51" s="4164">
        <f t="shared" ref="V51" si="122">SUM(V47-V48-V49-V50)</f>
        <v>169.05877687806023</v>
      </c>
      <c r="W51" s="4164">
        <f>SUM('ПОЛНАЯ СЕБЕСТОИМОСТЬ ВОДА 2017'!J192)</f>
        <v>351.34000000000015</v>
      </c>
      <c r="X51" s="4266">
        <v>457.81</v>
      </c>
      <c r="Y51" s="4150">
        <f t="shared" si="113"/>
        <v>972.9002692204341</v>
      </c>
      <c r="Z51" s="4150">
        <f t="shared" si="113"/>
        <v>2261.79</v>
      </c>
      <c r="AA51" s="4150">
        <f t="shared" si="113"/>
        <v>1442.98</v>
      </c>
      <c r="AB51" s="4149">
        <f t="shared" si="91"/>
        <v>1288.889730779566</v>
      </c>
      <c r="AC51" s="4149">
        <f t="shared" si="92"/>
        <v>132.47912160743135</v>
      </c>
      <c r="AD51" s="4150">
        <f t="shared" si="114"/>
        <v>3235.6340079427209</v>
      </c>
      <c r="AE51" s="4150">
        <f t="shared" si="114"/>
        <v>5705.88</v>
      </c>
      <c r="AF51" s="4150">
        <f t="shared" si="114"/>
        <v>3905.4700000000003</v>
      </c>
      <c r="AG51" s="4149">
        <f t="shared" si="95"/>
        <v>2470.2459920572792</v>
      </c>
      <c r="AH51" s="4149">
        <f t="shared" si="96"/>
        <v>76.345037355689982</v>
      </c>
      <c r="AI51" s="4164">
        <f t="shared" ref="AI51" si="123">SUM(AI47-AI48-AI49-AI50)</f>
        <v>162.31977762330101</v>
      </c>
      <c r="AJ51" s="4164">
        <f>SUM('ПОЛНАЯ СЕБЕСТОИМОСТЬ ВОДА 2017'!P192)</f>
        <v>470.12000000000012</v>
      </c>
      <c r="AK51" s="4266">
        <v>626.76</v>
      </c>
      <c r="AL51" s="4164">
        <f t="shared" ref="AL51" si="124">SUM(AL47-AL48-AL49-AL50)</f>
        <v>161.05645082172194</v>
      </c>
      <c r="AM51" s="4164">
        <f>SUM('ПОЛНАЯ СЕБЕСТОИМОСТЬ ВОДА 2017'!Q192)</f>
        <v>410.45999999999992</v>
      </c>
      <c r="AN51" s="4266">
        <v>523.34</v>
      </c>
      <c r="AO51" s="4164">
        <f t="shared" ref="AO51" si="125">SUM(AO47-AO48-AO49-AO50)</f>
        <v>324.07246292167292</v>
      </c>
      <c r="AP51" s="4164">
        <f>SUM('ПОЛНАЯ СЕБЕСТОИМОСТЬ ВОДА 2017'!R192)</f>
        <v>659.33999999999969</v>
      </c>
      <c r="AQ51" s="4266">
        <v>825.58</v>
      </c>
      <c r="AR51" s="4150">
        <f t="shared" si="115"/>
        <v>647.44869136669581</v>
      </c>
      <c r="AS51" s="4150">
        <f t="shared" si="115"/>
        <v>1539.9199999999996</v>
      </c>
      <c r="AT51" s="4150">
        <f t="shared" si="115"/>
        <v>1975.6799999999998</v>
      </c>
      <c r="AU51" s="4149">
        <f t="shared" si="98"/>
        <v>892.47130863330381</v>
      </c>
      <c r="AV51" s="4149">
        <f t="shared" si="99"/>
        <v>137.8443296795289</v>
      </c>
      <c r="AW51" s="4150">
        <f t="shared" si="116"/>
        <v>3883.082699309417</v>
      </c>
      <c r="AX51" s="4150">
        <f t="shared" si="116"/>
        <v>7245.7999999999993</v>
      </c>
      <c r="AY51" s="4150">
        <f t="shared" si="116"/>
        <v>5881.15</v>
      </c>
      <c r="AZ51" s="4149">
        <f t="shared" si="102"/>
        <v>3362.7173006905823</v>
      </c>
      <c r="BA51" s="4149">
        <f t="shared" si="103"/>
        <v>86.599167751143227</v>
      </c>
      <c r="BB51" s="4164">
        <f t="shared" ref="BB51" si="126">SUM(BB47-BB48-BB49-BB50)</f>
        <v>562.79309402979209</v>
      </c>
      <c r="BC51" s="4164">
        <f>SUM('ПОЛНАЯ СЕБЕСТОИМОСТЬ ВОДА 2017'!X192)</f>
        <v>0</v>
      </c>
      <c r="BD51" s="4209">
        <v>927.67</v>
      </c>
      <c r="BE51" s="4165">
        <f t="shared" ref="BE51" si="127">SUM(BE47-BE48-BE49-BE50)</f>
        <v>668.62167490284503</v>
      </c>
      <c r="BF51" s="4165">
        <f>SUM('ПОЛНАЯ СЕБЕСТОИМОСТЬ ВОДА 2017'!Y192)</f>
        <v>0</v>
      </c>
      <c r="BG51" s="4209">
        <v>1156.9000000000001</v>
      </c>
      <c r="BH51" s="4165">
        <f t="shared" ref="BH51" si="128">SUM(BH47-BH48-BH49-BH50)</f>
        <v>800.64709791239727</v>
      </c>
      <c r="BI51" s="4165">
        <f>SUM('ПОЛНАЯ СЕБЕСТОИМОСТЬ ВОДА 2017'!Z192)</f>
        <v>0</v>
      </c>
      <c r="BJ51" s="4209">
        <v>1222.17</v>
      </c>
      <c r="BK51" s="4258">
        <f t="shared" si="117"/>
        <v>2032.0618668450343</v>
      </c>
      <c r="BL51" s="4258">
        <f t="shared" si="117"/>
        <v>0</v>
      </c>
      <c r="BM51" s="4258">
        <f t="shared" si="117"/>
        <v>3306.7400000000002</v>
      </c>
      <c r="BN51" s="4283">
        <f t="shared" si="105"/>
        <v>-2032.0618668450343</v>
      </c>
      <c r="BO51" s="4283">
        <f t="shared" si="106"/>
        <v>-100</v>
      </c>
      <c r="BP51" s="4258">
        <f t="shared" si="118"/>
        <v>5915.1445661544512</v>
      </c>
      <c r="BQ51" s="4258">
        <f t="shared" si="118"/>
        <v>7245.7999999999993</v>
      </c>
      <c r="BR51" s="4258">
        <f t="shared" si="118"/>
        <v>9187.89</v>
      </c>
      <c r="BS51" s="4283">
        <f t="shared" si="109"/>
        <v>1330.655433845548</v>
      </c>
      <c r="BT51" s="4283">
        <f t="shared" si="110"/>
        <v>22.49573816774241</v>
      </c>
      <c r="BU51" s="435"/>
      <c r="BV51" s="435"/>
      <c r="BW51" s="435"/>
      <c r="BX51" s="435"/>
    </row>
    <row r="52" spans="1:76" ht="18.75">
      <c r="A52" s="4156" t="s">
        <v>1744</v>
      </c>
      <c r="B52" s="4157">
        <f>SUM('Произв. прогр. Вода (СВОД)'!E57)</f>
        <v>0</v>
      </c>
      <c r="C52" s="4157">
        <f>SUM('ПОЛНАЯ СЕБЕСТОИМОСТЬ ВОДА 2017'!C193)</f>
        <v>0</v>
      </c>
      <c r="D52" s="4163">
        <f>SUM(D53:D56)</f>
        <v>0</v>
      </c>
      <c r="E52" s="4157">
        <f>SUM('Произв. прогр. Вода (СВОД)'!F57)</f>
        <v>0</v>
      </c>
      <c r="F52" s="4157">
        <f>SUM('ПОЛНАЯ СЕБЕСТОИМОСТЬ ВОДА 2017'!D193)</f>
        <v>0</v>
      </c>
      <c r="G52" s="4163">
        <f>SUM(G53:G56)</f>
        <v>0</v>
      </c>
      <c r="H52" s="4157">
        <f>SUM('Произв. прогр. Вода (СВОД)'!G57)</f>
        <v>905.47599999999989</v>
      </c>
      <c r="I52" s="4157">
        <f>SUM('ПОЛНАЯ СЕБЕСТОИМОСТЬ ВОДА 2017'!E193)</f>
        <v>522.91999999999996</v>
      </c>
      <c r="J52" s="4163">
        <f>SUM(J53:J56)</f>
        <v>457.99</v>
      </c>
      <c r="K52" s="4144">
        <f t="shared" si="112"/>
        <v>905.47599999999989</v>
      </c>
      <c r="L52" s="4144">
        <f t="shared" si="112"/>
        <v>522.91999999999996</v>
      </c>
      <c r="M52" s="4144">
        <f t="shared" si="112"/>
        <v>457.99</v>
      </c>
      <c r="N52" s="4142">
        <f t="shared" si="88"/>
        <v>-382.55599999999993</v>
      </c>
      <c r="O52" s="4142">
        <f t="shared" si="89"/>
        <v>-42.249159558066694</v>
      </c>
      <c r="P52" s="4157">
        <f>SUM('Произв. прогр. Вода (СВОД)'!I57)</f>
        <v>0</v>
      </c>
      <c r="Q52" s="4157">
        <f>SUM('ПОЛНАЯ СЕБЕСТОИМОСТЬ ВОДА 2017'!H193)</f>
        <v>0</v>
      </c>
      <c r="R52" s="4163">
        <f>SUM(R53:R56)</f>
        <v>0</v>
      </c>
      <c r="S52" s="4157">
        <f>SUM('Произв. прогр. Вода (СВОД)'!J57)</f>
        <v>0</v>
      </c>
      <c r="T52" s="4157">
        <f>SUM('ПОЛНАЯ СЕБЕСТОИМОСТЬ ВОДА 2017'!I193)</f>
        <v>0</v>
      </c>
      <c r="U52" s="4163">
        <f>SUM(U53:U56)</f>
        <v>0</v>
      </c>
      <c r="V52" s="4157">
        <f>SUM('Произв. прогр. Вода (СВОД)'!K57)</f>
        <v>905.47599999999989</v>
      </c>
      <c r="W52" s="4157">
        <f>SUM('ПОЛНАЯ СЕБЕСТОИМОСТЬ ВОДА 2017'!J193)</f>
        <v>522.91999999999996</v>
      </c>
      <c r="X52" s="4163">
        <f>SUM(X53:X56)</f>
        <v>588.2299999999999</v>
      </c>
      <c r="Y52" s="4144">
        <f t="shared" si="113"/>
        <v>905.47599999999989</v>
      </c>
      <c r="Z52" s="4144">
        <f t="shared" si="113"/>
        <v>522.91999999999996</v>
      </c>
      <c r="AA52" s="4144">
        <f t="shared" si="113"/>
        <v>588.2299999999999</v>
      </c>
      <c r="AB52" s="4142">
        <f t="shared" si="91"/>
        <v>-382.55599999999993</v>
      </c>
      <c r="AC52" s="4142">
        <f t="shared" si="92"/>
        <v>-42.249159558066694</v>
      </c>
      <c r="AD52" s="4144">
        <f t="shared" si="114"/>
        <v>1810.9519999999998</v>
      </c>
      <c r="AE52" s="4144">
        <f t="shared" si="114"/>
        <v>1045.8399999999999</v>
      </c>
      <c r="AF52" s="4144">
        <f t="shared" si="114"/>
        <v>1046.2199999999998</v>
      </c>
      <c r="AG52" s="4142">
        <f t="shared" si="95"/>
        <v>-765.11199999999985</v>
      </c>
      <c r="AH52" s="4142">
        <f t="shared" si="96"/>
        <v>-42.249159558066694</v>
      </c>
      <c r="AI52" s="4157">
        <f>SUM('Произв. прогр. Вода (СВОД)'!N57)</f>
        <v>0</v>
      </c>
      <c r="AJ52" s="4157">
        <f>SUM('ПОЛНАЯ СЕБЕСТОИМОСТЬ ВОДА 2017'!P193)</f>
        <v>0</v>
      </c>
      <c r="AK52" s="4163">
        <f>SUM(AK53:AK56)</f>
        <v>0</v>
      </c>
      <c r="AL52" s="4157">
        <f>SUM('Произв. прогр. Вода (СВОД)'!O57)</f>
        <v>0</v>
      </c>
      <c r="AM52" s="4157">
        <f>SUM('ПОЛНАЯ СЕБЕСТОИМОСТЬ ВОДА 2017'!Q193)</f>
        <v>0</v>
      </c>
      <c r="AN52" s="4163">
        <f>SUM(AN53:AN56)</f>
        <v>0</v>
      </c>
      <c r="AO52" s="4157">
        <f>SUM('Произв. прогр. Вода (СВОД)'!P57)</f>
        <v>905.47599999999989</v>
      </c>
      <c r="AP52" s="4157">
        <f>SUM('ПОЛНАЯ СЕБЕСТОИМОСТЬ ВОДА 2017'!R193)</f>
        <v>522.91999999999996</v>
      </c>
      <c r="AQ52" s="4163">
        <f>SUM(AQ53:AQ56)</f>
        <v>523.56999999999994</v>
      </c>
      <c r="AR52" s="4144">
        <f t="shared" si="115"/>
        <v>905.47599999999989</v>
      </c>
      <c r="AS52" s="4144">
        <f t="shared" si="115"/>
        <v>522.91999999999996</v>
      </c>
      <c r="AT52" s="4144">
        <f t="shared" si="115"/>
        <v>523.56999999999994</v>
      </c>
      <c r="AU52" s="4142">
        <f t="shared" si="98"/>
        <v>-382.55599999999993</v>
      </c>
      <c r="AV52" s="4142">
        <f t="shared" si="99"/>
        <v>-42.249159558066694</v>
      </c>
      <c r="AW52" s="4144">
        <f t="shared" si="116"/>
        <v>2716.4279999999999</v>
      </c>
      <c r="AX52" s="4144">
        <f t="shared" si="116"/>
        <v>1568.7599999999998</v>
      </c>
      <c r="AY52" s="4144">
        <f t="shared" si="116"/>
        <v>1569.7899999999997</v>
      </c>
      <c r="AZ52" s="4142">
        <f t="shared" si="102"/>
        <v>-1147.6680000000001</v>
      </c>
      <c r="BA52" s="4142">
        <f t="shared" si="103"/>
        <v>-42.249159558066701</v>
      </c>
      <c r="BB52" s="4157">
        <f>SUM('Произв. прогр. Вода (СВОД)'!S57)</f>
        <v>0</v>
      </c>
      <c r="BC52" s="4157">
        <f>SUM('ПОЛНАЯ СЕБЕСТОИМОСТЬ ВОДА 2017'!X193)</f>
        <v>0</v>
      </c>
      <c r="BD52" s="4249">
        <f>SUM(BD53:BD56)</f>
        <v>0</v>
      </c>
      <c r="BE52" s="4205">
        <f>SUM('Произв. прогр. Вода (СВОД)'!T57)</f>
        <v>0</v>
      </c>
      <c r="BF52" s="4205">
        <f>SUM('ПОЛНАЯ СЕБЕСТОИМОСТЬ ВОДА 2017'!Y193)</f>
        <v>0</v>
      </c>
      <c r="BG52" s="4249">
        <f>SUM(BG53:BG56)</f>
        <v>0</v>
      </c>
      <c r="BH52" s="4205">
        <f>SUM('Произв. прогр. Вода (СВОД)'!U57)</f>
        <v>905.47599999999989</v>
      </c>
      <c r="BI52" s="4205">
        <f>SUM('ПОЛНАЯ СЕБЕСТОИМОСТЬ ВОДА 2017'!Z193)</f>
        <v>0</v>
      </c>
      <c r="BJ52" s="4249">
        <f>SUM(BJ53:BJ56)</f>
        <v>525.91999999999996</v>
      </c>
      <c r="BK52" s="4281">
        <f t="shared" si="117"/>
        <v>905.47599999999989</v>
      </c>
      <c r="BL52" s="4281">
        <f t="shared" si="117"/>
        <v>0</v>
      </c>
      <c r="BM52" s="4281">
        <f t="shared" si="117"/>
        <v>525.91999999999996</v>
      </c>
      <c r="BN52" s="4282">
        <f t="shared" si="105"/>
        <v>-905.47599999999989</v>
      </c>
      <c r="BO52" s="4282">
        <f t="shared" si="106"/>
        <v>-100</v>
      </c>
      <c r="BP52" s="4281">
        <f t="shared" si="118"/>
        <v>3621.9039999999995</v>
      </c>
      <c r="BQ52" s="4281">
        <f t="shared" si="118"/>
        <v>1568.7599999999998</v>
      </c>
      <c r="BR52" s="4281">
        <f t="shared" si="118"/>
        <v>2095.7099999999996</v>
      </c>
      <c r="BS52" s="4282">
        <f t="shared" si="109"/>
        <v>-2053.1439999999998</v>
      </c>
      <c r="BT52" s="4282">
        <f t="shared" si="110"/>
        <v>-56.686869668550024</v>
      </c>
      <c r="BU52" s="435"/>
      <c r="BV52" s="435"/>
      <c r="BW52" s="435"/>
      <c r="BX52" s="435"/>
    </row>
    <row r="53" spans="1:76" ht="18.75">
      <c r="A53" s="4159" t="s">
        <v>1745</v>
      </c>
      <c r="B53" s="4164">
        <f>SUM('Произв. прогр. Вода (СВОД)'!E58)</f>
        <v>0</v>
      </c>
      <c r="C53" s="4164">
        <f>SUM('ПОЛНАЯ СЕБЕСТОИМОСТЬ ВОДА 2017'!C194)</f>
        <v>0</v>
      </c>
      <c r="D53" s="4266">
        <v>0</v>
      </c>
      <c r="E53" s="4164">
        <f>SUM('Произв. прогр. Вода (СВОД)'!F58)</f>
        <v>0</v>
      </c>
      <c r="F53" s="4164">
        <f>SUM('ПОЛНАЯ СЕБЕСТОИМОСТЬ ВОДА 2017'!D194)</f>
        <v>0</v>
      </c>
      <c r="G53" s="4266">
        <v>0</v>
      </c>
      <c r="H53" s="4164">
        <f>SUM('Произв. прогр. Вода (СВОД)'!G58)</f>
        <v>339.3775</v>
      </c>
      <c r="I53" s="4164">
        <f>SUM('ПОЛНАЯ СЕБЕСТОИМОСТЬ ВОДА 2017'!E194)</f>
        <v>501.14</v>
      </c>
      <c r="J53" s="4266">
        <v>436.47</v>
      </c>
      <c r="K53" s="4150">
        <f t="shared" si="112"/>
        <v>339.3775</v>
      </c>
      <c r="L53" s="4150">
        <f t="shared" si="112"/>
        <v>501.14</v>
      </c>
      <c r="M53" s="4150">
        <f t="shared" si="112"/>
        <v>436.47</v>
      </c>
      <c r="N53" s="4149">
        <f t="shared" si="88"/>
        <v>161.76249999999999</v>
      </c>
      <c r="O53" s="4149">
        <f t="shared" si="89"/>
        <v>47.664473926527236</v>
      </c>
      <c r="P53" s="4164">
        <f>SUM('Произв. прогр. Вода (СВОД)'!I58)</f>
        <v>0</v>
      </c>
      <c r="Q53" s="4164">
        <f>SUM('ПОЛНАЯ СЕБЕСТОИМОСТЬ ВОДА 2017'!H194)</f>
        <v>0</v>
      </c>
      <c r="R53" s="4266">
        <v>0</v>
      </c>
      <c r="S53" s="4164">
        <f>SUM('Произв. прогр. Вода (СВОД)'!J58)</f>
        <v>0</v>
      </c>
      <c r="T53" s="4164">
        <f>SUM('ПОЛНАЯ СЕБЕСТОИМОСТЬ ВОДА 2017'!I194)</f>
        <v>0</v>
      </c>
      <c r="U53" s="4266">
        <v>0</v>
      </c>
      <c r="V53" s="4164">
        <f>SUM('Произв. прогр. Вода (СВОД)'!K58)</f>
        <v>339.3775</v>
      </c>
      <c r="W53" s="4164">
        <f>SUM('ПОЛНАЯ СЕБЕСТОИМОСТЬ ВОДА 2017'!J194)</f>
        <v>501.14</v>
      </c>
      <c r="X53" s="4266">
        <v>565.79999999999995</v>
      </c>
      <c r="Y53" s="4150">
        <f t="shared" si="113"/>
        <v>339.3775</v>
      </c>
      <c r="Z53" s="4150">
        <f t="shared" si="113"/>
        <v>501.14</v>
      </c>
      <c r="AA53" s="4150">
        <f t="shared" si="113"/>
        <v>565.79999999999995</v>
      </c>
      <c r="AB53" s="4149">
        <f t="shared" si="91"/>
        <v>161.76249999999999</v>
      </c>
      <c r="AC53" s="4149">
        <f t="shared" si="92"/>
        <v>47.664473926527236</v>
      </c>
      <c r="AD53" s="4150">
        <f t="shared" si="114"/>
        <v>678.755</v>
      </c>
      <c r="AE53" s="4150">
        <f t="shared" si="114"/>
        <v>1002.28</v>
      </c>
      <c r="AF53" s="4150">
        <f t="shared" si="114"/>
        <v>1002.27</v>
      </c>
      <c r="AG53" s="4149">
        <f t="shared" si="95"/>
        <v>323.52499999999998</v>
      </c>
      <c r="AH53" s="4149">
        <f t="shared" si="96"/>
        <v>47.664473926527236</v>
      </c>
      <c r="AI53" s="4164">
        <f>SUM('Произв. прогр. Вода (СВОД)'!N58)</f>
        <v>0</v>
      </c>
      <c r="AJ53" s="4164">
        <f>SUM('ПОЛНАЯ СЕБЕСТОИМОСТЬ ВОДА 2017'!P194)</f>
        <v>0</v>
      </c>
      <c r="AK53" s="4266">
        <v>0</v>
      </c>
      <c r="AL53" s="4164">
        <f>SUM('Произв. прогр. Вода (СВОД)'!O58)</f>
        <v>0</v>
      </c>
      <c r="AM53" s="4164">
        <f>SUM('ПОЛНАЯ СЕБЕСТОИМОСТЬ ВОДА 2017'!Q194)</f>
        <v>0</v>
      </c>
      <c r="AN53" s="4266">
        <v>0</v>
      </c>
      <c r="AO53" s="4164">
        <f>SUM('Произв. прогр. Вода (СВОД)'!P58)</f>
        <v>339.3775</v>
      </c>
      <c r="AP53" s="4164">
        <f>SUM('ПОЛНАЯ СЕБЕСТОИМОСТЬ ВОДА 2017'!R194)</f>
        <v>501.14</v>
      </c>
      <c r="AQ53" s="4266">
        <v>501.14</v>
      </c>
      <c r="AR53" s="4150">
        <f t="shared" si="115"/>
        <v>339.3775</v>
      </c>
      <c r="AS53" s="4150">
        <f t="shared" si="115"/>
        <v>501.14</v>
      </c>
      <c r="AT53" s="4150">
        <f t="shared" si="115"/>
        <v>501.14</v>
      </c>
      <c r="AU53" s="4149">
        <f t="shared" si="98"/>
        <v>161.76249999999999</v>
      </c>
      <c r="AV53" s="4149">
        <f t="shared" si="99"/>
        <v>47.664473926527236</v>
      </c>
      <c r="AW53" s="4150">
        <f t="shared" si="116"/>
        <v>1018.1324999999999</v>
      </c>
      <c r="AX53" s="4150">
        <f t="shared" si="116"/>
        <v>1503.42</v>
      </c>
      <c r="AY53" s="4150">
        <f t="shared" si="116"/>
        <v>1503.4099999999999</v>
      </c>
      <c r="AZ53" s="4149">
        <f t="shared" si="102"/>
        <v>485.28750000000014</v>
      </c>
      <c r="BA53" s="4149">
        <f t="shared" si="103"/>
        <v>47.664473926527265</v>
      </c>
      <c r="BB53" s="4164">
        <f>SUM('Произв. прогр. Вода (СВОД)'!S58)</f>
        <v>0</v>
      </c>
      <c r="BC53" s="4164">
        <f>SUM('ПОЛНАЯ СЕБЕСТОИМОСТЬ ВОДА 2017'!X194)</f>
        <v>0</v>
      </c>
      <c r="BD53" s="4209">
        <v>0</v>
      </c>
      <c r="BE53" s="4165">
        <f>SUM('Произв. прогр. Вода (СВОД)'!T58)</f>
        <v>0</v>
      </c>
      <c r="BF53" s="4165">
        <f>SUM('ПОЛНАЯ СЕБЕСТОИМОСТЬ ВОДА 2017'!Y194)</f>
        <v>0</v>
      </c>
      <c r="BG53" s="4209">
        <v>0</v>
      </c>
      <c r="BH53" s="4165">
        <f>SUM('Произв. прогр. Вода (СВОД)'!U58)</f>
        <v>339.3775</v>
      </c>
      <c r="BI53" s="4165">
        <f>SUM('ПОЛНАЯ СЕБЕСТОИМОСТЬ ВОДА 2017'!Z194)</f>
        <v>0</v>
      </c>
      <c r="BJ53" s="4209">
        <v>501.14</v>
      </c>
      <c r="BK53" s="4258">
        <f t="shared" si="117"/>
        <v>339.3775</v>
      </c>
      <c r="BL53" s="4258">
        <f t="shared" si="117"/>
        <v>0</v>
      </c>
      <c r="BM53" s="4258">
        <f t="shared" si="117"/>
        <v>501.14</v>
      </c>
      <c r="BN53" s="4283">
        <f t="shared" si="105"/>
        <v>-339.3775</v>
      </c>
      <c r="BO53" s="4283">
        <f t="shared" si="106"/>
        <v>-100</v>
      </c>
      <c r="BP53" s="4258">
        <f t="shared" si="118"/>
        <v>1357.51</v>
      </c>
      <c r="BQ53" s="4258">
        <f t="shared" si="118"/>
        <v>1503.42</v>
      </c>
      <c r="BR53" s="4258">
        <f t="shared" si="118"/>
        <v>2004.5499999999997</v>
      </c>
      <c r="BS53" s="4283">
        <f t="shared" si="109"/>
        <v>145.91000000000008</v>
      </c>
      <c r="BT53" s="4283">
        <f t="shared" si="110"/>
        <v>10.74835544489544</v>
      </c>
      <c r="BU53" s="435"/>
      <c r="BV53" s="435"/>
      <c r="BW53" s="435"/>
      <c r="BX53" s="435"/>
    </row>
    <row r="54" spans="1:76" ht="18.75">
      <c r="A54" s="4159" t="s">
        <v>543</v>
      </c>
      <c r="B54" s="4164">
        <f>SUM('Произв. прогр. Вода (СВОД)'!E59)</f>
        <v>0</v>
      </c>
      <c r="C54" s="4164">
        <f>SUM('ПОЛНАЯ СЕБЕСТОИМОСТЬ ВОДА 2017'!C195)</f>
        <v>0</v>
      </c>
      <c r="D54" s="4266">
        <v>0</v>
      </c>
      <c r="E54" s="4164">
        <f>SUM('Произв. прогр. Вода (СВОД)'!F59)</f>
        <v>0</v>
      </c>
      <c r="F54" s="4164">
        <f>SUM('ПОЛНАЯ СЕБЕСТОИМОСТЬ ВОДА 2017'!D195)</f>
        <v>0</v>
      </c>
      <c r="G54" s="4266">
        <v>0</v>
      </c>
      <c r="H54" s="4164">
        <f>SUM('Произв. прогр. Вода (СВОД)'!G59)</f>
        <v>22.2925</v>
      </c>
      <c r="I54" s="4164">
        <f>SUM('ПОЛНАЯ СЕБЕСТОИМОСТЬ ВОДА 2017'!E195)</f>
        <v>21.78</v>
      </c>
      <c r="J54" s="4266">
        <v>21.52</v>
      </c>
      <c r="K54" s="4150">
        <f t="shared" si="112"/>
        <v>22.2925</v>
      </c>
      <c r="L54" s="4150">
        <f t="shared" si="112"/>
        <v>21.78</v>
      </c>
      <c r="M54" s="4150">
        <f t="shared" si="112"/>
        <v>21.52</v>
      </c>
      <c r="N54" s="4149">
        <f t="shared" si="88"/>
        <v>-0.51249999999999929</v>
      </c>
      <c r="O54" s="4149">
        <f t="shared" si="89"/>
        <v>-2.2989794774027108</v>
      </c>
      <c r="P54" s="4164">
        <f>SUM('Произв. прогр. Вода (СВОД)'!I59)</f>
        <v>0</v>
      </c>
      <c r="Q54" s="4164">
        <f>SUM('ПОЛНАЯ СЕБЕСТОИМОСТЬ ВОДА 2017'!H195)</f>
        <v>0</v>
      </c>
      <c r="R54" s="4266">
        <v>0</v>
      </c>
      <c r="S54" s="4164">
        <f>SUM('Произв. прогр. Вода (СВОД)'!J59)</f>
        <v>0</v>
      </c>
      <c r="T54" s="4164">
        <f>SUM('ПОЛНАЯ СЕБЕСТОИМОСТЬ ВОДА 2017'!I195)</f>
        <v>0</v>
      </c>
      <c r="U54" s="4266">
        <v>0</v>
      </c>
      <c r="V54" s="4164">
        <f>SUM('Произв. прогр. Вода (СВОД)'!K59)</f>
        <v>22.2925</v>
      </c>
      <c r="W54" s="4164">
        <f>SUM('ПОЛНАЯ СЕБЕСТОИМОСТЬ ВОДА 2017'!J195)</f>
        <v>21.78</v>
      </c>
      <c r="X54" s="4266">
        <v>22.43</v>
      </c>
      <c r="Y54" s="4150">
        <f t="shared" si="113"/>
        <v>22.2925</v>
      </c>
      <c r="Z54" s="4150">
        <f t="shared" si="113"/>
        <v>21.78</v>
      </c>
      <c r="AA54" s="4150">
        <f t="shared" si="113"/>
        <v>22.43</v>
      </c>
      <c r="AB54" s="4149">
        <f t="shared" si="91"/>
        <v>-0.51249999999999929</v>
      </c>
      <c r="AC54" s="4149">
        <f t="shared" si="92"/>
        <v>-2.2989794774027108</v>
      </c>
      <c r="AD54" s="4150">
        <f t="shared" si="114"/>
        <v>44.585000000000001</v>
      </c>
      <c r="AE54" s="4150">
        <f t="shared" si="114"/>
        <v>43.56</v>
      </c>
      <c r="AF54" s="4150">
        <f t="shared" si="114"/>
        <v>43.95</v>
      </c>
      <c r="AG54" s="4149">
        <f t="shared" si="95"/>
        <v>-1.0249999999999986</v>
      </c>
      <c r="AH54" s="4149">
        <f t="shared" si="96"/>
        <v>-2.2989794774027108</v>
      </c>
      <c r="AI54" s="4164">
        <f>SUM('Произв. прогр. Вода (СВОД)'!N59)</f>
        <v>0</v>
      </c>
      <c r="AJ54" s="4164">
        <f>SUM('ПОЛНАЯ СЕБЕСТОИМОСТЬ ВОДА 2017'!P195)</f>
        <v>0</v>
      </c>
      <c r="AK54" s="4266">
        <v>0</v>
      </c>
      <c r="AL54" s="4164">
        <f>SUM('Произв. прогр. Вода (СВОД)'!O59)</f>
        <v>0</v>
      </c>
      <c r="AM54" s="4164">
        <f>SUM('ПОЛНАЯ СЕБЕСТОИМОСТЬ ВОДА 2017'!Q195)</f>
        <v>0</v>
      </c>
      <c r="AN54" s="4266">
        <v>0</v>
      </c>
      <c r="AO54" s="4164">
        <f>SUM('Произв. прогр. Вода (СВОД)'!P59)</f>
        <v>22.2925</v>
      </c>
      <c r="AP54" s="4164">
        <f>SUM('ПОЛНАЯ СЕБЕСТОИМОСТЬ ВОДА 2017'!R195)</f>
        <v>21.78</v>
      </c>
      <c r="AQ54" s="4266">
        <v>22.43</v>
      </c>
      <c r="AR54" s="4150">
        <f t="shared" si="115"/>
        <v>22.2925</v>
      </c>
      <c r="AS54" s="4150">
        <f t="shared" si="115"/>
        <v>21.78</v>
      </c>
      <c r="AT54" s="4150">
        <f t="shared" si="115"/>
        <v>22.43</v>
      </c>
      <c r="AU54" s="4149">
        <f t="shared" si="98"/>
        <v>-0.51249999999999929</v>
      </c>
      <c r="AV54" s="4149">
        <f t="shared" si="99"/>
        <v>-2.2989794774027108</v>
      </c>
      <c r="AW54" s="4150">
        <f t="shared" si="116"/>
        <v>66.877499999999998</v>
      </c>
      <c r="AX54" s="4150">
        <f t="shared" si="116"/>
        <v>65.34</v>
      </c>
      <c r="AY54" s="4150">
        <f t="shared" si="116"/>
        <v>66.38</v>
      </c>
      <c r="AZ54" s="4149">
        <f t="shared" si="102"/>
        <v>-1.5374999999999943</v>
      </c>
      <c r="BA54" s="4149">
        <f t="shared" si="103"/>
        <v>-2.2989794774027055</v>
      </c>
      <c r="BB54" s="4164">
        <f>SUM('Произв. прогр. Вода (СВОД)'!S59)</f>
        <v>0</v>
      </c>
      <c r="BC54" s="4164">
        <f>SUM('ПОЛНАЯ СЕБЕСТОИМОСТЬ ВОДА 2017'!X195)</f>
        <v>0</v>
      </c>
      <c r="BD54" s="4209">
        <v>0</v>
      </c>
      <c r="BE54" s="4165">
        <f>SUM('Произв. прогр. Вода (СВОД)'!T59)</f>
        <v>0</v>
      </c>
      <c r="BF54" s="4165">
        <f>SUM('ПОЛНАЯ СЕБЕСТОИМОСТЬ ВОДА 2017'!Y195)</f>
        <v>0</v>
      </c>
      <c r="BG54" s="4209">
        <v>0</v>
      </c>
      <c r="BH54" s="4165">
        <f>SUM('Произв. прогр. Вода (СВОД)'!U59)</f>
        <v>22.2925</v>
      </c>
      <c r="BI54" s="4165">
        <f>SUM('ПОЛНАЯ СЕБЕСТОИМОСТЬ ВОДА 2017'!Z195)</f>
        <v>0</v>
      </c>
      <c r="BJ54" s="4209">
        <v>24.78</v>
      </c>
      <c r="BK54" s="4258">
        <f t="shared" si="117"/>
        <v>22.2925</v>
      </c>
      <c r="BL54" s="4258">
        <f t="shared" si="117"/>
        <v>0</v>
      </c>
      <c r="BM54" s="4258">
        <f t="shared" si="117"/>
        <v>24.78</v>
      </c>
      <c r="BN54" s="4283">
        <f t="shared" si="105"/>
        <v>-22.2925</v>
      </c>
      <c r="BO54" s="4283">
        <f t="shared" si="106"/>
        <v>-100</v>
      </c>
      <c r="BP54" s="4258">
        <f t="shared" si="118"/>
        <v>89.17</v>
      </c>
      <c r="BQ54" s="4258">
        <f t="shared" si="118"/>
        <v>65.34</v>
      </c>
      <c r="BR54" s="4258">
        <f t="shared" si="118"/>
        <v>91.16</v>
      </c>
      <c r="BS54" s="4283">
        <f t="shared" si="109"/>
        <v>-23.83</v>
      </c>
      <c r="BT54" s="4283">
        <f t="shared" si="110"/>
        <v>-26.724234608052033</v>
      </c>
      <c r="BU54" s="435"/>
      <c r="BV54" s="435"/>
      <c r="BW54" s="435"/>
      <c r="BX54" s="435"/>
    </row>
    <row r="55" spans="1:76" ht="18.75">
      <c r="A55" s="4159" t="s">
        <v>544</v>
      </c>
      <c r="B55" s="4164">
        <f>SUM('Произв. прогр. Вода (СВОД)'!E60)</f>
        <v>0</v>
      </c>
      <c r="C55" s="4164">
        <f>SUM('ПОЛНАЯ СЕБЕСТОИМОСТЬ ВОДА 2017'!C196)</f>
        <v>0</v>
      </c>
      <c r="D55" s="4266">
        <v>0</v>
      </c>
      <c r="E55" s="4164">
        <f>SUM('Произв. прогр. Вода (СВОД)'!F60)</f>
        <v>0</v>
      </c>
      <c r="F55" s="4164">
        <f>SUM('ПОЛНАЯ СЕБЕСТОИМОСТЬ ВОДА 2017'!D196)</f>
        <v>0</v>
      </c>
      <c r="G55" s="4266">
        <v>0</v>
      </c>
      <c r="H55" s="4164">
        <f>SUM('Произв. прогр. Вода (СВОД)'!G60)</f>
        <v>0</v>
      </c>
      <c r="I55" s="4164">
        <f>SUM('ПОЛНАЯ СЕБЕСТОИМОСТЬ ВОДА 2017'!E196)</f>
        <v>0</v>
      </c>
      <c r="J55" s="4266">
        <v>0</v>
      </c>
      <c r="K55" s="4150">
        <f t="shared" si="112"/>
        <v>0</v>
      </c>
      <c r="L55" s="4150">
        <f t="shared" si="112"/>
        <v>0</v>
      </c>
      <c r="M55" s="4150">
        <f t="shared" si="112"/>
        <v>0</v>
      </c>
      <c r="N55" s="4149">
        <f t="shared" si="88"/>
        <v>0</v>
      </c>
      <c r="O55" s="4149" t="e">
        <f t="shared" si="89"/>
        <v>#DIV/0!</v>
      </c>
      <c r="P55" s="4164">
        <f>SUM('Произв. прогр. Вода (СВОД)'!I60)</f>
        <v>0</v>
      </c>
      <c r="Q55" s="4164">
        <f>SUM('ПОЛНАЯ СЕБЕСТОИМОСТЬ ВОДА 2017'!H196)</f>
        <v>0</v>
      </c>
      <c r="R55" s="4266">
        <v>0</v>
      </c>
      <c r="S55" s="4164">
        <f>SUM('Произв. прогр. Вода (СВОД)'!J60)</f>
        <v>0</v>
      </c>
      <c r="T55" s="4164">
        <f>SUM('ПОЛНАЯ СЕБЕСТОИМОСТЬ ВОДА 2017'!I196)</f>
        <v>0</v>
      </c>
      <c r="U55" s="4266">
        <v>0</v>
      </c>
      <c r="V55" s="4164">
        <f>SUM('Произв. прогр. Вода (СВОД)'!K60)</f>
        <v>0</v>
      </c>
      <c r="W55" s="4164">
        <f>SUM('ПОЛНАЯ СЕБЕСТОИМОСТЬ ВОДА 2017'!J196)</f>
        <v>0</v>
      </c>
      <c r="X55" s="4266">
        <v>0</v>
      </c>
      <c r="Y55" s="4150">
        <f t="shared" si="113"/>
        <v>0</v>
      </c>
      <c r="Z55" s="4150">
        <f t="shared" si="113"/>
        <v>0</v>
      </c>
      <c r="AA55" s="4150">
        <f t="shared" si="113"/>
        <v>0</v>
      </c>
      <c r="AB55" s="4149">
        <f t="shared" si="91"/>
        <v>0</v>
      </c>
      <c r="AC55" s="4149" t="e">
        <f t="shared" si="92"/>
        <v>#DIV/0!</v>
      </c>
      <c r="AD55" s="4150">
        <f t="shared" si="114"/>
        <v>0</v>
      </c>
      <c r="AE55" s="4150">
        <f t="shared" si="114"/>
        <v>0</v>
      </c>
      <c r="AF55" s="4150">
        <f t="shared" si="114"/>
        <v>0</v>
      </c>
      <c r="AG55" s="4149">
        <f t="shared" si="95"/>
        <v>0</v>
      </c>
      <c r="AH55" s="4149" t="e">
        <f t="shared" si="96"/>
        <v>#DIV/0!</v>
      </c>
      <c r="AI55" s="4164">
        <f>SUM('Произв. прогр. Вода (СВОД)'!N60)</f>
        <v>0</v>
      </c>
      <c r="AJ55" s="4164">
        <f>SUM('ПОЛНАЯ СЕБЕСТОИМОСТЬ ВОДА 2017'!P196)</f>
        <v>0</v>
      </c>
      <c r="AK55" s="4266">
        <v>0</v>
      </c>
      <c r="AL55" s="4164">
        <f>SUM('Произв. прогр. Вода (СВОД)'!O60)</f>
        <v>0</v>
      </c>
      <c r="AM55" s="4164">
        <f>SUM('ПОЛНАЯ СЕБЕСТОИМОСТЬ ВОДА 2017'!Q196)</f>
        <v>0</v>
      </c>
      <c r="AN55" s="4266">
        <v>0</v>
      </c>
      <c r="AO55" s="4164">
        <f>SUM('Произв. прогр. Вода (СВОД)'!P60)</f>
        <v>0</v>
      </c>
      <c r="AP55" s="4164">
        <f>SUM('ПОЛНАЯ СЕБЕСТОИМОСТЬ ВОДА 2017'!R196)</f>
        <v>0</v>
      </c>
      <c r="AQ55" s="4266">
        <v>0</v>
      </c>
      <c r="AR55" s="4150">
        <f t="shared" si="115"/>
        <v>0</v>
      </c>
      <c r="AS55" s="4150">
        <f t="shared" si="115"/>
        <v>0</v>
      </c>
      <c r="AT55" s="4150">
        <f t="shared" si="115"/>
        <v>0</v>
      </c>
      <c r="AU55" s="4149">
        <f t="shared" si="98"/>
        <v>0</v>
      </c>
      <c r="AV55" s="4149" t="e">
        <f t="shared" si="99"/>
        <v>#DIV/0!</v>
      </c>
      <c r="AW55" s="4150">
        <f t="shared" si="116"/>
        <v>0</v>
      </c>
      <c r="AX55" s="4150">
        <f t="shared" si="116"/>
        <v>0</v>
      </c>
      <c r="AY55" s="4150">
        <f t="shared" si="116"/>
        <v>0</v>
      </c>
      <c r="AZ55" s="4149">
        <f t="shared" si="102"/>
        <v>0</v>
      </c>
      <c r="BA55" s="4149" t="e">
        <f t="shared" si="103"/>
        <v>#DIV/0!</v>
      </c>
      <c r="BB55" s="4164">
        <f>SUM('Произв. прогр. Вода (СВОД)'!S60)</f>
        <v>0</v>
      </c>
      <c r="BC55" s="4164">
        <f>SUM('ПОЛНАЯ СЕБЕСТОИМОСТЬ ВОДА 2017'!X196)</f>
        <v>0</v>
      </c>
      <c r="BD55" s="4209">
        <v>0</v>
      </c>
      <c r="BE55" s="4165">
        <f>SUM('Произв. прогр. Вода (СВОД)'!T60)</f>
        <v>0</v>
      </c>
      <c r="BF55" s="4165">
        <f>SUM('ПОЛНАЯ СЕБЕСТОИМОСТЬ ВОДА 2017'!Y196)</f>
        <v>0</v>
      </c>
      <c r="BG55" s="4209">
        <v>0</v>
      </c>
      <c r="BH55" s="4165">
        <f>SUM('Произв. прогр. Вода (СВОД)'!U60)</f>
        <v>0</v>
      </c>
      <c r="BI55" s="4165">
        <f>SUM('ПОЛНАЯ СЕБЕСТОИМОСТЬ ВОДА 2017'!Z196)</f>
        <v>0</v>
      </c>
      <c r="BJ55" s="4209">
        <v>0</v>
      </c>
      <c r="BK55" s="4258">
        <f t="shared" si="117"/>
        <v>0</v>
      </c>
      <c r="BL55" s="4258">
        <f t="shared" si="117"/>
        <v>0</v>
      </c>
      <c r="BM55" s="4258">
        <f t="shared" si="117"/>
        <v>0</v>
      </c>
      <c r="BN55" s="4283">
        <f t="shared" si="105"/>
        <v>0</v>
      </c>
      <c r="BO55" s="4283" t="e">
        <f t="shared" si="106"/>
        <v>#DIV/0!</v>
      </c>
      <c r="BP55" s="4258">
        <f t="shared" si="118"/>
        <v>0</v>
      </c>
      <c r="BQ55" s="4258">
        <f t="shared" si="118"/>
        <v>0</v>
      </c>
      <c r="BR55" s="4258">
        <f t="shared" si="118"/>
        <v>0</v>
      </c>
      <c r="BS55" s="4283">
        <f t="shared" si="109"/>
        <v>0</v>
      </c>
      <c r="BT55" s="4283" t="e">
        <f t="shared" si="110"/>
        <v>#DIV/0!</v>
      </c>
      <c r="BU55" s="435"/>
      <c r="BV55" s="435"/>
      <c r="BW55" s="435"/>
      <c r="BX55" s="435"/>
    </row>
    <row r="56" spans="1:76" ht="18.75">
      <c r="A56" s="4159" t="s">
        <v>545</v>
      </c>
      <c r="B56" s="4164">
        <f>SUM('Произв. прогр. Вода (СВОД)'!E61)</f>
        <v>0</v>
      </c>
      <c r="C56" s="4164">
        <f>SUM('ПОЛНАЯ СЕБЕСТОИМОСТЬ ВОДА 2017'!C197)</f>
        <v>0</v>
      </c>
      <c r="D56" s="4266">
        <v>0</v>
      </c>
      <c r="E56" s="4164">
        <f>SUM('Произв. прогр. Вода (СВОД)'!F61)</f>
        <v>0</v>
      </c>
      <c r="F56" s="4164">
        <f>SUM('ПОЛНАЯ СЕБЕСТОИМОСТЬ ВОДА 2017'!D197)</f>
        <v>0</v>
      </c>
      <c r="G56" s="4266">
        <v>0</v>
      </c>
      <c r="H56" s="4164">
        <f>SUM('Произв. прогр. Вода (СВОД)'!G61)</f>
        <v>543.80599999999993</v>
      </c>
      <c r="I56" s="4164">
        <f>SUM('ПОЛНАЯ СЕБЕСТОИМОСТЬ ВОДА 2017'!E197)</f>
        <v>0</v>
      </c>
      <c r="J56" s="4266">
        <v>0</v>
      </c>
      <c r="K56" s="4150">
        <f t="shared" si="112"/>
        <v>543.80599999999993</v>
      </c>
      <c r="L56" s="4150">
        <f t="shared" si="112"/>
        <v>0</v>
      </c>
      <c r="M56" s="4150">
        <f t="shared" si="112"/>
        <v>0</v>
      </c>
      <c r="N56" s="4149">
        <f t="shared" si="88"/>
        <v>-543.80599999999993</v>
      </c>
      <c r="O56" s="4149">
        <f t="shared" si="89"/>
        <v>-100</v>
      </c>
      <c r="P56" s="4164">
        <f>SUM('Произв. прогр. Вода (СВОД)'!I61)</f>
        <v>0</v>
      </c>
      <c r="Q56" s="4164">
        <f>SUM('ПОЛНАЯ СЕБЕСТОИМОСТЬ ВОДА 2017'!H197)</f>
        <v>0</v>
      </c>
      <c r="R56" s="4266">
        <v>0</v>
      </c>
      <c r="S56" s="4164">
        <f>SUM('Произв. прогр. Вода (СВОД)'!J61)</f>
        <v>0</v>
      </c>
      <c r="T56" s="4164">
        <f>SUM('ПОЛНАЯ СЕБЕСТОИМОСТЬ ВОДА 2017'!I197)</f>
        <v>0</v>
      </c>
      <c r="U56" s="4266">
        <v>0</v>
      </c>
      <c r="V56" s="4164">
        <f>SUM('Произв. прогр. Вода (СВОД)'!K61)</f>
        <v>543.80599999999993</v>
      </c>
      <c r="W56" s="4164">
        <f>SUM('ПОЛНАЯ СЕБЕСТОИМОСТЬ ВОДА 2017'!J197)</f>
        <v>0</v>
      </c>
      <c r="X56" s="4266">
        <v>0</v>
      </c>
      <c r="Y56" s="4150">
        <f t="shared" si="113"/>
        <v>543.80599999999993</v>
      </c>
      <c r="Z56" s="4150">
        <f t="shared" si="113"/>
        <v>0</v>
      </c>
      <c r="AA56" s="4150">
        <f t="shared" si="113"/>
        <v>0</v>
      </c>
      <c r="AB56" s="4149">
        <f t="shared" si="91"/>
        <v>-543.80599999999993</v>
      </c>
      <c r="AC56" s="4149">
        <f t="shared" si="92"/>
        <v>-100</v>
      </c>
      <c r="AD56" s="4150">
        <f t="shared" si="114"/>
        <v>1087.6119999999999</v>
      </c>
      <c r="AE56" s="4150">
        <f t="shared" si="114"/>
        <v>0</v>
      </c>
      <c r="AF56" s="4150">
        <f t="shared" si="114"/>
        <v>0</v>
      </c>
      <c r="AG56" s="4149">
        <f t="shared" si="95"/>
        <v>-1087.6119999999999</v>
      </c>
      <c r="AH56" s="4149">
        <f t="shared" si="96"/>
        <v>-100</v>
      </c>
      <c r="AI56" s="4164">
        <f>SUM('Произв. прогр. Вода (СВОД)'!N61)</f>
        <v>0</v>
      </c>
      <c r="AJ56" s="4164">
        <f>SUM('ПОЛНАЯ СЕБЕСТОИМОСТЬ ВОДА 2017'!P197)</f>
        <v>0</v>
      </c>
      <c r="AK56" s="4266">
        <v>0</v>
      </c>
      <c r="AL56" s="4164">
        <f>SUM('Произв. прогр. Вода (СВОД)'!O61)</f>
        <v>0</v>
      </c>
      <c r="AM56" s="4164">
        <f>SUM('ПОЛНАЯ СЕБЕСТОИМОСТЬ ВОДА 2017'!Q197)</f>
        <v>0</v>
      </c>
      <c r="AN56" s="4266">
        <v>0</v>
      </c>
      <c r="AO56" s="4164">
        <f>SUM('Произв. прогр. Вода (СВОД)'!P61)</f>
        <v>543.80599999999993</v>
      </c>
      <c r="AP56" s="4164">
        <f>SUM('ПОЛНАЯ СЕБЕСТОИМОСТЬ ВОДА 2017'!R197)</f>
        <v>0</v>
      </c>
      <c r="AQ56" s="4266">
        <v>0</v>
      </c>
      <c r="AR56" s="4150">
        <f t="shared" si="115"/>
        <v>543.80599999999993</v>
      </c>
      <c r="AS56" s="4150">
        <f t="shared" si="115"/>
        <v>0</v>
      </c>
      <c r="AT56" s="4150">
        <f t="shared" si="115"/>
        <v>0</v>
      </c>
      <c r="AU56" s="4149">
        <f t="shared" si="98"/>
        <v>-543.80599999999993</v>
      </c>
      <c r="AV56" s="4149">
        <f t="shared" si="99"/>
        <v>-100</v>
      </c>
      <c r="AW56" s="4150">
        <f t="shared" si="116"/>
        <v>1631.4179999999997</v>
      </c>
      <c r="AX56" s="4150">
        <f t="shared" si="116"/>
        <v>0</v>
      </c>
      <c r="AY56" s="4150">
        <f t="shared" si="116"/>
        <v>0</v>
      </c>
      <c r="AZ56" s="4149">
        <f t="shared" si="102"/>
        <v>-1631.4179999999997</v>
      </c>
      <c r="BA56" s="4149">
        <f t="shared" si="103"/>
        <v>-100</v>
      </c>
      <c r="BB56" s="4164">
        <f>SUM('Произв. прогр. Вода (СВОД)'!S61)</f>
        <v>0</v>
      </c>
      <c r="BC56" s="4164">
        <f>SUM('ПОЛНАЯ СЕБЕСТОИМОСТЬ ВОДА 2017'!X197)</f>
        <v>0</v>
      </c>
      <c r="BD56" s="4209">
        <v>0</v>
      </c>
      <c r="BE56" s="4165">
        <f>SUM('Произв. прогр. Вода (СВОД)'!T61)</f>
        <v>0</v>
      </c>
      <c r="BF56" s="4165">
        <f>SUM('ПОЛНАЯ СЕБЕСТОИМОСТЬ ВОДА 2017'!Y197)</f>
        <v>0</v>
      </c>
      <c r="BG56" s="4209">
        <v>0</v>
      </c>
      <c r="BH56" s="4165">
        <f>SUM('Произв. прогр. Вода (СВОД)'!U61)</f>
        <v>543.80599999999993</v>
      </c>
      <c r="BI56" s="4165">
        <f>SUM('ПОЛНАЯ СЕБЕСТОИМОСТЬ ВОДА 2017'!Z197)</f>
        <v>0</v>
      </c>
      <c r="BJ56" s="4209">
        <v>0</v>
      </c>
      <c r="BK56" s="4258">
        <f t="shared" si="117"/>
        <v>543.80599999999993</v>
      </c>
      <c r="BL56" s="4258">
        <f t="shared" si="117"/>
        <v>0</v>
      </c>
      <c r="BM56" s="4258">
        <f t="shared" si="117"/>
        <v>0</v>
      </c>
      <c r="BN56" s="4283">
        <f t="shared" si="105"/>
        <v>-543.80599999999993</v>
      </c>
      <c r="BO56" s="4283">
        <f t="shared" si="106"/>
        <v>-100</v>
      </c>
      <c r="BP56" s="4258">
        <f t="shared" si="118"/>
        <v>2175.2239999999997</v>
      </c>
      <c r="BQ56" s="4258">
        <f t="shared" si="118"/>
        <v>0</v>
      </c>
      <c r="BR56" s="4258">
        <f t="shared" si="118"/>
        <v>0</v>
      </c>
      <c r="BS56" s="4283">
        <f t="shared" si="109"/>
        <v>-2175.2239999999997</v>
      </c>
      <c r="BT56" s="4283">
        <f t="shared" si="110"/>
        <v>-100</v>
      </c>
      <c r="BU56" s="435"/>
      <c r="BV56" s="435"/>
      <c r="BW56" s="435"/>
      <c r="BX56" s="435"/>
    </row>
    <row r="57" spans="1:76" ht="18.75">
      <c r="A57" s="4156" t="s">
        <v>1768</v>
      </c>
      <c r="B57" s="4157">
        <f>SUM('Произв. прогр. Вода (СВОД)'!E62)</f>
        <v>844.07164738068468</v>
      </c>
      <c r="C57" s="4157">
        <f>SUM('ПОЛНАЯ СЕБЕСТОИМОСТЬ ВОДА 2017'!C198)</f>
        <v>1041.58</v>
      </c>
      <c r="D57" s="4163">
        <f>SUM(D58:D63)</f>
        <v>953.29</v>
      </c>
      <c r="E57" s="4157">
        <f>SUM('Произв. прогр. Вода (СВОД)'!F62)</f>
        <v>844.07164738068468</v>
      </c>
      <c r="F57" s="4157">
        <f>SUM('ПОЛНАЯ СЕБЕСТОИМОСТЬ ВОДА 2017'!D198)</f>
        <v>1143.79</v>
      </c>
      <c r="G57" s="4163">
        <f>SUM(G58:G63)</f>
        <v>938.63</v>
      </c>
      <c r="H57" s="4157">
        <f>SUM('Произв. прогр. Вода (СВОД)'!G62)</f>
        <v>844.07164738068468</v>
      </c>
      <c r="I57" s="4157">
        <f>SUM('ПОЛНАЯ СЕБЕСТОИМОСТЬ ВОДА 2017'!E198)</f>
        <v>1059.8</v>
      </c>
      <c r="J57" s="4163">
        <f>SUM(J58:J63)</f>
        <v>1017.45</v>
      </c>
      <c r="K57" s="4144">
        <f t="shared" si="112"/>
        <v>2532.214942142054</v>
      </c>
      <c r="L57" s="4144">
        <f t="shared" si="112"/>
        <v>3245.17</v>
      </c>
      <c r="M57" s="4144">
        <f t="shared" si="112"/>
        <v>2909.37</v>
      </c>
      <c r="N57" s="4142">
        <f t="shared" si="88"/>
        <v>712.95505785794603</v>
      </c>
      <c r="O57" s="4142">
        <f t="shared" si="89"/>
        <v>28.155392577173654</v>
      </c>
      <c r="P57" s="4157">
        <f>SUM('Произв. прогр. Вода (СВОД)'!I62)</f>
        <v>844.07164738068468</v>
      </c>
      <c r="Q57" s="4157">
        <f>SUM('ПОЛНАЯ СЕБЕСТОИМОСТЬ ВОДА 2017'!H198)</f>
        <v>1047.5900000000001</v>
      </c>
      <c r="R57" s="4163">
        <f>SUM(R58:R63)</f>
        <v>1166.3900000000001</v>
      </c>
      <c r="S57" s="4157">
        <f>SUM('Произв. прогр. Вода (СВОД)'!J62)</f>
        <v>844.07164738068468</v>
      </c>
      <c r="T57" s="4157">
        <f>SUM('ПОЛНАЯ СЕБЕСТОИМОСТЬ ВОДА 2017'!I198)</f>
        <v>1160.6599999999999</v>
      </c>
      <c r="U57" s="4163">
        <f>SUM(U58:U63)</f>
        <v>1180.79</v>
      </c>
      <c r="V57" s="4157">
        <f>SUM('Произв. прогр. Вода (СВОД)'!K62)</f>
        <v>844.07164738068468</v>
      </c>
      <c r="W57" s="4157">
        <f>SUM('ПОЛНАЯ СЕБЕСТОИМОСТЬ ВОДА 2017'!J198)</f>
        <v>1288.3</v>
      </c>
      <c r="X57" s="4163">
        <f>SUM(X58:X63)</f>
        <v>1026.3800000000001</v>
      </c>
      <c r="Y57" s="4144">
        <f t="shared" si="113"/>
        <v>2532.214942142054</v>
      </c>
      <c r="Z57" s="4144">
        <f t="shared" si="113"/>
        <v>3496.55</v>
      </c>
      <c r="AA57" s="4144">
        <f t="shared" si="113"/>
        <v>3373.5600000000004</v>
      </c>
      <c r="AB57" s="4142">
        <f t="shared" si="91"/>
        <v>964.33505785794614</v>
      </c>
      <c r="AC57" s="4142">
        <f t="shared" si="92"/>
        <v>38.082669911196191</v>
      </c>
      <c r="AD57" s="4144">
        <f t="shared" si="114"/>
        <v>5064.4298842841081</v>
      </c>
      <c r="AE57" s="4144">
        <f t="shared" si="114"/>
        <v>6741.72</v>
      </c>
      <c r="AF57" s="4144">
        <f t="shared" si="114"/>
        <v>6282.93</v>
      </c>
      <c r="AG57" s="4142">
        <f t="shared" si="95"/>
        <v>1677.2901157158922</v>
      </c>
      <c r="AH57" s="4142">
        <f t="shared" si="96"/>
        <v>33.119031244184924</v>
      </c>
      <c r="AI57" s="4157">
        <f>SUM('Произв. прогр. Вода (СВОД)'!N62)</f>
        <v>890.18997727121007</v>
      </c>
      <c r="AJ57" s="4157">
        <f>SUM('ПОЛНАЯ СЕБЕСТОИМОСТЬ ВОДА 2017'!P198)</f>
        <v>1093.54</v>
      </c>
      <c r="AK57" s="4163">
        <f>SUM(AK58:AK63)</f>
        <v>956.68000000000006</v>
      </c>
      <c r="AL57" s="4157">
        <f>SUM('Произв. прогр. Вода (СВОД)'!O62)</f>
        <v>890.18997727121007</v>
      </c>
      <c r="AM57" s="4157">
        <f>SUM('ПОЛНАЯ СЕБЕСТОИМОСТЬ ВОДА 2017'!Q198)</f>
        <v>1207.29</v>
      </c>
      <c r="AN57" s="4163">
        <f>SUM(AN58:AN63)</f>
        <v>1081.22</v>
      </c>
      <c r="AO57" s="4157">
        <f>SUM('Произв. прогр. Вода (СВОД)'!P62)</f>
        <v>890.18997727121007</v>
      </c>
      <c r="AP57" s="4157">
        <f>SUM('ПОЛНАЯ СЕБЕСТОИМОСТЬ ВОДА 2017'!R198)</f>
        <v>1229.0800000000002</v>
      </c>
      <c r="AQ57" s="4163">
        <f>SUM(AQ58:AQ63)</f>
        <v>1081.3700000000001</v>
      </c>
      <c r="AR57" s="4144">
        <f t="shared" si="115"/>
        <v>2670.5699318136303</v>
      </c>
      <c r="AS57" s="4144">
        <f t="shared" si="115"/>
        <v>3529.91</v>
      </c>
      <c r="AT57" s="4144">
        <f t="shared" si="115"/>
        <v>3119.2700000000004</v>
      </c>
      <c r="AU57" s="4142">
        <f t="shared" si="98"/>
        <v>859.34006818636954</v>
      </c>
      <c r="AV57" s="4142">
        <f t="shared" si="99"/>
        <v>32.17815260889936</v>
      </c>
      <c r="AW57" s="4144">
        <f t="shared" si="116"/>
        <v>7734.9998160977384</v>
      </c>
      <c r="AX57" s="4144">
        <f t="shared" si="116"/>
        <v>10271.630000000001</v>
      </c>
      <c r="AY57" s="4144">
        <f t="shared" si="116"/>
        <v>9402.2000000000007</v>
      </c>
      <c r="AZ57" s="4142">
        <f t="shared" si="102"/>
        <v>2536.6301839022626</v>
      </c>
      <c r="BA57" s="4142">
        <f t="shared" si="103"/>
        <v>32.794185445526978</v>
      </c>
      <c r="BB57" s="4157">
        <f>SUM('Произв. прогр. Вода (СВОД)'!S62)</f>
        <v>890.18997727121007</v>
      </c>
      <c r="BC57" s="4157">
        <f>SUM('ПОЛНАЯ СЕБЕСТОИМОСТЬ ВОДА 2017'!X198)</f>
        <v>0</v>
      </c>
      <c r="BD57" s="4249">
        <f>SUM(BD58:BD63)</f>
        <v>1067</v>
      </c>
      <c r="BE57" s="4205">
        <f>SUM('Произв. прогр. Вода (СВОД)'!T62)</f>
        <v>890.18997727121007</v>
      </c>
      <c r="BF57" s="4205">
        <f>SUM('ПОЛНАЯ СЕБЕСТОИМОСТЬ ВОДА 2017'!Y198)</f>
        <v>0</v>
      </c>
      <c r="BG57" s="4249">
        <f>SUM(BG58:BG63)</f>
        <v>1104.72</v>
      </c>
      <c r="BH57" s="4205">
        <f>SUM('Произв. прогр. Вода (СВОД)'!U62)</f>
        <v>890.18997727121007</v>
      </c>
      <c r="BI57" s="4205">
        <f>SUM('ПОЛНАЯ СЕБЕСТОИМОСТЬ ВОДА 2017'!Z198)</f>
        <v>0</v>
      </c>
      <c r="BJ57" s="4249">
        <f>SUM(BJ58:BJ63)</f>
        <v>925.73</v>
      </c>
      <c r="BK57" s="4281">
        <f t="shared" si="117"/>
        <v>2670.5699318136303</v>
      </c>
      <c r="BL57" s="4281">
        <f t="shared" si="117"/>
        <v>0</v>
      </c>
      <c r="BM57" s="4281">
        <f t="shared" si="117"/>
        <v>3097.4500000000003</v>
      </c>
      <c r="BN57" s="4282">
        <f t="shared" si="105"/>
        <v>-2670.5699318136303</v>
      </c>
      <c r="BO57" s="4282">
        <f t="shared" si="106"/>
        <v>-100</v>
      </c>
      <c r="BP57" s="4281">
        <f t="shared" si="118"/>
        <v>10405.56974791137</v>
      </c>
      <c r="BQ57" s="4281">
        <f t="shared" si="118"/>
        <v>10271.630000000001</v>
      </c>
      <c r="BR57" s="4281">
        <f t="shared" si="118"/>
        <v>12499.650000000001</v>
      </c>
      <c r="BS57" s="4282">
        <f t="shared" si="109"/>
        <v>-133.93974791136861</v>
      </c>
      <c r="BT57" s="4282">
        <f t="shared" si="110"/>
        <v>-1.2871928318798047</v>
      </c>
      <c r="BU57" s="435"/>
      <c r="BV57" s="435"/>
      <c r="BW57" s="435"/>
      <c r="BX57" s="435"/>
    </row>
    <row r="58" spans="1:76" ht="18.75">
      <c r="A58" s="4125" t="s">
        <v>1747</v>
      </c>
      <c r="B58" s="4164">
        <f>SUM('Произв. прогр. Вода (СВОД)'!E63)</f>
        <v>597.59134121208888</v>
      </c>
      <c r="C58" s="4164">
        <f>SUM('ПОЛНАЯ СЕБЕСТОИМОСТЬ ВОДА 2017'!C199)</f>
        <v>700.88</v>
      </c>
      <c r="D58" s="4266">
        <v>609.92999999999995</v>
      </c>
      <c r="E58" s="4164">
        <f>SUM('Произв. прогр. Вода (СВОД)'!F63)</f>
        <v>597.59134121208888</v>
      </c>
      <c r="F58" s="4164">
        <f>SUM('ПОЛНАЯ СЕБЕСТОИМОСТЬ ВОДА 2017'!D199)</f>
        <v>770.7</v>
      </c>
      <c r="G58" s="4266">
        <v>613.73</v>
      </c>
      <c r="H58" s="4164">
        <f>SUM('Произв. прогр. Вода (СВОД)'!G63)</f>
        <v>597.59134121208888</v>
      </c>
      <c r="I58" s="4164">
        <f>SUM('ПОЛНАЯ СЕБЕСТОИМОСТЬ ВОДА 2017'!E199)</f>
        <v>704.82</v>
      </c>
      <c r="J58" s="4266">
        <v>672.08</v>
      </c>
      <c r="K58" s="4150">
        <f t="shared" si="112"/>
        <v>1792.7740236362665</v>
      </c>
      <c r="L58" s="4150">
        <f t="shared" si="112"/>
        <v>2176.4</v>
      </c>
      <c r="M58" s="4150">
        <f t="shared" si="112"/>
        <v>1895.7399999999998</v>
      </c>
      <c r="N58" s="4149">
        <f t="shared" si="88"/>
        <v>383.62597636373357</v>
      </c>
      <c r="O58" s="4149">
        <f t="shared" si="89"/>
        <v>21.398456877773622</v>
      </c>
      <c r="P58" s="4164">
        <f>SUM('Произв. прогр. Вода (СВОД)'!I63)</f>
        <v>597.59134121208888</v>
      </c>
      <c r="Q58" s="4164">
        <f>SUM('ПОЛНАЯ СЕБЕСТОИМОСТЬ ВОДА 2017'!H199)</f>
        <v>680.34</v>
      </c>
      <c r="R58" s="4266">
        <v>616.12</v>
      </c>
      <c r="S58" s="4164">
        <f>SUM('Произв. прогр. Вода (СВОД)'!J63)</f>
        <v>597.59134121208888</v>
      </c>
      <c r="T58" s="4164">
        <f>SUM('ПОЛНАЯ СЕБЕСТОИМОСТЬ ВОДА 2017'!I199)</f>
        <v>805.05</v>
      </c>
      <c r="U58" s="4266">
        <v>686.14</v>
      </c>
      <c r="V58" s="4164">
        <f>SUM('Произв. прогр. Вода (СВОД)'!K63)</f>
        <v>597.59134121208888</v>
      </c>
      <c r="W58" s="4164">
        <f>SUM('ПОЛНАЯ СЕБЕСТОИМОСТЬ ВОДА 2017'!J199)</f>
        <v>878.38</v>
      </c>
      <c r="X58" s="4266">
        <v>730.38</v>
      </c>
      <c r="Y58" s="4150">
        <f t="shared" si="113"/>
        <v>1792.7740236362665</v>
      </c>
      <c r="Z58" s="4150">
        <f t="shared" si="113"/>
        <v>2363.77</v>
      </c>
      <c r="AA58" s="4150">
        <f t="shared" si="113"/>
        <v>2032.6399999999999</v>
      </c>
      <c r="AB58" s="4149">
        <f t="shared" si="91"/>
        <v>570.99597636373346</v>
      </c>
      <c r="AC58" s="4149">
        <f t="shared" si="92"/>
        <v>31.849857753158862</v>
      </c>
      <c r="AD58" s="4150">
        <f t="shared" si="114"/>
        <v>3585.548047272533</v>
      </c>
      <c r="AE58" s="4150">
        <f t="shared" si="114"/>
        <v>4540.17</v>
      </c>
      <c r="AF58" s="4150">
        <f t="shared" si="114"/>
        <v>3928.3799999999997</v>
      </c>
      <c r="AG58" s="4149">
        <f t="shared" si="95"/>
        <v>954.62195272746703</v>
      </c>
      <c r="AH58" s="4149">
        <f t="shared" si="96"/>
        <v>26.624157315466242</v>
      </c>
      <c r="AI58" s="4164">
        <f>SUM('Произв. прогр. Вода (СВОД)'!N63)</f>
        <v>633.62609908717786</v>
      </c>
      <c r="AJ58" s="4164">
        <f>SUM('ПОЛНАЯ СЕБЕСТОИМОСТЬ ВОДА 2017'!P199)</f>
        <v>707.71</v>
      </c>
      <c r="AK58" s="4266">
        <v>620.78</v>
      </c>
      <c r="AL58" s="4164">
        <f>SUM('Произв. прогр. Вода (СВОД)'!O63)</f>
        <v>633.62609908717786</v>
      </c>
      <c r="AM58" s="4164">
        <f>SUM('ПОЛНАЯ СЕБЕСТОИМОСТЬ ВОДА 2017'!Q199)</f>
        <v>781.88</v>
      </c>
      <c r="AN58" s="4266">
        <v>766.05</v>
      </c>
      <c r="AO58" s="4164">
        <f>SUM('Произв. прогр. Вода (СВОД)'!P63)</f>
        <v>633.62609908717786</v>
      </c>
      <c r="AP58" s="4164">
        <f>SUM('ПОЛНАЯ СЕБЕСТОИМОСТЬ ВОДА 2017'!R199)</f>
        <v>730.95</v>
      </c>
      <c r="AQ58" s="4266">
        <v>649.32000000000005</v>
      </c>
      <c r="AR58" s="4150">
        <f t="shared" si="115"/>
        <v>1900.8782972615336</v>
      </c>
      <c r="AS58" s="4150">
        <f t="shared" si="115"/>
        <v>2220.54</v>
      </c>
      <c r="AT58" s="4150">
        <f t="shared" si="115"/>
        <v>2036.15</v>
      </c>
      <c r="AU58" s="4149">
        <f t="shared" si="98"/>
        <v>319.66170273846637</v>
      </c>
      <c r="AV58" s="4149">
        <f t="shared" si="99"/>
        <v>16.816526507719161</v>
      </c>
      <c r="AW58" s="4150">
        <f t="shared" si="116"/>
        <v>5486.4263445340666</v>
      </c>
      <c r="AX58" s="4150">
        <f t="shared" si="116"/>
        <v>6760.71</v>
      </c>
      <c r="AY58" s="4150">
        <f t="shared" si="116"/>
        <v>5964.53</v>
      </c>
      <c r="AZ58" s="4149">
        <f t="shared" si="102"/>
        <v>1274.2836554659334</v>
      </c>
      <c r="BA58" s="4149">
        <f t="shared" si="103"/>
        <v>23.226114330969875</v>
      </c>
      <c r="BB58" s="4164">
        <f>SUM('Произв. прогр. Вода (СВОД)'!S63)</f>
        <v>633.62609908717786</v>
      </c>
      <c r="BC58" s="4164">
        <f>SUM('ПОЛНАЯ СЕБЕСТОИМОСТЬ ВОДА 2017'!X199)</f>
        <v>0</v>
      </c>
      <c r="BD58" s="4209">
        <v>687.96</v>
      </c>
      <c r="BE58" s="4165">
        <f>SUM('Произв. прогр. Вода (СВОД)'!T63)</f>
        <v>633.62609908717786</v>
      </c>
      <c r="BF58" s="4165">
        <f>SUM('ПОЛНАЯ СЕБЕСТОИМОСТЬ ВОДА 2017'!Y199)</f>
        <v>0</v>
      </c>
      <c r="BG58" s="4209">
        <v>707.44</v>
      </c>
      <c r="BH58" s="4165">
        <f>SUM('Произв. прогр. Вода (СВОД)'!U63)</f>
        <v>633.62609908717786</v>
      </c>
      <c r="BI58" s="4165">
        <f>SUM('ПОЛНАЯ СЕБЕСТОИМОСТЬ ВОДА 2017'!Z199)</f>
        <v>0</v>
      </c>
      <c r="BJ58" s="4209">
        <v>549.21</v>
      </c>
      <c r="BK58" s="4258">
        <f t="shared" si="117"/>
        <v>1900.8782972615336</v>
      </c>
      <c r="BL58" s="4258">
        <f t="shared" si="117"/>
        <v>0</v>
      </c>
      <c r="BM58" s="4258">
        <f t="shared" si="117"/>
        <v>1944.6100000000001</v>
      </c>
      <c r="BN58" s="4283">
        <f t="shared" si="105"/>
        <v>-1900.8782972615336</v>
      </c>
      <c r="BO58" s="4283">
        <f t="shared" si="106"/>
        <v>-100</v>
      </c>
      <c r="BP58" s="4258">
        <f t="shared" si="118"/>
        <v>7387.3046417956002</v>
      </c>
      <c r="BQ58" s="4258">
        <f t="shared" si="118"/>
        <v>6760.71</v>
      </c>
      <c r="BR58" s="4258">
        <f t="shared" si="118"/>
        <v>7909.1399999999994</v>
      </c>
      <c r="BS58" s="4283">
        <f t="shared" si="109"/>
        <v>-626.59464179560018</v>
      </c>
      <c r="BT58" s="4283">
        <f t="shared" si="110"/>
        <v>-8.4820468652460566</v>
      </c>
      <c r="BU58" s="435"/>
      <c r="BV58" s="435"/>
      <c r="BW58" s="435"/>
      <c r="BX58" s="435"/>
    </row>
    <row r="59" spans="1:76" ht="18.75">
      <c r="A59" s="4125" t="s">
        <v>1748</v>
      </c>
      <c r="B59" s="4164">
        <f>SUM('Произв. прогр. Вода (СВОД)'!E64)</f>
        <v>167.2234165080672</v>
      </c>
      <c r="C59" s="4164">
        <f>SUM('ПОЛНАЯ СЕБЕСТОИМОСТЬ ВОДА 2017'!C200)</f>
        <v>211.04</v>
      </c>
      <c r="D59" s="4266">
        <v>183.11</v>
      </c>
      <c r="E59" s="4164">
        <f>SUM('Произв. прогр. Вода (СВОД)'!F64)</f>
        <v>167.2234165080672</v>
      </c>
      <c r="F59" s="4164">
        <f>SUM('ПОЛНАЯ СЕБЕСТОИМОСТЬ ВОДА 2017'!D200)</f>
        <v>231.23</v>
      </c>
      <c r="G59" s="4266">
        <v>184.09</v>
      </c>
      <c r="H59" s="4164">
        <f>SUM('Произв. прогр. Вода (СВОД)'!G64)</f>
        <v>167.2234165080672</v>
      </c>
      <c r="I59" s="4164">
        <f>SUM('ПОЛНАЯ СЕБЕСТОИМОСТЬ ВОДА 2017'!E200)</f>
        <v>212.18</v>
      </c>
      <c r="J59" s="4266">
        <v>202.5</v>
      </c>
      <c r="K59" s="4150">
        <f t="shared" si="112"/>
        <v>501.67024952420161</v>
      </c>
      <c r="L59" s="4150">
        <f t="shared" si="112"/>
        <v>654.45000000000005</v>
      </c>
      <c r="M59" s="4150">
        <f t="shared" si="112"/>
        <v>569.70000000000005</v>
      </c>
      <c r="N59" s="4149">
        <f t="shared" si="88"/>
        <v>152.77975047579844</v>
      </c>
      <c r="O59" s="4149">
        <f t="shared" si="89"/>
        <v>30.454217809547028</v>
      </c>
      <c r="P59" s="4164">
        <f>SUM('Произв. прогр. Вода (СВОД)'!I64)</f>
        <v>167.2234165080672</v>
      </c>
      <c r="Q59" s="4164">
        <f>SUM('ПОЛНАЯ СЕБЕСТОИМОСТЬ ВОДА 2017'!H200)</f>
        <v>205.46</v>
      </c>
      <c r="R59" s="4266">
        <v>184.47</v>
      </c>
      <c r="S59" s="4164">
        <f>SUM('Произв. прогр. Вода (СВОД)'!J64)</f>
        <v>167.2234165080672</v>
      </c>
      <c r="T59" s="4164">
        <f>SUM('ПОЛНАЯ СЕБЕСТОИМОСТЬ ВОДА 2017'!I200)</f>
        <v>243.06</v>
      </c>
      <c r="U59" s="4266">
        <v>205.97</v>
      </c>
      <c r="V59" s="4164">
        <f>SUM('Произв. прогр. Вода (СВОД)'!K64)</f>
        <v>167.2234165080672</v>
      </c>
      <c r="W59" s="4164">
        <f>SUM('ПОЛНАЯ СЕБЕСТОИМОСТЬ ВОДА 2017'!J200)</f>
        <v>262.07</v>
      </c>
      <c r="X59" s="4266">
        <v>219.52</v>
      </c>
      <c r="Y59" s="4150">
        <f t="shared" si="113"/>
        <v>501.67024952420161</v>
      </c>
      <c r="Z59" s="4150">
        <f t="shared" si="113"/>
        <v>710.58999999999992</v>
      </c>
      <c r="AA59" s="4150">
        <f t="shared" si="113"/>
        <v>609.96</v>
      </c>
      <c r="AB59" s="4149">
        <f t="shared" si="91"/>
        <v>208.91975047579831</v>
      </c>
      <c r="AC59" s="4149">
        <f t="shared" si="92"/>
        <v>41.644835561595244</v>
      </c>
      <c r="AD59" s="4150">
        <f t="shared" si="114"/>
        <v>1003.3404990484032</v>
      </c>
      <c r="AE59" s="4150">
        <f t="shared" si="114"/>
        <v>1365.04</v>
      </c>
      <c r="AF59" s="4150">
        <f t="shared" si="114"/>
        <v>1179.6600000000001</v>
      </c>
      <c r="AG59" s="4149">
        <f t="shared" si="95"/>
        <v>361.69950095159675</v>
      </c>
      <c r="AH59" s="4149">
        <f t="shared" si="96"/>
        <v>36.049526685571138</v>
      </c>
      <c r="AI59" s="4164">
        <f>SUM('Произв. прогр. Вода (СВОД)'!N64)</f>
        <v>177.30698852350361</v>
      </c>
      <c r="AJ59" s="4164">
        <f>SUM('ПОЛНАЯ СЕБЕСТОИМОСТЬ ВОДА 2017'!P200)</f>
        <v>210.87</v>
      </c>
      <c r="AK59" s="4266">
        <v>187.45</v>
      </c>
      <c r="AL59" s="4164">
        <f>SUM('Произв. прогр. Вода (СВОД)'!O64)</f>
        <v>177.30698852350361</v>
      </c>
      <c r="AM59" s="4164">
        <f>SUM('ПОЛНАЯ СЕБЕСТОИМОСТЬ ВОДА 2017'!Q200)</f>
        <v>228.78</v>
      </c>
      <c r="AN59" s="4266">
        <v>229.07</v>
      </c>
      <c r="AO59" s="4164">
        <f>SUM('Произв. прогр. Вода (СВОД)'!P64)</f>
        <v>177.30698852350361</v>
      </c>
      <c r="AP59" s="4164">
        <f>SUM('ПОЛНАЯ СЕБЕСТОИМОСТЬ ВОДА 2017'!R200)</f>
        <v>235.34</v>
      </c>
      <c r="AQ59" s="4266">
        <v>189.09</v>
      </c>
      <c r="AR59" s="4150">
        <f t="shared" si="115"/>
        <v>531.92096557051082</v>
      </c>
      <c r="AS59" s="4150">
        <f t="shared" si="115"/>
        <v>674.99</v>
      </c>
      <c r="AT59" s="4150">
        <f t="shared" si="115"/>
        <v>605.61</v>
      </c>
      <c r="AU59" s="4149">
        <f t="shared" si="98"/>
        <v>143.06903442948919</v>
      </c>
      <c r="AV59" s="4149">
        <f t="shared" si="99"/>
        <v>26.896671439908516</v>
      </c>
      <c r="AW59" s="4150">
        <f t="shared" si="116"/>
        <v>1535.261464618914</v>
      </c>
      <c r="AX59" s="4150">
        <f t="shared" si="116"/>
        <v>2040.03</v>
      </c>
      <c r="AY59" s="4150">
        <f t="shared" si="116"/>
        <v>1785.27</v>
      </c>
      <c r="AZ59" s="4149">
        <f t="shared" si="102"/>
        <v>504.76853538108594</v>
      </c>
      <c r="BA59" s="4149">
        <f t="shared" si="103"/>
        <v>32.878343331986173</v>
      </c>
      <c r="BB59" s="4164">
        <f>SUM('Произв. прогр. Вода (СВОД)'!S64)</f>
        <v>177.30698852350361</v>
      </c>
      <c r="BC59" s="4164">
        <f>SUM('ПОЛНАЯ СЕБЕСТОИМОСТЬ ВОДА 2017'!X200)</f>
        <v>0</v>
      </c>
      <c r="BD59" s="4209">
        <v>192.71</v>
      </c>
      <c r="BE59" s="4165">
        <f>SUM('Произв. прогр. Вода (СВОД)'!T64)</f>
        <v>177.30698852350361</v>
      </c>
      <c r="BF59" s="4165">
        <f>SUM('ПОЛНАЯ СЕБЕСТОИМОСТЬ ВОДА 2017'!Y200)</f>
        <v>0</v>
      </c>
      <c r="BG59" s="4209">
        <v>190.66</v>
      </c>
      <c r="BH59" s="4165">
        <f>SUM('Произв. прогр. Вода (СВОД)'!U64)</f>
        <v>177.30698852350361</v>
      </c>
      <c r="BI59" s="4165">
        <f>SUM('ПОЛНАЯ СЕБЕСТОИМОСТЬ ВОДА 2017'!Z200)</f>
        <v>0</v>
      </c>
      <c r="BJ59" s="4209">
        <v>195.3</v>
      </c>
      <c r="BK59" s="4258">
        <f t="shared" si="117"/>
        <v>531.92096557051082</v>
      </c>
      <c r="BL59" s="4258">
        <f t="shared" si="117"/>
        <v>0</v>
      </c>
      <c r="BM59" s="4258">
        <f t="shared" si="117"/>
        <v>578.67000000000007</v>
      </c>
      <c r="BN59" s="4283">
        <f t="shared" si="105"/>
        <v>-531.92096557051082</v>
      </c>
      <c r="BO59" s="4283">
        <f t="shared" si="106"/>
        <v>-100</v>
      </c>
      <c r="BP59" s="4258">
        <f t="shared" si="118"/>
        <v>2067.1824301894248</v>
      </c>
      <c r="BQ59" s="4258">
        <f t="shared" si="118"/>
        <v>2040.03</v>
      </c>
      <c r="BR59" s="4258">
        <f t="shared" si="118"/>
        <v>2363.94</v>
      </c>
      <c r="BS59" s="4283">
        <f t="shared" si="109"/>
        <v>-27.152430189424877</v>
      </c>
      <c r="BT59" s="4283">
        <f t="shared" si="110"/>
        <v>-1.3134994663696316</v>
      </c>
      <c r="BU59" s="435"/>
      <c r="BV59" s="435"/>
      <c r="BW59" s="435"/>
      <c r="BX59" s="435"/>
    </row>
    <row r="60" spans="1:76" ht="18.75">
      <c r="A60" s="4125" t="s">
        <v>285</v>
      </c>
      <c r="B60" s="4164"/>
      <c r="C60" s="4164">
        <f>SUM('ПОЛНАЯ СЕБЕСТОИМОСТЬ ВОДА 2017'!C201)</f>
        <v>0.02</v>
      </c>
      <c r="D60" s="4266">
        <v>4</v>
      </c>
      <c r="E60" s="4164"/>
      <c r="F60" s="4164">
        <f>SUM('ПОЛНАЯ СЕБЕСТОИМОСТЬ ВОДА 2017'!D201)</f>
        <v>0.02</v>
      </c>
      <c r="G60" s="4266">
        <v>3.51</v>
      </c>
      <c r="H60" s="4164"/>
      <c r="I60" s="4164">
        <f>SUM('ПОЛНАЯ СЕБЕСТОИМОСТЬ ВОДА 2017'!E201)</f>
        <v>0.02</v>
      </c>
      <c r="J60" s="4266">
        <v>3.28</v>
      </c>
      <c r="K60" s="4150"/>
      <c r="L60" s="4150">
        <f t="shared" si="112"/>
        <v>0.06</v>
      </c>
      <c r="M60" s="4150">
        <f t="shared" si="112"/>
        <v>10.79</v>
      </c>
      <c r="N60" s="4149"/>
      <c r="O60" s="4149"/>
      <c r="P60" s="4164"/>
      <c r="Q60" s="4164">
        <f>SUM('ПОЛНАЯ СЕБЕСТОИМОСТЬ ВОДА 2017'!H201)</f>
        <v>0.02</v>
      </c>
      <c r="R60" s="4266">
        <v>2.72</v>
      </c>
      <c r="S60" s="4164"/>
      <c r="T60" s="4164">
        <f>SUM('ПОЛНАЯ СЕБЕСТОИМОСТЬ ВОДА 2017'!I201)</f>
        <v>0.02</v>
      </c>
      <c r="U60" s="4266">
        <v>2.57</v>
      </c>
      <c r="V60" s="4164"/>
      <c r="W60" s="4164">
        <f>SUM('ПОЛНАЯ СЕБЕСТОИМОСТЬ ВОДА 2017'!J201)</f>
        <v>0.02</v>
      </c>
      <c r="X60" s="4266">
        <v>2.36</v>
      </c>
      <c r="Y60" s="4150"/>
      <c r="Z60" s="4150">
        <f t="shared" si="113"/>
        <v>0.06</v>
      </c>
      <c r="AA60" s="4150">
        <f t="shared" si="113"/>
        <v>7.65</v>
      </c>
      <c r="AB60" s="4149"/>
      <c r="AC60" s="4149"/>
      <c r="AD60" s="4150"/>
      <c r="AE60" s="4150">
        <f t="shared" si="114"/>
        <v>0.12</v>
      </c>
      <c r="AF60" s="4150">
        <f t="shared" si="114"/>
        <v>18.439999999999998</v>
      </c>
      <c r="AG60" s="4149"/>
      <c r="AH60" s="4149"/>
      <c r="AI60" s="4164"/>
      <c r="AJ60" s="4164">
        <f>SUM('ПОЛНАЯ СЕБЕСТОИМОСТЬ ВОДА 2017'!P201)</f>
        <v>0.56000000000000005</v>
      </c>
      <c r="AK60" s="4266">
        <v>2.09</v>
      </c>
      <c r="AL60" s="4164"/>
      <c r="AM60" s="4164">
        <f>SUM('ПОЛНАЯ СЕБЕСТОИМОСТЬ ВОДА 2017'!Q201)</f>
        <v>0.02</v>
      </c>
      <c r="AN60" s="4266">
        <v>2.11</v>
      </c>
      <c r="AO60" s="4164"/>
      <c r="AP60" s="4164">
        <f>SUM('ПОЛНАЯ СЕБЕСТОИМОСТЬ ВОДА 2017'!R201)</f>
        <v>0.01</v>
      </c>
      <c r="AQ60" s="4266">
        <v>0.46</v>
      </c>
      <c r="AR60" s="4150"/>
      <c r="AS60" s="4150">
        <f t="shared" si="115"/>
        <v>0.59000000000000008</v>
      </c>
      <c r="AT60" s="4150">
        <f t="shared" si="115"/>
        <v>4.6599999999999993</v>
      </c>
      <c r="AU60" s="4149"/>
      <c r="AV60" s="4149"/>
      <c r="AW60" s="4150"/>
      <c r="AX60" s="4150">
        <f t="shared" si="116"/>
        <v>0.71000000000000008</v>
      </c>
      <c r="AY60" s="4150">
        <f t="shared" si="116"/>
        <v>23.099999999999998</v>
      </c>
      <c r="AZ60" s="4149"/>
      <c r="BA60" s="4149"/>
      <c r="BB60" s="4164"/>
      <c r="BC60" s="4164">
        <f>SUM('ПОЛНАЯ СЕБЕСТОИМОСТЬ ВОДА 2017'!X201)</f>
        <v>0</v>
      </c>
      <c r="BD60" s="4209">
        <v>0</v>
      </c>
      <c r="BE60" s="4165"/>
      <c r="BF60" s="4165">
        <f>SUM('ПОЛНАЯ СЕБЕСТОИМОСТЬ ВОДА 2017'!Y201)</f>
        <v>0</v>
      </c>
      <c r="BG60" s="4209">
        <v>0.01</v>
      </c>
      <c r="BH60" s="4165"/>
      <c r="BI60" s="4165">
        <f>SUM('ПОЛНАЯ СЕБЕСТОИМОСТЬ ВОДА 2017'!Z201)</f>
        <v>0</v>
      </c>
      <c r="BJ60" s="4209">
        <v>0.02</v>
      </c>
      <c r="BK60" s="4258"/>
      <c r="BL60" s="4258">
        <f t="shared" si="117"/>
        <v>0</v>
      </c>
      <c r="BM60" s="4258">
        <f t="shared" si="117"/>
        <v>0.03</v>
      </c>
      <c r="BN60" s="4283"/>
      <c r="BO60" s="4283"/>
      <c r="BP60" s="4258"/>
      <c r="BQ60" s="4258">
        <f t="shared" si="118"/>
        <v>0.71000000000000008</v>
      </c>
      <c r="BR60" s="4258">
        <f t="shared" si="118"/>
        <v>23.13</v>
      </c>
      <c r="BS60" s="4283"/>
      <c r="BT60" s="4283"/>
      <c r="BU60" s="435"/>
      <c r="BV60" s="435"/>
      <c r="BW60" s="435"/>
      <c r="BX60" s="435"/>
    </row>
    <row r="61" spans="1:76" ht="18.75">
      <c r="A61" s="4125" t="s">
        <v>1882</v>
      </c>
      <c r="B61" s="4164"/>
      <c r="C61" s="4164">
        <f>SUM('ПОЛНАЯ СЕБЕСТОИМОСТЬ ВОДА 2017'!C202)</f>
        <v>9.94</v>
      </c>
      <c r="D61" s="4266">
        <v>11.66</v>
      </c>
      <c r="E61" s="4164"/>
      <c r="F61" s="4164">
        <f>SUM('ПОЛНАЯ СЕБЕСТОИМОСТЬ ВОДА 2017'!D202)</f>
        <v>9.26</v>
      </c>
      <c r="G61" s="4266">
        <v>8.84</v>
      </c>
      <c r="H61" s="4164"/>
      <c r="I61" s="4164">
        <f>SUM('ПОЛНАЯ СЕБЕСТОИМОСТЬ ВОДА 2017'!E202)</f>
        <v>7.9</v>
      </c>
      <c r="J61" s="4266">
        <v>6.94</v>
      </c>
      <c r="K61" s="4150"/>
      <c r="L61" s="4150">
        <f t="shared" si="112"/>
        <v>27.1</v>
      </c>
      <c r="M61" s="4150">
        <f t="shared" si="112"/>
        <v>27.44</v>
      </c>
      <c r="N61" s="4149"/>
      <c r="O61" s="4149"/>
      <c r="P61" s="4164"/>
      <c r="Q61" s="4164">
        <f>SUM('ПОЛНАЯ СЕБЕСТОИМОСТЬ ВОДА 2017'!H202)</f>
        <v>6.21</v>
      </c>
      <c r="R61" s="4266">
        <v>4.8600000000000003</v>
      </c>
      <c r="S61" s="4164"/>
      <c r="T61" s="4164">
        <f>SUM('ПОЛНАЯ СЕБЕСТОИМОСТЬ ВОДА 2017'!I202)</f>
        <v>4.74</v>
      </c>
      <c r="U61" s="4266">
        <v>0.98</v>
      </c>
      <c r="V61" s="4164"/>
      <c r="W61" s="4164">
        <f>SUM('ПОЛНАЯ СЕБЕСТОИМОСТЬ ВОДА 2017'!J202)</f>
        <v>0</v>
      </c>
      <c r="X61" s="4266">
        <v>0</v>
      </c>
      <c r="Y61" s="4150"/>
      <c r="Z61" s="4150">
        <f t="shared" si="113"/>
        <v>10.95</v>
      </c>
      <c r="AA61" s="4150">
        <f t="shared" si="113"/>
        <v>5.84</v>
      </c>
      <c r="AB61" s="4149"/>
      <c r="AC61" s="4149"/>
      <c r="AD61" s="4150"/>
      <c r="AE61" s="4150">
        <f t="shared" si="114"/>
        <v>38.049999999999997</v>
      </c>
      <c r="AF61" s="4150">
        <f t="shared" si="114"/>
        <v>33.28</v>
      </c>
      <c r="AG61" s="4149"/>
      <c r="AH61" s="4149"/>
      <c r="AI61" s="4164"/>
      <c r="AJ61" s="4164">
        <f>SUM('ПОЛНАЯ СЕБЕСТОИМОСТЬ ВОДА 2017'!P202)</f>
        <v>0</v>
      </c>
      <c r="AK61" s="4266">
        <v>0</v>
      </c>
      <c r="AL61" s="4164"/>
      <c r="AM61" s="4164">
        <f>SUM('ПОЛНАЯ СЕБЕСТОИМОСТЬ ВОДА 2017'!Q202)</f>
        <v>0</v>
      </c>
      <c r="AN61" s="4266">
        <v>0</v>
      </c>
      <c r="AO61" s="4164"/>
      <c r="AP61" s="4164">
        <f>SUM('ПОЛНАЯ СЕБЕСТОИМОСТЬ ВОДА 2017'!R202)</f>
        <v>2.14</v>
      </c>
      <c r="AQ61" s="4266">
        <v>1.83</v>
      </c>
      <c r="AR61" s="4150"/>
      <c r="AS61" s="4150">
        <f t="shared" si="115"/>
        <v>2.14</v>
      </c>
      <c r="AT61" s="4150">
        <f t="shared" si="115"/>
        <v>1.83</v>
      </c>
      <c r="AU61" s="4149"/>
      <c r="AV61" s="4149"/>
      <c r="AW61" s="4150"/>
      <c r="AX61" s="4150">
        <f t="shared" si="116"/>
        <v>40.19</v>
      </c>
      <c r="AY61" s="4150">
        <f t="shared" si="116"/>
        <v>35.11</v>
      </c>
      <c r="AZ61" s="4149"/>
      <c r="BA61" s="4149"/>
      <c r="BB61" s="4164"/>
      <c r="BC61" s="4164">
        <f>SUM('ПОЛНАЯ СЕБЕСТОИМОСТЬ ВОДА 2017'!X202)</f>
        <v>0</v>
      </c>
      <c r="BD61" s="4209">
        <v>5.42</v>
      </c>
      <c r="BE61" s="4165"/>
      <c r="BF61" s="4165">
        <f>SUM('ПОЛНАЯ СЕБЕСТОИМОСТЬ ВОДА 2017'!Y202)</f>
        <v>0</v>
      </c>
      <c r="BG61" s="4209">
        <v>8.15</v>
      </c>
      <c r="BH61" s="4165"/>
      <c r="BI61" s="4165">
        <f>SUM('ПОЛНАЯ СЕБЕСТОИМОСТЬ ВОДА 2017'!Z202)</f>
        <v>0</v>
      </c>
      <c r="BJ61" s="4209">
        <v>10.63</v>
      </c>
      <c r="BK61" s="4258"/>
      <c r="BL61" s="4258">
        <f t="shared" si="117"/>
        <v>0</v>
      </c>
      <c r="BM61" s="4258">
        <f t="shared" si="117"/>
        <v>24.200000000000003</v>
      </c>
      <c r="BN61" s="4283"/>
      <c r="BO61" s="4283"/>
      <c r="BP61" s="4258"/>
      <c r="BQ61" s="4258">
        <f t="shared" si="118"/>
        <v>40.19</v>
      </c>
      <c r="BR61" s="4258">
        <f t="shared" si="118"/>
        <v>59.31</v>
      </c>
      <c r="BS61" s="4283"/>
      <c r="BT61" s="4283"/>
      <c r="BU61" s="435"/>
      <c r="BV61" s="435"/>
      <c r="BW61" s="435"/>
      <c r="BX61" s="435"/>
    </row>
    <row r="62" spans="1:76" ht="18.75">
      <c r="A62" s="4125" t="s">
        <v>286</v>
      </c>
      <c r="B62" s="4164"/>
      <c r="C62" s="4164">
        <f>SUM('ПОЛНАЯ СЕБЕСТОИМОСТЬ ВОДА 2017'!C203)</f>
        <v>6.13</v>
      </c>
      <c r="D62" s="4266">
        <v>6.45</v>
      </c>
      <c r="E62" s="4164"/>
      <c r="F62" s="4164">
        <f>SUM('ПОЛНАЯ СЕБЕСТОИМОСТЬ ВОДА 2017'!D203)</f>
        <v>6.49</v>
      </c>
      <c r="G62" s="4266">
        <v>6.3</v>
      </c>
      <c r="H62" s="4164"/>
      <c r="I62" s="4164">
        <f>SUM('ПОЛНАЯ СЕБЕСТОИМОСТЬ ВОДА 2017'!E203)</f>
        <v>6.18</v>
      </c>
      <c r="J62" s="4266">
        <v>6.21</v>
      </c>
      <c r="K62" s="4150"/>
      <c r="L62" s="4150">
        <f t="shared" si="112"/>
        <v>18.8</v>
      </c>
      <c r="M62" s="4150">
        <f t="shared" si="112"/>
        <v>18.96</v>
      </c>
      <c r="N62" s="4149"/>
      <c r="O62" s="4149"/>
      <c r="P62" s="4164"/>
      <c r="Q62" s="4164">
        <f>SUM('ПОЛНАЯ СЕБЕСТОИМОСТЬ ВОДА 2017'!H203)</f>
        <v>6.37</v>
      </c>
      <c r="R62" s="4266">
        <v>6.33</v>
      </c>
      <c r="S62" s="4164"/>
      <c r="T62" s="4164">
        <f>SUM('ПОЛНАЯ СЕБЕСТОИМОСТЬ ВОДА 2017'!I203)</f>
        <v>6.6</v>
      </c>
      <c r="U62" s="4266">
        <v>6.31</v>
      </c>
      <c r="V62" s="4164"/>
      <c r="W62" s="4164">
        <f>SUM('ПОЛНАЯ СЕБЕСТОИМОСТЬ ВОДА 2017'!J203)</f>
        <v>6.48</v>
      </c>
      <c r="X62" s="4266">
        <v>6.5</v>
      </c>
      <c r="Y62" s="4150"/>
      <c r="Z62" s="4150">
        <f t="shared" si="113"/>
        <v>19.45</v>
      </c>
      <c r="AA62" s="4150">
        <f t="shared" si="113"/>
        <v>19.14</v>
      </c>
      <c r="AB62" s="4149"/>
      <c r="AC62" s="4149"/>
      <c r="AD62" s="4150"/>
      <c r="AE62" s="4150">
        <f t="shared" si="114"/>
        <v>38.25</v>
      </c>
      <c r="AF62" s="4150">
        <f t="shared" si="114"/>
        <v>38.1</v>
      </c>
      <c r="AG62" s="4149"/>
      <c r="AH62" s="4149"/>
      <c r="AI62" s="4164"/>
      <c r="AJ62" s="4164">
        <f>SUM('ПОЛНАЯ СЕБЕСТОИМОСТЬ ВОДА 2017'!P203)</f>
        <v>6.37</v>
      </c>
      <c r="AK62" s="4266">
        <v>6.19</v>
      </c>
      <c r="AL62" s="4164"/>
      <c r="AM62" s="4164">
        <f>SUM('ПОЛНАЯ СЕБЕСТОИМОСТЬ ВОДА 2017'!Q203)</f>
        <v>6.16</v>
      </c>
      <c r="AN62" s="4266">
        <v>6.48</v>
      </c>
      <c r="AO62" s="4164"/>
      <c r="AP62" s="4164">
        <f>SUM('ПОЛНАЯ СЕБЕСТОИМОСТЬ ВОДА 2017'!R203)</f>
        <v>6.49</v>
      </c>
      <c r="AQ62" s="4266">
        <v>5.99</v>
      </c>
      <c r="AR62" s="4150"/>
      <c r="AS62" s="4150">
        <f t="shared" si="115"/>
        <v>19.020000000000003</v>
      </c>
      <c r="AT62" s="4150">
        <f t="shared" si="115"/>
        <v>18.660000000000004</v>
      </c>
      <c r="AU62" s="4149"/>
      <c r="AV62" s="4149"/>
      <c r="AW62" s="4150"/>
      <c r="AX62" s="4150">
        <f t="shared" si="116"/>
        <v>57.27</v>
      </c>
      <c r="AY62" s="4150">
        <f t="shared" si="116"/>
        <v>56.760000000000005</v>
      </c>
      <c r="AZ62" s="4149"/>
      <c r="BA62" s="4149"/>
      <c r="BB62" s="4164"/>
      <c r="BC62" s="4164">
        <f>SUM('ПОЛНАЯ СЕБЕСТОИМОСТЬ ВОДА 2017'!X203)</f>
        <v>0</v>
      </c>
      <c r="BD62" s="4209">
        <v>6.2</v>
      </c>
      <c r="BE62" s="4165"/>
      <c r="BF62" s="4165">
        <f>SUM('ПОЛНАЯ СЕБЕСТОИМОСТЬ ВОДА 2017'!Y203)</f>
        <v>0</v>
      </c>
      <c r="BG62" s="4209">
        <v>6.24</v>
      </c>
      <c r="BH62" s="4165"/>
      <c r="BI62" s="4165">
        <f>SUM('ПОЛНАЯ СЕБЕСТОИМОСТЬ ВОДА 2017'!Z203)</f>
        <v>0</v>
      </c>
      <c r="BJ62" s="4209">
        <v>6.08</v>
      </c>
      <c r="BK62" s="4258"/>
      <c r="BL62" s="4258">
        <f t="shared" si="117"/>
        <v>0</v>
      </c>
      <c r="BM62" s="4258">
        <f t="shared" si="117"/>
        <v>18.520000000000003</v>
      </c>
      <c r="BN62" s="4283"/>
      <c r="BO62" s="4283"/>
      <c r="BP62" s="4258"/>
      <c r="BQ62" s="4258">
        <f t="shared" si="118"/>
        <v>57.27</v>
      </c>
      <c r="BR62" s="4258">
        <f t="shared" si="118"/>
        <v>75.28</v>
      </c>
      <c r="BS62" s="4283"/>
      <c r="BT62" s="4283"/>
      <c r="BU62" s="435"/>
      <c r="BV62" s="435"/>
      <c r="BW62" s="435"/>
      <c r="BX62" s="435"/>
    </row>
    <row r="63" spans="1:76" ht="18.75">
      <c r="A63" s="4159" t="s">
        <v>1749</v>
      </c>
      <c r="B63" s="4164">
        <f>SUM('Произв. прогр. Вода (СВОД)'!E65)</f>
        <v>79.2568896605286</v>
      </c>
      <c r="C63" s="4164">
        <f>SUM('ПОЛНАЯ СЕБЕСТОИМОСТЬ ВОДА 2017'!C204)</f>
        <v>113.57</v>
      </c>
      <c r="D63" s="4266">
        <v>138.13999999999999</v>
      </c>
      <c r="E63" s="4164">
        <f>SUM('Произв. прогр. Вода (СВОД)'!F65)</f>
        <v>79.2568896605286</v>
      </c>
      <c r="F63" s="4164">
        <f>SUM('ПОЛНАЯ СЕБЕСТОИМОСТЬ ВОДА 2017'!D204)</f>
        <v>126.09</v>
      </c>
      <c r="G63" s="4266">
        <v>122.16</v>
      </c>
      <c r="H63" s="4164">
        <f>SUM('Произв. прогр. Вода (СВОД)'!G65)</f>
        <v>79.2568896605286</v>
      </c>
      <c r="I63" s="4164">
        <f>SUM('ПОЛНАЯ СЕБЕСТОИМОСТЬ ВОДА 2017'!E204)</f>
        <v>128.69999999999999</v>
      </c>
      <c r="J63" s="4266">
        <v>126.44</v>
      </c>
      <c r="K63" s="4150">
        <f t="shared" si="112"/>
        <v>237.7706689815858</v>
      </c>
      <c r="L63" s="4150">
        <f t="shared" si="112"/>
        <v>368.36</v>
      </c>
      <c r="M63" s="4150">
        <f t="shared" si="112"/>
        <v>386.73999999999995</v>
      </c>
      <c r="N63" s="4149">
        <f t="shared" si="88"/>
        <v>130.58933101841421</v>
      </c>
      <c r="O63" s="4149">
        <f t="shared" si="89"/>
        <v>54.922388694009918</v>
      </c>
      <c r="P63" s="4164">
        <f>SUM('Произв. прогр. Вода (СВОД)'!I65)</f>
        <v>79.2568896605286</v>
      </c>
      <c r="Q63" s="4164">
        <f>SUM('ПОЛНАЯ СЕБЕСТОИМОСТЬ ВОДА 2017'!H204)</f>
        <v>149.19</v>
      </c>
      <c r="R63" s="4266">
        <v>351.89</v>
      </c>
      <c r="S63" s="4164">
        <f>SUM('Произв. прогр. Вода (СВОД)'!J65)</f>
        <v>79.2568896605286</v>
      </c>
      <c r="T63" s="4164">
        <f>SUM('ПОЛНАЯ СЕБЕСТОИМОСТЬ ВОДА 2017'!I204)</f>
        <v>101.19</v>
      </c>
      <c r="U63" s="4266">
        <v>278.82</v>
      </c>
      <c r="V63" s="4164">
        <f>SUM('Произв. прогр. Вода (СВОД)'!K65)</f>
        <v>79.2568896605286</v>
      </c>
      <c r="W63" s="4164">
        <f>SUM('ПОЛНАЯ СЕБЕСТОИМОСТЬ ВОДА 2017'!J204)</f>
        <v>141.35</v>
      </c>
      <c r="X63" s="4266">
        <v>67.62</v>
      </c>
      <c r="Y63" s="4150">
        <f t="shared" si="113"/>
        <v>237.7706689815858</v>
      </c>
      <c r="Z63" s="4150">
        <f t="shared" si="113"/>
        <v>391.73</v>
      </c>
      <c r="AA63" s="4150">
        <f t="shared" si="113"/>
        <v>698.33</v>
      </c>
      <c r="AB63" s="4149">
        <f t="shared" si="91"/>
        <v>153.95933101841422</v>
      </c>
      <c r="AC63" s="4149">
        <f t="shared" si="92"/>
        <v>64.751187216593834</v>
      </c>
      <c r="AD63" s="4150">
        <f t="shared" si="114"/>
        <v>475.5413379631716</v>
      </c>
      <c r="AE63" s="4150">
        <f t="shared" si="114"/>
        <v>760.09</v>
      </c>
      <c r="AF63" s="4150">
        <f t="shared" si="114"/>
        <v>1085.07</v>
      </c>
      <c r="AG63" s="4149">
        <f t="shared" si="95"/>
        <v>284.54866203682843</v>
      </c>
      <c r="AH63" s="4149">
        <f t="shared" si="96"/>
        <v>59.836787955301872</v>
      </c>
      <c r="AI63" s="4164">
        <f>SUM('Произв. прогр. Вода (СВОД)'!N65)</f>
        <v>79.2568896605286</v>
      </c>
      <c r="AJ63" s="4164">
        <f>SUM('ПОЛНАЯ СЕБЕСТОИМОСТЬ ВОДА 2017'!P204)</f>
        <v>168.03</v>
      </c>
      <c r="AK63" s="4266">
        <v>140.16999999999999</v>
      </c>
      <c r="AL63" s="4164">
        <f>SUM('Произв. прогр. Вода (СВОД)'!O65)</f>
        <v>79.2568896605286</v>
      </c>
      <c r="AM63" s="4164">
        <f>SUM('ПОЛНАЯ СЕБЕСТОИМОСТЬ ВОДА 2017'!Q204)</f>
        <v>190.45</v>
      </c>
      <c r="AN63" s="4266">
        <v>77.510000000000005</v>
      </c>
      <c r="AO63" s="4164">
        <f>SUM('Произв. прогр. Вода (СВОД)'!P65)</f>
        <v>79.2568896605286</v>
      </c>
      <c r="AP63" s="4164">
        <f>SUM('ПОЛНАЯ СЕБЕСТОИМОСТЬ ВОДА 2017'!R204)</f>
        <v>254.15</v>
      </c>
      <c r="AQ63" s="4266">
        <v>234.68</v>
      </c>
      <c r="AR63" s="4150">
        <f t="shared" si="115"/>
        <v>237.7706689815858</v>
      </c>
      <c r="AS63" s="4150">
        <f t="shared" si="115"/>
        <v>612.63</v>
      </c>
      <c r="AT63" s="4150">
        <f t="shared" si="115"/>
        <v>452.36</v>
      </c>
      <c r="AU63" s="4149">
        <f t="shared" si="98"/>
        <v>374.8593310184142</v>
      </c>
      <c r="AV63" s="4149">
        <f t="shared" si="99"/>
        <v>157.65583392771009</v>
      </c>
      <c r="AW63" s="4150">
        <f t="shared" si="116"/>
        <v>713.3120069447574</v>
      </c>
      <c r="AX63" s="4150">
        <f t="shared" si="116"/>
        <v>1372.72</v>
      </c>
      <c r="AY63" s="4150">
        <f t="shared" si="116"/>
        <v>1537.4299999999998</v>
      </c>
      <c r="AZ63" s="4149">
        <f t="shared" si="102"/>
        <v>659.40799305524263</v>
      </c>
      <c r="BA63" s="4149">
        <f t="shared" si="103"/>
        <v>92.443136612771283</v>
      </c>
      <c r="BB63" s="4164">
        <f>SUM('Произв. прогр. Вода (СВОД)'!S65)</f>
        <v>79.2568896605286</v>
      </c>
      <c r="BC63" s="4164">
        <f>SUM('ПОЛНАЯ СЕБЕСТОИМОСТЬ ВОДА 2017'!X204)</f>
        <v>0</v>
      </c>
      <c r="BD63" s="4209">
        <v>174.71</v>
      </c>
      <c r="BE63" s="4165">
        <f>SUM('Произв. прогр. Вода (СВОД)'!T65)</f>
        <v>79.2568896605286</v>
      </c>
      <c r="BF63" s="4165">
        <f>SUM('ПОЛНАЯ СЕБЕСТОИМОСТЬ ВОДА 2017'!Y204)</f>
        <v>0</v>
      </c>
      <c r="BG63" s="4209">
        <v>192.22</v>
      </c>
      <c r="BH63" s="4165">
        <f>SUM('Произв. прогр. Вода (СВОД)'!U65)</f>
        <v>79.2568896605286</v>
      </c>
      <c r="BI63" s="4165">
        <f>SUM('ПОЛНАЯ СЕБЕСТОИМОСТЬ ВОДА 2017'!Z204)</f>
        <v>0</v>
      </c>
      <c r="BJ63" s="4209">
        <v>164.49</v>
      </c>
      <c r="BK63" s="4258">
        <f t="shared" si="117"/>
        <v>237.7706689815858</v>
      </c>
      <c r="BL63" s="4258">
        <f t="shared" si="117"/>
        <v>0</v>
      </c>
      <c r="BM63" s="4258">
        <f t="shared" si="117"/>
        <v>531.42000000000007</v>
      </c>
      <c r="BN63" s="4283">
        <f t="shared" si="105"/>
        <v>-237.7706689815858</v>
      </c>
      <c r="BO63" s="4283">
        <f t="shared" si="106"/>
        <v>-100</v>
      </c>
      <c r="BP63" s="4258">
        <f t="shared" si="118"/>
        <v>951.0826759263432</v>
      </c>
      <c r="BQ63" s="4258">
        <f t="shared" si="118"/>
        <v>1372.72</v>
      </c>
      <c r="BR63" s="4258">
        <f t="shared" si="118"/>
        <v>2068.85</v>
      </c>
      <c r="BS63" s="4283">
        <f t="shared" si="109"/>
        <v>421.63732407365683</v>
      </c>
      <c r="BT63" s="4283">
        <f t="shared" si="110"/>
        <v>44.332352459578459</v>
      </c>
      <c r="BU63" s="435"/>
      <c r="BV63" s="435"/>
      <c r="BW63" s="435"/>
      <c r="BX63" s="435"/>
    </row>
    <row r="64" spans="1:76" ht="18.75">
      <c r="A64" s="4166" t="s">
        <v>1750</v>
      </c>
      <c r="B64" s="4157">
        <f>SUM('Произв. прогр. Вода (СВОД)'!E66)</f>
        <v>187.86500000000001</v>
      </c>
      <c r="C64" s="4157">
        <f>SUM('ПОЛНАЯ СЕБЕСТОИМОСТЬ ВОДА 2017'!C205)</f>
        <v>0</v>
      </c>
      <c r="D64" s="4158">
        <v>0</v>
      </c>
      <c r="E64" s="4157">
        <f>SUM('Произв. прогр. Вода (СВОД)'!F66)</f>
        <v>187.86500000000001</v>
      </c>
      <c r="F64" s="4157">
        <f>SUM('ПОЛНАЯ СЕБЕСТОИМОСТЬ ВОДА 2017'!D205)</f>
        <v>0</v>
      </c>
      <c r="G64" s="4158">
        <v>0</v>
      </c>
      <c r="H64" s="4157">
        <f>SUM('Произв. прогр. Вода (СВОД)'!G66)</f>
        <v>187.86500000000001</v>
      </c>
      <c r="I64" s="4157">
        <f>SUM('ПОЛНАЯ СЕБЕСТОИМОСТЬ ВОДА 2017'!E205)</f>
        <v>0</v>
      </c>
      <c r="J64" s="4158">
        <v>0</v>
      </c>
      <c r="K64" s="4144">
        <f t="shared" si="112"/>
        <v>563.59500000000003</v>
      </c>
      <c r="L64" s="4144">
        <f t="shared" si="112"/>
        <v>0</v>
      </c>
      <c r="M64" s="4144">
        <f t="shared" si="112"/>
        <v>0</v>
      </c>
      <c r="N64" s="4142">
        <f t="shared" si="88"/>
        <v>-563.59500000000003</v>
      </c>
      <c r="O64" s="4142">
        <f t="shared" si="89"/>
        <v>-100</v>
      </c>
      <c r="P64" s="4157">
        <f>SUM('Произв. прогр. Вода (СВОД)'!I66)</f>
        <v>187.86500000000001</v>
      </c>
      <c r="Q64" s="4157">
        <f>SUM('ПОЛНАЯ СЕБЕСТОИМОСТЬ ВОДА 2017'!H205)</f>
        <v>0</v>
      </c>
      <c r="R64" s="4158">
        <v>0</v>
      </c>
      <c r="S64" s="4157">
        <f>SUM('Произв. прогр. Вода (СВОД)'!J66)</f>
        <v>187.86500000000001</v>
      </c>
      <c r="T64" s="4157">
        <f>SUM('ПОЛНАЯ СЕБЕСТОИМОСТЬ ВОДА 2017'!I205)</f>
        <v>0</v>
      </c>
      <c r="U64" s="4158">
        <v>0</v>
      </c>
      <c r="V64" s="4157">
        <f>SUM('Произв. прогр. Вода (СВОД)'!K66)</f>
        <v>187.86500000000001</v>
      </c>
      <c r="W64" s="4157">
        <f>SUM('ПОЛНАЯ СЕБЕСТОИМОСТЬ ВОДА 2017'!J205)</f>
        <v>0</v>
      </c>
      <c r="X64" s="4158">
        <v>0</v>
      </c>
      <c r="Y64" s="4144">
        <f t="shared" si="113"/>
        <v>563.59500000000003</v>
      </c>
      <c r="Z64" s="4144">
        <f t="shared" si="113"/>
        <v>0</v>
      </c>
      <c r="AA64" s="4144">
        <f t="shared" si="113"/>
        <v>0</v>
      </c>
      <c r="AB64" s="4142">
        <f t="shared" si="91"/>
        <v>-563.59500000000003</v>
      </c>
      <c r="AC64" s="4142">
        <f t="shared" si="92"/>
        <v>-100</v>
      </c>
      <c r="AD64" s="4144">
        <f t="shared" si="114"/>
        <v>1127.19</v>
      </c>
      <c r="AE64" s="4144">
        <f t="shared" si="114"/>
        <v>0</v>
      </c>
      <c r="AF64" s="4144">
        <f t="shared" si="114"/>
        <v>0</v>
      </c>
      <c r="AG64" s="4142">
        <f t="shared" si="95"/>
        <v>-1127.19</v>
      </c>
      <c r="AH64" s="4142">
        <f t="shared" si="96"/>
        <v>-100</v>
      </c>
      <c r="AI64" s="4157">
        <f>SUM('Произв. прогр. Вода (СВОД)'!N66)</f>
        <v>187.86500000000001</v>
      </c>
      <c r="AJ64" s="4157">
        <f>SUM('ПОЛНАЯ СЕБЕСТОИМОСТЬ ВОДА 2017'!P205)</f>
        <v>0</v>
      </c>
      <c r="AK64" s="4158">
        <v>0</v>
      </c>
      <c r="AL64" s="4157">
        <f>SUM('Произв. прогр. Вода (СВОД)'!O66)</f>
        <v>187.86500000000001</v>
      </c>
      <c r="AM64" s="4157">
        <f>SUM('ПОЛНАЯ СЕБЕСТОИМОСТЬ ВОДА 2017'!Q205)</f>
        <v>0</v>
      </c>
      <c r="AN64" s="4158">
        <v>0</v>
      </c>
      <c r="AO64" s="4157">
        <f>SUM('Произв. прогр. Вода (СВОД)'!P66)</f>
        <v>187.86500000000001</v>
      </c>
      <c r="AP64" s="4157">
        <f>SUM('ПОЛНАЯ СЕБЕСТОИМОСТЬ ВОДА 2017'!R205)</f>
        <v>0</v>
      </c>
      <c r="AQ64" s="4158">
        <v>0</v>
      </c>
      <c r="AR64" s="4144">
        <f t="shared" si="115"/>
        <v>563.59500000000003</v>
      </c>
      <c r="AS64" s="4144">
        <f t="shared" si="115"/>
        <v>0</v>
      </c>
      <c r="AT64" s="4144">
        <f t="shared" si="115"/>
        <v>0</v>
      </c>
      <c r="AU64" s="4142">
        <f t="shared" si="98"/>
        <v>-563.59500000000003</v>
      </c>
      <c r="AV64" s="4142">
        <f t="shared" si="99"/>
        <v>-100</v>
      </c>
      <c r="AW64" s="4144">
        <f t="shared" si="116"/>
        <v>1690.7850000000001</v>
      </c>
      <c r="AX64" s="4144">
        <f t="shared" si="116"/>
        <v>0</v>
      </c>
      <c r="AY64" s="4144">
        <f t="shared" si="116"/>
        <v>0</v>
      </c>
      <c r="AZ64" s="4142">
        <f t="shared" si="102"/>
        <v>-1690.7850000000001</v>
      </c>
      <c r="BA64" s="4142">
        <f t="shared" si="103"/>
        <v>-100</v>
      </c>
      <c r="BB64" s="4157">
        <f>SUM('Произв. прогр. Вода (СВОД)'!S66)</f>
        <v>187.86500000000001</v>
      </c>
      <c r="BC64" s="4157">
        <f>SUM('ПОЛНАЯ СЕБЕСТОИМОСТЬ ВОДА 2017'!X205)</f>
        <v>0</v>
      </c>
      <c r="BD64" s="4206">
        <v>0</v>
      </c>
      <c r="BE64" s="4205">
        <f>SUM('Произв. прогр. Вода (СВОД)'!T66)</f>
        <v>187.86500000000001</v>
      </c>
      <c r="BF64" s="4205">
        <f>SUM('ПОЛНАЯ СЕБЕСТОИМОСТЬ ВОДА 2017'!Y205)</f>
        <v>0</v>
      </c>
      <c r="BG64" s="4206">
        <v>0</v>
      </c>
      <c r="BH64" s="4205">
        <f>SUM('Произв. прогр. Вода (СВОД)'!U66)</f>
        <v>187.86500000000001</v>
      </c>
      <c r="BI64" s="4205">
        <f>SUM('ПОЛНАЯ СЕБЕСТОИМОСТЬ ВОДА 2017'!Z205)</f>
        <v>0</v>
      </c>
      <c r="BJ64" s="4206">
        <v>0</v>
      </c>
      <c r="BK64" s="4281">
        <f t="shared" si="117"/>
        <v>563.59500000000003</v>
      </c>
      <c r="BL64" s="4281">
        <f t="shared" si="117"/>
        <v>0</v>
      </c>
      <c r="BM64" s="4281">
        <f t="shared" si="117"/>
        <v>0</v>
      </c>
      <c r="BN64" s="4282">
        <f t="shared" si="105"/>
        <v>-563.59500000000003</v>
      </c>
      <c r="BO64" s="4282">
        <f t="shared" si="106"/>
        <v>-100</v>
      </c>
      <c r="BP64" s="4281">
        <f t="shared" si="118"/>
        <v>2254.38</v>
      </c>
      <c r="BQ64" s="4281">
        <f t="shared" si="118"/>
        <v>0</v>
      </c>
      <c r="BR64" s="4281">
        <f t="shared" si="118"/>
        <v>0</v>
      </c>
      <c r="BS64" s="4282">
        <f t="shared" si="109"/>
        <v>-2254.38</v>
      </c>
      <c r="BT64" s="4282">
        <f t="shared" si="110"/>
        <v>-100</v>
      </c>
      <c r="BU64" s="435"/>
      <c r="BV64" s="435"/>
      <c r="BW64" s="435"/>
      <c r="BX64" s="435"/>
    </row>
    <row r="65" spans="1:76" ht="18.75">
      <c r="A65" s="4106" t="s">
        <v>286</v>
      </c>
      <c r="B65" s="4164">
        <f>SUM('Произв. прогр. Вода (СВОД)'!E67)</f>
        <v>62.195833333333333</v>
      </c>
      <c r="C65" s="4164">
        <f>SUM('ПОЛНАЯ СЕБЕСТОИМОСТЬ ВОДА 2017'!C206)</f>
        <v>0</v>
      </c>
      <c r="D65" s="4266">
        <v>0</v>
      </c>
      <c r="E65" s="4164">
        <f>SUM('Произв. прогр. Вода (СВОД)'!F67)</f>
        <v>62.195833333333333</v>
      </c>
      <c r="F65" s="4164">
        <f>SUM('ПОЛНАЯ СЕБЕСТОИМОСТЬ ВОДА 2017'!D206)</f>
        <v>0</v>
      </c>
      <c r="G65" s="4266">
        <v>0</v>
      </c>
      <c r="H65" s="4164">
        <f>SUM('Произв. прогр. Вода (СВОД)'!G67)</f>
        <v>62.195833333333333</v>
      </c>
      <c r="I65" s="4164">
        <f>SUM('ПОЛНАЯ СЕБЕСТОИМОСТЬ ВОДА 2017'!E206)</f>
        <v>0</v>
      </c>
      <c r="J65" s="4266">
        <v>0</v>
      </c>
      <c r="K65" s="4150">
        <f t="shared" si="112"/>
        <v>186.58750000000001</v>
      </c>
      <c r="L65" s="4150">
        <f t="shared" si="112"/>
        <v>0</v>
      </c>
      <c r="M65" s="4150">
        <f t="shared" si="112"/>
        <v>0</v>
      </c>
      <c r="N65" s="4149">
        <f t="shared" si="88"/>
        <v>-186.58750000000001</v>
      </c>
      <c r="O65" s="4149">
        <f t="shared" si="89"/>
        <v>-100</v>
      </c>
      <c r="P65" s="4164">
        <f>SUM('Произв. прогр. Вода (СВОД)'!I67)</f>
        <v>62.195833333333333</v>
      </c>
      <c r="Q65" s="4164">
        <f>SUM('ПОЛНАЯ СЕБЕСТОИМОСТЬ ВОДА 2017'!H206)</f>
        <v>0</v>
      </c>
      <c r="R65" s="4266">
        <v>0</v>
      </c>
      <c r="S65" s="4164">
        <f>SUM('Произв. прогр. Вода (СВОД)'!J67)</f>
        <v>62.195833333333333</v>
      </c>
      <c r="T65" s="4164">
        <f>SUM('ПОЛНАЯ СЕБЕСТОИМОСТЬ ВОДА 2017'!I206)</f>
        <v>0</v>
      </c>
      <c r="U65" s="4266">
        <v>0</v>
      </c>
      <c r="V65" s="4164">
        <f>SUM('Произв. прогр. Вода (СВОД)'!K67)</f>
        <v>62.195833333333333</v>
      </c>
      <c r="W65" s="4164">
        <f>SUM('ПОЛНАЯ СЕБЕСТОИМОСТЬ ВОДА 2017'!J206)</f>
        <v>0</v>
      </c>
      <c r="X65" s="4266">
        <v>0</v>
      </c>
      <c r="Y65" s="4150">
        <f t="shared" si="113"/>
        <v>186.58750000000001</v>
      </c>
      <c r="Z65" s="4150">
        <f t="shared" si="113"/>
        <v>0</v>
      </c>
      <c r="AA65" s="4150">
        <f t="shared" si="113"/>
        <v>0</v>
      </c>
      <c r="AB65" s="4149">
        <f t="shared" si="91"/>
        <v>-186.58750000000001</v>
      </c>
      <c r="AC65" s="4149">
        <f t="shared" si="92"/>
        <v>-100</v>
      </c>
      <c r="AD65" s="4150">
        <f t="shared" si="114"/>
        <v>373.17500000000001</v>
      </c>
      <c r="AE65" s="4150">
        <f t="shared" si="114"/>
        <v>0</v>
      </c>
      <c r="AF65" s="4150">
        <f t="shared" si="114"/>
        <v>0</v>
      </c>
      <c r="AG65" s="4149">
        <f t="shared" si="95"/>
        <v>-373.17500000000001</v>
      </c>
      <c r="AH65" s="4149">
        <f t="shared" si="96"/>
        <v>-100</v>
      </c>
      <c r="AI65" s="4164">
        <f>SUM('Произв. прогр. Вода (СВОД)'!N67)</f>
        <v>62.195833333333333</v>
      </c>
      <c r="AJ65" s="4164">
        <f>SUM('ПОЛНАЯ СЕБЕСТОИМОСТЬ ВОДА 2017'!P206)</f>
        <v>0</v>
      </c>
      <c r="AK65" s="4266">
        <v>0</v>
      </c>
      <c r="AL65" s="4164">
        <f>SUM('Произв. прогр. Вода (СВОД)'!O67)</f>
        <v>62.195833333333333</v>
      </c>
      <c r="AM65" s="4164">
        <f>SUM('ПОЛНАЯ СЕБЕСТОИМОСТЬ ВОДА 2017'!Q206)</f>
        <v>0</v>
      </c>
      <c r="AN65" s="4266">
        <v>0</v>
      </c>
      <c r="AO65" s="4164">
        <f>SUM('Произв. прогр. Вода (СВОД)'!P67)</f>
        <v>62.195833333333333</v>
      </c>
      <c r="AP65" s="4164">
        <f>SUM('ПОЛНАЯ СЕБЕСТОИМОСТЬ ВОДА 2017'!R206)</f>
        <v>0</v>
      </c>
      <c r="AQ65" s="4266">
        <v>0</v>
      </c>
      <c r="AR65" s="4150">
        <f t="shared" si="115"/>
        <v>186.58750000000001</v>
      </c>
      <c r="AS65" s="4150">
        <f t="shared" si="115"/>
        <v>0</v>
      </c>
      <c r="AT65" s="4150">
        <f t="shared" si="115"/>
        <v>0</v>
      </c>
      <c r="AU65" s="4149">
        <f t="shared" si="98"/>
        <v>-186.58750000000001</v>
      </c>
      <c r="AV65" s="4149">
        <f t="shared" si="99"/>
        <v>-100</v>
      </c>
      <c r="AW65" s="4150">
        <f t="shared" si="116"/>
        <v>559.76250000000005</v>
      </c>
      <c r="AX65" s="4150">
        <f t="shared" si="116"/>
        <v>0</v>
      </c>
      <c r="AY65" s="4150">
        <f t="shared" si="116"/>
        <v>0</v>
      </c>
      <c r="AZ65" s="4149">
        <f t="shared" si="102"/>
        <v>-559.76250000000005</v>
      </c>
      <c r="BA65" s="4149">
        <f t="shared" si="103"/>
        <v>-100</v>
      </c>
      <c r="BB65" s="4164">
        <f>SUM('Произв. прогр. Вода (СВОД)'!S67)</f>
        <v>62.195833333333333</v>
      </c>
      <c r="BC65" s="4164">
        <f>SUM('ПОЛНАЯ СЕБЕСТОИМОСТЬ ВОДА 2017'!X206)</f>
        <v>0</v>
      </c>
      <c r="BD65" s="4209">
        <v>0</v>
      </c>
      <c r="BE65" s="4165">
        <f>SUM('Произв. прогр. Вода (СВОД)'!T67)</f>
        <v>62.195833333333333</v>
      </c>
      <c r="BF65" s="4165">
        <f>SUM('ПОЛНАЯ СЕБЕСТОИМОСТЬ ВОДА 2017'!Y206)</f>
        <v>0</v>
      </c>
      <c r="BG65" s="4209">
        <v>0</v>
      </c>
      <c r="BH65" s="4165">
        <f>SUM('Произв. прогр. Вода (СВОД)'!U67)</f>
        <v>62.195833333333333</v>
      </c>
      <c r="BI65" s="4165">
        <f>SUM('ПОЛНАЯ СЕБЕСТОИМОСТЬ ВОДА 2017'!Z206)</f>
        <v>0</v>
      </c>
      <c r="BJ65" s="4209">
        <v>0</v>
      </c>
      <c r="BK65" s="4258">
        <f t="shared" si="117"/>
        <v>186.58750000000001</v>
      </c>
      <c r="BL65" s="4258">
        <f t="shared" si="117"/>
        <v>0</v>
      </c>
      <c r="BM65" s="4258">
        <f t="shared" si="117"/>
        <v>0</v>
      </c>
      <c r="BN65" s="4283">
        <f t="shared" si="105"/>
        <v>-186.58750000000001</v>
      </c>
      <c r="BO65" s="4283">
        <f t="shared" si="106"/>
        <v>-100</v>
      </c>
      <c r="BP65" s="4258">
        <f t="shared" si="118"/>
        <v>746.35</v>
      </c>
      <c r="BQ65" s="4258">
        <f t="shared" si="118"/>
        <v>0</v>
      </c>
      <c r="BR65" s="4258">
        <f t="shared" si="118"/>
        <v>0</v>
      </c>
      <c r="BS65" s="4283">
        <f t="shared" si="109"/>
        <v>-746.35</v>
      </c>
      <c r="BT65" s="4283">
        <f t="shared" si="110"/>
        <v>-100</v>
      </c>
      <c r="BU65" s="435"/>
      <c r="BV65" s="435"/>
      <c r="BW65" s="435"/>
      <c r="BX65" s="435"/>
    </row>
    <row r="66" spans="1:76" ht="18.75">
      <c r="A66" s="4106" t="s">
        <v>289</v>
      </c>
      <c r="B66" s="4164">
        <f>SUM('Произв. прогр. Вода (СВОД)'!E68)</f>
        <v>100.52083333333333</v>
      </c>
      <c r="C66" s="4164">
        <f>SUM('ПОЛНАЯ СЕБЕСТОИМОСТЬ ВОДА 2017'!C207)</f>
        <v>0</v>
      </c>
      <c r="D66" s="4266"/>
      <c r="E66" s="4164">
        <f>SUM('Произв. прогр. Вода (СВОД)'!F68)</f>
        <v>100.52083333333333</v>
      </c>
      <c r="F66" s="4164">
        <f>SUM('ПОЛНАЯ СЕБЕСТОИМОСТЬ ВОДА 2017'!D207)</f>
        <v>0</v>
      </c>
      <c r="G66" s="4266"/>
      <c r="H66" s="4164">
        <f>SUM('Произв. прогр. Вода (СВОД)'!G68)</f>
        <v>100.52083333333333</v>
      </c>
      <c r="I66" s="4164">
        <f>SUM('ПОЛНАЯ СЕБЕСТОИМОСТЬ ВОДА 2017'!E207)</f>
        <v>0</v>
      </c>
      <c r="J66" s="4266"/>
      <c r="K66" s="4150">
        <f t="shared" si="112"/>
        <v>301.5625</v>
      </c>
      <c r="L66" s="4150"/>
      <c r="M66" s="4150"/>
      <c r="N66" s="4149"/>
      <c r="O66" s="4149"/>
      <c r="P66" s="4164">
        <f>SUM('Произв. прогр. Вода (СВОД)'!I68)</f>
        <v>100.52083333333333</v>
      </c>
      <c r="Q66" s="4164">
        <f>SUM('ПОЛНАЯ СЕБЕСТОИМОСТЬ ВОДА 2017'!H207)</f>
        <v>0</v>
      </c>
      <c r="R66" s="4266"/>
      <c r="S66" s="4164">
        <f>SUM('Произв. прогр. Вода (СВОД)'!J68)</f>
        <v>100.52083333333333</v>
      </c>
      <c r="T66" s="4164">
        <f>SUM('ПОЛНАЯ СЕБЕСТОИМОСТЬ ВОДА 2017'!I207)</f>
        <v>0</v>
      </c>
      <c r="U66" s="4266"/>
      <c r="V66" s="4164">
        <f>SUM('Произв. прогр. Вода (СВОД)'!K68)</f>
        <v>100.52083333333333</v>
      </c>
      <c r="W66" s="4164">
        <f>SUM('ПОЛНАЯ СЕБЕСТОИМОСТЬ ВОДА 2017'!J207)</f>
        <v>0</v>
      </c>
      <c r="X66" s="4266"/>
      <c r="Y66" s="4150">
        <f t="shared" si="113"/>
        <v>301.5625</v>
      </c>
      <c r="Z66" s="4150"/>
      <c r="AA66" s="4150"/>
      <c r="AB66" s="4149"/>
      <c r="AC66" s="4149"/>
      <c r="AD66" s="4150">
        <f t="shared" si="114"/>
        <v>603.125</v>
      </c>
      <c r="AE66" s="4150"/>
      <c r="AF66" s="4150"/>
      <c r="AG66" s="4149"/>
      <c r="AH66" s="4149"/>
      <c r="AI66" s="4164">
        <f>SUM('Произв. прогр. Вода (СВОД)'!N68)</f>
        <v>100.52083333333333</v>
      </c>
      <c r="AJ66" s="4164">
        <f>SUM('ПОЛНАЯ СЕБЕСТОИМОСТЬ ВОДА 2017'!P207)</f>
        <v>0</v>
      </c>
      <c r="AK66" s="4266"/>
      <c r="AL66" s="4164">
        <f>SUM('Произв. прогр. Вода (СВОД)'!O68)</f>
        <v>100.52083333333333</v>
      </c>
      <c r="AM66" s="4164">
        <f>SUM('ПОЛНАЯ СЕБЕСТОИМОСТЬ ВОДА 2017'!Q207)</f>
        <v>0</v>
      </c>
      <c r="AN66" s="4266"/>
      <c r="AO66" s="4164">
        <f>SUM('Произв. прогр. Вода (СВОД)'!P68)</f>
        <v>100.52083333333333</v>
      </c>
      <c r="AP66" s="4164">
        <f>SUM('ПОЛНАЯ СЕБЕСТОИМОСТЬ ВОДА 2017'!R207)</f>
        <v>0</v>
      </c>
      <c r="AQ66" s="4266"/>
      <c r="AR66" s="4150">
        <f t="shared" si="115"/>
        <v>301.5625</v>
      </c>
      <c r="AS66" s="4150"/>
      <c r="AT66" s="4150"/>
      <c r="AU66" s="4149"/>
      <c r="AV66" s="4149"/>
      <c r="AW66" s="4150">
        <f t="shared" si="116"/>
        <v>904.6875</v>
      </c>
      <c r="AX66" s="4150"/>
      <c r="AY66" s="4150"/>
      <c r="AZ66" s="4149"/>
      <c r="BA66" s="4149"/>
      <c r="BB66" s="4164">
        <f>SUM('Произв. прогр. Вода (СВОД)'!S68)</f>
        <v>100.52083333333333</v>
      </c>
      <c r="BC66" s="4164">
        <f>SUM('ПОЛНАЯ СЕБЕСТОИМОСТЬ ВОДА 2017'!X207)</f>
        <v>0</v>
      </c>
      <c r="BD66" s="4209"/>
      <c r="BE66" s="4165">
        <f>SUM('Произв. прогр. Вода (СВОД)'!T68)</f>
        <v>100.52083333333333</v>
      </c>
      <c r="BF66" s="4165">
        <f>SUM('ПОЛНАЯ СЕБЕСТОИМОСТЬ ВОДА 2017'!Y207)</f>
        <v>0</v>
      </c>
      <c r="BG66" s="4209"/>
      <c r="BH66" s="4165">
        <f>SUM('Произв. прогр. Вода (СВОД)'!U68)</f>
        <v>100.52083333333333</v>
      </c>
      <c r="BI66" s="4165">
        <f>SUM('ПОЛНАЯ СЕБЕСТОИМОСТЬ ВОДА 2017'!Z207)</f>
        <v>0</v>
      </c>
      <c r="BJ66" s="4209"/>
      <c r="BK66" s="4258">
        <f t="shared" si="117"/>
        <v>301.5625</v>
      </c>
      <c r="BL66" s="4258"/>
      <c r="BM66" s="4258"/>
      <c r="BN66" s="4283"/>
      <c r="BO66" s="4283"/>
      <c r="BP66" s="4258">
        <f t="shared" si="118"/>
        <v>1206.25</v>
      </c>
      <c r="BQ66" s="4258"/>
      <c r="BR66" s="4258"/>
      <c r="BS66" s="4283"/>
      <c r="BT66" s="4283"/>
      <c r="BU66" s="435"/>
      <c r="BV66" s="435"/>
      <c r="BW66" s="435"/>
      <c r="BX66" s="435"/>
    </row>
    <row r="67" spans="1:76" ht="18.75">
      <c r="A67" s="4106" t="s">
        <v>1745</v>
      </c>
      <c r="B67" s="4164">
        <f>SUM('Произв. прогр. Вода (СВОД)'!E69)</f>
        <v>25.14833333333333</v>
      </c>
      <c r="C67" s="4164">
        <f>SUM('ПОЛНАЯ СЕБЕСТОИМОСТЬ ВОДА 2017'!C208)</f>
        <v>0</v>
      </c>
      <c r="D67" s="4266"/>
      <c r="E67" s="4164">
        <f>SUM('Произв. прогр. Вода (СВОД)'!F69)</f>
        <v>25.14833333333333</v>
      </c>
      <c r="F67" s="4164">
        <f>SUM('ПОЛНАЯ СЕБЕСТОИМОСТЬ ВОДА 2017'!D208)</f>
        <v>0</v>
      </c>
      <c r="G67" s="4266"/>
      <c r="H67" s="4164">
        <f>SUM('Произв. прогр. Вода (СВОД)'!G69)</f>
        <v>25.14833333333333</v>
      </c>
      <c r="I67" s="4164">
        <f>SUM('ПОЛНАЯ СЕБЕСТОИМОСТЬ ВОДА 2017'!E208)</f>
        <v>0</v>
      </c>
      <c r="J67" s="4266"/>
      <c r="K67" s="4150">
        <f t="shared" si="112"/>
        <v>75.444999999999993</v>
      </c>
      <c r="L67" s="4150"/>
      <c r="M67" s="4150"/>
      <c r="N67" s="4149"/>
      <c r="O67" s="4149"/>
      <c r="P67" s="4164">
        <f>SUM('Произв. прогр. Вода (СВОД)'!I69)</f>
        <v>25.14833333333333</v>
      </c>
      <c r="Q67" s="4164">
        <f>SUM('ПОЛНАЯ СЕБЕСТОИМОСТЬ ВОДА 2017'!H208)</f>
        <v>0</v>
      </c>
      <c r="R67" s="4266"/>
      <c r="S67" s="4164">
        <f>SUM('Произв. прогр. Вода (СВОД)'!J69)</f>
        <v>25.14833333333333</v>
      </c>
      <c r="T67" s="4164">
        <f>SUM('ПОЛНАЯ СЕБЕСТОИМОСТЬ ВОДА 2017'!I208)</f>
        <v>0</v>
      </c>
      <c r="U67" s="4266"/>
      <c r="V67" s="4164">
        <f>SUM('Произв. прогр. Вода (СВОД)'!K69)</f>
        <v>25.14833333333333</v>
      </c>
      <c r="W67" s="4164">
        <f>SUM('ПОЛНАЯ СЕБЕСТОИМОСТЬ ВОДА 2017'!J208)</f>
        <v>0</v>
      </c>
      <c r="X67" s="4266"/>
      <c r="Y67" s="4150">
        <f t="shared" ref="Y67" si="129">SUM(P67+S67+V67)</f>
        <v>75.444999999999993</v>
      </c>
      <c r="Z67" s="4150"/>
      <c r="AA67" s="4150"/>
      <c r="AB67" s="4149"/>
      <c r="AC67" s="4149"/>
      <c r="AD67" s="4150">
        <f t="shared" ref="AD67" si="130">SUM(K67+Y67)</f>
        <v>150.88999999999999</v>
      </c>
      <c r="AE67" s="4150"/>
      <c r="AF67" s="4150"/>
      <c r="AG67" s="4149"/>
      <c r="AH67" s="4149"/>
      <c r="AI67" s="4164">
        <f>SUM('Произв. прогр. Вода (СВОД)'!N69)</f>
        <v>25.14833333333333</v>
      </c>
      <c r="AJ67" s="4164">
        <f>SUM('ПОЛНАЯ СЕБЕСТОИМОСТЬ ВОДА 2017'!P208)</f>
        <v>0</v>
      </c>
      <c r="AK67" s="4266"/>
      <c r="AL67" s="4164">
        <f>SUM('Произв. прогр. Вода (СВОД)'!O69)</f>
        <v>25.14833333333333</v>
      </c>
      <c r="AM67" s="4164">
        <f>SUM('ПОЛНАЯ СЕБЕСТОИМОСТЬ ВОДА 2017'!Q208)</f>
        <v>0</v>
      </c>
      <c r="AN67" s="4266"/>
      <c r="AO67" s="4164">
        <f>SUM('Произв. прогр. Вода (СВОД)'!P69)</f>
        <v>25.14833333333333</v>
      </c>
      <c r="AP67" s="4164">
        <f>SUM('ПОЛНАЯ СЕБЕСТОИМОСТЬ ВОДА 2017'!R208)</f>
        <v>0</v>
      </c>
      <c r="AQ67" s="4266"/>
      <c r="AR67" s="4150">
        <f t="shared" ref="AR67" si="131">SUM(AI67+AL67+AO67)</f>
        <v>75.444999999999993</v>
      </c>
      <c r="AS67" s="4150"/>
      <c r="AT67" s="4150"/>
      <c r="AU67" s="4149"/>
      <c r="AV67" s="4149"/>
      <c r="AW67" s="4150">
        <f t="shared" ref="AW67" si="132">SUM(AD67+AR67)</f>
        <v>226.33499999999998</v>
      </c>
      <c r="AX67" s="4150"/>
      <c r="AY67" s="4150"/>
      <c r="AZ67" s="4149"/>
      <c r="BA67" s="4149"/>
      <c r="BB67" s="4164">
        <f>SUM('Произв. прогр. Вода (СВОД)'!S69)</f>
        <v>25.14833333333333</v>
      </c>
      <c r="BC67" s="4164">
        <f>SUM('ПОЛНАЯ СЕБЕСТОИМОСТЬ ВОДА 2017'!X208)</f>
        <v>0</v>
      </c>
      <c r="BD67" s="4209"/>
      <c r="BE67" s="4165">
        <f>SUM('Произв. прогр. Вода (СВОД)'!T69)</f>
        <v>25.14833333333333</v>
      </c>
      <c r="BF67" s="4165">
        <f>SUM('ПОЛНАЯ СЕБЕСТОИМОСТЬ ВОДА 2017'!Y208)</f>
        <v>0</v>
      </c>
      <c r="BG67" s="4209"/>
      <c r="BH67" s="4165">
        <f>SUM('Произв. прогр. Вода (СВОД)'!U69)</f>
        <v>25.14833333333333</v>
      </c>
      <c r="BI67" s="4165">
        <f>SUM('ПОЛНАЯ СЕБЕСТОИМОСТЬ ВОДА 2017'!Z208)</f>
        <v>0</v>
      </c>
      <c r="BJ67" s="4209"/>
      <c r="BK67" s="4258">
        <f t="shared" ref="BK67" si="133">SUM(BB67+BE67+BH67)</f>
        <v>75.444999999999993</v>
      </c>
      <c r="BL67" s="4258"/>
      <c r="BM67" s="4258"/>
      <c r="BN67" s="4283"/>
      <c r="BO67" s="4283"/>
      <c r="BP67" s="4258">
        <f t="shared" ref="BP67" si="134">SUM(AW67+BK67)</f>
        <v>301.77999999999997</v>
      </c>
      <c r="BQ67" s="4258"/>
      <c r="BR67" s="4258"/>
      <c r="BS67" s="4283"/>
      <c r="BT67" s="4283"/>
      <c r="BU67" s="435"/>
      <c r="BV67" s="435"/>
      <c r="BW67" s="435"/>
      <c r="BX67" s="435"/>
    </row>
    <row r="68" spans="1:76" ht="18.75">
      <c r="A68" s="4166" t="s">
        <v>1751</v>
      </c>
      <c r="B68" s="4157">
        <f>SUM('Произв. прогр. Вода (СВОД)'!E70)</f>
        <v>33.106666666666662</v>
      </c>
      <c r="C68" s="4157">
        <f>SUM('ПОЛНАЯ СЕБЕСТОИМОСТЬ ВОДА 2017'!C209)</f>
        <v>0</v>
      </c>
      <c r="D68" s="4158">
        <v>0</v>
      </c>
      <c r="E68" s="4157">
        <f>SUM('Произв. прогр. Вода (СВОД)'!F70)</f>
        <v>33.106666666666662</v>
      </c>
      <c r="F68" s="4157">
        <f>SUM('ПОЛНАЯ СЕБЕСТОИМОСТЬ ВОДА 2017'!D209)</f>
        <v>0</v>
      </c>
      <c r="G68" s="4158">
        <v>0</v>
      </c>
      <c r="H68" s="4157">
        <f>SUM('Произв. прогр. Вода (СВОД)'!G70)</f>
        <v>33.106666666666662</v>
      </c>
      <c r="I68" s="4157">
        <f>SUM('ПОЛНАЯ СЕБЕСТОИМОСТЬ ВОДА 2017'!E209)</f>
        <v>0</v>
      </c>
      <c r="J68" s="4158">
        <v>0</v>
      </c>
      <c r="K68" s="4144">
        <f t="shared" ref="K68" si="135">SUM(B68+E68+H68)</f>
        <v>99.32</v>
      </c>
      <c r="L68" s="4144">
        <f t="shared" si="112"/>
        <v>0</v>
      </c>
      <c r="M68" s="4144">
        <f t="shared" si="112"/>
        <v>0</v>
      </c>
      <c r="N68" s="4142">
        <f t="shared" si="88"/>
        <v>-99.32</v>
      </c>
      <c r="O68" s="4142">
        <f t="shared" si="89"/>
        <v>-100</v>
      </c>
      <c r="P68" s="4157">
        <f>SUM('Произв. прогр. Вода (СВОД)'!I70)</f>
        <v>33.106666666666662</v>
      </c>
      <c r="Q68" s="4157">
        <f>SUM('ПОЛНАЯ СЕБЕСТОИМОСТЬ ВОДА 2017'!H209)</f>
        <v>0</v>
      </c>
      <c r="R68" s="4158">
        <v>0</v>
      </c>
      <c r="S68" s="4157">
        <f>SUM('Произв. прогр. Вода (СВОД)'!J70)</f>
        <v>33.106666666666662</v>
      </c>
      <c r="T68" s="4157">
        <f>SUM('ПОЛНАЯ СЕБЕСТОИМОСТЬ ВОДА 2017'!I209)</f>
        <v>0</v>
      </c>
      <c r="U68" s="4158">
        <v>0</v>
      </c>
      <c r="V68" s="4157">
        <f>SUM('Произв. прогр. Вода (СВОД)'!K70)</f>
        <v>33.106666666666662</v>
      </c>
      <c r="W68" s="4157">
        <f>SUM('ПОЛНАЯ СЕБЕСТОИМОСТЬ ВОДА 2017'!J209)</f>
        <v>0</v>
      </c>
      <c r="X68" s="4158">
        <v>0</v>
      </c>
      <c r="Y68" s="4144">
        <f t="shared" ref="Y68:AA68" si="136">SUM(P68+S68+V68)</f>
        <v>99.32</v>
      </c>
      <c r="Z68" s="4144">
        <f t="shared" si="136"/>
        <v>0</v>
      </c>
      <c r="AA68" s="4144">
        <f t="shared" si="136"/>
        <v>0</v>
      </c>
      <c r="AB68" s="4142">
        <f t="shared" si="91"/>
        <v>-99.32</v>
      </c>
      <c r="AC68" s="4142">
        <f t="shared" si="92"/>
        <v>-100</v>
      </c>
      <c r="AD68" s="4144">
        <f t="shared" ref="AD68" si="137">SUM(K68+Y68)</f>
        <v>198.64</v>
      </c>
      <c r="AE68" s="4144">
        <f t="shared" ref="AE68:AF68" si="138">SUM(L68+Z68)</f>
        <v>0</v>
      </c>
      <c r="AF68" s="4144">
        <f t="shared" si="138"/>
        <v>0</v>
      </c>
      <c r="AG68" s="4142">
        <f t="shared" si="95"/>
        <v>-198.64</v>
      </c>
      <c r="AH68" s="4142">
        <f t="shared" si="96"/>
        <v>-100</v>
      </c>
      <c r="AI68" s="4157">
        <f>SUM('Произв. прогр. Вода (СВОД)'!N70)</f>
        <v>33.106666666666662</v>
      </c>
      <c r="AJ68" s="4157">
        <f>SUM('ПОЛНАЯ СЕБЕСТОИМОСТЬ ВОДА 2017'!P209)</f>
        <v>0</v>
      </c>
      <c r="AK68" s="4158">
        <v>0</v>
      </c>
      <c r="AL68" s="4157">
        <f>SUM('Произв. прогр. Вода (СВОД)'!O70)</f>
        <v>33.106666666666662</v>
      </c>
      <c r="AM68" s="4157">
        <f>SUM('ПОЛНАЯ СЕБЕСТОИМОСТЬ ВОДА 2017'!Q209)</f>
        <v>0</v>
      </c>
      <c r="AN68" s="4158">
        <v>0</v>
      </c>
      <c r="AO68" s="4157">
        <f>SUM('Произв. прогр. Вода (СВОД)'!P70)</f>
        <v>33.106666666666662</v>
      </c>
      <c r="AP68" s="4157">
        <f>SUM('ПОЛНАЯ СЕБЕСТОИМОСТЬ ВОДА 2017'!R209)</f>
        <v>0</v>
      </c>
      <c r="AQ68" s="4158">
        <v>0</v>
      </c>
      <c r="AR68" s="4144">
        <f t="shared" ref="AR68:AT68" si="139">SUM(AI68+AL68+AO68)</f>
        <v>99.32</v>
      </c>
      <c r="AS68" s="4144">
        <f t="shared" si="139"/>
        <v>0</v>
      </c>
      <c r="AT68" s="4144">
        <f t="shared" si="139"/>
        <v>0</v>
      </c>
      <c r="AU68" s="4142">
        <f t="shared" si="98"/>
        <v>-99.32</v>
      </c>
      <c r="AV68" s="4142">
        <f t="shared" si="99"/>
        <v>-100</v>
      </c>
      <c r="AW68" s="4144">
        <f t="shared" ref="AW68" si="140">SUM(AD68+AR68)</f>
        <v>297.95999999999998</v>
      </c>
      <c r="AX68" s="4144">
        <f t="shared" ref="AX68:AY68" si="141">SUM(AE68+AS68)</f>
        <v>0</v>
      </c>
      <c r="AY68" s="4144">
        <f t="shared" si="141"/>
        <v>0</v>
      </c>
      <c r="AZ68" s="4142">
        <f t="shared" si="102"/>
        <v>-297.95999999999998</v>
      </c>
      <c r="BA68" s="4142">
        <f t="shared" si="103"/>
        <v>-100</v>
      </c>
      <c r="BB68" s="4157">
        <f>SUM('Произв. прогр. Вода (СВОД)'!S70)</f>
        <v>33.106666666666662</v>
      </c>
      <c r="BC68" s="4157">
        <f>SUM('ПОЛНАЯ СЕБЕСТОИМОСТЬ ВОДА 2017'!X209)</f>
        <v>0</v>
      </c>
      <c r="BD68" s="4206">
        <v>0</v>
      </c>
      <c r="BE68" s="4205">
        <f>SUM('Произв. прогр. Вода (СВОД)'!T70)</f>
        <v>33.106666666666662</v>
      </c>
      <c r="BF68" s="4205">
        <f>SUM('ПОЛНАЯ СЕБЕСТОИМОСТЬ ВОДА 2017'!Y209)</f>
        <v>0</v>
      </c>
      <c r="BG68" s="4206">
        <v>0</v>
      </c>
      <c r="BH68" s="4205">
        <f>SUM('Произв. прогр. Вода (СВОД)'!U70)</f>
        <v>33.106666666666662</v>
      </c>
      <c r="BI68" s="4205">
        <f>SUM('ПОЛНАЯ СЕБЕСТОИМОСТЬ ВОДА 2017'!Z209)</f>
        <v>0</v>
      </c>
      <c r="BJ68" s="4206">
        <v>0</v>
      </c>
      <c r="BK68" s="4281">
        <f t="shared" ref="BK68:BM68" si="142">SUM(BB68+BE68+BH68)</f>
        <v>99.32</v>
      </c>
      <c r="BL68" s="4281">
        <f t="shared" si="142"/>
        <v>0</v>
      </c>
      <c r="BM68" s="4281">
        <f t="shared" si="142"/>
        <v>0</v>
      </c>
      <c r="BN68" s="4282">
        <f t="shared" si="105"/>
        <v>-99.32</v>
      </c>
      <c r="BO68" s="4282">
        <f t="shared" si="106"/>
        <v>-100</v>
      </c>
      <c r="BP68" s="4281">
        <f t="shared" ref="BP68" si="143">SUM(AW68+BK68)</f>
        <v>397.28</v>
      </c>
      <c r="BQ68" s="4281">
        <f t="shared" ref="BQ68:BR68" si="144">SUM(AX68+BL68)</f>
        <v>0</v>
      </c>
      <c r="BR68" s="4281">
        <f t="shared" si="144"/>
        <v>0</v>
      </c>
      <c r="BS68" s="4282">
        <f t="shared" si="109"/>
        <v>-397.28</v>
      </c>
      <c r="BT68" s="4282">
        <f t="shared" si="110"/>
        <v>-100</v>
      </c>
      <c r="BU68" s="435"/>
      <c r="BV68" s="435"/>
      <c r="BW68" s="435"/>
      <c r="BX68" s="435"/>
    </row>
    <row r="69" spans="1:76" ht="18.75">
      <c r="A69" s="4168" t="s">
        <v>12</v>
      </c>
      <c r="B69" s="4169">
        <f>SUM(B39+B40+B41+B42+B43+B44+B45+B47+B52+B57+B64+B68)</f>
        <v>10388.943328519104</v>
      </c>
      <c r="C69" s="4169">
        <f t="shared" ref="C69:J69" si="145">SUM(C39+C40+C41+C42+C43+C44+C45+C47+C52+C57+C64+C68)</f>
        <v>9822.2800000000007</v>
      </c>
      <c r="D69" s="4169">
        <f t="shared" si="145"/>
        <v>9373.4599999999991</v>
      </c>
      <c r="E69" s="4169">
        <f t="shared" si="145"/>
        <v>10293.16779910797</v>
      </c>
      <c r="F69" s="4169">
        <f t="shared" si="145"/>
        <v>9093.91</v>
      </c>
      <c r="G69" s="4169">
        <f t="shared" si="145"/>
        <v>8898.4399999999987</v>
      </c>
      <c r="H69" s="4169">
        <f t="shared" si="145"/>
        <v>11159.65375582767</v>
      </c>
      <c r="I69" s="4169">
        <f t="shared" si="145"/>
        <v>10025.089999999998</v>
      </c>
      <c r="J69" s="4169">
        <f t="shared" si="145"/>
        <v>9645.7100000000009</v>
      </c>
      <c r="K69" s="4141">
        <f t="shared" si="112"/>
        <v>31841.764883454744</v>
      </c>
      <c r="L69" s="4141">
        <f t="shared" si="112"/>
        <v>28941.279999999999</v>
      </c>
      <c r="M69" s="4141">
        <f t="shared" si="112"/>
        <v>27917.61</v>
      </c>
      <c r="N69" s="4154">
        <f t="shared" si="88"/>
        <v>-2900.4848834547447</v>
      </c>
      <c r="O69" s="4154">
        <f t="shared" si="89"/>
        <v>-9.1090581632987995</v>
      </c>
      <c r="P69" s="4169">
        <f t="shared" ref="P69:X69" si="146">SUM(P39+P40+P41+P42+P43+P44+P45+P47+P52+P57+P64+P68)</f>
        <v>10096.90299007019</v>
      </c>
      <c r="Q69" s="4169">
        <f t="shared" si="146"/>
        <v>12338.539999999999</v>
      </c>
      <c r="R69" s="4169">
        <f t="shared" si="146"/>
        <v>10386.83</v>
      </c>
      <c r="S69" s="4169">
        <f t="shared" si="146"/>
        <v>9789.7189061356603</v>
      </c>
      <c r="T69" s="4169">
        <f t="shared" si="146"/>
        <v>12174.649999999998</v>
      </c>
      <c r="U69" s="4169">
        <f t="shared" si="146"/>
        <v>10003.280000000002</v>
      </c>
      <c r="V69" s="4169">
        <f t="shared" si="146"/>
        <v>10580.561090419236</v>
      </c>
      <c r="W69" s="4169">
        <f t="shared" si="146"/>
        <v>11203.669999999998</v>
      </c>
      <c r="X69" s="4169">
        <f t="shared" si="146"/>
        <v>9702.1299999999974</v>
      </c>
      <c r="Y69" s="4141">
        <f t="shared" ref="Y69:AA70" si="147">SUM(P69+S69+V69)</f>
        <v>30467.182986625085</v>
      </c>
      <c r="Z69" s="4141">
        <f t="shared" si="147"/>
        <v>35716.859999999993</v>
      </c>
      <c r="AA69" s="4141">
        <f t="shared" si="147"/>
        <v>30092.239999999998</v>
      </c>
      <c r="AB69" s="4154">
        <f t="shared" si="91"/>
        <v>5249.6770133749087</v>
      </c>
      <c r="AC69" s="4154">
        <f t="shared" si="92"/>
        <v>17.230595344766485</v>
      </c>
      <c r="AD69" s="4141">
        <f t="shared" ref="AD69:AF70" si="148">SUM(K69+Y69)</f>
        <v>62308.947870079828</v>
      </c>
      <c r="AE69" s="4141">
        <f t="shared" si="148"/>
        <v>64658.139999999992</v>
      </c>
      <c r="AF69" s="4141">
        <f t="shared" si="148"/>
        <v>58009.85</v>
      </c>
      <c r="AG69" s="4154">
        <f t="shared" si="95"/>
        <v>2349.192129920164</v>
      </c>
      <c r="AH69" s="4154">
        <f t="shared" si="96"/>
        <v>3.7702323827044171</v>
      </c>
      <c r="AI69" s="4169">
        <f t="shared" ref="AI69:AQ69" si="149">SUM(AI39+AI40+AI41+AI42+AI43+AI44+AI45+AI47+AI52+AI57+AI64+AI68)</f>
        <v>10118.426311213148</v>
      </c>
      <c r="AJ69" s="4169">
        <f t="shared" si="149"/>
        <v>10391.259999999998</v>
      </c>
      <c r="AK69" s="4169">
        <f t="shared" si="149"/>
        <v>10194.27</v>
      </c>
      <c r="AL69" s="4169">
        <f t="shared" si="149"/>
        <v>10144.716467556069</v>
      </c>
      <c r="AM69" s="4169">
        <f t="shared" si="149"/>
        <v>11652.720000000001</v>
      </c>
      <c r="AN69" s="4169">
        <f t="shared" si="149"/>
        <v>9755.3799999999992</v>
      </c>
      <c r="AO69" s="4169">
        <f t="shared" si="149"/>
        <v>11247.481611751649</v>
      </c>
      <c r="AP69" s="4169">
        <f t="shared" si="149"/>
        <v>12720.169999999998</v>
      </c>
      <c r="AQ69" s="4169">
        <f t="shared" si="149"/>
        <v>9965.4900000000016</v>
      </c>
      <c r="AR69" s="4170">
        <f>SUM(AR39+AR40+AR41+AR42+AR43+AR44+AR45+AR47+AR52+AR57+AR64+AR68)</f>
        <v>31510.624390520868</v>
      </c>
      <c r="AS69" s="4170">
        <f t="shared" ref="AS69:AT69" si="150">SUM(AS39+AS40+AS41+AS42+AS43+AS44+AS45+AS47+AS52+AS57+AS64+AS68)</f>
        <v>34764.149999999994</v>
      </c>
      <c r="AT69" s="4170">
        <f t="shared" si="150"/>
        <v>29915.139999999996</v>
      </c>
      <c r="AU69" s="4154">
        <f t="shared" si="98"/>
        <v>3253.5256094791257</v>
      </c>
      <c r="AV69" s="4154">
        <f t="shared" si="99"/>
        <v>10.325170231973766</v>
      </c>
      <c r="AW69" s="4170">
        <f t="shared" ref="AW69:AY69" si="151">SUM(AW39+AW40+AW41+AW42+AW43+AW44+AW45+AW47+AW52+AW57+AW64+AW68)</f>
        <v>93819.572260600718</v>
      </c>
      <c r="AX69" s="4170">
        <f t="shared" si="151"/>
        <v>99422.29</v>
      </c>
      <c r="AY69" s="4170">
        <f t="shared" si="151"/>
        <v>87924.989999999991</v>
      </c>
      <c r="AZ69" s="4154">
        <f t="shared" si="102"/>
        <v>5602.7177393992752</v>
      </c>
      <c r="BA69" s="4154">
        <f t="shared" si="103"/>
        <v>5.97180055760297</v>
      </c>
      <c r="BB69" s="4169">
        <f t="shared" ref="BB69:BM69" si="152">SUM(BB39+BB40+BB41+BB42+BB43+BB44+BB45+BB47+BB52+BB57+BB64+BB68)</f>
        <v>10598.50854568425</v>
      </c>
      <c r="BC69" s="4169">
        <f t="shared" si="152"/>
        <v>0</v>
      </c>
      <c r="BD69" s="4172">
        <f t="shared" si="152"/>
        <v>9642.7799999999988</v>
      </c>
      <c r="BE69" s="4172">
        <f t="shared" si="152"/>
        <v>10704.337126557302</v>
      </c>
      <c r="BF69" s="4172">
        <f t="shared" si="152"/>
        <v>0</v>
      </c>
      <c r="BG69" s="4172">
        <f t="shared" si="152"/>
        <v>10765.09</v>
      </c>
      <c r="BH69" s="4172">
        <f t="shared" si="152"/>
        <v>11741.838549566855</v>
      </c>
      <c r="BI69" s="4172">
        <f t="shared" si="152"/>
        <v>0</v>
      </c>
      <c r="BJ69" s="4172">
        <f t="shared" si="152"/>
        <v>10248.76</v>
      </c>
      <c r="BK69" s="4223">
        <f t="shared" si="152"/>
        <v>33044.684221808406</v>
      </c>
      <c r="BL69" s="4223">
        <f t="shared" si="152"/>
        <v>0</v>
      </c>
      <c r="BM69" s="4223">
        <f t="shared" si="152"/>
        <v>30656.63</v>
      </c>
      <c r="BN69" s="4280">
        <f t="shared" si="105"/>
        <v>-33044.684221808406</v>
      </c>
      <c r="BO69" s="4280">
        <f t="shared" si="106"/>
        <v>-100</v>
      </c>
      <c r="BP69" s="4223">
        <f t="shared" ref="BP69:BR69" si="153">SUM(BP39+BP40+BP41+BP42+BP43+BP44+BP45+BP47+BP52+BP57+BP64+BP68)</f>
        <v>126864.25648240911</v>
      </c>
      <c r="BQ69" s="4223">
        <f t="shared" si="153"/>
        <v>99422.29</v>
      </c>
      <c r="BR69" s="4223">
        <f t="shared" si="153"/>
        <v>118581.62000000002</v>
      </c>
      <c r="BS69" s="4280">
        <f t="shared" si="109"/>
        <v>-27441.966482409116</v>
      </c>
      <c r="BT69" s="4280">
        <f t="shared" si="110"/>
        <v>-21.630967810239124</v>
      </c>
      <c r="BU69" s="435"/>
      <c r="BV69" s="435"/>
      <c r="BW69" s="435"/>
      <c r="BX69" s="435"/>
    </row>
    <row r="70" spans="1:76" ht="18.75">
      <c r="A70" s="4168" t="s">
        <v>13</v>
      </c>
      <c r="B70" s="4169">
        <f>SUM(B14)</f>
        <v>322.29552269999999</v>
      </c>
      <c r="C70" s="4169">
        <f t="shared" ref="C70:BR70" si="154">SUM(C14)</f>
        <v>297.70999999999998</v>
      </c>
      <c r="D70" s="4169">
        <f t="shared" si="154"/>
        <v>317.28000000000003</v>
      </c>
      <c r="E70" s="4169">
        <f t="shared" si="154"/>
        <v>322.77283950000003</v>
      </c>
      <c r="F70" s="4169">
        <f t="shared" si="154"/>
        <v>313.73999999999995</v>
      </c>
      <c r="G70" s="4169">
        <f t="shared" si="154"/>
        <v>318.13</v>
      </c>
      <c r="H70" s="4169">
        <f t="shared" si="154"/>
        <v>323.98447440000001</v>
      </c>
      <c r="I70" s="4169">
        <f t="shared" si="154"/>
        <v>300.90999999999997</v>
      </c>
      <c r="J70" s="4169">
        <f t="shared" si="154"/>
        <v>304.47000000000003</v>
      </c>
      <c r="K70" s="4141">
        <f t="shared" si="112"/>
        <v>969.05283660000009</v>
      </c>
      <c r="L70" s="4141">
        <f t="shared" si="112"/>
        <v>912.3599999999999</v>
      </c>
      <c r="M70" s="4141">
        <f t="shared" si="112"/>
        <v>939.88000000000011</v>
      </c>
      <c r="N70" s="4154">
        <f t="shared" si="88"/>
        <v>-56.692836600000192</v>
      </c>
      <c r="O70" s="4154">
        <f t="shared" si="89"/>
        <v>-5.8503349310561408</v>
      </c>
      <c r="P70" s="4169">
        <f t="shared" si="154"/>
        <v>319.50908579999998</v>
      </c>
      <c r="Q70" s="4169">
        <f t="shared" si="154"/>
        <v>332.07</v>
      </c>
      <c r="R70" s="4169">
        <f t="shared" si="154"/>
        <v>304.7</v>
      </c>
      <c r="S70" s="4169">
        <f t="shared" si="154"/>
        <v>313.22822069999995</v>
      </c>
      <c r="T70" s="4169">
        <f t="shared" si="154"/>
        <v>308.57000000000005</v>
      </c>
      <c r="U70" s="4169">
        <f t="shared" si="154"/>
        <v>291.76</v>
      </c>
      <c r="V70" s="4169">
        <f t="shared" si="154"/>
        <v>302.08484820000001</v>
      </c>
      <c r="W70" s="4169">
        <f t="shared" si="154"/>
        <v>299.16000000000003</v>
      </c>
      <c r="X70" s="4169">
        <f t="shared" si="154"/>
        <v>286.22000000000003</v>
      </c>
      <c r="Y70" s="4141">
        <f t="shared" si="147"/>
        <v>934.82215469999994</v>
      </c>
      <c r="Z70" s="4141">
        <f t="shared" si="147"/>
        <v>939.80000000000018</v>
      </c>
      <c r="AA70" s="4141">
        <f t="shared" si="147"/>
        <v>882.68000000000006</v>
      </c>
      <c r="AB70" s="4154">
        <f t="shared" si="91"/>
        <v>4.9778453000002401</v>
      </c>
      <c r="AC70" s="4154">
        <f t="shared" si="92"/>
        <v>0.53249115620261633</v>
      </c>
      <c r="AD70" s="4141">
        <f t="shared" si="148"/>
        <v>1903.8749913000001</v>
      </c>
      <c r="AE70" s="4141">
        <f t="shared" si="148"/>
        <v>1852.16</v>
      </c>
      <c r="AF70" s="4141">
        <f t="shared" si="148"/>
        <v>1822.5600000000002</v>
      </c>
      <c r="AG70" s="4154">
        <f t="shared" si="95"/>
        <v>-51.714991300000065</v>
      </c>
      <c r="AH70" s="4154">
        <f t="shared" si="96"/>
        <v>-2.7163018336980276</v>
      </c>
      <c r="AI70" s="4169">
        <f t="shared" si="154"/>
        <v>293.92319850000001</v>
      </c>
      <c r="AJ70" s="4169">
        <f t="shared" si="154"/>
        <v>265.63</v>
      </c>
      <c r="AK70" s="4169">
        <f t="shared" si="154"/>
        <v>260.41000000000003</v>
      </c>
      <c r="AL70" s="4169">
        <f t="shared" si="154"/>
        <v>304.32772199999994</v>
      </c>
      <c r="AM70" s="4169">
        <f t="shared" si="154"/>
        <v>278.93665000000004</v>
      </c>
      <c r="AN70" s="4169">
        <f t="shared" si="154"/>
        <v>290.77999999999997</v>
      </c>
      <c r="AO70" s="4169">
        <f t="shared" si="154"/>
        <v>317.26966499999997</v>
      </c>
      <c r="AP70" s="4169">
        <f t="shared" si="154"/>
        <v>311.65000000000003</v>
      </c>
      <c r="AQ70" s="4169">
        <f t="shared" si="154"/>
        <v>297.38</v>
      </c>
      <c r="AR70" s="4170">
        <f t="shared" si="154"/>
        <v>915.52058549999992</v>
      </c>
      <c r="AS70" s="4170">
        <f t="shared" si="154"/>
        <v>856.21664999999985</v>
      </c>
      <c r="AT70" s="4170">
        <f t="shared" si="154"/>
        <v>848.56999999999994</v>
      </c>
      <c r="AU70" s="4154">
        <f t="shared" si="98"/>
        <v>-59.30393550000008</v>
      </c>
      <c r="AV70" s="4154">
        <f t="shared" si="99"/>
        <v>-6.4776190114405772</v>
      </c>
      <c r="AW70" s="4170">
        <f t="shared" si="154"/>
        <v>2819.3955768000001</v>
      </c>
      <c r="AX70" s="4170">
        <f t="shared" si="154"/>
        <v>2708.3766499999997</v>
      </c>
      <c r="AY70" s="4170">
        <f t="shared" si="154"/>
        <v>2671.1299999999997</v>
      </c>
      <c r="AZ70" s="4154">
        <f t="shared" si="102"/>
        <v>-111.01892680000037</v>
      </c>
      <c r="BA70" s="4154">
        <f t="shared" si="103"/>
        <v>-3.9376853575831419</v>
      </c>
      <c r="BB70" s="4169">
        <f t="shared" si="154"/>
        <v>323.98447440000001</v>
      </c>
      <c r="BC70" s="4169">
        <f t="shared" si="154"/>
        <v>0</v>
      </c>
      <c r="BD70" s="4172">
        <f t="shared" si="154"/>
        <v>296.35000000000002</v>
      </c>
      <c r="BE70" s="4172">
        <f t="shared" si="154"/>
        <v>323.98447440000001</v>
      </c>
      <c r="BF70" s="4172">
        <f t="shared" si="154"/>
        <v>0</v>
      </c>
      <c r="BG70" s="4172">
        <f t="shared" si="154"/>
        <v>308.71999999999997</v>
      </c>
      <c r="BH70" s="4172">
        <f t="shared" si="154"/>
        <v>323.98447440000001</v>
      </c>
      <c r="BI70" s="4172">
        <f t="shared" si="154"/>
        <v>0</v>
      </c>
      <c r="BJ70" s="4172">
        <f t="shared" si="154"/>
        <v>292.54000000000002</v>
      </c>
      <c r="BK70" s="4223">
        <f t="shared" si="154"/>
        <v>971.95342319999997</v>
      </c>
      <c r="BL70" s="4223">
        <f t="shared" si="154"/>
        <v>0</v>
      </c>
      <c r="BM70" s="4223">
        <f t="shared" si="154"/>
        <v>897.61000000000013</v>
      </c>
      <c r="BN70" s="4280">
        <f t="shared" si="105"/>
        <v>-971.95342319999997</v>
      </c>
      <c r="BO70" s="4280">
        <f t="shared" si="106"/>
        <v>-100</v>
      </c>
      <c r="BP70" s="4223">
        <f t="shared" si="154"/>
        <v>3791.3490000000002</v>
      </c>
      <c r="BQ70" s="4223">
        <f t="shared" si="154"/>
        <v>2708.3766499999997</v>
      </c>
      <c r="BR70" s="4223">
        <f t="shared" si="154"/>
        <v>3568.74</v>
      </c>
      <c r="BS70" s="4280">
        <f t="shared" si="109"/>
        <v>-1082.9723500000005</v>
      </c>
      <c r="BT70" s="4280">
        <f t="shared" si="110"/>
        <v>-28.564301255305182</v>
      </c>
      <c r="BU70" s="435"/>
      <c r="BV70" s="435"/>
      <c r="BW70" s="435"/>
      <c r="BX70" s="435"/>
    </row>
    <row r="71" spans="1:76" ht="18.75">
      <c r="A71" s="4171" t="s">
        <v>14</v>
      </c>
      <c r="B71" s="4169">
        <f>SUM(B69/B70)</f>
        <v>32.234215484865331</v>
      </c>
      <c r="C71" s="4169">
        <f t="shared" ref="C71:BR71" si="155">SUM(C69/C70)</f>
        <v>32.992778206979949</v>
      </c>
      <c r="D71" s="4169">
        <f t="shared" si="155"/>
        <v>29.543179525970746</v>
      </c>
      <c r="E71" s="4169">
        <f t="shared" si="155"/>
        <v>31.889820144262693</v>
      </c>
      <c r="F71" s="4169">
        <f t="shared" si="155"/>
        <v>28.985497545738514</v>
      </c>
      <c r="G71" s="4169">
        <f t="shared" si="155"/>
        <v>27.97108100462075</v>
      </c>
      <c r="H71" s="4169">
        <f t="shared" si="155"/>
        <v>34.445026344224324</v>
      </c>
      <c r="I71" s="4169">
        <f t="shared" si="155"/>
        <v>33.315908411152833</v>
      </c>
      <c r="J71" s="4169">
        <f t="shared" si="155"/>
        <v>31.680329753341873</v>
      </c>
      <c r="K71" s="4170">
        <f t="shared" si="155"/>
        <v>32.85864679492002</v>
      </c>
      <c r="L71" s="4170">
        <f t="shared" si="155"/>
        <v>31.721338068306373</v>
      </c>
      <c r="M71" s="4170">
        <f t="shared" si="155"/>
        <v>29.70337702685449</v>
      </c>
      <c r="N71" s="4154">
        <f t="shared" si="88"/>
        <v>-1.1373087266136466</v>
      </c>
      <c r="O71" s="4154">
        <f t="shared" si="89"/>
        <v>-3.4612159585022098</v>
      </c>
      <c r="P71" s="4169">
        <f t="shared" si="155"/>
        <v>31.60130161804053</v>
      </c>
      <c r="Q71" s="4169">
        <f t="shared" si="155"/>
        <v>37.156442918661725</v>
      </c>
      <c r="R71" s="4169">
        <f t="shared" si="155"/>
        <v>34.088710206760751</v>
      </c>
      <c r="S71" s="4169">
        <f t="shared" si="155"/>
        <v>31.2542684827621</v>
      </c>
      <c r="T71" s="4169">
        <f t="shared" si="155"/>
        <v>39.455066921606104</v>
      </c>
      <c r="U71" s="4169">
        <f t="shared" si="155"/>
        <v>34.28598848368523</v>
      </c>
      <c r="V71" s="4169">
        <f t="shared" si="155"/>
        <v>35.025130037022613</v>
      </c>
      <c r="W71" s="4169">
        <f t="shared" si="155"/>
        <v>37.450427864687782</v>
      </c>
      <c r="X71" s="4169">
        <f t="shared" si="155"/>
        <v>33.897456501991464</v>
      </c>
      <c r="Y71" s="4170">
        <f t="shared" si="155"/>
        <v>32.591421623295304</v>
      </c>
      <c r="Z71" s="4170">
        <f t="shared" si="155"/>
        <v>38.004745690572449</v>
      </c>
      <c r="AA71" s="4170">
        <f t="shared" si="155"/>
        <v>34.091901935016082</v>
      </c>
      <c r="AB71" s="4154">
        <f t="shared" si="91"/>
        <v>5.413324067277145</v>
      </c>
      <c r="AC71" s="4154">
        <f t="shared" si="92"/>
        <v>16.609659222130631</v>
      </c>
      <c r="AD71" s="4170">
        <f t="shared" si="155"/>
        <v>32.727436493891943</v>
      </c>
      <c r="AE71" s="4170">
        <f t="shared" si="155"/>
        <v>34.909586644782301</v>
      </c>
      <c r="AF71" s="4170">
        <f t="shared" si="155"/>
        <v>31.828773812659112</v>
      </c>
      <c r="AG71" s="4154">
        <f t="shared" si="95"/>
        <v>2.182150150890358</v>
      </c>
      <c r="AH71" s="4154">
        <f t="shared" si="96"/>
        <v>6.6676476518337191</v>
      </c>
      <c r="AI71" s="4169">
        <f t="shared" si="155"/>
        <v>34.425408960065965</v>
      </c>
      <c r="AJ71" s="4169">
        <f t="shared" si="155"/>
        <v>39.119301283740533</v>
      </c>
      <c r="AK71" s="4169">
        <f t="shared" si="155"/>
        <v>39.146998963173452</v>
      </c>
      <c r="AL71" s="4169">
        <f t="shared" si="155"/>
        <v>33.334841797803982</v>
      </c>
      <c r="AM71" s="4169">
        <f t="shared" si="155"/>
        <v>41.775507090946995</v>
      </c>
      <c r="AN71" s="4169">
        <f t="shared" si="155"/>
        <v>33.549006121466398</v>
      </c>
      <c r="AO71" s="4169">
        <f t="shared" si="155"/>
        <v>35.450857275471485</v>
      </c>
      <c r="AP71" s="4169">
        <f t="shared" si="155"/>
        <v>40.815562329536327</v>
      </c>
      <c r="AQ71" s="4169">
        <f t="shared" si="155"/>
        <v>33.510962405003703</v>
      </c>
      <c r="AR71" s="4170">
        <f t="shared" si="155"/>
        <v>34.418258736707422</v>
      </c>
      <c r="AS71" s="4170">
        <f t="shared" si="155"/>
        <v>40.602048558621235</v>
      </c>
      <c r="AT71" s="4170">
        <f t="shared" si="155"/>
        <v>35.253591336012349</v>
      </c>
      <c r="AU71" s="4154">
        <f t="shared" si="98"/>
        <v>6.1837898219138125</v>
      </c>
      <c r="AV71" s="4154">
        <f t="shared" si="99"/>
        <v>17.966596942682457</v>
      </c>
      <c r="AW71" s="4170">
        <f t="shared" si="155"/>
        <v>33.276484162994066</v>
      </c>
      <c r="AX71" s="4170">
        <f t="shared" si="155"/>
        <v>36.709181494383365</v>
      </c>
      <c r="AY71" s="4170">
        <f t="shared" si="155"/>
        <v>32.916776794839635</v>
      </c>
      <c r="AZ71" s="4154">
        <f t="shared" si="102"/>
        <v>3.4326973313892992</v>
      </c>
      <c r="BA71" s="4154">
        <f t="shared" si="103"/>
        <v>10.315685138415899</v>
      </c>
      <c r="BB71" s="4169">
        <f t="shared" si="155"/>
        <v>32.713013687807283</v>
      </c>
      <c r="BC71" s="4169" t="e">
        <f t="shared" si="155"/>
        <v>#DIV/0!</v>
      </c>
      <c r="BD71" s="4172">
        <f t="shared" si="155"/>
        <v>32.538484899611937</v>
      </c>
      <c r="BE71" s="4172">
        <f t="shared" si="155"/>
        <v>33.039660762698887</v>
      </c>
      <c r="BF71" s="4172" t="e">
        <f t="shared" si="155"/>
        <v>#DIV/0!</v>
      </c>
      <c r="BG71" s="4172">
        <f t="shared" si="155"/>
        <v>34.870076444674787</v>
      </c>
      <c r="BH71" s="4172">
        <f t="shared" si="155"/>
        <v>36.241979098881338</v>
      </c>
      <c r="BI71" s="4172" t="e">
        <f t="shared" si="155"/>
        <v>#DIV/0!</v>
      </c>
      <c r="BJ71" s="4172">
        <f t="shared" si="155"/>
        <v>35.033704792507002</v>
      </c>
      <c r="BK71" s="4223">
        <f t="shared" si="155"/>
        <v>33.998217849795836</v>
      </c>
      <c r="BL71" s="4223" t="e">
        <f t="shared" si="155"/>
        <v>#DIV/0!</v>
      </c>
      <c r="BM71" s="4223">
        <f t="shared" si="155"/>
        <v>34.153619055046171</v>
      </c>
      <c r="BN71" s="4280" t="e">
        <f t="shared" si="105"/>
        <v>#DIV/0!</v>
      </c>
      <c r="BO71" s="4280" t="e">
        <f t="shared" si="106"/>
        <v>#DIV/0!</v>
      </c>
      <c r="BP71" s="4223">
        <f t="shared" si="155"/>
        <v>33.461508418879163</v>
      </c>
      <c r="BQ71" s="4223">
        <f t="shared" si="155"/>
        <v>36.709181494383365</v>
      </c>
      <c r="BR71" s="4223">
        <f t="shared" si="155"/>
        <v>33.227867538683128</v>
      </c>
      <c r="BS71" s="4280">
        <f t="shared" si="109"/>
        <v>3.2476730755042027</v>
      </c>
      <c r="BT71" s="4280">
        <f t="shared" si="110"/>
        <v>9.7056983649662616</v>
      </c>
      <c r="BU71" s="435"/>
      <c r="BV71" s="435"/>
      <c r="BW71" s="435"/>
      <c r="BX71" s="435"/>
    </row>
    <row r="72" spans="1:76" ht="18.75">
      <c r="A72" s="4139" t="s">
        <v>437</v>
      </c>
      <c r="B72" s="4169">
        <f>SUM('Произв. прогр. Вода (СВОД)'!E74)</f>
        <v>508.79994408897352</v>
      </c>
      <c r="C72" s="4169">
        <f>SUM(C32-C69)</f>
        <v>210.89999999999964</v>
      </c>
      <c r="D72" s="4169">
        <f>SUM(D32-D69)</f>
        <v>623.03000000000065</v>
      </c>
      <c r="E72" s="4169">
        <f>SUM('Произв. прогр. Вода (СВОД)'!F74)</f>
        <v>504.10932421854795</v>
      </c>
      <c r="F72" s="4169">
        <f>SUM(F32-F69)</f>
        <v>1480.33</v>
      </c>
      <c r="G72" s="4169">
        <f>SUM(G32-G69)</f>
        <v>1124.6000000000004</v>
      </c>
      <c r="H72" s="4169">
        <f>SUM('Произв. прогр. Вода (СВОД)'!G74)</f>
        <v>546.54559443311541</v>
      </c>
      <c r="I72" s="4169">
        <f>SUM(I32-I69)</f>
        <v>118.40000000000146</v>
      </c>
      <c r="J72" s="4169">
        <f>SUM(J32-J69)</f>
        <v>-52.729999999999563</v>
      </c>
      <c r="K72" s="4141">
        <f t="shared" ref="K72:M72" si="156">SUM(B72+E72+H72)</f>
        <v>1559.4548627406368</v>
      </c>
      <c r="L72" s="4141">
        <f t="shared" si="156"/>
        <v>1809.630000000001</v>
      </c>
      <c r="M72" s="4141">
        <f t="shared" si="156"/>
        <v>1694.9000000000015</v>
      </c>
      <c r="N72" s="4154">
        <f t="shared" si="88"/>
        <v>250.17513725936419</v>
      </c>
      <c r="O72" s="4154">
        <f t="shared" si="89"/>
        <v>16.042473766742965</v>
      </c>
      <c r="P72" s="4169">
        <f>SUM('Произв. прогр. Вода (СВОД)'!I74)</f>
        <v>494.49722790544865</v>
      </c>
      <c r="Q72" s="4169">
        <f>SUM(Q32-Q69)</f>
        <v>-1144.8500000000004</v>
      </c>
      <c r="R72" s="4169">
        <f>SUM(R32-R69)</f>
        <v>-787.5</v>
      </c>
      <c r="S72" s="4169">
        <f>SUM('Произв. прогр. Вода (СВОД)'!J74)</f>
        <v>479.45284468103944</v>
      </c>
      <c r="T72" s="4169">
        <f>SUM(T32-T69)</f>
        <v>-1772.1999999999971</v>
      </c>
      <c r="U72" s="4169">
        <f>SUM(U32-U69)</f>
        <v>-807.45000000000437</v>
      </c>
      <c r="V72" s="4169">
        <f>SUM('Произв. прогр. Вода (СВОД)'!K74)</f>
        <v>518.18445062233809</v>
      </c>
      <c r="W72" s="4169">
        <f>SUM(W32-W69)</f>
        <v>-1118.9499999999989</v>
      </c>
      <c r="X72" s="4169">
        <f>SUM(X32-X69)</f>
        <v>-681.399999999996</v>
      </c>
      <c r="Y72" s="4141">
        <f t="shared" ref="Y72:AA72" si="157">SUM(P72+S72+V72)</f>
        <v>1492.1345232088261</v>
      </c>
      <c r="Z72" s="4141">
        <f t="shared" si="157"/>
        <v>-4035.9999999999964</v>
      </c>
      <c r="AA72" s="4141">
        <f t="shared" si="157"/>
        <v>-2276.3500000000004</v>
      </c>
      <c r="AB72" s="4154">
        <f t="shared" si="91"/>
        <v>-5528.1345232088224</v>
      </c>
      <c r="AC72" s="4154">
        <f t="shared" si="92"/>
        <v>-370.48499563702899</v>
      </c>
      <c r="AD72" s="4141">
        <f t="shared" ref="AD72:AF72" si="158">SUM(K72+Y72)</f>
        <v>3051.5893859494627</v>
      </c>
      <c r="AE72" s="4141">
        <f t="shared" si="158"/>
        <v>-2226.3699999999953</v>
      </c>
      <c r="AF72" s="4141">
        <f t="shared" si="158"/>
        <v>-581.44999999999891</v>
      </c>
      <c r="AG72" s="4154">
        <f t="shared" si="95"/>
        <v>-5277.959385949458</v>
      </c>
      <c r="AH72" s="4154">
        <f t="shared" si="96"/>
        <v>-172.95771869737609</v>
      </c>
      <c r="AI72" s="4169">
        <f>SUM('Произв. прогр. Вода (СВОД)'!N74)</f>
        <v>495.55133555122666</v>
      </c>
      <c r="AJ72" s="4169">
        <f>SUM(AJ32-AJ69)</f>
        <v>-823.77999999999884</v>
      </c>
      <c r="AK72" s="4169">
        <f>SUM(AK32-AK69)</f>
        <v>-1415.0999999999985</v>
      </c>
      <c r="AL72" s="4169">
        <f>SUM('Произв. прогр. Вода (СВОД)'!O74)</f>
        <v>496.83889961374769</v>
      </c>
      <c r="AM72" s="4169">
        <f>SUM(AM32-AM69)</f>
        <v>-1605.8707300000005</v>
      </c>
      <c r="AN72" s="4169">
        <f>SUM(AN32-AN69)</f>
        <v>48.900000000001455</v>
      </c>
      <c r="AO72" s="4169">
        <f>SUM('Произв. прогр. Вода (СВОД)'!P74)</f>
        <v>550.84697588938946</v>
      </c>
      <c r="AP72" s="4169">
        <f>SUM(AP32-AP69)</f>
        <v>-1492.2499999999982</v>
      </c>
      <c r="AQ72" s="4169">
        <f>SUM(AQ32-AQ69)</f>
        <v>65.639999999997599</v>
      </c>
      <c r="AR72" s="4141">
        <f t="shared" ref="AR72:AT72" si="159">SUM(AI72+AL72+AO72)</f>
        <v>1543.2372110543638</v>
      </c>
      <c r="AS72" s="4141">
        <f t="shared" si="159"/>
        <v>-3921.9007299999976</v>
      </c>
      <c r="AT72" s="4141">
        <f t="shared" si="159"/>
        <v>-1300.5599999999995</v>
      </c>
      <c r="AU72" s="4154">
        <f t="shared" si="98"/>
        <v>-5465.1379410543614</v>
      </c>
      <c r="AV72" s="4154">
        <f t="shared" si="99"/>
        <v>-354.13466587683524</v>
      </c>
      <c r="AW72" s="4141">
        <f t="shared" ref="AW72:AY72" si="160">SUM(AD72+AR72)</f>
        <v>4594.8265970038265</v>
      </c>
      <c r="AX72" s="4141">
        <f t="shared" si="160"/>
        <v>-6148.2707299999929</v>
      </c>
      <c r="AY72" s="4141">
        <f t="shared" si="160"/>
        <v>-1882.0099999999984</v>
      </c>
      <c r="AZ72" s="4154">
        <f t="shared" si="102"/>
        <v>-10743.097327003819</v>
      </c>
      <c r="BA72" s="4154">
        <f t="shared" si="103"/>
        <v>-233.808547508825</v>
      </c>
      <c r="BB72" s="4169">
        <f>SUM('Произв. прогр. Вода (СВОД)'!S74)</f>
        <v>519.06342973952223</v>
      </c>
      <c r="BC72" s="4169">
        <f>SUM(BC32-BC69)</f>
        <v>0</v>
      </c>
      <c r="BD72" s="4172">
        <f>SUM(BD32-BD69)</f>
        <v>349.44000000000051</v>
      </c>
      <c r="BE72" s="4172">
        <f>SUM('Произв. прогр. Вода (СВОД)'!T74)</f>
        <v>524.24639920316451</v>
      </c>
      <c r="BF72" s="4172">
        <f>SUM(BF32-BF69)</f>
        <v>0</v>
      </c>
      <c r="BG72" s="4172">
        <f>SUM(BG32-BG69)</f>
        <v>-382.38999999999942</v>
      </c>
      <c r="BH72" s="4172">
        <f>SUM('Произв. прогр. Вода (СВОД)'!U74)</f>
        <v>575.05817565884934</v>
      </c>
      <c r="BI72" s="4172">
        <f>SUM(BI32-BI69)</f>
        <v>0</v>
      </c>
      <c r="BJ72" s="4172">
        <f>SUM(BJ32-BJ69)</f>
        <v>-389.31999999999971</v>
      </c>
      <c r="BK72" s="4256">
        <f t="shared" ref="BK72:BM72" si="161">SUM(BB72+BE72+BH72)</f>
        <v>1618.3680046015361</v>
      </c>
      <c r="BL72" s="4256">
        <f t="shared" si="161"/>
        <v>0</v>
      </c>
      <c r="BM72" s="4256">
        <f t="shared" si="161"/>
        <v>-422.26999999999862</v>
      </c>
      <c r="BN72" s="4280">
        <f t="shared" si="105"/>
        <v>-1618.3680046015361</v>
      </c>
      <c r="BO72" s="4280">
        <f t="shared" si="106"/>
        <v>-100</v>
      </c>
      <c r="BP72" s="4256">
        <f t="shared" ref="BP72:BR72" si="162">SUM(AW72+BK72)</f>
        <v>6213.1946016053625</v>
      </c>
      <c r="BQ72" s="4256">
        <f t="shared" si="162"/>
        <v>-6148.2707299999929</v>
      </c>
      <c r="BR72" s="4256">
        <f t="shared" si="162"/>
        <v>-2304.279999999997</v>
      </c>
      <c r="BS72" s="4280">
        <f t="shared" si="109"/>
        <v>-12361.465331605355</v>
      </c>
      <c r="BT72" s="4280">
        <f t="shared" si="110"/>
        <v>-198.95506457195796</v>
      </c>
      <c r="BU72" s="435"/>
      <c r="BV72" s="435"/>
      <c r="BW72" s="435"/>
      <c r="BX72" s="435"/>
    </row>
    <row r="73" spans="1:76" ht="18.75">
      <c r="A73" s="4139" t="s">
        <v>548</v>
      </c>
      <c r="B73" s="4169">
        <f>SUM(B69+B72)</f>
        <v>10897.743272608079</v>
      </c>
      <c r="C73" s="4169">
        <f t="shared" ref="C73:BR73" si="163">SUM(C69+C72)</f>
        <v>10033.18</v>
      </c>
      <c r="D73" s="4169">
        <f t="shared" si="163"/>
        <v>9996.49</v>
      </c>
      <c r="E73" s="4169">
        <f t="shared" si="163"/>
        <v>10797.277123326519</v>
      </c>
      <c r="F73" s="4169">
        <f t="shared" si="163"/>
        <v>10574.24</v>
      </c>
      <c r="G73" s="4169">
        <f t="shared" si="163"/>
        <v>10023.039999999999</v>
      </c>
      <c r="H73" s="4169">
        <f t="shared" si="163"/>
        <v>11706.199350260786</v>
      </c>
      <c r="I73" s="4169">
        <f t="shared" si="163"/>
        <v>10143.49</v>
      </c>
      <c r="J73" s="4169">
        <f t="shared" si="163"/>
        <v>9592.9800000000014</v>
      </c>
      <c r="K73" s="4170">
        <f t="shared" si="163"/>
        <v>33401.219746195384</v>
      </c>
      <c r="L73" s="4170">
        <f t="shared" si="163"/>
        <v>30750.91</v>
      </c>
      <c r="M73" s="4170">
        <f t="shared" si="163"/>
        <v>29612.510000000002</v>
      </c>
      <c r="N73" s="4154">
        <f t="shared" si="88"/>
        <v>-2650.3097461953839</v>
      </c>
      <c r="O73" s="4154">
        <f t="shared" si="89"/>
        <v>-7.9347693477489587</v>
      </c>
      <c r="P73" s="4169">
        <f t="shared" si="163"/>
        <v>10591.400217975639</v>
      </c>
      <c r="Q73" s="4169">
        <f t="shared" si="163"/>
        <v>11193.689999999999</v>
      </c>
      <c r="R73" s="4169">
        <f t="shared" si="163"/>
        <v>9599.33</v>
      </c>
      <c r="S73" s="4169">
        <f t="shared" si="163"/>
        <v>10269.1717508167</v>
      </c>
      <c r="T73" s="4169">
        <f t="shared" si="163"/>
        <v>10402.450000000001</v>
      </c>
      <c r="U73" s="4169">
        <f t="shared" si="163"/>
        <v>9195.8299999999981</v>
      </c>
      <c r="V73" s="4169">
        <f t="shared" si="163"/>
        <v>11098.745541041575</v>
      </c>
      <c r="W73" s="4169">
        <f t="shared" si="163"/>
        <v>10084.719999999999</v>
      </c>
      <c r="X73" s="4169">
        <f t="shared" si="163"/>
        <v>9020.7300000000014</v>
      </c>
      <c r="Y73" s="4170">
        <f t="shared" si="163"/>
        <v>31959.317509833912</v>
      </c>
      <c r="Z73" s="4170">
        <f t="shared" si="163"/>
        <v>31680.859999999997</v>
      </c>
      <c r="AA73" s="4170">
        <f t="shared" si="163"/>
        <v>27815.89</v>
      </c>
      <c r="AB73" s="4154">
        <f t="shared" si="91"/>
        <v>-278.45750983391554</v>
      </c>
      <c r="AC73" s="4154">
        <f t="shared" si="92"/>
        <v>-0.87128741015271638</v>
      </c>
      <c r="AD73" s="4170">
        <f t="shared" si="163"/>
        <v>65360.537256029289</v>
      </c>
      <c r="AE73" s="4170">
        <f t="shared" si="163"/>
        <v>62431.77</v>
      </c>
      <c r="AF73" s="4170">
        <f t="shared" si="163"/>
        <v>57428.4</v>
      </c>
      <c r="AG73" s="4154">
        <f t="shared" si="95"/>
        <v>-2928.7672560292922</v>
      </c>
      <c r="AH73" s="4154">
        <f t="shared" si="96"/>
        <v>-4.4809412207809283</v>
      </c>
      <c r="AI73" s="4169">
        <f t="shared" si="163"/>
        <v>10613.977646764375</v>
      </c>
      <c r="AJ73" s="4169">
        <f t="shared" si="163"/>
        <v>9567.48</v>
      </c>
      <c r="AK73" s="4169">
        <f t="shared" si="163"/>
        <v>8779.1700000000019</v>
      </c>
      <c r="AL73" s="4169">
        <f t="shared" si="163"/>
        <v>10641.555367169816</v>
      </c>
      <c r="AM73" s="4169">
        <f t="shared" si="163"/>
        <v>10046.849270000001</v>
      </c>
      <c r="AN73" s="4169">
        <f t="shared" si="163"/>
        <v>9804.2800000000007</v>
      </c>
      <c r="AO73" s="4169">
        <f t="shared" si="163"/>
        <v>11798.328587641039</v>
      </c>
      <c r="AP73" s="4169">
        <f t="shared" si="163"/>
        <v>11227.92</v>
      </c>
      <c r="AQ73" s="4169">
        <f t="shared" si="163"/>
        <v>10031.129999999999</v>
      </c>
      <c r="AR73" s="4170">
        <f t="shared" si="163"/>
        <v>33053.861601575234</v>
      </c>
      <c r="AS73" s="4170">
        <f t="shared" si="163"/>
        <v>30842.249269999997</v>
      </c>
      <c r="AT73" s="4170">
        <f t="shared" si="163"/>
        <v>28614.579999999994</v>
      </c>
      <c r="AU73" s="4154">
        <f t="shared" si="98"/>
        <v>-2211.6123315752375</v>
      </c>
      <c r="AV73" s="4154">
        <f t="shared" si="99"/>
        <v>-6.6909348088691685</v>
      </c>
      <c r="AW73" s="4170">
        <f t="shared" si="163"/>
        <v>98414.398857604538</v>
      </c>
      <c r="AX73" s="4170">
        <f t="shared" si="163"/>
        <v>93274.019270000004</v>
      </c>
      <c r="AY73" s="4170">
        <f t="shared" si="163"/>
        <v>86042.98</v>
      </c>
      <c r="AZ73" s="4154">
        <f t="shared" si="102"/>
        <v>-5140.3795876045333</v>
      </c>
      <c r="BA73" s="4154">
        <f t="shared" si="103"/>
        <v>-5.2231986856335233</v>
      </c>
      <c r="BB73" s="4169">
        <f t="shared" si="163"/>
        <v>11117.571975423773</v>
      </c>
      <c r="BC73" s="4169">
        <f t="shared" si="163"/>
        <v>0</v>
      </c>
      <c r="BD73" s="4172">
        <f t="shared" si="163"/>
        <v>9992.2199999999993</v>
      </c>
      <c r="BE73" s="4172">
        <f t="shared" si="163"/>
        <v>11228.583525760467</v>
      </c>
      <c r="BF73" s="4172">
        <f t="shared" si="163"/>
        <v>0</v>
      </c>
      <c r="BG73" s="4172">
        <f t="shared" si="163"/>
        <v>10382.700000000001</v>
      </c>
      <c r="BH73" s="4172">
        <f t="shared" si="163"/>
        <v>12316.896725225704</v>
      </c>
      <c r="BI73" s="4172">
        <f t="shared" si="163"/>
        <v>0</v>
      </c>
      <c r="BJ73" s="4172">
        <f t="shared" si="163"/>
        <v>9859.44</v>
      </c>
      <c r="BK73" s="4223">
        <f t="shared" si="163"/>
        <v>34663.052226409942</v>
      </c>
      <c r="BL73" s="4223">
        <f t="shared" si="163"/>
        <v>0</v>
      </c>
      <c r="BM73" s="4223">
        <f t="shared" si="163"/>
        <v>30234.36</v>
      </c>
      <c r="BN73" s="4280">
        <f t="shared" si="105"/>
        <v>-34663.052226409942</v>
      </c>
      <c r="BO73" s="4280">
        <f t="shared" si="106"/>
        <v>-100</v>
      </c>
      <c r="BP73" s="4223">
        <f t="shared" si="163"/>
        <v>133077.45108401446</v>
      </c>
      <c r="BQ73" s="4223">
        <f t="shared" si="163"/>
        <v>93274.019270000004</v>
      </c>
      <c r="BR73" s="4223">
        <f t="shared" si="163"/>
        <v>116277.34000000003</v>
      </c>
      <c r="BS73" s="4280">
        <f t="shared" si="109"/>
        <v>-39803.431814014461</v>
      </c>
      <c r="BT73" s="4280">
        <f t="shared" si="110"/>
        <v>-29.909974597338625</v>
      </c>
      <c r="BU73" s="435"/>
      <c r="BV73" s="435"/>
      <c r="BW73" s="435"/>
      <c r="BX73" s="435"/>
    </row>
    <row r="74" spans="1:76" ht="18.75">
      <c r="A74" s="4171" t="s">
        <v>70</v>
      </c>
      <c r="B74" s="4169">
        <f t="shared" ref="B74:BR74" si="164">SUM(B73/B70)</f>
        <v>33.812890670380014</v>
      </c>
      <c r="C74" s="4169">
        <f t="shared" si="164"/>
        <v>33.701185717644691</v>
      </c>
      <c r="D74" s="4169">
        <f t="shared" si="164"/>
        <v>31.506839384770547</v>
      </c>
      <c r="E74" s="4169">
        <f t="shared" si="164"/>
        <v>33.451628520083453</v>
      </c>
      <c r="F74" s="4169">
        <f t="shared" si="164"/>
        <v>33.703831197807105</v>
      </c>
      <c r="G74" s="4169">
        <f t="shared" si="164"/>
        <v>31.506113852827458</v>
      </c>
      <c r="H74" s="4169">
        <f t="shared" si="164"/>
        <v>36.131976298987695</v>
      </c>
      <c r="I74" s="4169">
        <f t="shared" si="164"/>
        <v>33.709381542653951</v>
      </c>
      <c r="J74" s="4169">
        <f t="shared" si="164"/>
        <v>31.507143560941966</v>
      </c>
      <c r="K74" s="4170">
        <f t="shared" si="164"/>
        <v>34.467903590671334</v>
      </c>
      <c r="L74" s="4170">
        <f t="shared" si="164"/>
        <v>33.704798544434219</v>
      </c>
      <c r="M74" s="4170">
        <f t="shared" si="164"/>
        <v>31.506692343703449</v>
      </c>
      <c r="N74" s="4154">
        <f t="shared" si="88"/>
        <v>-0.76310504623711495</v>
      </c>
      <c r="O74" s="4154">
        <f t="shared" si="89"/>
        <v>-2.2139583982231157</v>
      </c>
      <c r="P74" s="4169">
        <f t="shared" si="164"/>
        <v>33.148979758921271</v>
      </c>
      <c r="Q74" s="4169">
        <f t="shared" si="164"/>
        <v>33.708826452254037</v>
      </c>
      <c r="R74" s="4169">
        <f t="shared" si="164"/>
        <v>31.504200853298329</v>
      </c>
      <c r="S74" s="4169">
        <f t="shared" si="164"/>
        <v>32.784950627587889</v>
      </c>
      <c r="T74" s="4169">
        <f t="shared" si="164"/>
        <v>33.711799591664771</v>
      </c>
      <c r="U74" s="4169">
        <f t="shared" si="164"/>
        <v>31.51847408829174</v>
      </c>
      <c r="V74" s="4169">
        <f t="shared" si="164"/>
        <v>36.740490650803764</v>
      </c>
      <c r="W74" s="4169">
        <f t="shared" si="164"/>
        <v>33.710121674020584</v>
      </c>
      <c r="X74" s="4169">
        <f t="shared" si="164"/>
        <v>31.516770316539727</v>
      </c>
      <c r="Y74" s="4170">
        <f t="shared" si="164"/>
        <v>34.187591029108837</v>
      </c>
      <c r="Z74" s="4170">
        <f t="shared" si="164"/>
        <v>33.710214939348788</v>
      </c>
      <c r="AA74" s="4170">
        <f t="shared" si="164"/>
        <v>31.512994516699141</v>
      </c>
      <c r="AB74" s="4154">
        <f t="shared" si="91"/>
        <v>-0.47737608976004964</v>
      </c>
      <c r="AC74" s="4154">
        <f t="shared" si="92"/>
        <v>-1.3963431625047531</v>
      </c>
      <c r="AD74" s="4170">
        <f t="shared" si="164"/>
        <v>34.330267246905713</v>
      </c>
      <c r="AE74" s="4170">
        <f t="shared" si="164"/>
        <v>33.707546864201795</v>
      </c>
      <c r="AF74" s="4170">
        <f t="shared" si="164"/>
        <v>31.509744535159335</v>
      </c>
      <c r="AG74" s="4154">
        <f t="shared" si="95"/>
        <v>-0.62272038270391761</v>
      </c>
      <c r="AH74" s="4154">
        <f t="shared" si="96"/>
        <v>-1.8139106760377615</v>
      </c>
      <c r="AI74" s="4169">
        <f t="shared" si="164"/>
        <v>36.111398150712404</v>
      </c>
      <c r="AJ74" s="4169">
        <f t="shared" si="164"/>
        <v>36.018070248089444</v>
      </c>
      <c r="AK74" s="4169">
        <f t="shared" si="164"/>
        <v>33.712875849621753</v>
      </c>
      <c r="AL74" s="4169">
        <f t="shared" si="164"/>
        <v>34.967420310036097</v>
      </c>
      <c r="AM74" s="4169">
        <f t="shared" si="164"/>
        <v>36.018390806658068</v>
      </c>
      <c r="AN74" s="4169">
        <f t="shared" si="164"/>
        <v>33.717174496182686</v>
      </c>
      <c r="AO74" s="4169">
        <f t="shared" si="164"/>
        <v>37.187067939952719</v>
      </c>
      <c r="AP74" s="4169">
        <f t="shared" si="164"/>
        <v>36.027338360340124</v>
      </c>
      <c r="AQ74" s="4169">
        <f t="shared" si="164"/>
        <v>33.731690093483081</v>
      </c>
      <c r="AR74" s="4170">
        <f t="shared" si="164"/>
        <v>36.103897744170645</v>
      </c>
      <c r="AS74" s="4170">
        <f t="shared" si="164"/>
        <v>36.021548132706833</v>
      </c>
      <c r="AT74" s="4170">
        <f t="shared" si="164"/>
        <v>33.720942291148631</v>
      </c>
      <c r="AU74" s="4154">
        <f t="shared" si="98"/>
        <v>-8.2349611463811812E-2</v>
      </c>
      <c r="AV74" s="4154">
        <f t="shared" si="99"/>
        <v>-0.22809064009469177</v>
      </c>
      <c r="AW74" s="4170">
        <f t="shared" si="164"/>
        <v>34.906204601946776</v>
      </c>
      <c r="AX74" s="4170">
        <f t="shared" si="164"/>
        <v>34.439087070847407</v>
      </c>
      <c r="AY74" s="4170">
        <f t="shared" si="164"/>
        <v>32.212202326356262</v>
      </c>
      <c r="AZ74" s="4154">
        <f t="shared" si="102"/>
        <v>-0.46711753109936893</v>
      </c>
      <c r="BA74" s="4154">
        <f t="shared" si="103"/>
        <v>-1.3382077382120112</v>
      </c>
      <c r="BB74" s="4169">
        <f t="shared" si="164"/>
        <v>34.315138081887582</v>
      </c>
      <c r="BC74" s="4169" t="e">
        <f t="shared" si="164"/>
        <v>#DIV/0!</v>
      </c>
      <c r="BD74" s="4172">
        <f t="shared" si="164"/>
        <v>33.717631179348736</v>
      </c>
      <c r="BE74" s="4172">
        <f t="shared" si="164"/>
        <v>34.657782742692028</v>
      </c>
      <c r="BF74" s="4172" t="e">
        <f t="shared" si="164"/>
        <v>#DIV/0!</v>
      </c>
      <c r="BG74" s="4172">
        <f t="shared" si="164"/>
        <v>33.631445970458671</v>
      </c>
      <c r="BH74" s="4172">
        <f t="shared" si="164"/>
        <v>38.016935064668964</v>
      </c>
      <c r="BI74" s="4172" t="e">
        <f t="shared" si="164"/>
        <v>#DIV/0!</v>
      </c>
      <c r="BJ74" s="4172">
        <f t="shared" si="164"/>
        <v>33.702878238873318</v>
      </c>
      <c r="BK74" s="4223">
        <f t="shared" si="164"/>
        <v>35.663285296416191</v>
      </c>
      <c r="BL74" s="4223" t="e">
        <f t="shared" si="164"/>
        <v>#DIV/0!</v>
      </c>
      <c r="BM74" s="4223">
        <f t="shared" si="164"/>
        <v>33.683180891478479</v>
      </c>
      <c r="BN74" s="4280" t="e">
        <f t="shared" si="105"/>
        <v>#DIV/0!</v>
      </c>
      <c r="BO74" s="4280" t="e">
        <f t="shared" si="106"/>
        <v>#DIV/0!</v>
      </c>
      <c r="BP74" s="4223">
        <f t="shared" si="164"/>
        <v>35.100290446491329</v>
      </c>
      <c r="BQ74" s="4223">
        <f t="shared" si="164"/>
        <v>34.439087070847407</v>
      </c>
      <c r="BR74" s="4223">
        <f t="shared" si="164"/>
        <v>32.582183067413155</v>
      </c>
      <c r="BS74" s="4280">
        <f t="shared" si="109"/>
        <v>-0.66120337564392173</v>
      </c>
      <c r="BT74" s="4280">
        <f t="shared" si="110"/>
        <v>-1.8837547132320567</v>
      </c>
      <c r="BU74" s="435"/>
      <c r="BV74" s="435"/>
      <c r="BW74" s="435"/>
      <c r="BX74" s="435"/>
    </row>
    <row r="75" spans="1:76" ht="18.75">
      <c r="A75" s="4171" t="s">
        <v>327</v>
      </c>
      <c r="B75" s="4169">
        <f>SUM('Произв. прогр. Вода (СВОД)'!E77)</f>
        <v>-100.45291666666667</v>
      </c>
      <c r="C75" s="4173"/>
      <c r="D75" s="4267"/>
      <c r="E75" s="4169">
        <f>SUM('Произв. прогр. Вода (СВОД)'!F77)</f>
        <v>-100.45291666666667</v>
      </c>
      <c r="F75" s="4173"/>
      <c r="G75" s="4267"/>
      <c r="H75" s="4169">
        <f>SUM('Произв. прогр. Вода (СВОД)'!G77)</f>
        <v>-100.45291666666667</v>
      </c>
      <c r="I75" s="4173"/>
      <c r="J75" s="4267"/>
      <c r="K75" s="4141">
        <f t="shared" ref="K75:M75" si="165">SUM(B75+E75+H75)</f>
        <v>-301.35874999999999</v>
      </c>
      <c r="L75" s="4141">
        <f t="shared" si="165"/>
        <v>0</v>
      </c>
      <c r="M75" s="4141">
        <f t="shared" si="165"/>
        <v>0</v>
      </c>
      <c r="N75" s="4154">
        <f t="shared" si="88"/>
        <v>301.35874999999999</v>
      </c>
      <c r="O75" s="4154">
        <f t="shared" si="89"/>
        <v>-100</v>
      </c>
      <c r="P75" s="4169">
        <f>SUM('Произв. прогр. Вода (СВОД)'!I77)</f>
        <v>-100.45291666666667</v>
      </c>
      <c r="Q75" s="4173"/>
      <c r="R75" s="4267"/>
      <c r="S75" s="4169">
        <f>SUM('Произв. прогр. Вода (СВОД)'!J77)</f>
        <v>-100.45291666666667</v>
      </c>
      <c r="T75" s="4173"/>
      <c r="U75" s="4267"/>
      <c r="V75" s="4169">
        <f>SUM('Произв. прогр. Вода (СВОД)'!K77)</f>
        <v>-100.45291666666667</v>
      </c>
      <c r="W75" s="4173"/>
      <c r="X75" s="4267"/>
      <c r="Y75" s="4141">
        <f t="shared" ref="Y75:AA75" si="166">SUM(P75+S75+V75)</f>
        <v>-301.35874999999999</v>
      </c>
      <c r="Z75" s="4141">
        <f t="shared" si="166"/>
        <v>0</v>
      </c>
      <c r="AA75" s="4141">
        <f t="shared" si="166"/>
        <v>0</v>
      </c>
      <c r="AB75" s="4154">
        <f t="shared" si="91"/>
        <v>301.35874999999999</v>
      </c>
      <c r="AC75" s="4154">
        <f t="shared" si="92"/>
        <v>-100</v>
      </c>
      <c r="AD75" s="4141">
        <f t="shared" ref="AD75:AF75" si="167">SUM(K75+Y75)</f>
        <v>-602.71749999999997</v>
      </c>
      <c r="AE75" s="4141">
        <f t="shared" si="167"/>
        <v>0</v>
      </c>
      <c r="AF75" s="4141">
        <f t="shared" si="167"/>
        <v>0</v>
      </c>
      <c r="AG75" s="4154">
        <f t="shared" si="95"/>
        <v>602.71749999999997</v>
      </c>
      <c r="AH75" s="4154">
        <f t="shared" si="96"/>
        <v>-100</v>
      </c>
      <c r="AI75" s="4169">
        <f>SUM('Произв. прогр. Вода (СВОД)'!N77)</f>
        <v>-100.45291666666667</v>
      </c>
      <c r="AJ75" s="4173"/>
      <c r="AK75" s="4267"/>
      <c r="AL75" s="4169">
        <f>SUM('Произв. прогр. Вода (СВОД)'!O77)</f>
        <v>-100.45291666666667</v>
      </c>
      <c r="AM75" s="4173"/>
      <c r="AN75" s="4267"/>
      <c r="AO75" s="4169">
        <f>SUM('Произв. прогр. Вода (СВОД)'!P77)</f>
        <v>-100.45291666666667</v>
      </c>
      <c r="AP75" s="4173"/>
      <c r="AQ75" s="4267"/>
      <c r="AR75" s="4141">
        <f t="shared" ref="AR75:AT75" si="168">SUM(AI75+AL75+AO75)</f>
        <v>-301.35874999999999</v>
      </c>
      <c r="AS75" s="4141">
        <f t="shared" si="168"/>
        <v>0</v>
      </c>
      <c r="AT75" s="4141">
        <f t="shared" si="168"/>
        <v>0</v>
      </c>
      <c r="AU75" s="4154">
        <f t="shared" si="98"/>
        <v>301.35874999999999</v>
      </c>
      <c r="AV75" s="4154">
        <f t="shared" si="99"/>
        <v>-100</v>
      </c>
      <c r="AW75" s="4141">
        <f t="shared" ref="AW75:AY75" si="169">SUM(AD75+AR75)</f>
        <v>-904.07624999999996</v>
      </c>
      <c r="AX75" s="4141">
        <f t="shared" si="169"/>
        <v>0</v>
      </c>
      <c r="AY75" s="4141">
        <f t="shared" si="169"/>
        <v>0</v>
      </c>
      <c r="AZ75" s="4154">
        <f t="shared" si="102"/>
        <v>904.07624999999996</v>
      </c>
      <c r="BA75" s="4154">
        <f t="shared" si="103"/>
        <v>-100</v>
      </c>
      <c r="BB75" s="4169">
        <f>SUM('Произв. прогр. Вода (СВОД)'!S77)</f>
        <v>-100.45291666666667</v>
      </c>
      <c r="BC75" s="4173"/>
      <c r="BD75" s="4255"/>
      <c r="BE75" s="4172">
        <f>SUM('Произв. прогр. Вода (СВОД)'!T77)</f>
        <v>-100.45291666666667</v>
      </c>
      <c r="BF75" s="4286"/>
      <c r="BG75" s="4255"/>
      <c r="BH75" s="4172">
        <f>SUM('Произв. прогр. Вода (СВОД)'!U77)</f>
        <v>-100.45291666666667</v>
      </c>
      <c r="BI75" s="4286"/>
      <c r="BJ75" s="4255"/>
      <c r="BK75" s="4256">
        <f t="shared" ref="BK75:BM75" si="170">SUM(BB75+BE75+BH75)</f>
        <v>-301.35874999999999</v>
      </c>
      <c r="BL75" s="4256">
        <f t="shared" si="170"/>
        <v>0</v>
      </c>
      <c r="BM75" s="4256">
        <f t="shared" si="170"/>
        <v>0</v>
      </c>
      <c r="BN75" s="4280">
        <f t="shared" si="105"/>
        <v>301.35874999999999</v>
      </c>
      <c r="BO75" s="4280">
        <f t="shared" si="106"/>
        <v>-100</v>
      </c>
      <c r="BP75" s="4256">
        <f t="shared" ref="BP75:BR75" si="171">SUM(AW75+BK75)</f>
        <v>-1205.4349999999999</v>
      </c>
      <c r="BQ75" s="4256">
        <f t="shared" si="171"/>
        <v>0</v>
      </c>
      <c r="BR75" s="4256">
        <f t="shared" si="171"/>
        <v>0</v>
      </c>
      <c r="BS75" s="4280">
        <f t="shared" si="109"/>
        <v>1205.4349999999999</v>
      </c>
      <c r="BT75" s="4280">
        <f t="shared" si="110"/>
        <v>-100</v>
      </c>
      <c r="BU75" s="435"/>
      <c r="BV75" s="435"/>
      <c r="BW75" s="435"/>
      <c r="BX75" s="435"/>
    </row>
    <row r="76" spans="1:76" ht="18.75">
      <c r="A76" s="4139" t="s">
        <v>549</v>
      </c>
      <c r="B76" s="4169">
        <f>SUM(B75+B73)</f>
        <v>10797.290355941412</v>
      </c>
      <c r="C76" s="4169">
        <f t="shared" ref="C76:BR76" si="172">SUM(C75+C73)</f>
        <v>10033.18</v>
      </c>
      <c r="D76" s="4169">
        <f t="shared" si="172"/>
        <v>9996.49</v>
      </c>
      <c r="E76" s="4169">
        <f t="shared" si="172"/>
        <v>10696.824206659852</v>
      </c>
      <c r="F76" s="4169">
        <f t="shared" si="172"/>
        <v>10574.24</v>
      </c>
      <c r="G76" s="4169">
        <f t="shared" si="172"/>
        <v>10023.039999999999</v>
      </c>
      <c r="H76" s="4169">
        <f t="shared" si="172"/>
        <v>11605.746433594119</v>
      </c>
      <c r="I76" s="4169">
        <f t="shared" si="172"/>
        <v>10143.49</v>
      </c>
      <c r="J76" s="4169">
        <f t="shared" si="172"/>
        <v>9592.9800000000014</v>
      </c>
      <c r="K76" s="4170">
        <f t="shared" si="172"/>
        <v>33099.860996195384</v>
      </c>
      <c r="L76" s="4170">
        <f t="shared" si="172"/>
        <v>30750.91</v>
      </c>
      <c r="M76" s="4170">
        <f t="shared" si="172"/>
        <v>29612.510000000002</v>
      </c>
      <c r="N76" s="4154">
        <f t="shared" si="88"/>
        <v>-2348.9509961953845</v>
      </c>
      <c r="O76" s="4154">
        <f t="shared" si="89"/>
        <v>-7.0965584914854514</v>
      </c>
      <c r="P76" s="4169">
        <f t="shared" si="172"/>
        <v>10490.947301308972</v>
      </c>
      <c r="Q76" s="4169">
        <f t="shared" si="172"/>
        <v>11193.689999999999</v>
      </c>
      <c r="R76" s="4169">
        <f t="shared" si="172"/>
        <v>9599.33</v>
      </c>
      <c r="S76" s="4169">
        <f t="shared" si="172"/>
        <v>10168.718834150033</v>
      </c>
      <c r="T76" s="4169">
        <f t="shared" si="172"/>
        <v>10402.450000000001</v>
      </c>
      <c r="U76" s="4169">
        <f t="shared" si="172"/>
        <v>9195.8299999999981</v>
      </c>
      <c r="V76" s="4169">
        <f t="shared" si="172"/>
        <v>10998.292624374908</v>
      </c>
      <c r="W76" s="4169">
        <f t="shared" si="172"/>
        <v>10084.719999999999</v>
      </c>
      <c r="X76" s="4169">
        <f t="shared" si="172"/>
        <v>9020.7300000000014</v>
      </c>
      <c r="Y76" s="4170">
        <f t="shared" si="172"/>
        <v>31657.958759833913</v>
      </c>
      <c r="Z76" s="4170">
        <f t="shared" si="172"/>
        <v>31680.859999999997</v>
      </c>
      <c r="AA76" s="4170">
        <f t="shared" si="172"/>
        <v>27815.89</v>
      </c>
      <c r="AB76" s="4154">
        <f t="shared" si="91"/>
        <v>22.90124016608388</v>
      </c>
      <c r="AC76" s="4154">
        <f t="shared" si="92"/>
        <v>7.2339598202837599E-2</v>
      </c>
      <c r="AD76" s="4170">
        <f t="shared" si="172"/>
        <v>64757.81975602929</v>
      </c>
      <c r="AE76" s="4170">
        <f t="shared" si="172"/>
        <v>62431.77</v>
      </c>
      <c r="AF76" s="4170">
        <f t="shared" si="172"/>
        <v>57428.4</v>
      </c>
      <c r="AG76" s="4154">
        <f t="shared" si="95"/>
        <v>-2326.0497560292933</v>
      </c>
      <c r="AH76" s="4154">
        <f t="shared" si="96"/>
        <v>-3.5919210448908387</v>
      </c>
      <c r="AI76" s="4169">
        <f t="shared" si="172"/>
        <v>10513.524730097708</v>
      </c>
      <c r="AJ76" s="4169">
        <f t="shared" si="172"/>
        <v>9567.48</v>
      </c>
      <c r="AK76" s="4169">
        <f t="shared" si="172"/>
        <v>8779.1700000000019</v>
      </c>
      <c r="AL76" s="4169">
        <f t="shared" si="172"/>
        <v>10541.102450503149</v>
      </c>
      <c r="AM76" s="4169">
        <f t="shared" si="172"/>
        <v>10046.849270000001</v>
      </c>
      <c r="AN76" s="4169">
        <f t="shared" si="172"/>
        <v>9804.2800000000007</v>
      </c>
      <c r="AO76" s="4169">
        <f t="shared" si="172"/>
        <v>11697.875670974372</v>
      </c>
      <c r="AP76" s="4169">
        <f t="shared" si="172"/>
        <v>11227.92</v>
      </c>
      <c r="AQ76" s="4169">
        <f t="shared" si="172"/>
        <v>10031.129999999999</v>
      </c>
      <c r="AR76" s="4170">
        <f t="shared" si="172"/>
        <v>32752.502851575235</v>
      </c>
      <c r="AS76" s="4170">
        <f t="shared" si="172"/>
        <v>30842.249269999997</v>
      </c>
      <c r="AT76" s="4170">
        <f t="shared" si="172"/>
        <v>28614.579999999994</v>
      </c>
      <c r="AU76" s="4154">
        <f t="shared" si="98"/>
        <v>-1910.2535815752381</v>
      </c>
      <c r="AV76" s="4154">
        <f t="shared" si="99"/>
        <v>-5.8323896351736799</v>
      </c>
      <c r="AW76" s="4170">
        <f t="shared" si="172"/>
        <v>97510.322607604539</v>
      </c>
      <c r="AX76" s="4170">
        <f t="shared" si="172"/>
        <v>93274.019270000004</v>
      </c>
      <c r="AY76" s="4170">
        <f t="shared" si="172"/>
        <v>86042.98</v>
      </c>
      <c r="AZ76" s="4154">
        <f t="shared" si="102"/>
        <v>-4236.303337604535</v>
      </c>
      <c r="BA76" s="4154">
        <f t="shared" si="103"/>
        <v>-4.3444665388422763</v>
      </c>
      <c r="BB76" s="4169">
        <f t="shared" si="172"/>
        <v>11017.119058757105</v>
      </c>
      <c r="BC76" s="4169">
        <f t="shared" si="172"/>
        <v>0</v>
      </c>
      <c r="BD76" s="4172">
        <f t="shared" si="172"/>
        <v>9992.2199999999993</v>
      </c>
      <c r="BE76" s="4172">
        <f t="shared" si="172"/>
        <v>11128.1306090938</v>
      </c>
      <c r="BF76" s="4172">
        <f t="shared" si="172"/>
        <v>0</v>
      </c>
      <c r="BG76" s="4172">
        <f t="shared" si="172"/>
        <v>10382.700000000001</v>
      </c>
      <c r="BH76" s="4172">
        <f t="shared" si="172"/>
        <v>12216.443808559037</v>
      </c>
      <c r="BI76" s="4172">
        <f t="shared" si="172"/>
        <v>0</v>
      </c>
      <c r="BJ76" s="4172">
        <f t="shared" si="172"/>
        <v>9859.44</v>
      </c>
      <c r="BK76" s="4223">
        <f t="shared" si="172"/>
        <v>34361.693476409942</v>
      </c>
      <c r="BL76" s="4223">
        <f t="shared" si="172"/>
        <v>0</v>
      </c>
      <c r="BM76" s="4223">
        <f t="shared" si="172"/>
        <v>30234.36</v>
      </c>
      <c r="BN76" s="4280">
        <f t="shared" si="105"/>
        <v>-34361.693476409942</v>
      </c>
      <c r="BO76" s="4280">
        <f t="shared" si="106"/>
        <v>-100</v>
      </c>
      <c r="BP76" s="4223">
        <f t="shared" si="172"/>
        <v>131872.01608401447</v>
      </c>
      <c r="BQ76" s="4223">
        <f t="shared" si="172"/>
        <v>93274.019270000004</v>
      </c>
      <c r="BR76" s="4223">
        <f t="shared" si="172"/>
        <v>116277.34000000003</v>
      </c>
      <c r="BS76" s="4280">
        <f t="shared" si="109"/>
        <v>-38597.996814014463</v>
      </c>
      <c r="BT76" s="4280">
        <f t="shared" si="110"/>
        <v>-29.269285448266775</v>
      </c>
      <c r="BU76" s="435"/>
      <c r="BV76" s="435"/>
      <c r="BW76" s="435"/>
      <c r="BX76" s="435"/>
    </row>
    <row r="77" spans="1:76" ht="18.75">
      <c r="A77" s="4139" t="s">
        <v>328</v>
      </c>
      <c r="B77" s="4169">
        <f t="shared" ref="B77:BR77" si="173">SUM(B76/B70)</f>
        <v>33.501211141526703</v>
      </c>
      <c r="C77" s="4169">
        <f t="shared" si="173"/>
        <v>33.701185717644691</v>
      </c>
      <c r="D77" s="4169">
        <f t="shared" si="173"/>
        <v>31.506839384770547</v>
      </c>
      <c r="E77" s="4169">
        <f t="shared" si="173"/>
        <v>33.140409903231188</v>
      </c>
      <c r="F77" s="4169">
        <f t="shared" si="173"/>
        <v>33.703831197807105</v>
      </c>
      <c r="G77" s="4169">
        <f t="shared" si="173"/>
        <v>31.506113852827458</v>
      </c>
      <c r="H77" s="4169">
        <f t="shared" si="173"/>
        <v>35.821921575369537</v>
      </c>
      <c r="I77" s="4169">
        <f t="shared" si="173"/>
        <v>33.709381542653951</v>
      </c>
      <c r="J77" s="4169">
        <f t="shared" si="173"/>
        <v>31.507143560941966</v>
      </c>
      <c r="K77" s="4170">
        <f t="shared" si="173"/>
        <v>34.156920805607371</v>
      </c>
      <c r="L77" s="4170">
        <f t="shared" si="173"/>
        <v>33.704798544434219</v>
      </c>
      <c r="M77" s="4170">
        <f t="shared" si="173"/>
        <v>31.506692343703449</v>
      </c>
      <c r="N77" s="4154">
        <f t="shared" si="88"/>
        <v>-0.45212226117315168</v>
      </c>
      <c r="O77" s="4154">
        <f t="shared" si="89"/>
        <v>-1.3236622345036706</v>
      </c>
      <c r="P77" s="4169">
        <f t="shared" si="173"/>
        <v>32.834582074689074</v>
      </c>
      <c r="Q77" s="4169">
        <f t="shared" si="173"/>
        <v>33.708826452254037</v>
      </c>
      <c r="R77" s="4169">
        <f t="shared" si="173"/>
        <v>31.504200853298329</v>
      </c>
      <c r="S77" s="4169">
        <f t="shared" si="173"/>
        <v>32.464248628125077</v>
      </c>
      <c r="T77" s="4169">
        <f t="shared" si="173"/>
        <v>33.711799591664771</v>
      </c>
      <c r="U77" s="4169">
        <f t="shared" si="173"/>
        <v>31.51847408829174</v>
      </c>
      <c r="V77" s="4169">
        <f t="shared" si="173"/>
        <v>36.407958525259488</v>
      </c>
      <c r="W77" s="4169">
        <f t="shared" si="173"/>
        <v>33.710121674020584</v>
      </c>
      <c r="X77" s="4169">
        <f t="shared" si="173"/>
        <v>31.516770316539727</v>
      </c>
      <c r="Y77" s="4170">
        <f t="shared" si="173"/>
        <v>33.865220887916891</v>
      </c>
      <c r="Z77" s="4170">
        <f t="shared" si="173"/>
        <v>33.710214939348788</v>
      </c>
      <c r="AA77" s="4170">
        <f t="shared" si="173"/>
        <v>31.512994516699141</v>
      </c>
      <c r="AB77" s="4154">
        <f t="shared" si="91"/>
        <v>-0.15500594856810324</v>
      </c>
      <c r="AC77" s="4154">
        <f t="shared" si="92"/>
        <v>-0.45771426999139803</v>
      </c>
      <c r="AD77" s="4170">
        <f t="shared" si="173"/>
        <v>34.013693153147351</v>
      </c>
      <c r="AE77" s="4170">
        <f t="shared" si="173"/>
        <v>33.707546864201795</v>
      </c>
      <c r="AF77" s="4170">
        <f t="shared" si="173"/>
        <v>31.509744535159335</v>
      </c>
      <c r="AG77" s="4154">
        <f t="shared" si="95"/>
        <v>-0.30614628894555551</v>
      </c>
      <c r="AH77" s="4154">
        <f t="shared" si="96"/>
        <v>-0.9000677684928996</v>
      </c>
      <c r="AI77" s="4169">
        <f t="shared" si="173"/>
        <v>35.76963228405296</v>
      </c>
      <c r="AJ77" s="4169">
        <f t="shared" si="173"/>
        <v>36.018070248089444</v>
      </c>
      <c r="AK77" s="4169">
        <f t="shared" si="173"/>
        <v>33.712875849621753</v>
      </c>
      <c r="AL77" s="4169">
        <f t="shared" si="173"/>
        <v>34.637338922752335</v>
      </c>
      <c r="AM77" s="4169">
        <f t="shared" si="173"/>
        <v>36.018390806658068</v>
      </c>
      <c r="AN77" s="4169">
        <f t="shared" si="173"/>
        <v>33.717174496182686</v>
      </c>
      <c r="AO77" s="4169">
        <f t="shared" si="173"/>
        <v>36.87045110655118</v>
      </c>
      <c r="AP77" s="4169">
        <f t="shared" si="173"/>
        <v>36.027338360340124</v>
      </c>
      <c r="AQ77" s="4169">
        <f t="shared" si="173"/>
        <v>33.731690093483081</v>
      </c>
      <c r="AR77" s="4170">
        <f t="shared" si="173"/>
        <v>35.774731196992008</v>
      </c>
      <c r="AS77" s="4170">
        <f t="shared" si="173"/>
        <v>36.021548132706833</v>
      </c>
      <c r="AT77" s="4170">
        <f t="shared" si="173"/>
        <v>33.720942291148631</v>
      </c>
      <c r="AU77" s="4154">
        <f t="shared" si="98"/>
        <v>0.24681693571482555</v>
      </c>
      <c r="AV77" s="4154">
        <f t="shared" si="99"/>
        <v>0.6899197490981519</v>
      </c>
      <c r="AW77" s="4170">
        <f t="shared" si="173"/>
        <v>34.585541457888738</v>
      </c>
      <c r="AX77" s="4170">
        <f t="shared" si="173"/>
        <v>34.439087070847407</v>
      </c>
      <c r="AY77" s="4170">
        <f t="shared" si="173"/>
        <v>32.212202326356262</v>
      </c>
      <c r="AZ77" s="4154">
        <f t="shared" si="102"/>
        <v>-0.14645438704133085</v>
      </c>
      <c r="BA77" s="4154">
        <f t="shared" si="103"/>
        <v>-0.4234555275638906</v>
      </c>
      <c r="BB77" s="4169">
        <f t="shared" si="173"/>
        <v>34.005083358269424</v>
      </c>
      <c r="BC77" s="4169" t="e">
        <f t="shared" si="173"/>
        <v>#DIV/0!</v>
      </c>
      <c r="BD77" s="4172">
        <f t="shared" si="173"/>
        <v>33.717631179348736</v>
      </c>
      <c r="BE77" s="4172">
        <f t="shared" si="173"/>
        <v>34.347728019073863</v>
      </c>
      <c r="BF77" s="4172" t="e">
        <f t="shared" si="173"/>
        <v>#DIV/0!</v>
      </c>
      <c r="BG77" s="4172">
        <f t="shared" si="173"/>
        <v>33.631445970458671</v>
      </c>
      <c r="BH77" s="4172">
        <f t="shared" si="173"/>
        <v>37.706880341050805</v>
      </c>
      <c r="BI77" s="4172" t="e">
        <f t="shared" si="173"/>
        <v>#DIV/0!</v>
      </c>
      <c r="BJ77" s="4172">
        <f t="shared" si="173"/>
        <v>33.702878238873318</v>
      </c>
      <c r="BK77" s="4223">
        <f t="shared" si="173"/>
        <v>35.353230572798033</v>
      </c>
      <c r="BL77" s="4223" t="e">
        <f t="shared" si="173"/>
        <v>#DIV/0!</v>
      </c>
      <c r="BM77" s="4223">
        <f t="shared" si="173"/>
        <v>33.683180891478479</v>
      </c>
      <c r="BN77" s="4280" t="e">
        <f t="shared" si="105"/>
        <v>#DIV/0!</v>
      </c>
      <c r="BO77" s="4280" t="e">
        <f t="shared" si="106"/>
        <v>#DIV/0!</v>
      </c>
      <c r="BP77" s="4223">
        <f t="shared" si="173"/>
        <v>34.782346886033032</v>
      </c>
      <c r="BQ77" s="4223">
        <f t="shared" si="173"/>
        <v>34.439087070847407</v>
      </c>
      <c r="BR77" s="4223">
        <f t="shared" si="173"/>
        <v>32.582183067413155</v>
      </c>
      <c r="BS77" s="4280">
        <f t="shared" si="109"/>
        <v>-0.34325981518562543</v>
      </c>
      <c r="BT77" s="4280">
        <f t="shared" si="110"/>
        <v>-0.98687939692609572</v>
      </c>
      <c r="BU77" s="435"/>
      <c r="BV77" s="435"/>
      <c r="BW77" s="435"/>
      <c r="BX77" s="435"/>
    </row>
    <row r="78" spans="1:76" ht="18.75">
      <c r="A78" s="4171" t="s">
        <v>1909</v>
      </c>
      <c r="B78" s="4140">
        <f>SUM(B79:B80)</f>
        <v>0</v>
      </c>
      <c r="C78" s="4140">
        <f>SUM('ПОЛНАЯ СЕБЕСТОИМОСТЬ ВОДА 2017'!C213)</f>
        <v>0</v>
      </c>
      <c r="D78" s="4140">
        <f t="shared" ref="D78:BH78" si="174">SUM(D79:D80)</f>
        <v>0</v>
      </c>
      <c r="E78" s="4140">
        <f t="shared" si="174"/>
        <v>0</v>
      </c>
      <c r="F78" s="4169">
        <f>SUM('ПОЛНАЯ СЕБЕСТОИМОСТЬ ВОДА 2017'!D213)</f>
        <v>0</v>
      </c>
      <c r="G78" s="4140">
        <f t="shared" ref="G78" si="175">SUM(G79:G80)</f>
        <v>0</v>
      </c>
      <c r="H78" s="4140">
        <f t="shared" si="174"/>
        <v>0</v>
      </c>
      <c r="I78" s="4140">
        <f>SUM('ПОЛНАЯ СЕБЕСТОИМОСТЬ ВОДА 2017'!E213)</f>
        <v>0</v>
      </c>
      <c r="J78" s="4140">
        <f t="shared" ref="J78" si="176">SUM(J79:J80)</f>
        <v>0</v>
      </c>
      <c r="K78" s="4141">
        <f t="shared" ref="K78:M81" si="177">SUM(B78+E78+H78)</f>
        <v>0</v>
      </c>
      <c r="L78" s="4141">
        <f t="shared" si="177"/>
        <v>0</v>
      </c>
      <c r="M78" s="4141">
        <f t="shared" si="177"/>
        <v>0</v>
      </c>
      <c r="N78" s="4154">
        <f t="shared" si="88"/>
        <v>0</v>
      </c>
      <c r="O78" s="4154"/>
      <c r="P78" s="4140">
        <f t="shared" si="174"/>
        <v>0</v>
      </c>
      <c r="Q78" s="4140">
        <f>SUM('ПОЛНАЯ СЕБЕСТОИМОСТЬ ВОДА 2017'!H213)</f>
        <v>0</v>
      </c>
      <c r="R78" s="4140">
        <f t="shared" ref="R78" si="178">SUM(R79:R80)</f>
        <v>0</v>
      </c>
      <c r="S78" s="4140">
        <f t="shared" si="174"/>
        <v>0</v>
      </c>
      <c r="T78" s="4140">
        <f>SUM('ПОЛНАЯ СЕБЕСТОИМОСТЬ ВОДА 2017'!I213)</f>
        <v>0</v>
      </c>
      <c r="U78" s="4140">
        <f t="shared" ref="U78" si="179">SUM(U79:U80)</f>
        <v>0</v>
      </c>
      <c r="V78" s="4140">
        <f t="shared" si="174"/>
        <v>0</v>
      </c>
      <c r="W78" s="4140">
        <f>SUM('ПОЛНАЯ СЕБЕСТОИМОСТЬ ВОДА 2017'!J213)</f>
        <v>0</v>
      </c>
      <c r="X78" s="4140">
        <f t="shared" ref="X78" si="180">SUM(X79:X80)</f>
        <v>0</v>
      </c>
      <c r="Y78" s="4141">
        <f t="shared" ref="Y78:AA81" si="181">SUM(P78+S78+V78)</f>
        <v>0</v>
      </c>
      <c r="Z78" s="4141">
        <f t="shared" si="181"/>
        <v>0</v>
      </c>
      <c r="AA78" s="4141">
        <f t="shared" si="181"/>
        <v>0</v>
      </c>
      <c r="AB78" s="4154">
        <f t="shared" si="91"/>
        <v>0</v>
      </c>
      <c r="AC78" s="4154"/>
      <c r="AD78" s="4141">
        <f t="shared" ref="AD78:AF81" si="182">SUM(K78+Y78)</f>
        <v>0</v>
      </c>
      <c r="AE78" s="4141">
        <f t="shared" si="182"/>
        <v>0</v>
      </c>
      <c r="AF78" s="4141">
        <f t="shared" si="182"/>
        <v>0</v>
      </c>
      <c r="AG78" s="4154">
        <f t="shared" si="95"/>
        <v>0</v>
      </c>
      <c r="AH78" s="4154"/>
      <c r="AI78" s="4140">
        <f t="shared" si="174"/>
        <v>0</v>
      </c>
      <c r="AJ78" s="4140">
        <f>SUM('ПОЛНАЯ СЕБЕСТОИМОСТЬ ВОДА 2017'!P213)</f>
        <v>0</v>
      </c>
      <c r="AK78" s="4140">
        <f t="shared" ref="AK78" si="183">SUM(AK79:AK80)</f>
        <v>0</v>
      </c>
      <c r="AL78" s="4140">
        <f t="shared" si="174"/>
        <v>0</v>
      </c>
      <c r="AM78" s="4140">
        <f>SUM('ПОЛНАЯ СЕБЕСТОИМОСТЬ ВОДА 2017'!Q213)</f>
        <v>0</v>
      </c>
      <c r="AN78" s="4140">
        <f t="shared" ref="AN78" si="184">SUM(AN79:AN80)</f>
        <v>0</v>
      </c>
      <c r="AO78" s="4140">
        <f t="shared" si="174"/>
        <v>0</v>
      </c>
      <c r="AP78" s="4140">
        <f>SUM('ПОЛНАЯ СЕБЕСТОИМОСТЬ ВОДА 2017'!R213)</f>
        <v>0</v>
      </c>
      <c r="AQ78" s="4140">
        <f t="shared" ref="AQ78" si="185">SUM(AQ79:AQ80)</f>
        <v>0</v>
      </c>
      <c r="AR78" s="4141">
        <f t="shared" ref="AR78:AT81" si="186">SUM(AI78+AL78+AO78)</f>
        <v>0</v>
      </c>
      <c r="AS78" s="4141">
        <f t="shared" si="186"/>
        <v>0</v>
      </c>
      <c r="AT78" s="4141">
        <f t="shared" si="186"/>
        <v>0</v>
      </c>
      <c r="AU78" s="4154">
        <f t="shared" si="98"/>
        <v>0</v>
      </c>
      <c r="AV78" s="4154"/>
      <c r="AW78" s="4141">
        <f t="shared" ref="AW78:AY81" si="187">SUM(AD78+AR78)</f>
        <v>0</v>
      </c>
      <c r="AX78" s="4141">
        <f t="shared" si="187"/>
        <v>0</v>
      </c>
      <c r="AY78" s="4141">
        <f t="shared" si="187"/>
        <v>0</v>
      </c>
      <c r="AZ78" s="4154">
        <f t="shared" si="102"/>
        <v>0</v>
      </c>
      <c r="BA78" s="4154"/>
      <c r="BB78" s="4140">
        <f t="shared" si="174"/>
        <v>0</v>
      </c>
      <c r="BC78" s="4140">
        <f>SUM('ПОЛНАЯ СЕБЕСТОИМОСТЬ ВОДА 2017'!W213)</f>
        <v>0</v>
      </c>
      <c r="BD78" s="4214">
        <f t="shared" ref="BD78" si="188">SUM(BD79:BD80)</f>
        <v>0</v>
      </c>
      <c r="BE78" s="4214">
        <f t="shared" si="174"/>
        <v>0</v>
      </c>
      <c r="BF78" s="4214">
        <f>SUM('ПОЛНАЯ СЕБЕСТОИМОСТЬ ВОДА 2017'!Y213)</f>
        <v>0</v>
      </c>
      <c r="BG78" s="4214">
        <f t="shared" ref="BG78" si="189">SUM(BG79:BG80)</f>
        <v>0</v>
      </c>
      <c r="BH78" s="4214">
        <f t="shared" si="174"/>
        <v>0</v>
      </c>
      <c r="BI78" s="4214">
        <f>SUM('ПОЛНАЯ СЕБЕСТОИМОСТЬ ВОДА 2017'!Z213)</f>
        <v>0</v>
      </c>
      <c r="BJ78" s="4214">
        <f t="shared" ref="BJ78" si="190">SUM(BJ79:BJ80)</f>
        <v>0</v>
      </c>
      <c r="BK78" s="4256">
        <f t="shared" ref="BK78:BM81" si="191">SUM(BB78+BE78+BH78)</f>
        <v>0</v>
      </c>
      <c r="BL78" s="4256">
        <f t="shared" si="191"/>
        <v>0</v>
      </c>
      <c r="BM78" s="4256">
        <f t="shared" si="191"/>
        <v>0</v>
      </c>
      <c r="BN78" s="4280">
        <f t="shared" si="105"/>
        <v>0</v>
      </c>
      <c r="BO78" s="4280"/>
      <c r="BP78" s="4256">
        <f t="shared" ref="BP78:BR81" si="192">SUM(AW78+BK78)</f>
        <v>0</v>
      </c>
      <c r="BQ78" s="4256">
        <f t="shared" si="192"/>
        <v>0</v>
      </c>
      <c r="BR78" s="4256">
        <f t="shared" si="192"/>
        <v>0</v>
      </c>
      <c r="BS78" s="4280">
        <f t="shared" si="109"/>
        <v>0</v>
      </c>
      <c r="BT78" s="4280"/>
      <c r="BU78" s="435"/>
      <c r="BV78" s="435"/>
      <c r="BW78" s="435"/>
      <c r="BX78" s="435"/>
    </row>
    <row r="79" spans="1:76" ht="18.75">
      <c r="A79" s="4159" t="s">
        <v>1888</v>
      </c>
      <c r="B79" s="4148">
        <v>0</v>
      </c>
      <c r="C79" s="4148">
        <f>SUM('ПОЛНАЯ СЕБЕСТОИМОСТЬ ВОДА 2017'!C214)</f>
        <v>0</v>
      </c>
      <c r="D79" s="4148">
        <v>0</v>
      </c>
      <c r="E79" s="4148">
        <v>0</v>
      </c>
      <c r="F79" s="4164">
        <f>SUM('ПОЛНАЯ СЕБЕСТОИМОСТЬ ВОДА 2017'!D214)</f>
        <v>0</v>
      </c>
      <c r="G79" s="4148">
        <v>0</v>
      </c>
      <c r="H79" s="4148">
        <v>0</v>
      </c>
      <c r="I79" s="4148">
        <f>SUM('ПОЛНАЯ СЕБЕСТОИМОСТЬ ВОДА 2017'!E214)</f>
        <v>0</v>
      </c>
      <c r="J79" s="4148">
        <v>0</v>
      </c>
      <c r="K79" s="4150">
        <f t="shared" si="177"/>
        <v>0</v>
      </c>
      <c r="L79" s="4150">
        <f t="shared" si="177"/>
        <v>0</v>
      </c>
      <c r="M79" s="4150">
        <f t="shared" si="177"/>
        <v>0</v>
      </c>
      <c r="N79" s="4149">
        <f t="shared" si="88"/>
        <v>0</v>
      </c>
      <c r="O79" s="4149"/>
      <c r="P79" s="4148">
        <v>0</v>
      </c>
      <c r="Q79" s="4148">
        <f>SUM('ПОЛНАЯ СЕБЕСТОИМОСТЬ ВОДА 2017'!H214)</f>
        <v>0</v>
      </c>
      <c r="R79" s="4148">
        <v>0</v>
      </c>
      <c r="S79" s="4148">
        <v>0</v>
      </c>
      <c r="T79" s="4148">
        <f>SUM('ПОЛНАЯ СЕБЕСТОИМОСТЬ ВОДА 2017'!I214)</f>
        <v>0</v>
      </c>
      <c r="U79" s="4148">
        <v>0</v>
      </c>
      <c r="V79" s="4148">
        <v>0</v>
      </c>
      <c r="W79" s="4148">
        <f>SUM('ПОЛНАЯ СЕБЕСТОИМОСТЬ ВОДА 2017'!J214)</f>
        <v>0</v>
      </c>
      <c r="X79" s="4148">
        <v>0</v>
      </c>
      <c r="Y79" s="4150">
        <f t="shared" si="181"/>
        <v>0</v>
      </c>
      <c r="Z79" s="4150">
        <f t="shared" si="181"/>
        <v>0</v>
      </c>
      <c r="AA79" s="4150">
        <f t="shared" si="181"/>
        <v>0</v>
      </c>
      <c r="AB79" s="4149">
        <f t="shared" si="91"/>
        <v>0</v>
      </c>
      <c r="AC79" s="4149"/>
      <c r="AD79" s="4150">
        <f t="shared" si="182"/>
        <v>0</v>
      </c>
      <c r="AE79" s="4150">
        <f t="shared" si="182"/>
        <v>0</v>
      </c>
      <c r="AF79" s="4150">
        <f t="shared" si="182"/>
        <v>0</v>
      </c>
      <c r="AG79" s="4149">
        <f t="shared" si="95"/>
        <v>0</v>
      </c>
      <c r="AH79" s="4149"/>
      <c r="AI79" s="4148">
        <v>0</v>
      </c>
      <c r="AJ79" s="4148">
        <f>SUM('ПОЛНАЯ СЕБЕСТОИМОСТЬ ВОДА 2017'!P214)</f>
        <v>0</v>
      </c>
      <c r="AK79" s="4148">
        <v>0</v>
      </c>
      <c r="AL79" s="4148">
        <v>0</v>
      </c>
      <c r="AM79" s="4148">
        <f>SUM('ПОЛНАЯ СЕБЕСТОИМОСТЬ ВОДА 2017'!Q214)</f>
        <v>0</v>
      </c>
      <c r="AN79" s="4148">
        <v>0</v>
      </c>
      <c r="AO79" s="4148">
        <v>0</v>
      </c>
      <c r="AP79" s="4148">
        <f>SUM('ПОЛНАЯ СЕБЕСТОИМОСТЬ ВОДА 2017'!R214)</f>
        <v>0</v>
      </c>
      <c r="AQ79" s="4148">
        <v>0</v>
      </c>
      <c r="AR79" s="4150">
        <f t="shared" si="186"/>
        <v>0</v>
      </c>
      <c r="AS79" s="4150">
        <f t="shared" si="186"/>
        <v>0</v>
      </c>
      <c r="AT79" s="4150">
        <f t="shared" si="186"/>
        <v>0</v>
      </c>
      <c r="AU79" s="4149">
        <f t="shared" si="98"/>
        <v>0</v>
      </c>
      <c r="AV79" s="4149"/>
      <c r="AW79" s="4150">
        <f t="shared" si="187"/>
        <v>0</v>
      </c>
      <c r="AX79" s="4150">
        <f t="shared" si="187"/>
        <v>0</v>
      </c>
      <c r="AY79" s="4150">
        <f t="shared" si="187"/>
        <v>0</v>
      </c>
      <c r="AZ79" s="4149">
        <f t="shared" si="102"/>
        <v>0</v>
      </c>
      <c r="BA79" s="4149"/>
      <c r="BB79" s="4148">
        <v>0</v>
      </c>
      <c r="BC79" s="4148">
        <f>SUM('ПОЛНАЯ СЕБЕСТОИМОСТЬ ВОДА 2017'!W214)</f>
        <v>0</v>
      </c>
      <c r="BD79" s="4211">
        <v>0</v>
      </c>
      <c r="BE79" s="4211">
        <v>0</v>
      </c>
      <c r="BF79" s="4211">
        <f>SUM('ПОЛНАЯ СЕБЕСТОИМОСТЬ ВОДА 2017'!Y214)</f>
        <v>0</v>
      </c>
      <c r="BG79" s="4211">
        <v>0</v>
      </c>
      <c r="BH79" s="4211">
        <v>0</v>
      </c>
      <c r="BI79" s="4211">
        <f>SUM('ПОЛНАЯ СЕБЕСТОИМОСТЬ ВОДА 2017'!Z214)</f>
        <v>0</v>
      </c>
      <c r="BJ79" s="4211">
        <v>0</v>
      </c>
      <c r="BK79" s="4258">
        <f t="shared" si="191"/>
        <v>0</v>
      </c>
      <c r="BL79" s="4258">
        <f t="shared" si="191"/>
        <v>0</v>
      </c>
      <c r="BM79" s="4258">
        <f t="shared" si="191"/>
        <v>0</v>
      </c>
      <c r="BN79" s="4283">
        <f t="shared" si="105"/>
        <v>0</v>
      </c>
      <c r="BO79" s="4283"/>
      <c r="BP79" s="4258">
        <f t="shared" si="192"/>
        <v>0</v>
      </c>
      <c r="BQ79" s="4258">
        <f t="shared" si="192"/>
        <v>0</v>
      </c>
      <c r="BR79" s="4258">
        <f t="shared" si="192"/>
        <v>0</v>
      </c>
      <c r="BS79" s="4283">
        <f t="shared" si="109"/>
        <v>0</v>
      </c>
      <c r="BT79" s="4283"/>
      <c r="BU79" s="435"/>
      <c r="BV79" s="435"/>
      <c r="BW79" s="435"/>
      <c r="BX79" s="435"/>
    </row>
    <row r="80" spans="1:76" ht="18.75">
      <c r="A80" s="4159" t="s">
        <v>1885</v>
      </c>
      <c r="B80" s="4148">
        <v>0</v>
      </c>
      <c r="C80" s="4148">
        <f>SUM('ПОЛНАЯ СЕБЕСТОИМОСТЬ ВОДА 2017'!C215)</f>
        <v>0</v>
      </c>
      <c r="D80" s="4148">
        <v>0</v>
      </c>
      <c r="E80" s="4148">
        <v>0</v>
      </c>
      <c r="F80" s="4164">
        <f>SUM('ПОЛНАЯ СЕБЕСТОИМОСТЬ ВОДА 2017'!D215)</f>
        <v>0</v>
      </c>
      <c r="G80" s="4148">
        <v>0</v>
      </c>
      <c r="H80" s="4148">
        <v>0</v>
      </c>
      <c r="I80" s="4148">
        <f>SUM('ПОЛНАЯ СЕБЕСТОИМОСТЬ ВОДА 2017'!E215)</f>
        <v>0</v>
      </c>
      <c r="J80" s="4148">
        <v>0</v>
      </c>
      <c r="K80" s="4150">
        <f t="shared" si="177"/>
        <v>0</v>
      </c>
      <c r="L80" s="4150">
        <f t="shared" si="177"/>
        <v>0</v>
      </c>
      <c r="M80" s="4150">
        <f t="shared" si="177"/>
        <v>0</v>
      </c>
      <c r="N80" s="4149">
        <f t="shared" si="88"/>
        <v>0</v>
      </c>
      <c r="O80" s="4149"/>
      <c r="P80" s="4148">
        <v>0</v>
      </c>
      <c r="Q80" s="4148">
        <f>SUM('ПОЛНАЯ СЕБЕСТОИМОСТЬ ВОДА 2017'!H215)</f>
        <v>0</v>
      </c>
      <c r="R80" s="4148">
        <v>0</v>
      </c>
      <c r="S80" s="4148">
        <v>0</v>
      </c>
      <c r="T80" s="4148">
        <f>SUM('ПОЛНАЯ СЕБЕСТОИМОСТЬ ВОДА 2017'!I215)</f>
        <v>0</v>
      </c>
      <c r="U80" s="4148">
        <v>0</v>
      </c>
      <c r="V80" s="4148">
        <v>0</v>
      </c>
      <c r="W80" s="4148">
        <f>SUM('ПОЛНАЯ СЕБЕСТОИМОСТЬ ВОДА 2017'!J215)</f>
        <v>0</v>
      </c>
      <c r="X80" s="4148">
        <v>0</v>
      </c>
      <c r="Y80" s="4150">
        <f t="shared" si="181"/>
        <v>0</v>
      </c>
      <c r="Z80" s="4150">
        <f t="shared" si="181"/>
        <v>0</v>
      </c>
      <c r="AA80" s="4150">
        <f t="shared" si="181"/>
        <v>0</v>
      </c>
      <c r="AB80" s="4149">
        <f t="shared" si="91"/>
        <v>0</v>
      </c>
      <c r="AC80" s="4149"/>
      <c r="AD80" s="4150">
        <f t="shared" si="182"/>
        <v>0</v>
      </c>
      <c r="AE80" s="4150">
        <f t="shared" si="182"/>
        <v>0</v>
      </c>
      <c r="AF80" s="4150">
        <f t="shared" si="182"/>
        <v>0</v>
      </c>
      <c r="AG80" s="4149">
        <f t="shared" si="95"/>
        <v>0</v>
      </c>
      <c r="AH80" s="4149"/>
      <c r="AI80" s="4148">
        <v>0</v>
      </c>
      <c r="AJ80" s="4148">
        <f>SUM('ПОЛНАЯ СЕБЕСТОИМОСТЬ ВОДА 2017'!P215)</f>
        <v>0</v>
      </c>
      <c r="AK80" s="4148">
        <v>0</v>
      </c>
      <c r="AL80" s="4148">
        <v>0</v>
      </c>
      <c r="AM80" s="4148">
        <f>SUM('ПОЛНАЯ СЕБЕСТОИМОСТЬ ВОДА 2017'!Q215)</f>
        <v>0</v>
      </c>
      <c r="AN80" s="4148">
        <v>0</v>
      </c>
      <c r="AO80" s="4148">
        <v>0</v>
      </c>
      <c r="AP80" s="4148">
        <f>SUM('ПОЛНАЯ СЕБЕСТОИМОСТЬ ВОДА 2017'!R215)</f>
        <v>0</v>
      </c>
      <c r="AQ80" s="4148">
        <v>0</v>
      </c>
      <c r="AR80" s="4150">
        <f t="shared" si="186"/>
        <v>0</v>
      </c>
      <c r="AS80" s="4150">
        <f t="shared" si="186"/>
        <v>0</v>
      </c>
      <c r="AT80" s="4150">
        <f t="shared" si="186"/>
        <v>0</v>
      </c>
      <c r="AU80" s="4149">
        <f t="shared" si="98"/>
        <v>0</v>
      </c>
      <c r="AV80" s="4149"/>
      <c r="AW80" s="4150">
        <f t="shared" si="187"/>
        <v>0</v>
      </c>
      <c r="AX80" s="4150">
        <f t="shared" si="187"/>
        <v>0</v>
      </c>
      <c r="AY80" s="4150">
        <f t="shared" si="187"/>
        <v>0</v>
      </c>
      <c r="AZ80" s="4149">
        <f t="shared" si="102"/>
        <v>0</v>
      </c>
      <c r="BA80" s="4149"/>
      <c r="BB80" s="4148">
        <v>0</v>
      </c>
      <c r="BC80" s="4148">
        <f>SUM('ПОЛНАЯ СЕБЕСТОИМОСТЬ ВОДА 2017'!W215)</f>
        <v>0</v>
      </c>
      <c r="BD80" s="4211">
        <v>0</v>
      </c>
      <c r="BE80" s="4211">
        <v>0</v>
      </c>
      <c r="BF80" s="4211">
        <f>SUM('ПОЛНАЯ СЕБЕСТОИМОСТЬ ВОДА 2017'!Y215)</f>
        <v>0</v>
      </c>
      <c r="BG80" s="4211">
        <v>0</v>
      </c>
      <c r="BH80" s="4211">
        <v>0</v>
      </c>
      <c r="BI80" s="4211">
        <f>SUM('ПОЛНАЯ СЕБЕСТОИМОСТЬ ВОДА 2017'!Z215)</f>
        <v>0</v>
      </c>
      <c r="BJ80" s="4211">
        <v>0</v>
      </c>
      <c r="BK80" s="4258">
        <f t="shared" si="191"/>
        <v>0</v>
      </c>
      <c r="BL80" s="4258">
        <f t="shared" si="191"/>
        <v>0</v>
      </c>
      <c r="BM80" s="4258">
        <f t="shared" si="191"/>
        <v>0</v>
      </c>
      <c r="BN80" s="4283">
        <f t="shared" si="105"/>
        <v>0</v>
      </c>
      <c r="BO80" s="4283"/>
      <c r="BP80" s="4258">
        <f t="shared" si="192"/>
        <v>0</v>
      </c>
      <c r="BQ80" s="4258">
        <f t="shared" si="192"/>
        <v>0</v>
      </c>
      <c r="BR80" s="4258">
        <f t="shared" si="192"/>
        <v>0</v>
      </c>
      <c r="BS80" s="4283">
        <f t="shared" si="109"/>
        <v>0</v>
      </c>
      <c r="BT80" s="4283"/>
      <c r="BU80" s="435"/>
      <c r="BV80" s="435"/>
      <c r="BW80" s="435"/>
      <c r="BX80" s="435"/>
    </row>
    <row r="81" spans="1:76" ht="18.75">
      <c r="A81" s="4171" t="s">
        <v>1886</v>
      </c>
      <c r="B81" s="4169">
        <f t="shared" ref="B81" si="193">SUM(B69+B78)</f>
        <v>10388.943328519104</v>
      </c>
      <c r="C81" s="4169">
        <f t="shared" ref="C81:BI81" si="194">SUM(C69+C78)</f>
        <v>9822.2800000000007</v>
      </c>
      <c r="D81" s="4169">
        <f t="shared" si="194"/>
        <v>9373.4599999999991</v>
      </c>
      <c r="E81" s="4169">
        <f t="shared" si="194"/>
        <v>10293.16779910797</v>
      </c>
      <c r="F81" s="4169">
        <f t="shared" ref="F81:G81" si="195">SUM(F69+F78)</f>
        <v>9093.91</v>
      </c>
      <c r="G81" s="4169">
        <f t="shared" si="195"/>
        <v>8898.4399999999987</v>
      </c>
      <c r="H81" s="4169">
        <f t="shared" si="194"/>
        <v>11159.65375582767</v>
      </c>
      <c r="I81" s="4169">
        <f t="shared" ref="I81:J81" si="196">SUM(I69+I78)</f>
        <v>10025.089999999998</v>
      </c>
      <c r="J81" s="4169">
        <f t="shared" si="196"/>
        <v>9645.7100000000009</v>
      </c>
      <c r="K81" s="4141">
        <f t="shared" si="177"/>
        <v>31841.764883454744</v>
      </c>
      <c r="L81" s="4141">
        <f t="shared" si="177"/>
        <v>28941.279999999999</v>
      </c>
      <c r="M81" s="4141">
        <f t="shared" si="177"/>
        <v>27917.61</v>
      </c>
      <c r="N81" s="4154">
        <f t="shared" si="88"/>
        <v>-2900.4848834547447</v>
      </c>
      <c r="O81" s="4154">
        <f t="shared" si="89"/>
        <v>-9.1090581632987995</v>
      </c>
      <c r="P81" s="4169">
        <f t="shared" si="194"/>
        <v>10096.90299007019</v>
      </c>
      <c r="Q81" s="4169">
        <f t="shared" ref="Q81:R81" si="197">SUM(Q69+Q78)</f>
        <v>12338.539999999999</v>
      </c>
      <c r="R81" s="4169">
        <f t="shared" si="197"/>
        <v>10386.83</v>
      </c>
      <c r="S81" s="4169">
        <f t="shared" si="194"/>
        <v>9789.7189061356603</v>
      </c>
      <c r="T81" s="4169">
        <f t="shared" ref="T81:U81" si="198">SUM(T69+T78)</f>
        <v>12174.649999999998</v>
      </c>
      <c r="U81" s="4169">
        <f t="shared" si="198"/>
        <v>10003.280000000002</v>
      </c>
      <c r="V81" s="4169">
        <f t="shared" si="194"/>
        <v>10580.561090419236</v>
      </c>
      <c r="W81" s="4169">
        <f t="shared" ref="W81:X81" si="199">SUM(W69+W78)</f>
        <v>11203.669999999998</v>
      </c>
      <c r="X81" s="4169">
        <f t="shared" si="199"/>
        <v>9702.1299999999974</v>
      </c>
      <c r="Y81" s="4141">
        <f t="shared" si="181"/>
        <v>30467.182986625085</v>
      </c>
      <c r="Z81" s="4141">
        <f t="shared" si="181"/>
        <v>35716.859999999993</v>
      </c>
      <c r="AA81" s="4141">
        <f t="shared" si="181"/>
        <v>30092.239999999998</v>
      </c>
      <c r="AB81" s="4154">
        <f t="shared" si="91"/>
        <v>5249.6770133749087</v>
      </c>
      <c r="AC81" s="4154">
        <f t="shared" ref="AC81" si="200">SUM(AB81/Y81*100)</f>
        <v>17.230595344766485</v>
      </c>
      <c r="AD81" s="4141">
        <f t="shared" si="182"/>
        <v>62308.947870079828</v>
      </c>
      <c r="AE81" s="4141">
        <f t="shared" si="182"/>
        <v>64658.139999999992</v>
      </c>
      <c r="AF81" s="4141">
        <f t="shared" si="182"/>
        <v>58009.85</v>
      </c>
      <c r="AG81" s="4154">
        <f t="shared" si="95"/>
        <v>2349.192129920164</v>
      </c>
      <c r="AH81" s="4154">
        <f t="shared" ref="AH81" si="201">SUM(AG81/AD81*100)</f>
        <v>3.7702323827044171</v>
      </c>
      <c r="AI81" s="4169">
        <f t="shared" si="194"/>
        <v>10118.426311213148</v>
      </c>
      <c r="AJ81" s="4169">
        <f t="shared" si="194"/>
        <v>10391.259999999998</v>
      </c>
      <c r="AK81" s="4169">
        <f t="shared" ref="AK81" si="202">SUM(AK69+AK78)</f>
        <v>10194.27</v>
      </c>
      <c r="AL81" s="4169">
        <f t="shared" si="194"/>
        <v>10144.716467556069</v>
      </c>
      <c r="AM81" s="4169">
        <f t="shared" si="194"/>
        <v>11652.720000000001</v>
      </c>
      <c r="AN81" s="4169">
        <f t="shared" ref="AN81" si="203">SUM(AN69+AN78)</f>
        <v>9755.3799999999992</v>
      </c>
      <c r="AO81" s="4169">
        <f t="shared" si="194"/>
        <v>11247.481611751649</v>
      </c>
      <c r="AP81" s="4169">
        <f t="shared" si="194"/>
        <v>12720.169999999998</v>
      </c>
      <c r="AQ81" s="4169">
        <f t="shared" ref="AQ81" si="204">SUM(AQ69+AQ78)</f>
        <v>9965.4900000000016</v>
      </c>
      <c r="AR81" s="4141">
        <f t="shared" si="186"/>
        <v>31510.624390520865</v>
      </c>
      <c r="AS81" s="4141">
        <f t="shared" si="186"/>
        <v>34764.149999999994</v>
      </c>
      <c r="AT81" s="4141">
        <f t="shared" si="186"/>
        <v>29915.140000000003</v>
      </c>
      <c r="AU81" s="4154">
        <f t="shared" si="98"/>
        <v>3253.5256094791293</v>
      </c>
      <c r="AV81" s="4154">
        <f t="shared" ref="AV81" si="205">SUM(AU81/AR81*100)</f>
        <v>10.325170231973779</v>
      </c>
      <c r="AW81" s="4141">
        <f t="shared" si="187"/>
        <v>93819.572260600689</v>
      </c>
      <c r="AX81" s="4141">
        <f t="shared" si="187"/>
        <v>99422.289999999979</v>
      </c>
      <c r="AY81" s="4141">
        <f t="shared" si="187"/>
        <v>87924.99</v>
      </c>
      <c r="AZ81" s="4154">
        <f t="shared" si="102"/>
        <v>5602.7177393992897</v>
      </c>
      <c r="BA81" s="4154">
        <f t="shared" ref="BA81" si="206">SUM(AZ81/AW81*100)</f>
        <v>5.9718005576029878</v>
      </c>
      <c r="BB81" s="4169">
        <f t="shared" si="194"/>
        <v>10598.50854568425</v>
      </c>
      <c r="BC81" s="4169">
        <f t="shared" si="194"/>
        <v>0</v>
      </c>
      <c r="BD81" s="4172">
        <f t="shared" ref="BD81" si="207">SUM(BD69+BD78)</f>
        <v>9642.7799999999988</v>
      </c>
      <c r="BE81" s="4172">
        <f t="shared" si="194"/>
        <v>10704.337126557302</v>
      </c>
      <c r="BF81" s="4169">
        <f t="shared" si="194"/>
        <v>0</v>
      </c>
      <c r="BG81" s="4172">
        <f t="shared" ref="BG81" si="208">SUM(BG69+BG78)</f>
        <v>10765.09</v>
      </c>
      <c r="BH81" s="4172">
        <f t="shared" si="194"/>
        <v>11741.838549566855</v>
      </c>
      <c r="BI81" s="4169">
        <f t="shared" si="194"/>
        <v>0</v>
      </c>
      <c r="BJ81" s="4172">
        <f t="shared" ref="BJ81" si="209">SUM(BJ69+BJ78)</f>
        <v>10248.76</v>
      </c>
      <c r="BK81" s="4256">
        <f t="shared" si="191"/>
        <v>33044.684221808406</v>
      </c>
      <c r="BL81" s="4256">
        <f t="shared" si="191"/>
        <v>0</v>
      </c>
      <c r="BM81" s="4256">
        <f t="shared" si="191"/>
        <v>30656.629999999997</v>
      </c>
      <c r="BN81" s="4280">
        <f t="shared" si="105"/>
        <v>-33044.684221808406</v>
      </c>
      <c r="BO81" s="4280">
        <f t="shared" ref="BO81" si="210">SUM(BN81/BK81*100)</f>
        <v>-100</v>
      </c>
      <c r="BP81" s="4256">
        <f t="shared" si="192"/>
        <v>126864.2564824091</v>
      </c>
      <c r="BQ81" s="4256">
        <f t="shared" si="192"/>
        <v>99422.289999999979</v>
      </c>
      <c r="BR81" s="4256">
        <f t="shared" si="192"/>
        <v>118581.62</v>
      </c>
      <c r="BS81" s="4280">
        <f t="shared" si="109"/>
        <v>-27441.966482409116</v>
      </c>
      <c r="BT81" s="4280">
        <f t="shared" ref="BT81" si="211">SUM(BS81/BP81*100)</f>
        <v>-21.630967810239127</v>
      </c>
      <c r="BU81" s="435"/>
      <c r="BV81" s="435"/>
      <c r="BW81" s="435"/>
      <c r="BX81" s="435"/>
    </row>
    <row r="82" spans="1:76" ht="18.75">
      <c r="A82" s="3988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174"/>
      <c r="AJ82" s="4174"/>
      <c r="AK82" s="4174"/>
      <c r="AL82" s="4174"/>
      <c r="AM82" s="4174"/>
      <c r="AN82" s="4174"/>
      <c r="AO82" s="4174"/>
      <c r="AP82" s="4174"/>
      <c r="AQ82" s="4174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174"/>
      <c r="BC82" s="4174"/>
      <c r="BD82" s="4174"/>
      <c r="BE82" s="4174"/>
      <c r="BF82" s="4174"/>
      <c r="BG82" s="4174"/>
      <c r="BH82" s="4174"/>
      <c r="BI82" s="4174"/>
      <c r="BJ82" s="4174"/>
      <c r="BK82" s="435"/>
      <c r="BL82" s="435"/>
      <c r="BM82" s="435"/>
      <c r="BN82" s="435"/>
      <c r="BO82" s="435"/>
      <c r="BP82" s="435"/>
      <c r="BQ82" s="435"/>
      <c r="BR82" s="435"/>
      <c r="BS82" s="435"/>
      <c r="BT82" s="435"/>
      <c r="BU82" s="435"/>
      <c r="BV82" s="435"/>
      <c r="BW82" s="435"/>
      <c r="BX82" s="435"/>
    </row>
    <row r="83" spans="1:76" ht="18.75">
      <c r="A83" s="3988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174"/>
      <c r="AJ83" s="4174"/>
      <c r="AK83" s="435"/>
      <c r="AL83" s="4174"/>
      <c r="AM83" s="4174"/>
      <c r="AN83" s="4174"/>
      <c r="AO83" s="4174"/>
      <c r="AP83" s="4174"/>
      <c r="AQ83" s="4174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174"/>
      <c r="BC83" s="4174"/>
      <c r="BD83" s="4174"/>
      <c r="BE83" s="4174"/>
      <c r="BF83" s="4174"/>
      <c r="BG83" s="4174"/>
      <c r="BH83" s="4174"/>
      <c r="BI83" s="4174"/>
      <c r="BJ83" s="4174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</row>
    <row r="84" spans="1:76" ht="18.75">
      <c r="A84" s="3988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174"/>
      <c r="AJ84" s="4174"/>
      <c r="AK84" s="435"/>
      <c r="AL84" s="4174"/>
      <c r="AM84" s="4174"/>
      <c r="AN84" s="4174"/>
      <c r="AO84" s="4174"/>
      <c r="AP84" s="4174"/>
      <c r="AQ84" s="4174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174"/>
      <c r="BC84" s="4174"/>
      <c r="BD84" s="4174"/>
      <c r="BE84" s="4174"/>
      <c r="BF84" s="4174"/>
      <c r="BG84" s="4174"/>
      <c r="BH84" s="4174"/>
      <c r="BI84" s="4174"/>
      <c r="BJ84" s="4174"/>
      <c r="BK84" s="435"/>
      <c r="BL84" s="435"/>
      <c r="BM84" s="435"/>
      <c r="BN84" s="435"/>
      <c r="BO84" s="435"/>
      <c r="BP84" s="435"/>
      <c r="BQ84" s="435"/>
      <c r="BR84" s="435"/>
      <c r="BS84" s="435"/>
      <c r="BT84" s="435"/>
      <c r="BU84" s="435"/>
      <c r="BV84" s="435"/>
      <c r="BW84" s="435"/>
      <c r="BX84" s="435"/>
    </row>
    <row r="85" spans="1:76" ht="18.75">
      <c r="A85" s="3988"/>
      <c r="B85" s="684"/>
      <c r="C85" s="684"/>
      <c r="D85" s="684"/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174"/>
      <c r="AJ85" s="4174"/>
      <c r="AK85" s="4174"/>
      <c r="AL85" s="4174"/>
      <c r="AM85" s="4174"/>
      <c r="AN85" s="4174"/>
      <c r="AO85" s="4174"/>
      <c r="AP85" s="4174"/>
      <c r="AQ85" s="4174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174"/>
      <c r="BC85" s="4174"/>
      <c r="BD85" s="4174"/>
      <c r="BE85" s="4174"/>
      <c r="BF85" s="4174"/>
      <c r="BG85" s="4174"/>
      <c r="BH85" s="4174"/>
      <c r="BI85" s="4174"/>
      <c r="BJ85" s="4174"/>
      <c r="BK85" s="435"/>
      <c r="BL85" s="435"/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5"/>
      <c r="BX85" s="435"/>
    </row>
    <row r="86" spans="1:76" ht="18.75">
      <c r="A86" s="3988"/>
      <c r="B86" s="684"/>
      <c r="C86" s="684"/>
      <c r="D86" s="684"/>
      <c r="E86" s="684"/>
      <c r="F86" s="684"/>
      <c r="G86" s="684"/>
      <c r="H86" s="684"/>
      <c r="I86" s="684"/>
      <c r="J86" s="684"/>
      <c r="K86" s="684"/>
      <c r="L86" s="684"/>
      <c r="M86" s="684"/>
      <c r="N86" s="684"/>
      <c r="O86" s="684"/>
      <c r="P86" s="684"/>
      <c r="Q86" s="684"/>
      <c r="R86" s="684"/>
      <c r="S86" s="684"/>
      <c r="T86" s="684"/>
      <c r="U86" s="684"/>
      <c r="V86" s="684"/>
      <c r="W86" s="684"/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174"/>
      <c r="AJ86" s="4174"/>
      <c r="AK86" s="4174"/>
      <c r="AL86" s="4174"/>
      <c r="AM86" s="4174"/>
      <c r="AN86" s="4174"/>
      <c r="AO86" s="4174"/>
      <c r="AP86" s="4174"/>
      <c r="AQ86" s="4174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174"/>
      <c r="BC86" s="4174"/>
      <c r="BD86" s="4174"/>
      <c r="BE86" s="4174"/>
      <c r="BF86" s="4174"/>
      <c r="BG86" s="4174"/>
      <c r="BH86" s="4174"/>
      <c r="BI86" s="4174"/>
      <c r="BJ86" s="4174"/>
      <c r="BK86" s="435"/>
      <c r="BL86" s="435"/>
      <c r="BM86" s="435"/>
      <c r="BN86" s="435"/>
      <c r="BO86" s="435"/>
      <c r="BP86" s="435"/>
      <c r="BQ86" s="435"/>
      <c r="BR86" s="435"/>
      <c r="BS86" s="435"/>
      <c r="BT86" s="435"/>
      <c r="BU86" s="435"/>
      <c r="BV86" s="435"/>
      <c r="BW86" s="435"/>
      <c r="BX86" s="435"/>
    </row>
    <row r="87" spans="1:76" ht="18.75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174"/>
      <c r="AJ87" s="4174"/>
      <c r="AK87" s="4174"/>
      <c r="AL87" s="4174"/>
      <c r="AM87" s="4174"/>
      <c r="AN87" s="4174"/>
      <c r="AO87" s="4174"/>
      <c r="AP87" s="4174"/>
      <c r="AQ87" s="4174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174"/>
      <c r="BC87" s="4174"/>
      <c r="BD87" s="4174"/>
      <c r="BE87" s="4174"/>
      <c r="BF87" s="4174"/>
      <c r="BG87" s="4174"/>
      <c r="BH87" s="4174"/>
      <c r="BI87" s="4174"/>
      <c r="BJ87" s="4174"/>
      <c r="BK87" s="435"/>
      <c r="BL87" s="435"/>
      <c r="BM87" s="435"/>
      <c r="BN87" s="435"/>
      <c r="BO87" s="435"/>
      <c r="BP87" s="435"/>
      <c r="BQ87" s="435"/>
      <c r="BR87" s="435"/>
      <c r="BS87" s="435"/>
      <c r="BT87" s="435"/>
      <c r="BU87" s="435"/>
      <c r="BV87" s="435"/>
      <c r="BW87" s="435"/>
      <c r="BX87" s="435"/>
    </row>
    <row r="88" spans="1:76" ht="18.75">
      <c r="A88" s="684"/>
      <c r="B88" s="684"/>
      <c r="C88" s="684"/>
      <c r="D88" s="684"/>
      <c r="E88" s="684"/>
      <c r="F88" s="684"/>
      <c r="G88" s="684"/>
      <c r="H88" s="684"/>
      <c r="I88" s="684"/>
      <c r="J88" s="684"/>
      <c r="K88" s="684"/>
      <c r="L88" s="684"/>
      <c r="M88" s="684"/>
      <c r="N88" s="684"/>
      <c r="O88" s="684"/>
      <c r="P88" s="684"/>
      <c r="Q88" s="684"/>
      <c r="R88" s="684"/>
      <c r="S88" s="684"/>
      <c r="T88" s="684"/>
      <c r="U88" s="684"/>
      <c r="V88" s="684"/>
      <c r="W88" s="684"/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174"/>
      <c r="AJ88" s="4174"/>
      <c r="AK88" s="4174"/>
      <c r="AL88" s="4174"/>
      <c r="AM88" s="4174"/>
      <c r="AN88" s="4174"/>
      <c r="AO88" s="4174"/>
      <c r="AP88" s="4174"/>
      <c r="AQ88" s="4174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174"/>
      <c r="BC88" s="4174"/>
      <c r="BD88" s="4174"/>
      <c r="BE88" s="4174"/>
      <c r="BF88" s="4174"/>
      <c r="BG88" s="4174"/>
      <c r="BH88" s="4174"/>
      <c r="BI88" s="4174"/>
      <c r="BJ88" s="4174"/>
      <c r="BK88" s="435"/>
      <c r="BL88" s="435"/>
      <c r="BM88" s="435"/>
      <c r="BN88" s="435"/>
      <c r="BO88" s="435"/>
      <c r="BP88" s="435"/>
      <c r="BQ88" s="435"/>
      <c r="BR88" s="435"/>
      <c r="BS88" s="435"/>
      <c r="BT88" s="435"/>
      <c r="BU88" s="435"/>
      <c r="BV88" s="435"/>
      <c r="BW88" s="435"/>
      <c r="BX88" s="435"/>
    </row>
    <row r="89" spans="1:76" ht="18.75">
      <c r="A89" s="684"/>
      <c r="B89" s="684"/>
      <c r="C89" s="684"/>
      <c r="D89" s="684"/>
      <c r="E89" s="684"/>
      <c r="F89" s="684"/>
      <c r="G89" s="684"/>
      <c r="H89" s="684"/>
      <c r="I89" s="684"/>
      <c r="J89" s="684"/>
      <c r="K89" s="684"/>
      <c r="L89" s="684"/>
      <c r="M89" s="684"/>
      <c r="N89" s="684"/>
      <c r="O89" s="684"/>
      <c r="P89" s="684"/>
      <c r="Q89" s="684"/>
      <c r="R89" s="684"/>
      <c r="S89" s="684"/>
      <c r="T89" s="684"/>
      <c r="U89" s="684"/>
      <c r="V89" s="684"/>
      <c r="W89" s="684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174"/>
      <c r="AJ89" s="4174"/>
      <c r="AK89" s="4174"/>
      <c r="AL89" s="4174"/>
      <c r="AM89" s="4174"/>
      <c r="AN89" s="4174"/>
      <c r="AO89" s="4174"/>
      <c r="AP89" s="4174"/>
      <c r="AQ89" s="4174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174"/>
      <c r="BC89" s="4174"/>
      <c r="BD89" s="4174"/>
      <c r="BE89" s="4174"/>
      <c r="BF89" s="4174"/>
      <c r="BG89" s="4174"/>
      <c r="BH89" s="4174"/>
      <c r="BI89" s="4174"/>
      <c r="BJ89" s="4174"/>
      <c r="BK89" s="435"/>
      <c r="BL89" s="435"/>
      <c r="BM89" s="435"/>
      <c r="BN89" s="435"/>
      <c r="BO89" s="435"/>
      <c r="BP89" s="435"/>
      <c r="BQ89" s="435"/>
      <c r="BR89" s="435"/>
      <c r="BS89" s="435"/>
      <c r="BT89" s="435"/>
      <c r="BU89" s="435"/>
      <c r="BV89" s="435"/>
      <c r="BW89" s="435"/>
      <c r="BX89" s="435"/>
    </row>
    <row r="90" spans="1:76" ht="18.75">
      <c r="A90" s="684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684"/>
      <c r="Q90" s="684"/>
      <c r="R90" s="684"/>
      <c r="S90" s="684"/>
      <c r="T90" s="684"/>
      <c r="U90" s="684"/>
      <c r="V90" s="684"/>
      <c r="W90" s="684"/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174"/>
      <c r="AJ90" s="4174"/>
      <c r="AK90" s="4174"/>
      <c r="AL90" s="4174"/>
      <c r="AM90" s="4174"/>
      <c r="AN90" s="4174"/>
      <c r="AO90" s="4174"/>
      <c r="AP90" s="4174"/>
      <c r="AQ90" s="4174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174"/>
      <c r="BC90" s="4174"/>
      <c r="BD90" s="4174"/>
      <c r="BE90" s="4174"/>
      <c r="BF90" s="4174"/>
      <c r="BG90" s="4174"/>
      <c r="BH90" s="4174"/>
      <c r="BI90" s="4174"/>
      <c r="BJ90" s="4174"/>
      <c r="BK90" s="435"/>
      <c r="BL90" s="435"/>
      <c r="BM90" s="435"/>
      <c r="BN90" s="435"/>
      <c r="BO90" s="435"/>
      <c r="BP90" s="435"/>
      <c r="BQ90" s="435"/>
      <c r="BR90" s="435"/>
      <c r="BS90" s="435"/>
      <c r="BT90" s="435"/>
      <c r="BU90" s="435"/>
      <c r="BV90" s="435"/>
      <c r="BW90" s="435"/>
      <c r="BX90" s="435"/>
    </row>
    <row r="91" spans="1:76" ht="18.75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174"/>
      <c r="AJ91" s="4174"/>
      <c r="AK91" s="4174"/>
      <c r="AL91" s="4174"/>
      <c r="AM91" s="4174"/>
      <c r="AN91" s="4174"/>
      <c r="AO91" s="4174"/>
      <c r="AP91" s="4174"/>
      <c r="AQ91" s="4174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174"/>
      <c r="BC91" s="4174"/>
      <c r="BD91" s="4174"/>
      <c r="BE91" s="4174"/>
      <c r="BF91" s="4174"/>
      <c r="BG91" s="4174"/>
      <c r="BH91" s="4174"/>
      <c r="BI91" s="4174"/>
      <c r="BJ91" s="4174"/>
      <c r="BK91" s="435"/>
      <c r="BL91" s="435"/>
      <c r="BM91" s="435"/>
      <c r="BN91" s="435"/>
      <c r="BO91" s="435"/>
      <c r="BP91" s="435"/>
      <c r="BQ91" s="435"/>
      <c r="BR91" s="435"/>
      <c r="BS91" s="435"/>
      <c r="BT91" s="435"/>
      <c r="BU91" s="435"/>
      <c r="BV91" s="435"/>
      <c r="BW91" s="435"/>
      <c r="BX91" s="435"/>
    </row>
    <row r="92" spans="1:76">
      <c r="AI92" s="645"/>
      <c r="AJ92" s="645"/>
      <c r="AK92" s="645"/>
      <c r="AL92" s="645"/>
      <c r="AM92" s="645"/>
      <c r="AN92" s="645"/>
      <c r="AO92" s="645"/>
      <c r="AP92" s="645"/>
      <c r="AQ92" s="645"/>
      <c r="BB92" s="645"/>
      <c r="BC92" s="645"/>
      <c r="BD92" s="645"/>
      <c r="BE92" s="645"/>
      <c r="BF92" s="645"/>
      <c r="BG92" s="645"/>
      <c r="BH92" s="645"/>
      <c r="BI92" s="645"/>
      <c r="BJ92" s="645"/>
    </row>
    <row r="93" spans="1:76">
      <c r="AI93" s="645"/>
      <c r="AJ93" s="645"/>
      <c r="AK93" s="645"/>
      <c r="AL93" s="645"/>
      <c r="AM93" s="645"/>
      <c r="AN93" s="645"/>
      <c r="AO93" s="645"/>
      <c r="AP93" s="645"/>
      <c r="AQ93" s="645"/>
      <c r="BB93" s="645"/>
      <c r="BC93" s="645"/>
      <c r="BD93" s="645"/>
      <c r="BE93" s="645"/>
      <c r="BF93" s="645"/>
      <c r="BG93" s="645"/>
      <c r="BH93" s="645"/>
      <c r="BI93" s="645"/>
      <c r="BJ93" s="645"/>
    </row>
    <row r="94" spans="1:76">
      <c r="BB94" s="645"/>
      <c r="BC94" s="645"/>
      <c r="BD94" s="645"/>
      <c r="BE94" s="645"/>
      <c r="BF94" s="645"/>
      <c r="BG94" s="645"/>
      <c r="BH94" s="645"/>
      <c r="BI94" s="645"/>
      <c r="BJ94" s="645"/>
    </row>
  </sheetData>
  <sheetProtection formatCells="0" formatColumns="0" formatRows="0" insertColumns="0" insertRows="0" insertHyperlinks="0" deleteColumns="0" deleteRows="0" sort="0" autoFilter="0" pivotTables="0"/>
  <mergeCells count="252">
    <mergeCell ref="BP37:BP38"/>
    <mergeCell ref="BQ37:BQ38"/>
    <mergeCell ref="BR37:BR38"/>
    <mergeCell ref="BS37:BT37"/>
    <mergeCell ref="BI37:BI38"/>
    <mergeCell ref="BJ37:BJ38"/>
    <mergeCell ref="BK37:BK38"/>
    <mergeCell ref="BL37:BL38"/>
    <mergeCell ref="BM37:BM38"/>
    <mergeCell ref="BN37:BO37"/>
    <mergeCell ref="BC37:BC38"/>
    <mergeCell ref="BD37:BD38"/>
    <mergeCell ref="BE37:BE38"/>
    <mergeCell ref="BF37:BF38"/>
    <mergeCell ref="BG37:BG38"/>
    <mergeCell ref="BH37:BH38"/>
    <mergeCell ref="AU37:AV37"/>
    <mergeCell ref="AW37:AW38"/>
    <mergeCell ref="AX37:AX38"/>
    <mergeCell ref="AY37:AY38"/>
    <mergeCell ref="AZ37:BA37"/>
    <mergeCell ref="BB37:BB38"/>
    <mergeCell ref="AO37:AO38"/>
    <mergeCell ref="AP37:AP38"/>
    <mergeCell ref="AQ37:AQ38"/>
    <mergeCell ref="AR37:AR38"/>
    <mergeCell ref="AS37:AS38"/>
    <mergeCell ref="AT37:AT38"/>
    <mergeCell ref="AI37:AI38"/>
    <mergeCell ref="AJ37:AJ38"/>
    <mergeCell ref="AK37:AK38"/>
    <mergeCell ref="AL37:AL38"/>
    <mergeCell ref="AM37:AM38"/>
    <mergeCell ref="AN37:AN38"/>
    <mergeCell ref="AE37:AE38"/>
    <mergeCell ref="AF37:AF38"/>
    <mergeCell ref="AG37:AH37"/>
    <mergeCell ref="U37:U38"/>
    <mergeCell ref="V37:V38"/>
    <mergeCell ref="W37:W38"/>
    <mergeCell ref="X37:X38"/>
    <mergeCell ref="Y37:Y38"/>
    <mergeCell ref="Z37:Z38"/>
    <mergeCell ref="B37:B38"/>
    <mergeCell ref="C37:C38"/>
    <mergeCell ref="D37:D38"/>
    <mergeCell ref="E37:E38"/>
    <mergeCell ref="F37:F38"/>
    <mergeCell ref="G37:G38"/>
    <mergeCell ref="AW36:BA36"/>
    <mergeCell ref="BB36:BD36"/>
    <mergeCell ref="BE36:BG36"/>
    <mergeCell ref="N37:O37"/>
    <mergeCell ref="P37:P38"/>
    <mergeCell ref="Q37:Q38"/>
    <mergeCell ref="R37:R38"/>
    <mergeCell ref="S37:S38"/>
    <mergeCell ref="T37:T38"/>
    <mergeCell ref="H37:H38"/>
    <mergeCell ref="I37:I38"/>
    <mergeCell ref="J37:J38"/>
    <mergeCell ref="K37:K38"/>
    <mergeCell ref="L37:L38"/>
    <mergeCell ref="M37:M38"/>
    <mergeCell ref="AA37:AA38"/>
    <mergeCell ref="AB37:AC37"/>
    <mergeCell ref="AD37:AD38"/>
    <mergeCell ref="BH36:BJ36"/>
    <mergeCell ref="BK36:BO36"/>
    <mergeCell ref="BP36:BT36"/>
    <mergeCell ref="Y36:AC36"/>
    <mergeCell ref="AD36:AH36"/>
    <mergeCell ref="AI36:AK36"/>
    <mergeCell ref="AL36:AN36"/>
    <mergeCell ref="AO36:AQ36"/>
    <mergeCell ref="AR36:AV36"/>
    <mergeCell ref="BR23:BR24"/>
    <mergeCell ref="BS23:BT23"/>
    <mergeCell ref="A36:A38"/>
    <mergeCell ref="B36:D36"/>
    <mergeCell ref="E36:G36"/>
    <mergeCell ref="H36:J36"/>
    <mergeCell ref="K36:O36"/>
    <mergeCell ref="P36:R36"/>
    <mergeCell ref="S36:U36"/>
    <mergeCell ref="V36:X36"/>
    <mergeCell ref="BK23:BK24"/>
    <mergeCell ref="BL23:BL24"/>
    <mergeCell ref="BM23:BM24"/>
    <mergeCell ref="BN23:BO23"/>
    <mergeCell ref="BP23:BP24"/>
    <mergeCell ref="BQ23:BQ24"/>
    <mergeCell ref="BE23:BE24"/>
    <mergeCell ref="BF23:BF24"/>
    <mergeCell ref="BG23:BG24"/>
    <mergeCell ref="BH23:BH24"/>
    <mergeCell ref="BI23:BI24"/>
    <mergeCell ref="BJ23:BJ24"/>
    <mergeCell ref="AX23:AX24"/>
    <mergeCell ref="AY23:AY24"/>
    <mergeCell ref="AZ23:BA23"/>
    <mergeCell ref="BB23:BB24"/>
    <mergeCell ref="BC23:BC24"/>
    <mergeCell ref="BD23:BD24"/>
    <mergeCell ref="AQ23:AQ24"/>
    <mergeCell ref="AR23:AR24"/>
    <mergeCell ref="AS23:AS24"/>
    <mergeCell ref="AT23:AT24"/>
    <mergeCell ref="AU23:AV23"/>
    <mergeCell ref="AW23:AW24"/>
    <mergeCell ref="AK23:AK24"/>
    <mergeCell ref="AL23:AL24"/>
    <mergeCell ref="AM23:AM24"/>
    <mergeCell ref="AN23:AN24"/>
    <mergeCell ref="AO23:AO24"/>
    <mergeCell ref="AP23:AP24"/>
    <mergeCell ref="AD23:AD24"/>
    <mergeCell ref="AE23:AE24"/>
    <mergeCell ref="AF23:AF24"/>
    <mergeCell ref="AG23:AH23"/>
    <mergeCell ref="AI23:AI24"/>
    <mergeCell ref="AJ23:AJ24"/>
    <mergeCell ref="W23:W24"/>
    <mergeCell ref="X23:X24"/>
    <mergeCell ref="Y23:Y24"/>
    <mergeCell ref="Z23:Z24"/>
    <mergeCell ref="AA23:AA24"/>
    <mergeCell ref="AB23:AC23"/>
    <mergeCell ref="Q23:Q24"/>
    <mergeCell ref="R23:R24"/>
    <mergeCell ref="S23:S24"/>
    <mergeCell ref="T23:T24"/>
    <mergeCell ref="U23:U24"/>
    <mergeCell ref="V23:V24"/>
    <mergeCell ref="J23:J24"/>
    <mergeCell ref="K23:K24"/>
    <mergeCell ref="L23:L24"/>
    <mergeCell ref="M23:M24"/>
    <mergeCell ref="N23:O23"/>
    <mergeCell ref="P23:P24"/>
    <mergeCell ref="BK22:BO22"/>
    <mergeCell ref="BP22:BT22"/>
    <mergeCell ref="B23:B24"/>
    <mergeCell ref="C23:C24"/>
    <mergeCell ref="D23:D24"/>
    <mergeCell ref="E23:E24"/>
    <mergeCell ref="F23:F24"/>
    <mergeCell ref="G23:G24"/>
    <mergeCell ref="H23:H24"/>
    <mergeCell ref="I23:I24"/>
    <mergeCell ref="AO22:AQ22"/>
    <mergeCell ref="AR22:AV22"/>
    <mergeCell ref="AW22:BA22"/>
    <mergeCell ref="BB22:BD22"/>
    <mergeCell ref="BE22:BG22"/>
    <mergeCell ref="BH22:BJ22"/>
    <mergeCell ref="S22:U22"/>
    <mergeCell ref="V22:X22"/>
    <mergeCell ref="Y22:AC22"/>
    <mergeCell ref="AD22:AH22"/>
    <mergeCell ref="AI22:AK22"/>
    <mergeCell ref="AL22:AN22"/>
    <mergeCell ref="BP6:BP7"/>
    <mergeCell ref="BQ6:BQ7"/>
    <mergeCell ref="BR6:BR7"/>
    <mergeCell ref="BS6:BT6"/>
    <mergeCell ref="A22:A24"/>
    <mergeCell ref="B22:D22"/>
    <mergeCell ref="E22:G22"/>
    <mergeCell ref="H22:J22"/>
    <mergeCell ref="K22:O22"/>
    <mergeCell ref="P22:R22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</mergeCells>
  <printOptions horizontalCentered="1"/>
  <pageMargins left="0.39370078740157483" right="0" top="0.39370078740157483" bottom="0.35433070866141736" header="0" footer="0"/>
  <pageSetup paperSize="9" scale="4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2"/>
  <sheetViews>
    <sheetView topLeftCell="A31" zoomScale="80" zoomScaleNormal="80" zoomScaleSheetLayoutView="65" workbookViewId="0">
      <selection sqref="A1:T35"/>
    </sheetView>
  </sheetViews>
  <sheetFormatPr defaultRowHeight="15"/>
  <cols>
    <col min="1" max="1" width="18" style="2049" customWidth="1"/>
    <col min="2" max="2" width="21.140625" style="2049" customWidth="1"/>
    <col min="3" max="3" width="7.7109375" style="2049" customWidth="1"/>
    <col min="4" max="4" width="9.5703125" style="2049" customWidth="1"/>
    <col min="5" max="5" width="7.7109375" style="2049" customWidth="1"/>
    <col min="6" max="6" width="9.7109375" style="2049" customWidth="1"/>
    <col min="7" max="7" width="7.7109375" style="2049" customWidth="1"/>
    <col min="8" max="8" width="13.140625" style="2049" customWidth="1"/>
    <col min="9" max="9" width="7.7109375" style="2049" customWidth="1"/>
    <col min="10" max="10" width="9.7109375" style="2049" customWidth="1"/>
    <col min="11" max="11" width="7.7109375" style="2049" customWidth="1"/>
    <col min="12" max="12" width="9.7109375" style="2049" customWidth="1"/>
    <col min="13" max="13" width="7.7109375" style="2049" customWidth="1"/>
    <col min="14" max="14" width="9.7109375" style="2049" customWidth="1"/>
    <col min="15" max="15" width="7.7109375" style="2049" customWidth="1"/>
    <col min="16" max="16" width="9.7109375" style="2049" customWidth="1"/>
    <col min="17" max="17" width="7.7109375" style="2049" customWidth="1"/>
    <col min="18" max="18" width="9.7109375" style="2049" customWidth="1"/>
    <col min="19" max="19" width="7.7109375" style="2049" customWidth="1"/>
    <col min="20" max="20" width="9.7109375" style="2049" customWidth="1"/>
    <col min="21" max="248" width="9.140625" style="2049"/>
    <col min="249" max="249" width="18" style="2049" customWidth="1"/>
    <col min="250" max="250" width="21.140625" style="2049" customWidth="1"/>
    <col min="251" max="251" width="13" style="2049" customWidth="1"/>
    <col min="252" max="252" width="14.5703125" style="2049" customWidth="1"/>
    <col min="253" max="253" width="11.5703125" style="2049" customWidth="1"/>
    <col min="254" max="254" width="14.5703125" style="2049" customWidth="1"/>
    <col min="255" max="255" width="13.28515625" style="2049" customWidth="1"/>
    <col min="256" max="256" width="13.42578125" style="2049" customWidth="1"/>
    <col min="257" max="257" width="14.140625" style="2049" customWidth="1"/>
    <col min="258" max="258" width="17.5703125" style="2049" customWidth="1"/>
    <col min="259" max="259" width="16" style="2049" customWidth="1"/>
    <col min="260" max="260" width="19" style="2049" customWidth="1"/>
    <col min="261" max="261" width="14" style="2049" customWidth="1"/>
    <col min="262" max="265" width="19.140625" style="2049" customWidth="1"/>
    <col min="266" max="266" width="15" style="2049" customWidth="1"/>
    <col min="267" max="267" width="22" style="2049" customWidth="1"/>
    <col min="268" max="268" width="19.42578125" style="2049" customWidth="1"/>
    <col min="269" max="269" width="15" style="2049" customWidth="1"/>
    <col min="270" max="270" width="19.28515625" style="2049" customWidth="1"/>
    <col min="271" max="271" width="19.85546875" style="2049" customWidth="1"/>
    <col min="272" max="272" width="19.5703125" style="2049" customWidth="1"/>
    <col min="273" max="273" width="14" style="2049" customWidth="1"/>
    <col min="274" max="274" width="16.42578125" style="2049" customWidth="1"/>
    <col min="275" max="275" width="18.140625" style="2049" customWidth="1"/>
    <col min="276" max="276" width="15.85546875" style="2049" customWidth="1"/>
    <col min="277" max="504" width="9.140625" style="2049"/>
    <col min="505" max="505" width="18" style="2049" customWidth="1"/>
    <col min="506" max="506" width="21.140625" style="2049" customWidth="1"/>
    <col min="507" max="507" width="13" style="2049" customWidth="1"/>
    <col min="508" max="508" width="14.5703125" style="2049" customWidth="1"/>
    <col min="509" max="509" width="11.5703125" style="2049" customWidth="1"/>
    <col min="510" max="510" width="14.5703125" style="2049" customWidth="1"/>
    <col min="511" max="511" width="13.28515625" style="2049" customWidth="1"/>
    <col min="512" max="512" width="13.42578125" style="2049" customWidth="1"/>
    <col min="513" max="513" width="14.140625" style="2049" customWidth="1"/>
    <col min="514" max="514" width="17.5703125" style="2049" customWidth="1"/>
    <col min="515" max="515" width="16" style="2049" customWidth="1"/>
    <col min="516" max="516" width="19" style="2049" customWidth="1"/>
    <col min="517" max="517" width="14" style="2049" customWidth="1"/>
    <col min="518" max="521" width="19.140625" style="2049" customWidth="1"/>
    <col min="522" max="522" width="15" style="2049" customWidth="1"/>
    <col min="523" max="523" width="22" style="2049" customWidth="1"/>
    <col min="524" max="524" width="19.42578125" style="2049" customWidth="1"/>
    <col min="525" max="525" width="15" style="2049" customWidth="1"/>
    <col min="526" max="526" width="19.28515625" style="2049" customWidth="1"/>
    <col min="527" max="527" width="19.85546875" style="2049" customWidth="1"/>
    <col min="528" max="528" width="19.5703125" style="2049" customWidth="1"/>
    <col min="529" max="529" width="14" style="2049" customWidth="1"/>
    <col min="530" max="530" width="16.42578125" style="2049" customWidth="1"/>
    <col min="531" max="531" width="18.140625" style="2049" customWidth="1"/>
    <col min="532" max="532" width="15.85546875" style="2049" customWidth="1"/>
    <col min="533" max="760" width="9.140625" style="2049"/>
    <col min="761" max="761" width="18" style="2049" customWidth="1"/>
    <col min="762" max="762" width="21.140625" style="2049" customWidth="1"/>
    <col min="763" max="763" width="13" style="2049" customWidth="1"/>
    <col min="764" max="764" width="14.5703125" style="2049" customWidth="1"/>
    <col min="765" max="765" width="11.5703125" style="2049" customWidth="1"/>
    <col min="766" max="766" width="14.5703125" style="2049" customWidth="1"/>
    <col min="767" max="767" width="13.28515625" style="2049" customWidth="1"/>
    <col min="768" max="768" width="13.42578125" style="2049" customWidth="1"/>
    <col min="769" max="769" width="14.140625" style="2049" customWidth="1"/>
    <col min="770" max="770" width="17.5703125" style="2049" customWidth="1"/>
    <col min="771" max="771" width="16" style="2049" customWidth="1"/>
    <col min="772" max="772" width="19" style="2049" customWidth="1"/>
    <col min="773" max="773" width="14" style="2049" customWidth="1"/>
    <col min="774" max="777" width="19.140625" style="2049" customWidth="1"/>
    <col min="778" max="778" width="15" style="2049" customWidth="1"/>
    <col min="779" max="779" width="22" style="2049" customWidth="1"/>
    <col min="780" max="780" width="19.42578125" style="2049" customWidth="1"/>
    <col min="781" max="781" width="15" style="2049" customWidth="1"/>
    <col min="782" max="782" width="19.28515625" style="2049" customWidth="1"/>
    <col min="783" max="783" width="19.85546875" style="2049" customWidth="1"/>
    <col min="784" max="784" width="19.5703125" style="2049" customWidth="1"/>
    <col min="785" max="785" width="14" style="2049" customWidth="1"/>
    <col min="786" max="786" width="16.42578125" style="2049" customWidth="1"/>
    <col min="787" max="787" width="18.140625" style="2049" customWidth="1"/>
    <col min="788" max="788" width="15.85546875" style="2049" customWidth="1"/>
    <col min="789" max="1016" width="9.140625" style="2049"/>
    <col min="1017" max="1017" width="18" style="2049" customWidth="1"/>
    <col min="1018" max="1018" width="21.140625" style="2049" customWidth="1"/>
    <col min="1019" max="1019" width="13" style="2049" customWidth="1"/>
    <col min="1020" max="1020" width="14.5703125" style="2049" customWidth="1"/>
    <col min="1021" max="1021" width="11.5703125" style="2049" customWidth="1"/>
    <col min="1022" max="1022" width="14.5703125" style="2049" customWidth="1"/>
    <col min="1023" max="1023" width="13.28515625" style="2049" customWidth="1"/>
    <col min="1024" max="1024" width="13.42578125" style="2049" customWidth="1"/>
    <col min="1025" max="1025" width="14.140625" style="2049" customWidth="1"/>
    <col min="1026" max="1026" width="17.5703125" style="2049" customWidth="1"/>
    <col min="1027" max="1027" width="16" style="2049" customWidth="1"/>
    <col min="1028" max="1028" width="19" style="2049" customWidth="1"/>
    <col min="1029" max="1029" width="14" style="2049" customWidth="1"/>
    <col min="1030" max="1033" width="19.140625" style="2049" customWidth="1"/>
    <col min="1034" max="1034" width="15" style="2049" customWidth="1"/>
    <col min="1035" max="1035" width="22" style="2049" customWidth="1"/>
    <col min="1036" max="1036" width="19.42578125" style="2049" customWidth="1"/>
    <col min="1037" max="1037" width="15" style="2049" customWidth="1"/>
    <col min="1038" max="1038" width="19.28515625" style="2049" customWidth="1"/>
    <col min="1039" max="1039" width="19.85546875" style="2049" customWidth="1"/>
    <col min="1040" max="1040" width="19.5703125" style="2049" customWidth="1"/>
    <col min="1041" max="1041" width="14" style="2049" customWidth="1"/>
    <col min="1042" max="1042" width="16.42578125" style="2049" customWidth="1"/>
    <col min="1043" max="1043" width="18.140625" style="2049" customWidth="1"/>
    <col min="1044" max="1044" width="15.85546875" style="2049" customWidth="1"/>
    <col min="1045" max="1272" width="9.140625" style="2049"/>
    <col min="1273" max="1273" width="18" style="2049" customWidth="1"/>
    <col min="1274" max="1274" width="21.140625" style="2049" customWidth="1"/>
    <col min="1275" max="1275" width="13" style="2049" customWidth="1"/>
    <col min="1276" max="1276" width="14.5703125" style="2049" customWidth="1"/>
    <col min="1277" max="1277" width="11.5703125" style="2049" customWidth="1"/>
    <col min="1278" max="1278" width="14.5703125" style="2049" customWidth="1"/>
    <col min="1279" max="1279" width="13.28515625" style="2049" customWidth="1"/>
    <col min="1280" max="1280" width="13.42578125" style="2049" customWidth="1"/>
    <col min="1281" max="1281" width="14.140625" style="2049" customWidth="1"/>
    <col min="1282" max="1282" width="17.5703125" style="2049" customWidth="1"/>
    <col min="1283" max="1283" width="16" style="2049" customWidth="1"/>
    <col min="1284" max="1284" width="19" style="2049" customWidth="1"/>
    <col min="1285" max="1285" width="14" style="2049" customWidth="1"/>
    <col min="1286" max="1289" width="19.140625" style="2049" customWidth="1"/>
    <col min="1290" max="1290" width="15" style="2049" customWidth="1"/>
    <col min="1291" max="1291" width="22" style="2049" customWidth="1"/>
    <col min="1292" max="1292" width="19.42578125" style="2049" customWidth="1"/>
    <col min="1293" max="1293" width="15" style="2049" customWidth="1"/>
    <col min="1294" max="1294" width="19.28515625" style="2049" customWidth="1"/>
    <col min="1295" max="1295" width="19.85546875" style="2049" customWidth="1"/>
    <col min="1296" max="1296" width="19.5703125" style="2049" customWidth="1"/>
    <col min="1297" max="1297" width="14" style="2049" customWidth="1"/>
    <col min="1298" max="1298" width="16.42578125" style="2049" customWidth="1"/>
    <col min="1299" max="1299" width="18.140625" style="2049" customWidth="1"/>
    <col min="1300" max="1300" width="15.85546875" style="2049" customWidth="1"/>
    <col min="1301" max="1528" width="9.140625" style="2049"/>
    <col min="1529" max="1529" width="18" style="2049" customWidth="1"/>
    <col min="1530" max="1530" width="21.140625" style="2049" customWidth="1"/>
    <col min="1531" max="1531" width="13" style="2049" customWidth="1"/>
    <col min="1532" max="1532" width="14.5703125" style="2049" customWidth="1"/>
    <col min="1533" max="1533" width="11.5703125" style="2049" customWidth="1"/>
    <col min="1534" max="1534" width="14.5703125" style="2049" customWidth="1"/>
    <col min="1535" max="1535" width="13.28515625" style="2049" customWidth="1"/>
    <col min="1536" max="1536" width="13.42578125" style="2049" customWidth="1"/>
    <col min="1537" max="1537" width="14.140625" style="2049" customWidth="1"/>
    <col min="1538" max="1538" width="17.5703125" style="2049" customWidth="1"/>
    <col min="1539" max="1539" width="16" style="2049" customWidth="1"/>
    <col min="1540" max="1540" width="19" style="2049" customWidth="1"/>
    <col min="1541" max="1541" width="14" style="2049" customWidth="1"/>
    <col min="1542" max="1545" width="19.140625" style="2049" customWidth="1"/>
    <col min="1546" max="1546" width="15" style="2049" customWidth="1"/>
    <col min="1547" max="1547" width="22" style="2049" customWidth="1"/>
    <col min="1548" max="1548" width="19.42578125" style="2049" customWidth="1"/>
    <col min="1549" max="1549" width="15" style="2049" customWidth="1"/>
    <col min="1550" max="1550" width="19.28515625" style="2049" customWidth="1"/>
    <col min="1551" max="1551" width="19.85546875" style="2049" customWidth="1"/>
    <col min="1552" max="1552" width="19.5703125" style="2049" customWidth="1"/>
    <col min="1553" max="1553" width="14" style="2049" customWidth="1"/>
    <col min="1554" max="1554" width="16.42578125" style="2049" customWidth="1"/>
    <col min="1555" max="1555" width="18.140625" style="2049" customWidth="1"/>
    <col min="1556" max="1556" width="15.85546875" style="2049" customWidth="1"/>
    <col min="1557" max="1784" width="9.140625" style="2049"/>
    <col min="1785" max="1785" width="18" style="2049" customWidth="1"/>
    <col min="1786" max="1786" width="21.140625" style="2049" customWidth="1"/>
    <col min="1787" max="1787" width="13" style="2049" customWidth="1"/>
    <col min="1788" max="1788" width="14.5703125" style="2049" customWidth="1"/>
    <col min="1789" max="1789" width="11.5703125" style="2049" customWidth="1"/>
    <col min="1790" max="1790" width="14.5703125" style="2049" customWidth="1"/>
    <col min="1791" max="1791" width="13.28515625" style="2049" customWidth="1"/>
    <col min="1792" max="1792" width="13.42578125" style="2049" customWidth="1"/>
    <col min="1793" max="1793" width="14.140625" style="2049" customWidth="1"/>
    <col min="1794" max="1794" width="17.5703125" style="2049" customWidth="1"/>
    <col min="1795" max="1795" width="16" style="2049" customWidth="1"/>
    <col min="1796" max="1796" width="19" style="2049" customWidth="1"/>
    <col min="1797" max="1797" width="14" style="2049" customWidth="1"/>
    <col min="1798" max="1801" width="19.140625" style="2049" customWidth="1"/>
    <col min="1802" max="1802" width="15" style="2049" customWidth="1"/>
    <col min="1803" max="1803" width="22" style="2049" customWidth="1"/>
    <col min="1804" max="1804" width="19.42578125" style="2049" customWidth="1"/>
    <col min="1805" max="1805" width="15" style="2049" customWidth="1"/>
    <col min="1806" max="1806" width="19.28515625" style="2049" customWidth="1"/>
    <col min="1807" max="1807" width="19.85546875" style="2049" customWidth="1"/>
    <col min="1808" max="1808" width="19.5703125" style="2049" customWidth="1"/>
    <col min="1809" max="1809" width="14" style="2049" customWidth="1"/>
    <col min="1810" max="1810" width="16.42578125" style="2049" customWidth="1"/>
    <col min="1811" max="1811" width="18.140625" style="2049" customWidth="1"/>
    <col min="1812" max="1812" width="15.85546875" style="2049" customWidth="1"/>
    <col min="1813" max="2040" width="9.140625" style="2049"/>
    <col min="2041" max="2041" width="18" style="2049" customWidth="1"/>
    <col min="2042" max="2042" width="21.140625" style="2049" customWidth="1"/>
    <col min="2043" max="2043" width="13" style="2049" customWidth="1"/>
    <col min="2044" max="2044" width="14.5703125" style="2049" customWidth="1"/>
    <col min="2045" max="2045" width="11.5703125" style="2049" customWidth="1"/>
    <col min="2046" max="2046" width="14.5703125" style="2049" customWidth="1"/>
    <col min="2047" max="2047" width="13.28515625" style="2049" customWidth="1"/>
    <col min="2048" max="2048" width="13.42578125" style="2049" customWidth="1"/>
    <col min="2049" max="2049" width="14.140625" style="2049" customWidth="1"/>
    <col min="2050" max="2050" width="17.5703125" style="2049" customWidth="1"/>
    <col min="2051" max="2051" width="16" style="2049" customWidth="1"/>
    <col min="2052" max="2052" width="19" style="2049" customWidth="1"/>
    <col min="2053" max="2053" width="14" style="2049" customWidth="1"/>
    <col min="2054" max="2057" width="19.140625" style="2049" customWidth="1"/>
    <col min="2058" max="2058" width="15" style="2049" customWidth="1"/>
    <col min="2059" max="2059" width="22" style="2049" customWidth="1"/>
    <col min="2060" max="2060" width="19.42578125" style="2049" customWidth="1"/>
    <col min="2061" max="2061" width="15" style="2049" customWidth="1"/>
    <col min="2062" max="2062" width="19.28515625" style="2049" customWidth="1"/>
    <col min="2063" max="2063" width="19.85546875" style="2049" customWidth="1"/>
    <col min="2064" max="2064" width="19.5703125" style="2049" customWidth="1"/>
    <col min="2065" max="2065" width="14" style="2049" customWidth="1"/>
    <col min="2066" max="2066" width="16.42578125" style="2049" customWidth="1"/>
    <col min="2067" max="2067" width="18.140625" style="2049" customWidth="1"/>
    <col min="2068" max="2068" width="15.85546875" style="2049" customWidth="1"/>
    <col min="2069" max="2296" width="9.140625" style="2049"/>
    <col min="2297" max="2297" width="18" style="2049" customWidth="1"/>
    <col min="2298" max="2298" width="21.140625" style="2049" customWidth="1"/>
    <col min="2299" max="2299" width="13" style="2049" customWidth="1"/>
    <col min="2300" max="2300" width="14.5703125" style="2049" customWidth="1"/>
    <col min="2301" max="2301" width="11.5703125" style="2049" customWidth="1"/>
    <col min="2302" max="2302" width="14.5703125" style="2049" customWidth="1"/>
    <col min="2303" max="2303" width="13.28515625" style="2049" customWidth="1"/>
    <col min="2304" max="2304" width="13.42578125" style="2049" customWidth="1"/>
    <col min="2305" max="2305" width="14.140625" style="2049" customWidth="1"/>
    <col min="2306" max="2306" width="17.5703125" style="2049" customWidth="1"/>
    <col min="2307" max="2307" width="16" style="2049" customWidth="1"/>
    <col min="2308" max="2308" width="19" style="2049" customWidth="1"/>
    <col min="2309" max="2309" width="14" style="2049" customWidth="1"/>
    <col min="2310" max="2313" width="19.140625" style="2049" customWidth="1"/>
    <col min="2314" max="2314" width="15" style="2049" customWidth="1"/>
    <col min="2315" max="2315" width="22" style="2049" customWidth="1"/>
    <col min="2316" max="2316" width="19.42578125" style="2049" customWidth="1"/>
    <col min="2317" max="2317" width="15" style="2049" customWidth="1"/>
    <col min="2318" max="2318" width="19.28515625" style="2049" customWidth="1"/>
    <col min="2319" max="2319" width="19.85546875" style="2049" customWidth="1"/>
    <col min="2320" max="2320" width="19.5703125" style="2049" customWidth="1"/>
    <col min="2321" max="2321" width="14" style="2049" customWidth="1"/>
    <col min="2322" max="2322" width="16.42578125" style="2049" customWidth="1"/>
    <col min="2323" max="2323" width="18.140625" style="2049" customWidth="1"/>
    <col min="2324" max="2324" width="15.85546875" style="2049" customWidth="1"/>
    <col min="2325" max="2552" width="9.140625" style="2049"/>
    <col min="2553" max="2553" width="18" style="2049" customWidth="1"/>
    <col min="2554" max="2554" width="21.140625" style="2049" customWidth="1"/>
    <col min="2555" max="2555" width="13" style="2049" customWidth="1"/>
    <col min="2556" max="2556" width="14.5703125" style="2049" customWidth="1"/>
    <col min="2557" max="2557" width="11.5703125" style="2049" customWidth="1"/>
    <col min="2558" max="2558" width="14.5703125" style="2049" customWidth="1"/>
    <col min="2559" max="2559" width="13.28515625" style="2049" customWidth="1"/>
    <col min="2560" max="2560" width="13.42578125" style="2049" customWidth="1"/>
    <col min="2561" max="2561" width="14.140625" style="2049" customWidth="1"/>
    <col min="2562" max="2562" width="17.5703125" style="2049" customWidth="1"/>
    <col min="2563" max="2563" width="16" style="2049" customWidth="1"/>
    <col min="2564" max="2564" width="19" style="2049" customWidth="1"/>
    <col min="2565" max="2565" width="14" style="2049" customWidth="1"/>
    <col min="2566" max="2569" width="19.140625" style="2049" customWidth="1"/>
    <col min="2570" max="2570" width="15" style="2049" customWidth="1"/>
    <col min="2571" max="2571" width="22" style="2049" customWidth="1"/>
    <col min="2572" max="2572" width="19.42578125" style="2049" customWidth="1"/>
    <col min="2573" max="2573" width="15" style="2049" customWidth="1"/>
    <col min="2574" max="2574" width="19.28515625" style="2049" customWidth="1"/>
    <col min="2575" max="2575" width="19.85546875" style="2049" customWidth="1"/>
    <col min="2576" max="2576" width="19.5703125" style="2049" customWidth="1"/>
    <col min="2577" max="2577" width="14" style="2049" customWidth="1"/>
    <col min="2578" max="2578" width="16.42578125" style="2049" customWidth="1"/>
    <col min="2579" max="2579" width="18.140625" style="2049" customWidth="1"/>
    <col min="2580" max="2580" width="15.85546875" style="2049" customWidth="1"/>
    <col min="2581" max="2808" width="9.140625" style="2049"/>
    <col min="2809" max="2809" width="18" style="2049" customWidth="1"/>
    <col min="2810" max="2810" width="21.140625" style="2049" customWidth="1"/>
    <col min="2811" max="2811" width="13" style="2049" customWidth="1"/>
    <col min="2812" max="2812" width="14.5703125" style="2049" customWidth="1"/>
    <col min="2813" max="2813" width="11.5703125" style="2049" customWidth="1"/>
    <col min="2814" max="2814" width="14.5703125" style="2049" customWidth="1"/>
    <col min="2815" max="2815" width="13.28515625" style="2049" customWidth="1"/>
    <col min="2816" max="2816" width="13.42578125" style="2049" customWidth="1"/>
    <col min="2817" max="2817" width="14.140625" style="2049" customWidth="1"/>
    <col min="2818" max="2818" width="17.5703125" style="2049" customWidth="1"/>
    <col min="2819" max="2819" width="16" style="2049" customWidth="1"/>
    <col min="2820" max="2820" width="19" style="2049" customWidth="1"/>
    <col min="2821" max="2821" width="14" style="2049" customWidth="1"/>
    <col min="2822" max="2825" width="19.140625" style="2049" customWidth="1"/>
    <col min="2826" max="2826" width="15" style="2049" customWidth="1"/>
    <col min="2827" max="2827" width="22" style="2049" customWidth="1"/>
    <col min="2828" max="2828" width="19.42578125" style="2049" customWidth="1"/>
    <col min="2829" max="2829" width="15" style="2049" customWidth="1"/>
    <col min="2830" max="2830" width="19.28515625" style="2049" customWidth="1"/>
    <col min="2831" max="2831" width="19.85546875" style="2049" customWidth="1"/>
    <col min="2832" max="2832" width="19.5703125" style="2049" customWidth="1"/>
    <col min="2833" max="2833" width="14" style="2049" customWidth="1"/>
    <col min="2834" max="2834" width="16.42578125" style="2049" customWidth="1"/>
    <col min="2835" max="2835" width="18.140625" style="2049" customWidth="1"/>
    <col min="2836" max="2836" width="15.85546875" style="2049" customWidth="1"/>
    <col min="2837" max="3064" width="9.140625" style="2049"/>
    <col min="3065" max="3065" width="18" style="2049" customWidth="1"/>
    <col min="3066" max="3066" width="21.140625" style="2049" customWidth="1"/>
    <col min="3067" max="3067" width="13" style="2049" customWidth="1"/>
    <col min="3068" max="3068" width="14.5703125" style="2049" customWidth="1"/>
    <col min="3069" max="3069" width="11.5703125" style="2049" customWidth="1"/>
    <col min="3070" max="3070" width="14.5703125" style="2049" customWidth="1"/>
    <col min="3071" max="3071" width="13.28515625" style="2049" customWidth="1"/>
    <col min="3072" max="3072" width="13.42578125" style="2049" customWidth="1"/>
    <col min="3073" max="3073" width="14.140625" style="2049" customWidth="1"/>
    <col min="3074" max="3074" width="17.5703125" style="2049" customWidth="1"/>
    <col min="3075" max="3075" width="16" style="2049" customWidth="1"/>
    <col min="3076" max="3076" width="19" style="2049" customWidth="1"/>
    <col min="3077" max="3077" width="14" style="2049" customWidth="1"/>
    <col min="3078" max="3081" width="19.140625" style="2049" customWidth="1"/>
    <col min="3082" max="3082" width="15" style="2049" customWidth="1"/>
    <col min="3083" max="3083" width="22" style="2049" customWidth="1"/>
    <col min="3084" max="3084" width="19.42578125" style="2049" customWidth="1"/>
    <col min="3085" max="3085" width="15" style="2049" customWidth="1"/>
    <col min="3086" max="3086" width="19.28515625" style="2049" customWidth="1"/>
    <col min="3087" max="3087" width="19.85546875" style="2049" customWidth="1"/>
    <col min="3088" max="3088" width="19.5703125" style="2049" customWidth="1"/>
    <col min="3089" max="3089" width="14" style="2049" customWidth="1"/>
    <col min="3090" max="3090" width="16.42578125" style="2049" customWidth="1"/>
    <col min="3091" max="3091" width="18.140625" style="2049" customWidth="1"/>
    <col min="3092" max="3092" width="15.85546875" style="2049" customWidth="1"/>
    <col min="3093" max="3320" width="9.140625" style="2049"/>
    <col min="3321" max="3321" width="18" style="2049" customWidth="1"/>
    <col min="3322" max="3322" width="21.140625" style="2049" customWidth="1"/>
    <col min="3323" max="3323" width="13" style="2049" customWidth="1"/>
    <col min="3324" max="3324" width="14.5703125" style="2049" customWidth="1"/>
    <col min="3325" max="3325" width="11.5703125" style="2049" customWidth="1"/>
    <col min="3326" max="3326" width="14.5703125" style="2049" customWidth="1"/>
    <col min="3327" max="3327" width="13.28515625" style="2049" customWidth="1"/>
    <col min="3328" max="3328" width="13.42578125" style="2049" customWidth="1"/>
    <col min="3329" max="3329" width="14.140625" style="2049" customWidth="1"/>
    <col min="3330" max="3330" width="17.5703125" style="2049" customWidth="1"/>
    <col min="3331" max="3331" width="16" style="2049" customWidth="1"/>
    <col min="3332" max="3332" width="19" style="2049" customWidth="1"/>
    <col min="3333" max="3333" width="14" style="2049" customWidth="1"/>
    <col min="3334" max="3337" width="19.140625" style="2049" customWidth="1"/>
    <col min="3338" max="3338" width="15" style="2049" customWidth="1"/>
    <col min="3339" max="3339" width="22" style="2049" customWidth="1"/>
    <col min="3340" max="3340" width="19.42578125" style="2049" customWidth="1"/>
    <col min="3341" max="3341" width="15" style="2049" customWidth="1"/>
    <col min="3342" max="3342" width="19.28515625" style="2049" customWidth="1"/>
    <col min="3343" max="3343" width="19.85546875" style="2049" customWidth="1"/>
    <col min="3344" max="3344" width="19.5703125" style="2049" customWidth="1"/>
    <col min="3345" max="3345" width="14" style="2049" customWidth="1"/>
    <col min="3346" max="3346" width="16.42578125" style="2049" customWidth="1"/>
    <col min="3347" max="3347" width="18.140625" style="2049" customWidth="1"/>
    <col min="3348" max="3348" width="15.85546875" style="2049" customWidth="1"/>
    <col min="3349" max="3576" width="9.140625" style="2049"/>
    <col min="3577" max="3577" width="18" style="2049" customWidth="1"/>
    <col min="3578" max="3578" width="21.140625" style="2049" customWidth="1"/>
    <col min="3579" max="3579" width="13" style="2049" customWidth="1"/>
    <col min="3580" max="3580" width="14.5703125" style="2049" customWidth="1"/>
    <col min="3581" max="3581" width="11.5703125" style="2049" customWidth="1"/>
    <col min="3582" max="3582" width="14.5703125" style="2049" customWidth="1"/>
    <col min="3583" max="3583" width="13.28515625" style="2049" customWidth="1"/>
    <col min="3584" max="3584" width="13.42578125" style="2049" customWidth="1"/>
    <col min="3585" max="3585" width="14.140625" style="2049" customWidth="1"/>
    <col min="3586" max="3586" width="17.5703125" style="2049" customWidth="1"/>
    <col min="3587" max="3587" width="16" style="2049" customWidth="1"/>
    <col min="3588" max="3588" width="19" style="2049" customWidth="1"/>
    <col min="3589" max="3589" width="14" style="2049" customWidth="1"/>
    <col min="3590" max="3593" width="19.140625" style="2049" customWidth="1"/>
    <col min="3594" max="3594" width="15" style="2049" customWidth="1"/>
    <col min="3595" max="3595" width="22" style="2049" customWidth="1"/>
    <col min="3596" max="3596" width="19.42578125" style="2049" customWidth="1"/>
    <col min="3597" max="3597" width="15" style="2049" customWidth="1"/>
    <col min="3598" max="3598" width="19.28515625" style="2049" customWidth="1"/>
    <col min="3599" max="3599" width="19.85546875" style="2049" customWidth="1"/>
    <col min="3600" max="3600" width="19.5703125" style="2049" customWidth="1"/>
    <col min="3601" max="3601" width="14" style="2049" customWidth="1"/>
    <col min="3602" max="3602" width="16.42578125" style="2049" customWidth="1"/>
    <col min="3603" max="3603" width="18.140625" style="2049" customWidth="1"/>
    <col min="3604" max="3604" width="15.85546875" style="2049" customWidth="1"/>
    <col min="3605" max="3832" width="9.140625" style="2049"/>
    <col min="3833" max="3833" width="18" style="2049" customWidth="1"/>
    <col min="3834" max="3834" width="21.140625" style="2049" customWidth="1"/>
    <col min="3835" max="3835" width="13" style="2049" customWidth="1"/>
    <col min="3836" max="3836" width="14.5703125" style="2049" customWidth="1"/>
    <col min="3837" max="3837" width="11.5703125" style="2049" customWidth="1"/>
    <col min="3838" max="3838" width="14.5703125" style="2049" customWidth="1"/>
    <col min="3839" max="3839" width="13.28515625" style="2049" customWidth="1"/>
    <col min="3840" max="3840" width="13.42578125" style="2049" customWidth="1"/>
    <col min="3841" max="3841" width="14.140625" style="2049" customWidth="1"/>
    <col min="3842" max="3842" width="17.5703125" style="2049" customWidth="1"/>
    <col min="3843" max="3843" width="16" style="2049" customWidth="1"/>
    <col min="3844" max="3844" width="19" style="2049" customWidth="1"/>
    <col min="3845" max="3845" width="14" style="2049" customWidth="1"/>
    <col min="3846" max="3849" width="19.140625" style="2049" customWidth="1"/>
    <col min="3850" max="3850" width="15" style="2049" customWidth="1"/>
    <col min="3851" max="3851" width="22" style="2049" customWidth="1"/>
    <col min="3852" max="3852" width="19.42578125" style="2049" customWidth="1"/>
    <col min="3853" max="3853" width="15" style="2049" customWidth="1"/>
    <col min="3854" max="3854" width="19.28515625" style="2049" customWidth="1"/>
    <col min="3855" max="3855" width="19.85546875" style="2049" customWidth="1"/>
    <col min="3856" max="3856" width="19.5703125" style="2049" customWidth="1"/>
    <col min="3857" max="3857" width="14" style="2049" customWidth="1"/>
    <col min="3858" max="3858" width="16.42578125" style="2049" customWidth="1"/>
    <col min="3859" max="3859" width="18.140625" style="2049" customWidth="1"/>
    <col min="3860" max="3860" width="15.85546875" style="2049" customWidth="1"/>
    <col min="3861" max="4088" width="9.140625" style="2049"/>
    <col min="4089" max="4089" width="18" style="2049" customWidth="1"/>
    <col min="4090" max="4090" width="21.140625" style="2049" customWidth="1"/>
    <col min="4091" max="4091" width="13" style="2049" customWidth="1"/>
    <col min="4092" max="4092" width="14.5703125" style="2049" customWidth="1"/>
    <col min="4093" max="4093" width="11.5703125" style="2049" customWidth="1"/>
    <col min="4094" max="4094" width="14.5703125" style="2049" customWidth="1"/>
    <col min="4095" max="4095" width="13.28515625" style="2049" customWidth="1"/>
    <col min="4096" max="4096" width="13.42578125" style="2049" customWidth="1"/>
    <col min="4097" max="4097" width="14.140625" style="2049" customWidth="1"/>
    <col min="4098" max="4098" width="17.5703125" style="2049" customWidth="1"/>
    <col min="4099" max="4099" width="16" style="2049" customWidth="1"/>
    <col min="4100" max="4100" width="19" style="2049" customWidth="1"/>
    <col min="4101" max="4101" width="14" style="2049" customWidth="1"/>
    <col min="4102" max="4105" width="19.140625" style="2049" customWidth="1"/>
    <col min="4106" max="4106" width="15" style="2049" customWidth="1"/>
    <col min="4107" max="4107" width="22" style="2049" customWidth="1"/>
    <col min="4108" max="4108" width="19.42578125" style="2049" customWidth="1"/>
    <col min="4109" max="4109" width="15" style="2049" customWidth="1"/>
    <col min="4110" max="4110" width="19.28515625" style="2049" customWidth="1"/>
    <col min="4111" max="4111" width="19.85546875" style="2049" customWidth="1"/>
    <col min="4112" max="4112" width="19.5703125" style="2049" customWidth="1"/>
    <col min="4113" max="4113" width="14" style="2049" customWidth="1"/>
    <col min="4114" max="4114" width="16.42578125" style="2049" customWidth="1"/>
    <col min="4115" max="4115" width="18.140625" style="2049" customWidth="1"/>
    <col min="4116" max="4116" width="15.85546875" style="2049" customWidth="1"/>
    <col min="4117" max="4344" width="9.140625" style="2049"/>
    <col min="4345" max="4345" width="18" style="2049" customWidth="1"/>
    <col min="4346" max="4346" width="21.140625" style="2049" customWidth="1"/>
    <col min="4347" max="4347" width="13" style="2049" customWidth="1"/>
    <col min="4348" max="4348" width="14.5703125" style="2049" customWidth="1"/>
    <col min="4349" max="4349" width="11.5703125" style="2049" customWidth="1"/>
    <col min="4350" max="4350" width="14.5703125" style="2049" customWidth="1"/>
    <col min="4351" max="4351" width="13.28515625" style="2049" customWidth="1"/>
    <col min="4352" max="4352" width="13.42578125" style="2049" customWidth="1"/>
    <col min="4353" max="4353" width="14.140625" style="2049" customWidth="1"/>
    <col min="4354" max="4354" width="17.5703125" style="2049" customWidth="1"/>
    <col min="4355" max="4355" width="16" style="2049" customWidth="1"/>
    <col min="4356" max="4356" width="19" style="2049" customWidth="1"/>
    <col min="4357" max="4357" width="14" style="2049" customWidth="1"/>
    <col min="4358" max="4361" width="19.140625" style="2049" customWidth="1"/>
    <col min="4362" max="4362" width="15" style="2049" customWidth="1"/>
    <col min="4363" max="4363" width="22" style="2049" customWidth="1"/>
    <col min="4364" max="4364" width="19.42578125" style="2049" customWidth="1"/>
    <col min="4365" max="4365" width="15" style="2049" customWidth="1"/>
    <col min="4366" max="4366" width="19.28515625" style="2049" customWidth="1"/>
    <col min="4367" max="4367" width="19.85546875" style="2049" customWidth="1"/>
    <col min="4368" max="4368" width="19.5703125" style="2049" customWidth="1"/>
    <col min="4369" max="4369" width="14" style="2049" customWidth="1"/>
    <col min="4370" max="4370" width="16.42578125" style="2049" customWidth="1"/>
    <col min="4371" max="4371" width="18.140625" style="2049" customWidth="1"/>
    <col min="4372" max="4372" width="15.85546875" style="2049" customWidth="1"/>
    <col min="4373" max="4600" width="9.140625" style="2049"/>
    <col min="4601" max="4601" width="18" style="2049" customWidth="1"/>
    <col min="4602" max="4602" width="21.140625" style="2049" customWidth="1"/>
    <col min="4603" max="4603" width="13" style="2049" customWidth="1"/>
    <col min="4604" max="4604" width="14.5703125" style="2049" customWidth="1"/>
    <col min="4605" max="4605" width="11.5703125" style="2049" customWidth="1"/>
    <col min="4606" max="4606" width="14.5703125" style="2049" customWidth="1"/>
    <col min="4607" max="4607" width="13.28515625" style="2049" customWidth="1"/>
    <col min="4608" max="4608" width="13.42578125" style="2049" customWidth="1"/>
    <col min="4609" max="4609" width="14.140625" style="2049" customWidth="1"/>
    <col min="4610" max="4610" width="17.5703125" style="2049" customWidth="1"/>
    <col min="4611" max="4611" width="16" style="2049" customWidth="1"/>
    <col min="4612" max="4612" width="19" style="2049" customWidth="1"/>
    <col min="4613" max="4613" width="14" style="2049" customWidth="1"/>
    <col min="4614" max="4617" width="19.140625" style="2049" customWidth="1"/>
    <col min="4618" max="4618" width="15" style="2049" customWidth="1"/>
    <col min="4619" max="4619" width="22" style="2049" customWidth="1"/>
    <col min="4620" max="4620" width="19.42578125" style="2049" customWidth="1"/>
    <col min="4621" max="4621" width="15" style="2049" customWidth="1"/>
    <col min="4622" max="4622" width="19.28515625" style="2049" customWidth="1"/>
    <col min="4623" max="4623" width="19.85546875" style="2049" customWidth="1"/>
    <col min="4624" max="4624" width="19.5703125" style="2049" customWidth="1"/>
    <col min="4625" max="4625" width="14" style="2049" customWidth="1"/>
    <col min="4626" max="4626" width="16.42578125" style="2049" customWidth="1"/>
    <col min="4627" max="4627" width="18.140625" style="2049" customWidth="1"/>
    <col min="4628" max="4628" width="15.85546875" style="2049" customWidth="1"/>
    <col min="4629" max="4856" width="9.140625" style="2049"/>
    <col min="4857" max="4857" width="18" style="2049" customWidth="1"/>
    <col min="4858" max="4858" width="21.140625" style="2049" customWidth="1"/>
    <col min="4859" max="4859" width="13" style="2049" customWidth="1"/>
    <col min="4860" max="4860" width="14.5703125" style="2049" customWidth="1"/>
    <col min="4861" max="4861" width="11.5703125" style="2049" customWidth="1"/>
    <col min="4862" max="4862" width="14.5703125" style="2049" customWidth="1"/>
    <col min="4863" max="4863" width="13.28515625" style="2049" customWidth="1"/>
    <col min="4864" max="4864" width="13.42578125" style="2049" customWidth="1"/>
    <col min="4865" max="4865" width="14.140625" style="2049" customWidth="1"/>
    <col min="4866" max="4866" width="17.5703125" style="2049" customWidth="1"/>
    <col min="4867" max="4867" width="16" style="2049" customWidth="1"/>
    <col min="4868" max="4868" width="19" style="2049" customWidth="1"/>
    <col min="4869" max="4869" width="14" style="2049" customWidth="1"/>
    <col min="4870" max="4873" width="19.140625" style="2049" customWidth="1"/>
    <col min="4874" max="4874" width="15" style="2049" customWidth="1"/>
    <col min="4875" max="4875" width="22" style="2049" customWidth="1"/>
    <col min="4876" max="4876" width="19.42578125" style="2049" customWidth="1"/>
    <col min="4877" max="4877" width="15" style="2049" customWidth="1"/>
    <col min="4878" max="4878" width="19.28515625" style="2049" customWidth="1"/>
    <col min="4879" max="4879" width="19.85546875" style="2049" customWidth="1"/>
    <col min="4880" max="4880" width="19.5703125" style="2049" customWidth="1"/>
    <col min="4881" max="4881" width="14" style="2049" customWidth="1"/>
    <col min="4882" max="4882" width="16.42578125" style="2049" customWidth="1"/>
    <col min="4883" max="4883" width="18.140625" style="2049" customWidth="1"/>
    <col min="4884" max="4884" width="15.85546875" style="2049" customWidth="1"/>
    <col min="4885" max="5112" width="9.140625" style="2049"/>
    <col min="5113" max="5113" width="18" style="2049" customWidth="1"/>
    <col min="5114" max="5114" width="21.140625" style="2049" customWidth="1"/>
    <col min="5115" max="5115" width="13" style="2049" customWidth="1"/>
    <col min="5116" max="5116" width="14.5703125" style="2049" customWidth="1"/>
    <col min="5117" max="5117" width="11.5703125" style="2049" customWidth="1"/>
    <col min="5118" max="5118" width="14.5703125" style="2049" customWidth="1"/>
    <col min="5119" max="5119" width="13.28515625" style="2049" customWidth="1"/>
    <col min="5120" max="5120" width="13.42578125" style="2049" customWidth="1"/>
    <col min="5121" max="5121" width="14.140625" style="2049" customWidth="1"/>
    <col min="5122" max="5122" width="17.5703125" style="2049" customWidth="1"/>
    <col min="5123" max="5123" width="16" style="2049" customWidth="1"/>
    <col min="5124" max="5124" width="19" style="2049" customWidth="1"/>
    <col min="5125" max="5125" width="14" style="2049" customWidth="1"/>
    <col min="5126" max="5129" width="19.140625" style="2049" customWidth="1"/>
    <col min="5130" max="5130" width="15" style="2049" customWidth="1"/>
    <col min="5131" max="5131" width="22" style="2049" customWidth="1"/>
    <col min="5132" max="5132" width="19.42578125" style="2049" customWidth="1"/>
    <col min="5133" max="5133" width="15" style="2049" customWidth="1"/>
    <col min="5134" max="5134" width="19.28515625" style="2049" customWidth="1"/>
    <col min="5135" max="5135" width="19.85546875" style="2049" customWidth="1"/>
    <col min="5136" max="5136" width="19.5703125" style="2049" customWidth="1"/>
    <col min="5137" max="5137" width="14" style="2049" customWidth="1"/>
    <col min="5138" max="5138" width="16.42578125" style="2049" customWidth="1"/>
    <col min="5139" max="5139" width="18.140625" style="2049" customWidth="1"/>
    <col min="5140" max="5140" width="15.85546875" style="2049" customWidth="1"/>
    <col min="5141" max="5368" width="9.140625" style="2049"/>
    <col min="5369" max="5369" width="18" style="2049" customWidth="1"/>
    <col min="5370" max="5370" width="21.140625" style="2049" customWidth="1"/>
    <col min="5371" max="5371" width="13" style="2049" customWidth="1"/>
    <col min="5372" max="5372" width="14.5703125" style="2049" customWidth="1"/>
    <col min="5373" max="5373" width="11.5703125" style="2049" customWidth="1"/>
    <col min="5374" max="5374" width="14.5703125" style="2049" customWidth="1"/>
    <col min="5375" max="5375" width="13.28515625" style="2049" customWidth="1"/>
    <col min="5376" max="5376" width="13.42578125" style="2049" customWidth="1"/>
    <col min="5377" max="5377" width="14.140625" style="2049" customWidth="1"/>
    <col min="5378" max="5378" width="17.5703125" style="2049" customWidth="1"/>
    <col min="5379" max="5379" width="16" style="2049" customWidth="1"/>
    <col min="5380" max="5380" width="19" style="2049" customWidth="1"/>
    <col min="5381" max="5381" width="14" style="2049" customWidth="1"/>
    <col min="5382" max="5385" width="19.140625" style="2049" customWidth="1"/>
    <col min="5386" max="5386" width="15" style="2049" customWidth="1"/>
    <col min="5387" max="5387" width="22" style="2049" customWidth="1"/>
    <col min="5388" max="5388" width="19.42578125" style="2049" customWidth="1"/>
    <col min="5389" max="5389" width="15" style="2049" customWidth="1"/>
    <col min="5390" max="5390" width="19.28515625" style="2049" customWidth="1"/>
    <col min="5391" max="5391" width="19.85546875" style="2049" customWidth="1"/>
    <col min="5392" max="5392" width="19.5703125" style="2049" customWidth="1"/>
    <col min="5393" max="5393" width="14" style="2049" customWidth="1"/>
    <col min="5394" max="5394" width="16.42578125" style="2049" customWidth="1"/>
    <col min="5395" max="5395" width="18.140625" style="2049" customWidth="1"/>
    <col min="5396" max="5396" width="15.85546875" style="2049" customWidth="1"/>
    <col min="5397" max="5624" width="9.140625" style="2049"/>
    <col min="5625" max="5625" width="18" style="2049" customWidth="1"/>
    <col min="5626" max="5626" width="21.140625" style="2049" customWidth="1"/>
    <col min="5627" max="5627" width="13" style="2049" customWidth="1"/>
    <col min="5628" max="5628" width="14.5703125" style="2049" customWidth="1"/>
    <col min="5629" max="5629" width="11.5703125" style="2049" customWidth="1"/>
    <col min="5630" max="5630" width="14.5703125" style="2049" customWidth="1"/>
    <col min="5631" max="5631" width="13.28515625" style="2049" customWidth="1"/>
    <col min="5632" max="5632" width="13.42578125" style="2049" customWidth="1"/>
    <col min="5633" max="5633" width="14.140625" style="2049" customWidth="1"/>
    <col min="5634" max="5634" width="17.5703125" style="2049" customWidth="1"/>
    <col min="5635" max="5635" width="16" style="2049" customWidth="1"/>
    <col min="5636" max="5636" width="19" style="2049" customWidth="1"/>
    <col min="5637" max="5637" width="14" style="2049" customWidth="1"/>
    <col min="5638" max="5641" width="19.140625" style="2049" customWidth="1"/>
    <col min="5642" max="5642" width="15" style="2049" customWidth="1"/>
    <col min="5643" max="5643" width="22" style="2049" customWidth="1"/>
    <col min="5644" max="5644" width="19.42578125" style="2049" customWidth="1"/>
    <col min="5645" max="5645" width="15" style="2049" customWidth="1"/>
    <col min="5646" max="5646" width="19.28515625" style="2049" customWidth="1"/>
    <col min="5647" max="5647" width="19.85546875" style="2049" customWidth="1"/>
    <col min="5648" max="5648" width="19.5703125" style="2049" customWidth="1"/>
    <col min="5649" max="5649" width="14" style="2049" customWidth="1"/>
    <col min="5650" max="5650" width="16.42578125" style="2049" customWidth="1"/>
    <col min="5651" max="5651" width="18.140625" style="2049" customWidth="1"/>
    <col min="5652" max="5652" width="15.85546875" style="2049" customWidth="1"/>
    <col min="5653" max="5880" width="9.140625" style="2049"/>
    <col min="5881" max="5881" width="18" style="2049" customWidth="1"/>
    <col min="5882" max="5882" width="21.140625" style="2049" customWidth="1"/>
    <col min="5883" max="5883" width="13" style="2049" customWidth="1"/>
    <col min="5884" max="5884" width="14.5703125" style="2049" customWidth="1"/>
    <col min="5885" max="5885" width="11.5703125" style="2049" customWidth="1"/>
    <col min="5886" max="5886" width="14.5703125" style="2049" customWidth="1"/>
    <col min="5887" max="5887" width="13.28515625" style="2049" customWidth="1"/>
    <col min="5888" max="5888" width="13.42578125" style="2049" customWidth="1"/>
    <col min="5889" max="5889" width="14.140625" style="2049" customWidth="1"/>
    <col min="5890" max="5890" width="17.5703125" style="2049" customWidth="1"/>
    <col min="5891" max="5891" width="16" style="2049" customWidth="1"/>
    <col min="5892" max="5892" width="19" style="2049" customWidth="1"/>
    <col min="5893" max="5893" width="14" style="2049" customWidth="1"/>
    <col min="5894" max="5897" width="19.140625" style="2049" customWidth="1"/>
    <col min="5898" max="5898" width="15" style="2049" customWidth="1"/>
    <col min="5899" max="5899" width="22" style="2049" customWidth="1"/>
    <col min="5900" max="5900" width="19.42578125" style="2049" customWidth="1"/>
    <col min="5901" max="5901" width="15" style="2049" customWidth="1"/>
    <col min="5902" max="5902" width="19.28515625" style="2049" customWidth="1"/>
    <col min="5903" max="5903" width="19.85546875" style="2049" customWidth="1"/>
    <col min="5904" max="5904" width="19.5703125" style="2049" customWidth="1"/>
    <col min="5905" max="5905" width="14" style="2049" customWidth="1"/>
    <col min="5906" max="5906" width="16.42578125" style="2049" customWidth="1"/>
    <col min="5907" max="5907" width="18.140625" style="2049" customWidth="1"/>
    <col min="5908" max="5908" width="15.85546875" style="2049" customWidth="1"/>
    <col min="5909" max="6136" width="9.140625" style="2049"/>
    <col min="6137" max="6137" width="18" style="2049" customWidth="1"/>
    <col min="6138" max="6138" width="21.140625" style="2049" customWidth="1"/>
    <col min="6139" max="6139" width="13" style="2049" customWidth="1"/>
    <col min="6140" max="6140" width="14.5703125" style="2049" customWidth="1"/>
    <col min="6141" max="6141" width="11.5703125" style="2049" customWidth="1"/>
    <col min="6142" max="6142" width="14.5703125" style="2049" customWidth="1"/>
    <col min="6143" max="6143" width="13.28515625" style="2049" customWidth="1"/>
    <col min="6144" max="6144" width="13.42578125" style="2049" customWidth="1"/>
    <col min="6145" max="6145" width="14.140625" style="2049" customWidth="1"/>
    <col min="6146" max="6146" width="17.5703125" style="2049" customWidth="1"/>
    <col min="6147" max="6147" width="16" style="2049" customWidth="1"/>
    <col min="6148" max="6148" width="19" style="2049" customWidth="1"/>
    <col min="6149" max="6149" width="14" style="2049" customWidth="1"/>
    <col min="6150" max="6153" width="19.140625" style="2049" customWidth="1"/>
    <col min="6154" max="6154" width="15" style="2049" customWidth="1"/>
    <col min="6155" max="6155" width="22" style="2049" customWidth="1"/>
    <col min="6156" max="6156" width="19.42578125" style="2049" customWidth="1"/>
    <col min="6157" max="6157" width="15" style="2049" customWidth="1"/>
    <col min="6158" max="6158" width="19.28515625" style="2049" customWidth="1"/>
    <col min="6159" max="6159" width="19.85546875" style="2049" customWidth="1"/>
    <col min="6160" max="6160" width="19.5703125" style="2049" customWidth="1"/>
    <col min="6161" max="6161" width="14" style="2049" customWidth="1"/>
    <col min="6162" max="6162" width="16.42578125" style="2049" customWidth="1"/>
    <col min="6163" max="6163" width="18.140625" style="2049" customWidth="1"/>
    <col min="6164" max="6164" width="15.85546875" style="2049" customWidth="1"/>
    <col min="6165" max="6392" width="9.140625" style="2049"/>
    <col min="6393" max="6393" width="18" style="2049" customWidth="1"/>
    <col min="6394" max="6394" width="21.140625" style="2049" customWidth="1"/>
    <col min="6395" max="6395" width="13" style="2049" customWidth="1"/>
    <col min="6396" max="6396" width="14.5703125" style="2049" customWidth="1"/>
    <col min="6397" max="6397" width="11.5703125" style="2049" customWidth="1"/>
    <col min="6398" max="6398" width="14.5703125" style="2049" customWidth="1"/>
    <col min="6399" max="6399" width="13.28515625" style="2049" customWidth="1"/>
    <col min="6400" max="6400" width="13.42578125" style="2049" customWidth="1"/>
    <col min="6401" max="6401" width="14.140625" style="2049" customWidth="1"/>
    <col min="6402" max="6402" width="17.5703125" style="2049" customWidth="1"/>
    <col min="6403" max="6403" width="16" style="2049" customWidth="1"/>
    <col min="6404" max="6404" width="19" style="2049" customWidth="1"/>
    <col min="6405" max="6405" width="14" style="2049" customWidth="1"/>
    <col min="6406" max="6409" width="19.140625" style="2049" customWidth="1"/>
    <col min="6410" max="6410" width="15" style="2049" customWidth="1"/>
    <col min="6411" max="6411" width="22" style="2049" customWidth="1"/>
    <col min="6412" max="6412" width="19.42578125" style="2049" customWidth="1"/>
    <col min="6413" max="6413" width="15" style="2049" customWidth="1"/>
    <col min="6414" max="6414" width="19.28515625" style="2049" customWidth="1"/>
    <col min="6415" max="6415" width="19.85546875" style="2049" customWidth="1"/>
    <col min="6416" max="6416" width="19.5703125" style="2049" customWidth="1"/>
    <col min="6417" max="6417" width="14" style="2049" customWidth="1"/>
    <col min="6418" max="6418" width="16.42578125" style="2049" customWidth="1"/>
    <col min="6419" max="6419" width="18.140625" style="2049" customWidth="1"/>
    <col min="6420" max="6420" width="15.85546875" style="2049" customWidth="1"/>
    <col min="6421" max="6648" width="9.140625" style="2049"/>
    <col min="6649" max="6649" width="18" style="2049" customWidth="1"/>
    <col min="6650" max="6650" width="21.140625" style="2049" customWidth="1"/>
    <col min="6651" max="6651" width="13" style="2049" customWidth="1"/>
    <col min="6652" max="6652" width="14.5703125" style="2049" customWidth="1"/>
    <col min="6653" max="6653" width="11.5703125" style="2049" customWidth="1"/>
    <col min="6654" max="6654" width="14.5703125" style="2049" customWidth="1"/>
    <col min="6655" max="6655" width="13.28515625" style="2049" customWidth="1"/>
    <col min="6656" max="6656" width="13.42578125" style="2049" customWidth="1"/>
    <col min="6657" max="6657" width="14.140625" style="2049" customWidth="1"/>
    <col min="6658" max="6658" width="17.5703125" style="2049" customWidth="1"/>
    <col min="6659" max="6659" width="16" style="2049" customWidth="1"/>
    <col min="6660" max="6660" width="19" style="2049" customWidth="1"/>
    <col min="6661" max="6661" width="14" style="2049" customWidth="1"/>
    <col min="6662" max="6665" width="19.140625" style="2049" customWidth="1"/>
    <col min="6666" max="6666" width="15" style="2049" customWidth="1"/>
    <col min="6667" max="6667" width="22" style="2049" customWidth="1"/>
    <col min="6668" max="6668" width="19.42578125" style="2049" customWidth="1"/>
    <col min="6669" max="6669" width="15" style="2049" customWidth="1"/>
    <col min="6670" max="6670" width="19.28515625" style="2049" customWidth="1"/>
    <col min="6671" max="6671" width="19.85546875" style="2049" customWidth="1"/>
    <col min="6672" max="6672" width="19.5703125" style="2049" customWidth="1"/>
    <col min="6673" max="6673" width="14" style="2049" customWidth="1"/>
    <col min="6674" max="6674" width="16.42578125" style="2049" customWidth="1"/>
    <col min="6675" max="6675" width="18.140625" style="2049" customWidth="1"/>
    <col min="6676" max="6676" width="15.85546875" style="2049" customWidth="1"/>
    <col min="6677" max="6904" width="9.140625" style="2049"/>
    <col min="6905" max="6905" width="18" style="2049" customWidth="1"/>
    <col min="6906" max="6906" width="21.140625" style="2049" customWidth="1"/>
    <col min="6907" max="6907" width="13" style="2049" customWidth="1"/>
    <col min="6908" max="6908" width="14.5703125" style="2049" customWidth="1"/>
    <col min="6909" max="6909" width="11.5703125" style="2049" customWidth="1"/>
    <col min="6910" max="6910" width="14.5703125" style="2049" customWidth="1"/>
    <col min="6911" max="6911" width="13.28515625" style="2049" customWidth="1"/>
    <col min="6912" max="6912" width="13.42578125" style="2049" customWidth="1"/>
    <col min="6913" max="6913" width="14.140625" style="2049" customWidth="1"/>
    <col min="6914" max="6914" width="17.5703125" style="2049" customWidth="1"/>
    <col min="6915" max="6915" width="16" style="2049" customWidth="1"/>
    <col min="6916" max="6916" width="19" style="2049" customWidth="1"/>
    <col min="6917" max="6917" width="14" style="2049" customWidth="1"/>
    <col min="6918" max="6921" width="19.140625" style="2049" customWidth="1"/>
    <col min="6922" max="6922" width="15" style="2049" customWidth="1"/>
    <col min="6923" max="6923" width="22" style="2049" customWidth="1"/>
    <col min="6924" max="6924" width="19.42578125" style="2049" customWidth="1"/>
    <col min="6925" max="6925" width="15" style="2049" customWidth="1"/>
    <col min="6926" max="6926" width="19.28515625" style="2049" customWidth="1"/>
    <col min="6927" max="6927" width="19.85546875" style="2049" customWidth="1"/>
    <col min="6928" max="6928" width="19.5703125" style="2049" customWidth="1"/>
    <col min="6929" max="6929" width="14" style="2049" customWidth="1"/>
    <col min="6930" max="6930" width="16.42578125" style="2049" customWidth="1"/>
    <col min="6931" max="6931" width="18.140625" style="2049" customWidth="1"/>
    <col min="6932" max="6932" width="15.85546875" style="2049" customWidth="1"/>
    <col min="6933" max="7160" width="9.140625" style="2049"/>
    <col min="7161" max="7161" width="18" style="2049" customWidth="1"/>
    <col min="7162" max="7162" width="21.140625" style="2049" customWidth="1"/>
    <col min="7163" max="7163" width="13" style="2049" customWidth="1"/>
    <col min="7164" max="7164" width="14.5703125" style="2049" customWidth="1"/>
    <col min="7165" max="7165" width="11.5703125" style="2049" customWidth="1"/>
    <col min="7166" max="7166" width="14.5703125" style="2049" customWidth="1"/>
    <col min="7167" max="7167" width="13.28515625" style="2049" customWidth="1"/>
    <col min="7168" max="7168" width="13.42578125" style="2049" customWidth="1"/>
    <col min="7169" max="7169" width="14.140625" style="2049" customWidth="1"/>
    <col min="7170" max="7170" width="17.5703125" style="2049" customWidth="1"/>
    <col min="7171" max="7171" width="16" style="2049" customWidth="1"/>
    <col min="7172" max="7172" width="19" style="2049" customWidth="1"/>
    <col min="7173" max="7173" width="14" style="2049" customWidth="1"/>
    <col min="7174" max="7177" width="19.140625" style="2049" customWidth="1"/>
    <col min="7178" max="7178" width="15" style="2049" customWidth="1"/>
    <col min="7179" max="7179" width="22" style="2049" customWidth="1"/>
    <col min="7180" max="7180" width="19.42578125" style="2049" customWidth="1"/>
    <col min="7181" max="7181" width="15" style="2049" customWidth="1"/>
    <col min="7182" max="7182" width="19.28515625" style="2049" customWidth="1"/>
    <col min="7183" max="7183" width="19.85546875" style="2049" customWidth="1"/>
    <col min="7184" max="7184" width="19.5703125" style="2049" customWidth="1"/>
    <col min="7185" max="7185" width="14" style="2049" customWidth="1"/>
    <col min="7186" max="7186" width="16.42578125" style="2049" customWidth="1"/>
    <col min="7187" max="7187" width="18.140625" style="2049" customWidth="1"/>
    <col min="7188" max="7188" width="15.85546875" style="2049" customWidth="1"/>
    <col min="7189" max="7416" width="9.140625" style="2049"/>
    <col min="7417" max="7417" width="18" style="2049" customWidth="1"/>
    <col min="7418" max="7418" width="21.140625" style="2049" customWidth="1"/>
    <col min="7419" max="7419" width="13" style="2049" customWidth="1"/>
    <col min="7420" max="7420" width="14.5703125" style="2049" customWidth="1"/>
    <col min="7421" max="7421" width="11.5703125" style="2049" customWidth="1"/>
    <col min="7422" max="7422" width="14.5703125" style="2049" customWidth="1"/>
    <col min="7423" max="7423" width="13.28515625" style="2049" customWidth="1"/>
    <col min="7424" max="7424" width="13.42578125" style="2049" customWidth="1"/>
    <col min="7425" max="7425" width="14.140625" style="2049" customWidth="1"/>
    <col min="7426" max="7426" width="17.5703125" style="2049" customWidth="1"/>
    <col min="7427" max="7427" width="16" style="2049" customWidth="1"/>
    <col min="7428" max="7428" width="19" style="2049" customWidth="1"/>
    <col min="7429" max="7429" width="14" style="2049" customWidth="1"/>
    <col min="7430" max="7433" width="19.140625" style="2049" customWidth="1"/>
    <col min="7434" max="7434" width="15" style="2049" customWidth="1"/>
    <col min="7435" max="7435" width="22" style="2049" customWidth="1"/>
    <col min="7436" max="7436" width="19.42578125" style="2049" customWidth="1"/>
    <col min="7437" max="7437" width="15" style="2049" customWidth="1"/>
    <col min="7438" max="7438" width="19.28515625" style="2049" customWidth="1"/>
    <col min="7439" max="7439" width="19.85546875" style="2049" customWidth="1"/>
    <col min="7440" max="7440" width="19.5703125" style="2049" customWidth="1"/>
    <col min="7441" max="7441" width="14" style="2049" customWidth="1"/>
    <col min="7442" max="7442" width="16.42578125" style="2049" customWidth="1"/>
    <col min="7443" max="7443" width="18.140625" style="2049" customWidth="1"/>
    <col min="7444" max="7444" width="15.85546875" style="2049" customWidth="1"/>
    <col min="7445" max="7672" width="9.140625" style="2049"/>
    <col min="7673" max="7673" width="18" style="2049" customWidth="1"/>
    <col min="7674" max="7674" width="21.140625" style="2049" customWidth="1"/>
    <col min="7675" max="7675" width="13" style="2049" customWidth="1"/>
    <col min="7676" max="7676" width="14.5703125" style="2049" customWidth="1"/>
    <col min="7677" max="7677" width="11.5703125" style="2049" customWidth="1"/>
    <col min="7678" max="7678" width="14.5703125" style="2049" customWidth="1"/>
    <col min="7679" max="7679" width="13.28515625" style="2049" customWidth="1"/>
    <col min="7680" max="7680" width="13.42578125" style="2049" customWidth="1"/>
    <col min="7681" max="7681" width="14.140625" style="2049" customWidth="1"/>
    <col min="7682" max="7682" width="17.5703125" style="2049" customWidth="1"/>
    <col min="7683" max="7683" width="16" style="2049" customWidth="1"/>
    <col min="7684" max="7684" width="19" style="2049" customWidth="1"/>
    <col min="7685" max="7685" width="14" style="2049" customWidth="1"/>
    <col min="7686" max="7689" width="19.140625" style="2049" customWidth="1"/>
    <col min="7690" max="7690" width="15" style="2049" customWidth="1"/>
    <col min="7691" max="7691" width="22" style="2049" customWidth="1"/>
    <col min="7692" max="7692" width="19.42578125" style="2049" customWidth="1"/>
    <col min="7693" max="7693" width="15" style="2049" customWidth="1"/>
    <col min="7694" max="7694" width="19.28515625" style="2049" customWidth="1"/>
    <col min="7695" max="7695" width="19.85546875" style="2049" customWidth="1"/>
    <col min="7696" max="7696" width="19.5703125" style="2049" customWidth="1"/>
    <col min="7697" max="7697" width="14" style="2049" customWidth="1"/>
    <col min="7698" max="7698" width="16.42578125" style="2049" customWidth="1"/>
    <col min="7699" max="7699" width="18.140625" style="2049" customWidth="1"/>
    <col min="7700" max="7700" width="15.85546875" style="2049" customWidth="1"/>
    <col min="7701" max="7928" width="9.140625" style="2049"/>
    <col min="7929" max="7929" width="18" style="2049" customWidth="1"/>
    <col min="7930" max="7930" width="21.140625" style="2049" customWidth="1"/>
    <col min="7931" max="7931" width="13" style="2049" customWidth="1"/>
    <col min="7932" max="7932" width="14.5703125" style="2049" customWidth="1"/>
    <col min="7933" max="7933" width="11.5703125" style="2049" customWidth="1"/>
    <col min="7934" max="7934" width="14.5703125" style="2049" customWidth="1"/>
    <col min="7935" max="7935" width="13.28515625" style="2049" customWidth="1"/>
    <col min="7936" max="7936" width="13.42578125" style="2049" customWidth="1"/>
    <col min="7937" max="7937" width="14.140625" style="2049" customWidth="1"/>
    <col min="7938" max="7938" width="17.5703125" style="2049" customWidth="1"/>
    <col min="7939" max="7939" width="16" style="2049" customWidth="1"/>
    <col min="7940" max="7940" width="19" style="2049" customWidth="1"/>
    <col min="7941" max="7941" width="14" style="2049" customWidth="1"/>
    <col min="7942" max="7945" width="19.140625" style="2049" customWidth="1"/>
    <col min="7946" max="7946" width="15" style="2049" customWidth="1"/>
    <col min="7947" max="7947" width="22" style="2049" customWidth="1"/>
    <col min="7948" max="7948" width="19.42578125" style="2049" customWidth="1"/>
    <col min="7949" max="7949" width="15" style="2049" customWidth="1"/>
    <col min="7950" max="7950" width="19.28515625" style="2049" customWidth="1"/>
    <col min="7951" max="7951" width="19.85546875" style="2049" customWidth="1"/>
    <col min="7952" max="7952" width="19.5703125" style="2049" customWidth="1"/>
    <col min="7953" max="7953" width="14" style="2049" customWidth="1"/>
    <col min="7954" max="7954" width="16.42578125" style="2049" customWidth="1"/>
    <col min="7955" max="7955" width="18.140625" style="2049" customWidth="1"/>
    <col min="7956" max="7956" width="15.85546875" style="2049" customWidth="1"/>
    <col min="7957" max="8184" width="9.140625" style="2049"/>
    <col min="8185" max="8185" width="18" style="2049" customWidth="1"/>
    <col min="8186" max="8186" width="21.140625" style="2049" customWidth="1"/>
    <col min="8187" max="8187" width="13" style="2049" customWidth="1"/>
    <col min="8188" max="8188" width="14.5703125" style="2049" customWidth="1"/>
    <col min="8189" max="8189" width="11.5703125" style="2049" customWidth="1"/>
    <col min="8190" max="8190" width="14.5703125" style="2049" customWidth="1"/>
    <col min="8191" max="8191" width="13.28515625" style="2049" customWidth="1"/>
    <col min="8192" max="8192" width="13.42578125" style="2049" customWidth="1"/>
    <col min="8193" max="8193" width="14.140625" style="2049" customWidth="1"/>
    <col min="8194" max="8194" width="17.5703125" style="2049" customWidth="1"/>
    <col min="8195" max="8195" width="16" style="2049" customWidth="1"/>
    <col min="8196" max="8196" width="19" style="2049" customWidth="1"/>
    <col min="8197" max="8197" width="14" style="2049" customWidth="1"/>
    <col min="8198" max="8201" width="19.140625" style="2049" customWidth="1"/>
    <col min="8202" max="8202" width="15" style="2049" customWidth="1"/>
    <col min="8203" max="8203" width="22" style="2049" customWidth="1"/>
    <col min="8204" max="8204" width="19.42578125" style="2049" customWidth="1"/>
    <col min="8205" max="8205" width="15" style="2049" customWidth="1"/>
    <col min="8206" max="8206" width="19.28515625" style="2049" customWidth="1"/>
    <col min="8207" max="8207" width="19.85546875" style="2049" customWidth="1"/>
    <col min="8208" max="8208" width="19.5703125" style="2049" customWidth="1"/>
    <col min="8209" max="8209" width="14" style="2049" customWidth="1"/>
    <col min="8210" max="8210" width="16.42578125" style="2049" customWidth="1"/>
    <col min="8211" max="8211" width="18.140625" style="2049" customWidth="1"/>
    <col min="8212" max="8212" width="15.85546875" style="2049" customWidth="1"/>
    <col min="8213" max="8440" width="9.140625" style="2049"/>
    <col min="8441" max="8441" width="18" style="2049" customWidth="1"/>
    <col min="8442" max="8442" width="21.140625" style="2049" customWidth="1"/>
    <col min="8443" max="8443" width="13" style="2049" customWidth="1"/>
    <col min="8444" max="8444" width="14.5703125" style="2049" customWidth="1"/>
    <col min="8445" max="8445" width="11.5703125" style="2049" customWidth="1"/>
    <col min="8446" max="8446" width="14.5703125" style="2049" customWidth="1"/>
    <col min="8447" max="8447" width="13.28515625" style="2049" customWidth="1"/>
    <col min="8448" max="8448" width="13.42578125" style="2049" customWidth="1"/>
    <col min="8449" max="8449" width="14.140625" style="2049" customWidth="1"/>
    <col min="8450" max="8450" width="17.5703125" style="2049" customWidth="1"/>
    <col min="8451" max="8451" width="16" style="2049" customWidth="1"/>
    <col min="8452" max="8452" width="19" style="2049" customWidth="1"/>
    <col min="8453" max="8453" width="14" style="2049" customWidth="1"/>
    <col min="8454" max="8457" width="19.140625" style="2049" customWidth="1"/>
    <col min="8458" max="8458" width="15" style="2049" customWidth="1"/>
    <col min="8459" max="8459" width="22" style="2049" customWidth="1"/>
    <col min="8460" max="8460" width="19.42578125" style="2049" customWidth="1"/>
    <col min="8461" max="8461" width="15" style="2049" customWidth="1"/>
    <col min="8462" max="8462" width="19.28515625" style="2049" customWidth="1"/>
    <col min="8463" max="8463" width="19.85546875" style="2049" customWidth="1"/>
    <col min="8464" max="8464" width="19.5703125" style="2049" customWidth="1"/>
    <col min="8465" max="8465" width="14" style="2049" customWidth="1"/>
    <col min="8466" max="8466" width="16.42578125" style="2049" customWidth="1"/>
    <col min="8467" max="8467" width="18.140625" style="2049" customWidth="1"/>
    <col min="8468" max="8468" width="15.85546875" style="2049" customWidth="1"/>
    <col min="8469" max="8696" width="9.140625" style="2049"/>
    <col min="8697" max="8697" width="18" style="2049" customWidth="1"/>
    <col min="8698" max="8698" width="21.140625" style="2049" customWidth="1"/>
    <col min="8699" max="8699" width="13" style="2049" customWidth="1"/>
    <col min="8700" max="8700" width="14.5703125" style="2049" customWidth="1"/>
    <col min="8701" max="8701" width="11.5703125" style="2049" customWidth="1"/>
    <col min="8702" max="8702" width="14.5703125" style="2049" customWidth="1"/>
    <col min="8703" max="8703" width="13.28515625" style="2049" customWidth="1"/>
    <col min="8704" max="8704" width="13.42578125" style="2049" customWidth="1"/>
    <col min="8705" max="8705" width="14.140625" style="2049" customWidth="1"/>
    <col min="8706" max="8706" width="17.5703125" style="2049" customWidth="1"/>
    <col min="8707" max="8707" width="16" style="2049" customWidth="1"/>
    <col min="8708" max="8708" width="19" style="2049" customWidth="1"/>
    <col min="8709" max="8709" width="14" style="2049" customWidth="1"/>
    <col min="8710" max="8713" width="19.140625" style="2049" customWidth="1"/>
    <col min="8714" max="8714" width="15" style="2049" customWidth="1"/>
    <col min="8715" max="8715" width="22" style="2049" customWidth="1"/>
    <col min="8716" max="8716" width="19.42578125" style="2049" customWidth="1"/>
    <col min="8717" max="8717" width="15" style="2049" customWidth="1"/>
    <col min="8718" max="8718" width="19.28515625" style="2049" customWidth="1"/>
    <col min="8719" max="8719" width="19.85546875" style="2049" customWidth="1"/>
    <col min="8720" max="8720" width="19.5703125" style="2049" customWidth="1"/>
    <col min="8721" max="8721" width="14" style="2049" customWidth="1"/>
    <col min="8722" max="8722" width="16.42578125" style="2049" customWidth="1"/>
    <col min="8723" max="8723" width="18.140625" style="2049" customWidth="1"/>
    <col min="8724" max="8724" width="15.85546875" style="2049" customWidth="1"/>
    <col min="8725" max="8952" width="9.140625" style="2049"/>
    <col min="8953" max="8953" width="18" style="2049" customWidth="1"/>
    <col min="8954" max="8954" width="21.140625" style="2049" customWidth="1"/>
    <col min="8955" max="8955" width="13" style="2049" customWidth="1"/>
    <col min="8956" max="8956" width="14.5703125" style="2049" customWidth="1"/>
    <col min="8957" max="8957" width="11.5703125" style="2049" customWidth="1"/>
    <col min="8958" max="8958" width="14.5703125" style="2049" customWidth="1"/>
    <col min="8959" max="8959" width="13.28515625" style="2049" customWidth="1"/>
    <col min="8960" max="8960" width="13.42578125" style="2049" customWidth="1"/>
    <col min="8961" max="8961" width="14.140625" style="2049" customWidth="1"/>
    <col min="8962" max="8962" width="17.5703125" style="2049" customWidth="1"/>
    <col min="8963" max="8963" width="16" style="2049" customWidth="1"/>
    <col min="8964" max="8964" width="19" style="2049" customWidth="1"/>
    <col min="8965" max="8965" width="14" style="2049" customWidth="1"/>
    <col min="8966" max="8969" width="19.140625" style="2049" customWidth="1"/>
    <col min="8970" max="8970" width="15" style="2049" customWidth="1"/>
    <col min="8971" max="8971" width="22" style="2049" customWidth="1"/>
    <col min="8972" max="8972" width="19.42578125" style="2049" customWidth="1"/>
    <col min="8973" max="8973" width="15" style="2049" customWidth="1"/>
    <col min="8974" max="8974" width="19.28515625" style="2049" customWidth="1"/>
    <col min="8975" max="8975" width="19.85546875" style="2049" customWidth="1"/>
    <col min="8976" max="8976" width="19.5703125" style="2049" customWidth="1"/>
    <col min="8977" max="8977" width="14" style="2049" customWidth="1"/>
    <col min="8978" max="8978" width="16.42578125" style="2049" customWidth="1"/>
    <col min="8979" max="8979" width="18.140625" style="2049" customWidth="1"/>
    <col min="8980" max="8980" width="15.85546875" style="2049" customWidth="1"/>
    <col min="8981" max="9208" width="9.140625" style="2049"/>
    <col min="9209" max="9209" width="18" style="2049" customWidth="1"/>
    <col min="9210" max="9210" width="21.140625" style="2049" customWidth="1"/>
    <col min="9211" max="9211" width="13" style="2049" customWidth="1"/>
    <col min="9212" max="9212" width="14.5703125" style="2049" customWidth="1"/>
    <col min="9213" max="9213" width="11.5703125" style="2049" customWidth="1"/>
    <col min="9214" max="9214" width="14.5703125" style="2049" customWidth="1"/>
    <col min="9215" max="9215" width="13.28515625" style="2049" customWidth="1"/>
    <col min="9216" max="9216" width="13.42578125" style="2049" customWidth="1"/>
    <col min="9217" max="9217" width="14.140625" style="2049" customWidth="1"/>
    <col min="9218" max="9218" width="17.5703125" style="2049" customWidth="1"/>
    <col min="9219" max="9219" width="16" style="2049" customWidth="1"/>
    <col min="9220" max="9220" width="19" style="2049" customWidth="1"/>
    <col min="9221" max="9221" width="14" style="2049" customWidth="1"/>
    <col min="9222" max="9225" width="19.140625" style="2049" customWidth="1"/>
    <col min="9226" max="9226" width="15" style="2049" customWidth="1"/>
    <col min="9227" max="9227" width="22" style="2049" customWidth="1"/>
    <col min="9228" max="9228" width="19.42578125" style="2049" customWidth="1"/>
    <col min="9229" max="9229" width="15" style="2049" customWidth="1"/>
    <col min="9230" max="9230" width="19.28515625" style="2049" customWidth="1"/>
    <col min="9231" max="9231" width="19.85546875" style="2049" customWidth="1"/>
    <col min="9232" max="9232" width="19.5703125" style="2049" customWidth="1"/>
    <col min="9233" max="9233" width="14" style="2049" customWidth="1"/>
    <col min="9234" max="9234" width="16.42578125" style="2049" customWidth="1"/>
    <col min="9235" max="9235" width="18.140625" style="2049" customWidth="1"/>
    <col min="9236" max="9236" width="15.85546875" style="2049" customWidth="1"/>
    <col min="9237" max="9464" width="9.140625" style="2049"/>
    <col min="9465" max="9465" width="18" style="2049" customWidth="1"/>
    <col min="9466" max="9466" width="21.140625" style="2049" customWidth="1"/>
    <col min="9467" max="9467" width="13" style="2049" customWidth="1"/>
    <col min="9468" max="9468" width="14.5703125" style="2049" customWidth="1"/>
    <col min="9469" max="9469" width="11.5703125" style="2049" customWidth="1"/>
    <col min="9470" max="9470" width="14.5703125" style="2049" customWidth="1"/>
    <col min="9471" max="9471" width="13.28515625" style="2049" customWidth="1"/>
    <col min="9472" max="9472" width="13.42578125" style="2049" customWidth="1"/>
    <col min="9473" max="9473" width="14.140625" style="2049" customWidth="1"/>
    <col min="9474" max="9474" width="17.5703125" style="2049" customWidth="1"/>
    <col min="9475" max="9475" width="16" style="2049" customWidth="1"/>
    <col min="9476" max="9476" width="19" style="2049" customWidth="1"/>
    <col min="9477" max="9477" width="14" style="2049" customWidth="1"/>
    <col min="9478" max="9481" width="19.140625" style="2049" customWidth="1"/>
    <col min="9482" max="9482" width="15" style="2049" customWidth="1"/>
    <col min="9483" max="9483" width="22" style="2049" customWidth="1"/>
    <col min="9484" max="9484" width="19.42578125" style="2049" customWidth="1"/>
    <col min="9485" max="9485" width="15" style="2049" customWidth="1"/>
    <col min="9486" max="9486" width="19.28515625" style="2049" customWidth="1"/>
    <col min="9487" max="9487" width="19.85546875" style="2049" customWidth="1"/>
    <col min="9488" max="9488" width="19.5703125" style="2049" customWidth="1"/>
    <col min="9489" max="9489" width="14" style="2049" customWidth="1"/>
    <col min="9490" max="9490" width="16.42578125" style="2049" customWidth="1"/>
    <col min="9491" max="9491" width="18.140625" style="2049" customWidth="1"/>
    <col min="9492" max="9492" width="15.85546875" style="2049" customWidth="1"/>
    <col min="9493" max="9720" width="9.140625" style="2049"/>
    <col min="9721" max="9721" width="18" style="2049" customWidth="1"/>
    <col min="9722" max="9722" width="21.140625" style="2049" customWidth="1"/>
    <col min="9723" max="9723" width="13" style="2049" customWidth="1"/>
    <col min="9724" max="9724" width="14.5703125" style="2049" customWidth="1"/>
    <col min="9725" max="9725" width="11.5703125" style="2049" customWidth="1"/>
    <col min="9726" max="9726" width="14.5703125" style="2049" customWidth="1"/>
    <col min="9727" max="9727" width="13.28515625" style="2049" customWidth="1"/>
    <col min="9728" max="9728" width="13.42578125" style="2049" customWidth="1"/>
    <col min="9729" max="9729" width="14.140625" style="2049" customWidth="1"/>
    <col min="9730" max="9730" width="17.5703125" style="2049" customWidth="1"/>
    <col min="9731" max="9731" width="16" style="2049" customWidth="1"/>
    <col min="9732" max="9732" width="19" style="2049" customWidth="1"/>
    <col min="9733" max="9733" width="14" style="2049" customWidth="1"/>
    <col min="9734" max="9737" width="19.140625" style="2049" customWidth="1"/>
    <col min="9738" max="9738" width="15" style="2049" customWidth="1"/>
    <col min="9739" max="9739" width="22" style="2049" customWidth="1"/>
    <col min="9740" max="9740" width="19.42578125" style="2049" customWidth="1"/>
    <col min="9741" max="9741" width="15" style="2049" customWidth="1"/>
    <col min="9742" max="9742" width="19.28515625" style="2049" customWidth="1"/>
    <col min="9743" max="9743" width="19.85546875" style="2049" customWidth="1"/>
    <col min="9744" max="9744" width="19.5703125" style="2049" customWidth="1"/>
    <col min="9745" max="9745" width="14" style="2049" customWidth="1"/>
    <col min="9746" max="9746" width="16.42578125" style="2049" customWidth="1"/>
    <col min="9747" max="9747" width="18.140625" style="2049" customWidth="1"/>
    <col min="9748" max="9748" width="15.85546875" style="2049" customWidth="1"/>
    <col min="9749" max="9976" width="9.140625" style="2049"/>
    <col min="9977" max="9977" width="18" style="2049" customWidth="1"/>
    <col min="9978" max="9978" width="21.140625" style="2049" customWidth="1"/>
    <col min="9979" max="9979" width="13" style="2049" customWidth="1"/>
    <col min="9980" max="9980" width="14.5703125" style="2049" customWidth="1"/>
    <col min="9981" max="9981" width="11.5703125" style="2049" customWidth="1"/>
    <col min="9982" max="9982" width="14.5703125" style="2049" customWidth="1"/>
    <col min="9983" max="9983" width="13.28515625" style="2049" customWidth="1"/>
    <col min="9984" max="9984" width="13.42578125" style="2049" customWidth="1"/>
    <col min="9985" max="9985" width="14.140625" style="2049" customWidth="1"/>
    <col min="9986" max="9986" width="17.5703125" style="2049" customWidth="1"/>
    <col min="9987" max="9987" width="16" style="2049" customWidth="1"/>
    <col min="9988" max="9988" width="19" style="2049" customWidth="1"/>
    <col min="9989" max="9989" width="14" style="2049" customWidth="1"/>
    <col min="9990" max="9993" width="19.140625" style="2049" customWidth="1"/>
    <col min="9994" max="9994" width="15" style="2049" customWidth="1"/>
    <col min="9995" max="9995" width="22" style="2049" customWidth="1"/>
    <col min="9996" max="9996" width="19.42578125" style="2049" customWidth="1"/>
    <col min="9997" max="9997" width="15" style="2049" customWidth="1"/>
    <col min="9998" max="9998" width="19.28515625" style="2049" customWidth="1"/>
    <col min="9999" max="9999" width="19.85546875" style="2049" customWidth="1"/>
    <col min="10000" max="10000" width="19.5703125" style="2049" customWidth="1"/>
    <col min="10001" max="10001" width="14" style="2049" customWidth="1"/>
    <col min="10002" max="10002" width="16.42578125" style="2049" customWidth="1"/>
    <col min="10003" max="10003" width="18.140625" style="2049" customWidth="1"/>
    <col min="10004" max="10004" width="15.85546875" style="2049" customWidth="1"/>
    <col min="10005" max="10232" width="9.140625" style="2049"/>
    <col min="10233" max="10233" width="18" style="2049" customWidth="1"/>
    <col min="10234" max="10234" width="21.140625" style="2049" customWidth="1"/>
    <col min="10235" max="10235" width="13" style="2049" customWidth="1"/>
    <col min="10236" max="10236" width="14.5703125" style="2049" customWidth="1"/>
    <col min="10237" max="10237" width="11.5703125" style="2049" customWidth="1"/>
    <col min="10238" max="10238" width="14.5703125" style="2049" customWidth="1"/>
    <col min="10239" max="10239" width="13.28515625" style="2049" customWidth="1"/>
    <col min="10240" max="10240" width="13.42578125" style="2049" customWidth="1"/>
    <col min="10241" max="10241" width="14.140625" style="2049" customWidth="1"/>
    <col min="10242" max="10242" width="17.5703125" style="2049" customWidth="1"/>
    <col min="10243" max="10243" width="16" style="2049" customWidth="1"/>
    <col min="10244" max="10244" width="19" style="2049" customWidth="1"/>
    <col min="10245" max="10245" width="14" style="2049" customWidth="1"/>
    <col min="10246" max="10249" width="19.140625" style="2049" customWidth="1"/>
    <col min="10250" max="10250" width="15" style="2049" customWidth="1"/>
    <col min="10251" max="10251" width="22" style="2049" customWidth="1"/>
    <col min="10252" max="10252" width="19.42578125" style="2049" customWidth="1"/>
    <col min="10253" max="10253" width="15" style="2049" customWidth="1"/>
    <col min="10254" max="10254" width="19.28515625" style="2049" customWidth="1"/>
    <col min="10255" max="10255" width="19.85546875" style="2049" customWidth="1"/>
    <col min="10256" max="10256" width="19.5703125" style="2049" customWidth="1"/>
    <col min="10257" max="10257" width="14" style="2049" customWidth="1"/>
    <col min="10258" max="10258" width="16.42578125" style="2049" customWidth="1"/>
    <col min="10259" max="10259" width="18.140625" style="2049" customWidth="1"/>
    <col min="10260" max="10260" width="15.85546875" style="2049" customWidth="1"/>
    <col min="10261" max="10488" width="9.140625" style="2049"/>
    <col min="10489" max="10489" width="18" style="2049" customWidth="1"/>
    <col min="10490" max="10490" width="21.140625" style="2049" customWidth="1"/>
    <col min="10491" max="10491" width="13" style="2049" customWidth="1"/>
    <col min="10492" max="10492" width="14.5703125" style="2049" customWidth="1"/>
    <col min="10493" max="10493" width="11.5703125" style="2049" customWidth="1"/>
    <col min="10494" max="10494" width="14.5703125" style="2049" customWidth="1"/>
    <col min="10495" max="10495" width="13.28515625" style="2049" customWidth="1"/>
    <col min="10496" max="10496" width="13.42578125" style="2049" customWidth="1"/>
    <col min="10497" max="10497" width="14.140625" style="2049" customWidth="1"/>
    <col min="10498" max="10498" width="17.5703125" style="2049" customWidth="1"/>
    <col min="10499" max="10499" width="16" style="2049" customWidth="1"/>
    <col min="10500" max="10500" width="19" style="2049" customWidth="1"/>
    <col min="10501" max="10501" width="14" style="2049" customWidth="1"/>
    <col min="10502" max="10505" width="19.140625" style="2049" customWidth="1"/>
    <col min="10506" max="10506" width="15" style="2049" customWidth="1"/>
    <col min="10507" max="10507" width="22" style="2049" customWidth="1"/>
    <col min="10508" max="10508" width="19.42578125" style="2049" customWidth="1"/>
    <col min="10509" max="10509" width="15" style="2049" customWidth="1"/>
    <col min="10510" max="10510" width="19.28515625" style="2049" customWidth="1"/>
    <col min="10511" max="10511" width="19.85546875" style="2049" customWidth="1"/>
    <col min="10512" max="10512" width="19.5703125" style="2049" customWidth="1"/>
    <col min="10513" max="10513" width="14" style="2049" customWidth="1"/>
    <col min="10514" max="10514" width="16.42578125" style="2049" customWidth="1"/>
    <col min="10515" max="10515" width="18.140625" style="2049" customWidth="1"/>
    <col min="10516" max="10516" width="15.85546875" style="2049" customWidth="1"/>
    <col min="10517" max="10744" width="9.140625" style="2049"/>
    <col min="10745" max="10745" width="18" style="2049" customWidth="1"/>
    <col min="10746" max="10746" width="21.140625" style="2049" customWidth="1"/>
    <col min="10747" max="10747" width="13" style="2049" customWidth="1"/>
    <col min="10748" max="10748" width="14.5703125" style="2049" customWidth="1"/>
    <col min="10749" max="10749" width="11.5703125" style="2049" customWidth="1"/>
    <col min="10750" max="10750" width="14.5703125" style="2049" customWidth="1"/>
    <col min="10751" max="10751" width="13.28515625" style="2049" customWidth="1"/>
    <col min="10752" max="10752" width="13.42578125" style="2049" customWidth="1"/>
    <col min="10753" max="10753" width="14.140625" style="2049" customWidth="1"/>
    <col min="10754" max="10754" width="17.5703125" style="2049" customWidth="1"/>
    <col min="10755" max="10755" width="16" style="2049" customWidth="1"/>
    <col min="10756" max="10756" width="19" style="2049" customWidth="1"/>
    <col min="10757" max="10757" width="14" style="2049" customWidth="1"/>
    <col min="10758" max="10761" width="19.140625" style="2049" customWidth="1"/>
    <col min="10762" max="10762" width="15" style="2049" customWidth="1"/>
    <col min="10763" max="10763" width="22" style="2049" customWidth="1"/>
    <col min="10764" max="10764" width="19.42578125" style="2049" customWidth="1"/>
    <col min="10765" max="10765" width="15" style="2049" customWidth="1"/>
    <col min="10766" max="10766" width="19.28515625" style="2049" customWidth="1"/>
    <col min="10767" max="10767" width="19.85546875" style="2049" customWidth="1"/>
    <col min="10768" max="10768" width="19.5703125" style="2049" customWidth="1"/>
    <col min="10769" max="10769" width="14" style="2049" customWidth="1"/>
    <col min="10770" max="10770" width="16.42578125" style="2049" customWidth="1"/>
    <col min="10771" max="10771" width="18.140625" style="2049" customWidth="1"/>
    <col min="10772" max="10772" width="15.85546875" style="2049" customWidth="1"/>
    <col min="10773" max="11000" width="9.140625" style="2049"/>
    <col min="11001" max="11001" width="18" style="2049" customWidth="1"/>
    <col min="11002" max="11002" width="21.140625" style="2049" customWidth="1"/>
    <col min="11003" max="11003" width="13" style="2049" customWidth="1"/>
    <col min="11004" max="11004" width="14.5703125" style="2049" customWidth="1"/>
    <col min="11005" max="11005" width="11.5703125" style="2049" customWidth="1"/>
    <col min="11006" max="11006" width="14.5703125" style="2049" customWidth="1"/>
    <col min="11007" max="11007" width="13.28515625" style="2049" customWidth="1"/>
    <col min="11008" max="11008" width="13.42578125" style="2049" customWidth="1"/>
    <col min="11009" max="11009" width="14.140625" style="2049" customWidth="1"/>
    <col min="11010" max="11010" width="17.5703125" style="2049" customWidth="1"/>
    <col min="11011" max="11011" width="16" style="2049" customWidth="1"/>
    <col min="11012" max="11012" width="19" style="2049" customWidth="1"/>
    <col min="11013" max="11013" width="14" style="2049" customWidth="1"/>
    <col min="11014" max="11017" width="19.140625" style="2049" customWidth="1"/>
    <col min="11018" max="11018" width="15" style="2049" customWidth="1"/>
    <col min="11019" max="11019" width="22" style="2049" customWidth="1"/>
    <col min="11020" max="11020" width="19.42578125" style="2049" customWidth="1"/>
    <col min="11021" max="11021" width="15" style="2049" customWidth="1"/>
    <col min="11022" max="11022" width="19.28515625" style="2049" customWidth="1"/>
    <col min="11023" max="11023" width="19.85546875" style="2049" customWidth="1"/>
    <col min="11024" max="11024" width="19.5703125" style="2049" customWidth="1"/>
    <col min="11025" max="11025" width="14" style="2049" customWidth="1"/>
    <col min="11026" max="11026" width="16.42578125" style="2049" customWidth="1"/>
    <col min="11027" max="11027" width="18.140625" style="2049" customWidth="1"/>
    <col min="11028" max="11028" width="15.85546875" style="2049" customWidth="1"/>
    <col min="11029" max="11256" width="9.140625" style="2049"/>
    <col min="11257" max="11257" width="18" style="2049" customWidth="1"/>
    <col min="11258" max="11258" width="21.140625" style="2049" customWidth="1"/>
    <col min="11259" max="11259" width="13" style="2049" customWidth="1"/>
    <col min="11260" max="11260" width="14.5703125" style="2049" customWidth="1"/>
    <col min="11261" max="11261" width="11.5703125" style="2049" customWidth="1"/>
    <col min="11262" max="11262" width="14.5703125" style="2049" customWidth="1"/>
    <col min="11263" max="11263" width="13.28515625" style="2049" customWidth="1"/>
    <col min="11264" max="11264" width="13.42578125" style="2049" customWidth="1"/>
    <col min="11265" max="11265" width="14.140625" style="2049" customWidth="1"/>
    <col min="11266" max="11266" width="17.5703125" style="2049" customWidth="1"/>
    <col min="11267" max="11267" width="16" style="2049" customWidth="1"/>
    <col min="11268" max="11268" width="19" style="2049" customWidth="1"/>
    <col min="11269" max="11269" width="14" style="2049" customWidth="1"/>
    <col min="11270" max="11273" width="19.140625" style="2049" customWidth="1"/>
    <col min="11274" max="11274" width="15" style="2049" customWidth="1"/>
    <col min="11275" max="11275" width="22" style="2049" customWidth="1"/>
    <col min="11276" max="11276" width="19.42578125" style="2049" customWidth="1"/>
    <col min="11277" max="11277" width="15" style="2049" customWidth="1"/>
    <col min="11278" max="11278" width="19.28515625" style="2049" customWidth="1"/>
    <col min="11279" max="11279" width="19.85546875" style="2049" customWidth="1"/>
    <col min="11280" max="11280" width="19.5703125" style="2049" customWidth="1"/>
    <col min="11281" max="11281" width="14" style="2049" customWidth="1"/>
    <col min="11282" max="11282" width="16.42578125" style="2049" customWidth="1"/>
    <col min="11283" max="11283" width="18.140625" style="2049" customWidth="1"/>
    <col min="11284" max="11284" width="15.85546875" style="2049" customWidth="1"/>
    <col min="11285" max="11512" width="9.140625" style="2049"/>
    <col min="11513" max="11513" width="18" style="2049" customWidth="1"/>
    <col min="11514" max="11514" width="21.140625" style="2049" customWidth="1"/>
    <col min="11515" max="11515" width="13" style="2049" customWidth="1"/>
    <col min="11516" max="11516" width="14.5703125" style="2049" customWidth="1"/>
    <col min="11517" max="11517" width="11.5703125" style="2049" customWidth="1"/>
    <col min="11518" max="11518" width="14.5703125" style="2049" customWidth="1"/>
    <col min="11519" max="11519" width="13.28515625" style="2049" customWidth="1"/>
    <col min="11520" max="11520" width="13.42578125" style="2049" customWidth="1"/>
    <col min="11521" max="11521" width="14.140625" style="2049" customWidth="1"/>
    <col min="11522" max="11522" width="17.5703125" style="2049" customWidth="1"/>
    <col min="11523" max="11523" width="16" style="2049" customWidth="1"/>
    <col min="11524" max="11524" width="19" style="2049" customWidth="1"/>
    <col min="11525" max="11525" width="14" style="2049" customWidth="1"/>
    <col min="11526" max="11529" width="19.140625" style="2049" customWidth="1"/>
    <col min="11530" max="11530" width="15" style="2049" customWidth="1"/>
    <col min="11531" max="11531" width="22" style="2049" customWidth="1"/>
    <col min="11532" max="11532" width="19.42578125" style="2049" customWidth="1"/>
    <col min="11533" max="11533" width="15" style="2049" customWidth="1"/>
    <col min="11534" max="11534" width="19.28515625" style="2049" customWidth="1"/>
    <col min="11535" max="11535" width="19.85546875" style="2049" customWidth="1"/>
    <col min="11536" max="11536" width="19.5703125" style="2049" customWidth="1"/>
    <col min="11537" max="11537" width="14" style="2049" customWidth="1"/>
    <col min="11538" max="11538" width="16.42578125" style="2049" customWidth="1"/>
    <col min="11539" max="11539" width="18.140625" style="2049" customWidth="1"/>
    <col min="11540" max="11540" width="15.85546875" style="2049" customWidth="1"/>
    <col min="11541" max="11768" width="9.140625" style="2049"/>
    <col min="11769" max="11769" width="18" style="2049" customWidth="1"/>
    <col min="11770" max="11770" width="21.140625" style="2049" customWidth="1"/>
    <col min="11771" max="11771" width="13" style="2049" customWidth="1"/>
    <col min="11772" max="11772" width="14.5703125" style="2049" customWidth="1"/>
    <col min="11773" max="11773" width="11.5703125" style="2049" customWidth="1"/>
    <col min="11774" max="11774" width="14.5703125" style="2049" customWidth="1"/>
    <col min="11775" max="11775" width="13.28515625" style="2049" customWidth="1"/>
    <col min="11776" max="11776" width="13.42578125" style="2049" customWidth="1"/>
    <col min="11777" max="11777" width="14.140625" style="2049" customWidth="1"/>
    <col min="11778" max="11778" width="17.5703125" style="2049" customWidth="1"/>
    <col min="11779" max="11779" width="16" style="2049" customWidth="1"/>
    <col min="11780" max="11780" width="19" style="2049" customWidth="1"/>
    <col min="11781" max="11781" width="14" style="2049" customWidth="1"/>
    <col min="11782" max="11785" width="19.140625" style="2049" customWidth="1"/>
    <col min="11786" max="11786" width="15" style="2049" customWidth="1"/>
    <col min="11787" max="11787" width="22" style="2049" customWidth="1"/>
    <col min="11788" max="11788" width="19.42578125" style="2049" customWidth="1"/>
    <col min="11789" max="11789" width="15" style="2049" customWidth="1"/>
    <col min="11790" max="11790" width="19.28515625" style="2049" customWidth="1"/>
    <col min="11791" max="11791" width="19.85546875" style="2049" customWidth="1"/>
    <col min="11792" max="11792" width="19.5703125" style="2049" customWidth="1"/>
    <col min="11793" max="11793" width="14" style="2049" customWidth="1"/>
    <col min="11794" max="11794" width="16.42578125" style="2049" customWidth="1"/>
    <col min="11795" max="11795" width="18.140625" style="2049" customWidth="1"/>
    <col min="11796" max="11796" width="15.85546875" style="2049" customWidth="1"/>
    <col min="11797" max="12024" width="9.140625" style="2049"/>
    <col min="12025" max="12025" width="18" style="2049" customWidth="1"/>
    <col min="12026" max="12026" width="21.140625" style="2049" customWidth="1"/>
    <col min="12027" max="12027" width="13" style="2049" customWidth="1"/>
    <col min="12028" max="12028" width="14.5703125" style="2049" customWidth="1"/>
    <col min="12029" max="12029" width="11.5703125" style="2049" customWidth="1"/>
    <col min="12030" max="12030" width="14.5703125" style="2049" customWidth="1"/>
    <col min="12031" max="12031" width="13.28515625" style="2049" customWidth="1"/>
    <col min="12032" max="12032" width="13.42578125" style="2049" customWidth="1"/>
    <col min="12033" max="12033" width="14.140625" style="2049" customWidth="1"/>
    <col min="12034" max="12034" width="17.5703125" style="2049" customWidth="1"/>
    <col min="12035" max="12035" width="16" style="2049" customWidth="1"/>
    <col min="12036" max="12036" width="19" style="2049" customWidth="1"/>
    <col min="12037" max="12037" width="14" style="2049" customWidth="1"/>
    <col min="12038" max="12041" width="19.140625" style="2049" customWidth="1"/>
    <col min="12042" max="12042" width="15" style="2049" customWidth="1"/>
    <col min="12043" max="12043" width="22" style="2049" customWidth="1"/>
    <col min="12044" max="12044" width="19.42578125" style="2049" customWidth="1"/>
    <col min="12045" max="12045" width="15" style="2049" customWidth="1"/>
    <col min="12046" max="12046" width="19.28515625" style="2049" customWidth="1"/>
    <col min="12047" max="12047" width="19.85546875" style="2049" customWidth="1"/>
    <col min="12048" max="12048" width="19.5703125" style="2049" customWidth="1"/>
    <col min="12049" max="12049" width="14" style="2049" customWidth="1"/>
    <col min="12050" max="12050" width="16.42578125" style="2049" customWidth="1"/>
    <col min="12051" max="12051" width="18.140625" style="2049" customWidth="1"/>
    <col min="12052" max="12052" width="15.85546875" style="2049" customWidth="1"/>
    <col min="12053" max="12280" width="9.140625" style="2049"/>
    <col min="12281" max="12281" width="18" style="2049" customWidth="1"/>
    <col min="12282" max="12282" width="21.140625" style="2049" customWidth="1"/>
    <col min="12283" max="12283" width="13" style="2049" customWidth="1"/>
    <col min="12284" max="12284" width="14.5703125" style="2049" customWidth="1"/>
    <col min="12285" max="12285" width="11.5703125" style="2049" customWidth="1"/>
    <col min="12286" max="12286" width="14.5703125" style="2049" customWidth="1"/>
    <col min="12287" max="12287" width="13.28515625" style="2049" customWidth="1"/>
    <col min="12288" max="12288" width="13.42578125" style="2049" customWidth="1"/>
    <col min="12289" max="12289" width="14.140625" style="2049" customWidth="1"/>
    <col min="12290" max="12290" width="17.5703125" style="2049" customWidth="1"/>
    <col min="12291" max="12291" width="16" style="2049" customWidth="1"/>
    <col min="12292" max="12292" width="19" style="2049" customWidth="1"/>
    <col min="12293" max="12293" width="14" style="2049" customWidth="1"/>
    <col min="12294" max="12297" width="19.140625" style="2049" customWidth="1"/>
    <col min="12298" max="12298" width="15" style="2049" customWidth="1"/>
    <col min="12299" max="12299" width="22" style="2049" customWidth="1"/>
    <col min="12300" max="12300" width="19.42578125" style="2049" customWidth="1"/>
    <col min="12301" max="12301" width="15" style="2049" customWidth="1"/>
    <col min="12302" max="12302" width="19.28515625" style="2049" customWidth="1"/>
    <col min="12303" max="12303" width="19.85546875" style="2049" customWidth="1"/>
    <col min="12304" max="12304" width="19.5703125" style="2049" customWidth="1"/>
    <col min="12305" max="12305" width="14" style="2049" customWidth="1"/>
    <col min="12306" max="12306" width="16.42578125" style="2049" customWidth="1"/>
    <col min="12307" max="12307" width="18.140625" style="2049" customWidth="1"/>
    <col min="12308" max="12308" width="15.85546875" style="2049" customWidth="1"/>
    <col min="12309" max="12536" width="9.140625" style="2049"/>
    <col min="12537" max="12537" width="18" style="2049" customWidth="1"/>
    <col min="12538" max="12538" width="21.140625" style="2049" customWidth="1"/>
    <col min="12539" max="12539" width="13" style="2049" customWidth="1"/>
    <col min="12540" max="12540" width="14.5703125" style="2049" customWidth="1"/>
    <col min="12541" max="12541" width="11.5703125" style="2049" customWidth="1"/>
    <col min="12542" max="12542" width="14.5703125" style="2049" customWidth="1"/>
    <col min="12543" max="12543" width="13.28515625" style="2049" customWidth="1"/>
    <col min="12544" max="12544" width="13.42578125" style="2049" customWidth="1"/>
    <col min="12545" max="12545" width="14.140625" style="2049" customWidth="1"/>
    <col min="12546" max="12546" width="17.5703125" style="2049" customWidth="1"/>
    <col min="12547" max="12547" width="16" style="2049" customWidth="1"/>
    <col min="12548" max="12548" width="19" style="2049" customWidth="1"/>
    <col min="12549" max="12549" width="14" style="2049" customWidth="1"/>
    <col min="12550" max="12553" width="19.140625" style="2049" customWidth="1"/>
    <col min="12554" max="12554" width="15" style="2049" customWidth="1"/>
    <col min="12555" max="12555" width="22" style="2049" customWidth="1"/>
    <col min="12556" max="12556" width="19.42578125" style="2049" customWidth="1"/>
    <col min="12557" max="12557" width="15" style="2049" customWidth="1"/>
    <col min="12558" max="12558" width="19.28515625" style="2049" customWidth="1"/>
    <col min="12559" max="12559" width="19.85546875" style="2049" customWidth="1"/>
    <col min="12560" max="12560" width="19.5703125" style="2049" customWidth="1"/>
    <col min="12561" max="12561" width="14" style="2049" customWidth="1"/>
    <col min="12562" max="12562" width="16.42578125" style="2049" customWidth="1"/>
    <col min="12563" max="12563" width="18.140625" style="2049" customWidth="1"/>
    <col min="12564" max="12564" width="15.85546875" style="2049" customWidth="1"/>
    <col min="12565" max="12792" width="9.140625" style="2049"/>
    <col min="12793" max="12793" width="18" style="2049" customWidth="1"/>
    <col min="12794" max="12794" width="21.140625" style="2049" customWidth="1"/>
    <col min="12795" max="12795" width="13" style="2049" customWidth="1"/>
    <col min="12796" max="12796" width="14.5703125" style="2049" customWidth="1"/>
    <col min="12797" max="12797" width="11.5703125" style="2049" customWidth="1"/>
    <col min="12798" max="12798" width="14.5703125" style="2049" customWidth="1"/>
    <col min="12799" max="12799" width="13.28515625" style="2049" customWidth="1"/>
    <col min="12800" max="12800" width="13.42578125" style="2049" customWidth="1"/>
    <col min="12801" max="12801" width="14.140625" style="2049" customWidth="1"/>
    <col min="12802" max="12802" width="17.5703125" style="2049" customWidth="1"/>
    <col min="12803" max="12803" width="16" style="2049" customWidth="1"/>
    <col min="12804" max="12804" width="19" style="2049" customWidth="1"/>
    <col min="12805" max="12805" width="14" style="2049" customWidth="1"/>
    <col min="12806" max="12809" width="19.140625" style="2049" customWidth="1"/>
    <col min="12810" max="12810" width="15" style="2049" customWidth="1"/>
    <col min="12811" max="12811" width="22" style="2049" customWidth="1"/>
    <col min="12812" max="12812" width="19.42578125" style="2049" customWidth="1"/>
    <col min="12813" max="12813" width="15" style="2049" customWidth="1"/>
    <col min="12814" max="12814" width="19.28515625" style="2049" customWidth="1"/>
    <col min="12815" max="12815" width="19.85546875" style="2049" customWidth="1"/>
    <col min="12816" max="12816" width="19.5703125" style="2049" customWidth="1"/>
    <col min="12817" max="12817" width="14" style="2049" customWidth="1"/>
    <col min="12818" max="12818" width="16.42578125" style="2049" customWidth="1"/>
    <col min="12819" max="12819" width="18.140625" style="2049" customWidth="1"/>
    <col min="12820" max="12820" width="15.85546875" style="2049" customWidth="1"/>
    <col min="12821" max="13048" width="9.140625" style="2049"/>
    <col min="13049" max="13049" width="18" style="2049" customWidth="1"/>
    <col min="13050" max="13050" width="21.140625" style="2049" customWidth="1"/>
    <col min="13051" max="13051" width="13" style="2049" customWidth="1"/>
    <col min="13052" max="13052" width="14.5703125" style="2049" customWidth="1"/>
    <col min="13053" max="13053" width="11.5703125" style="2049" customWidth="1"/>
    <col min="13054" max="13054" width="14.5703125" style="2049" customWidth="1"/>
    <col min="13055" max="13055" width="13.28515625" style="2049" customWidth="1"/>
    <col min="13056" max="13056" width="13.42578125" style="2049" customWidth="1"/>
    <col min="13057" max="13057" width="14.140625" style="2049" customWidth="1"/>
    <col min="13058" max="13058" width="17.5703125" style="2049" customWidth="1"/>
    <col min="13059" max="13059" width="16" style="2049" customWidth="1"/>
    <col min="13060" max="13060" width="19" style="2049" customWidth="1"/>
    <col min="13061" max="13061" width="14" style="2049" customWidth="1"/>
    <col min="13062" max="13065" width="19.140625" style="2049" customWidth="1"/>
    <col min="13066" max="13066" width="15" style="2049" customWidth="1"/>
    <col min="13067" max="13067" width="22" style="2049" customWidth="1"/>
    <col min="13068" max="13068" width="19.42578125" style="2049" customWidth="1"/>
    <col min="13069" max="13069" width="15" style="2049" customWidth="1"/>
    <col min="13070" max="13070" width="19.28515625" style="2049" customWidth="1"/>
    <col min="13071" max="13071" width="19.85546875" style="2049" customWidth="1"/>
    <col min="13072" max="13072" width="19.5703125" style="2049" customWidth="1"/>
    <col min="13073" max="13073" width="14" style="2049" customWidth="1"/>
    <col min="13074" max="13074" width="16.42578125" style="2049" customWidth="1"/>
    <col min="13075" max="13075" width="18.140625" style="2049" customWidth="1"/>
    <col min="13076" max="13076" width="15.85546875" style="2049" customWidth="1"/>
    <col min="13077" max="13304" width="9.140625" style="2049"/>
    <col min="13305" max="13305" width="18" style="2049" customWidth="1"/>
    <col min="13306" max="13306" width="21.140625" style="2049" customWidth="1"/>
    <col min="13307" max="13307" width="13" style="2049" customWidth="1"/>
    <col min="13308" max="13308" width="14.5703125" style="2049" customWidth="1"/>
    <col min="13309" max="13309" width="11.5703125" style="2049" customWidth="1"/>
    <col min="13310" max="13310" width="14.5703125" style="2049" customWidth="1"/>
    <col min="13311" max="13311" width="13.28515625" style="2049" customWidth="1"/>
    <col min="13312" max="13312" width="13.42578125" style="2049" customWidth="1"/>
    <col min="13313" max="13313" width="14.140625" style="2049" customWidth="1"/>
    <col min="13314" max="13314" width="17.5703125" style="2049" customWidth="1"/>
    <col min="13315" max="13315" width="16" style="2049" customWidth="1"/>
    <col min="13316" max="13316" width="19" style="2049" customWidth="1"/>
    <col min="13317" max="13317" width="14" style="2049" customWidth="1"/>
    <col min="13318" max="13321" width="19.140625" style="2049" customWidth="1"/>
    <col min="13322" max="13322" width="15" style="2049" customWidth="1"/>
    <col min="13323" max="13323" width="22" style="2049" customWidth="1"/>
    <col min="13324" max="13324" width="19.42578125" style="2049" customWidth="1"/>
    <col min="13325" max="13325" width="15" style="2049" customWidth="1"/>
    <col min="13326" max="13326" width="19.28515625" style="2049" customWidth="1"/>
    <col min="13327" max="13327" width="19.85546875" style="2049" customWidth="1"/>
    <col min="13328" max="13328" width="19.5703125" style="2049" customWidth="1"/>
    <col min="13329" max="13329" width="14" style="2049" customWidth="1"/>
    <col min="13330" max="13330" width="16.42578125" style="2049" customWidth="1"/>
    <col min="13331" max="13331" width="18.140625" style="2049" customWidth="1"/>
    <col min="13332" max="13332" width="15.85546875" style="2049" customWidth="1"/>
    <col min="13333" max="13560" width="9.140625" style="2049"/>
    <col min="13561" max="13561" width="18" style="2049" customWidth="1"/>
    <col min="13562" max="13562" width="21.140625" style="2049" customWidth="1"/>
    <col min="13563" max="13563" width="13" style="2049" customWidth="1"/>
    <col min="13564" max="13564" width="14.5703125" style="2049" customWidth="1"/>
    <col min="13565" max="13565" width="11.5703125" style="2049" customWidth="1"/>
    <col min="13566" max="13566" width="14.5703125" style="2049" customWidth="1"/>
    <col min="13567" max="13567" width="13.28515625" style="2049" customWidth="1"/>
    <col min="13568" max="13568" width="13.42578125" style="2049" customWidth="1"/>
    <col min="13569" max="13569" width="14.140625" style="2049" customWidth="1"/>
    <col min="13570" max="13570" width="17.5703125" style="2049" customWidth="1"/>
    <col min="13571" max="13571" width="16" style="2049" customWidth="1"/>
    <col min="13572" max="13572" width="19" style="2049" customWidth="1"/>
    <col min="13573" max="13573" width="14" style="2049" customWidth="1"/>
    <col min="13574" max="13577" width="19.140625" style="2049" customWidth="1"/>
    <col min="13578" max="13578" width="15" style="2049" customWidth="1"/>
    <col min="13579" max="13579" width="22" style="2049" customWidth="1"/>
    <col min="13580" max="13580" width="19.42578125" style="2049" customWidth="1"/>
    <col min="13581" max="13581" width="15" style="2049" customWidth="1"/>
    <col min="13582" max="13582" width="19.28515625" style="2049" customWidth="1"/>
    <col min="13583" max="13583" width="19.85546875" style="2049" customWidth="1"/>
    <col min="13584" max="13584" width="19.5703125" style="2049" customWidth="1"/>
    <col min="13585" max="13585" width="14" style="2049" customWidth="1"/>
    <col min="13586" max="13586" width="16.42578125" style="2049" customWidth="1"/>
    <col min="13587" max="13587" width="18.140625" style="2049" customWidth="1"/>
    <col min="13588" max="13588" width="15.85546875" style="2049" customWidth="1"/>
    <col min="13589" max="13816" width="9.140625" style="2049"/>
    <col min="13817" max="13817" width="18" style="2049" customWidth="1"/>
    <col min="13818" max="13818" width="21.140625" style="2049" customWidth="1"/>
    <col min="13819" max="13819" width="13" style="2049" customWidth="1"/>
    <col min="13820" max="13820" width="14.5703125" style="2049" customWidth="1"/>
    <col min="13821" max="13821" width="11.5703125" style="2049" customWidth="1"/>
    <col min="13822" max="13822" width="14.5703125" style="2049" customWidth="1"/>
    <col min="13823" max="13823" width="13.28515625" style="2049" customWidth="1"/>
    <col min="13824" max="13824" width="13.42578125" style="2049" customWidth="1"/>
    <col min="13825" max="13825" width="14.140625" style="2049" customWidth="1"/>
    <col min="13826" max="13826" width="17.5703125" style="2049" customWidth="1"/>
    <col min="13827" max="13827" width="16" style="2049" customWidth="1"/>
    <col min="13828" max="13828" width="19" style="2049" customWidth="1"/>
    <col min="13829" max="13829" width="14" style="2049" customWidth="1"/>
    <col min="13830" max="13833" width="19.140625" style="2049" customWidth="1"/>
    <col min="13834" max="13834" width="15" style="2049" customWidth="1"/>
    <col min="13835" max="13835" width="22" style="2049" customWidth="1"/>
    <col min="13836" max="13836" width="19.42578125" style="2049" customWidth="1"/>
    <col min="13837" max="13837" width="15" style="2049" customWidth="1"/>
    <col min="13838" max="13838" width="19.28515625" style="2049" customWidth="1"/>
    <col min="13839" max="13839" width="19.85546875" style="2049" customWidth="1"/>
    <col min="13840" max="13840" width="19.5703125" style="2049" customWidth="1"/>
    <col min="13841" max="13841" width="14" style="2049" customWidth="1"/>
    <col min="13842" max="13842" width="16.42578125" style="2049" customWidth="1"/>
    <col min="13843" max="13843" width="18.140625" style="2049" customWidth="1"/>
    <col min="13844" max="13844" width="15.85546875" style="2049" customWidth="1"/>
    <col min="13845" max="14072" width="9.140625" style="2049"/>
    <col min="14073" max="14073" width="18" style="2049" customWidth="1"/>
    <col min="14074" max="14074" width="21.140625" style="2049" customWidth="1"/>
    <col min="14075" max="14075" width="13" style="2049" customWidth="1"/>
    <col min="14076" max="14076" width="14.5703125" style="2049" customWidth="1"/>
    <col min="14077" max="14077" width="11.5703125" style="2049" customWidth="1"/>
    <col min="14078" max="14078" width="14.5703125" style="2049" customWidth="1"/>
    <col min="14079" max="14079" width="13.28515625" style="2049" customWidth="1"/>
    <col min="14080" max="14080" width="13.42578125" style="2049" customWidth="1"/>
    <col min="14081" max="14081" width="14.140625" style="2049" customWidth="1"/>
    <col min="14082" max="14082" width="17.5703125" style="2049" customWidth="1"/>
    <col min="14083" max="14083" width="16" style="2049" customWidth="1"/>
    <col min="14084" max="14084" width="19" style="2049" customWidth="1"/>
    <col min="14085" max="14085" width="14" style="2049" customWidth="1"/>
    <col min="14086" max="14089" width="19.140625" style="2049" customWidth="1"/>
    <col min="14090" max="14090" width="15" style="2049" customWidth="1"/>
    <col min="14091" max="14091" width="22" style="2049" customWidth="1"/>
    <col min="14092" max="14092" width="19.42578125" style="2049" customWidth="1"/>
    <col min="14093" max="14093" width="15" style="2049" customWidth="1"/>
    <col min="14094" max="14094" width="19.28515625" style="2049" customWidth="1"/>
    <col min="14095" max="14095" width="19.85546875" style="2049" customWidth="1"/>
    <col min="14096" max="14096" width="19.5703125" style="2049" customWidth="1"/>
    <col min="14097" max="14097" width="14" style="2049" customWidth="1"/>
    <col min="14098" max="14098" width="16.42578125" style="2049" customWidth="1"/>
    <col min="14099" max="14099" width="18.140625" style="2049" customWidth="1"/>
    <col min="14100" max="14100" width="15.85546875" style="2049" customWidth="1"/>
    <col min="14101" max="14328" width="9.140625" style="2049"/>
    <col min="14329" max="14329" width="18" style="2049" customWidth="1"/>
    <col min="14330" max="14330" width="21.140625" style="2049" customWidth="1"/>
    <col min="14331" max="14331" width="13" style="2049" customWidth="1"/>
    <col min="14332" max="14332" width="14.5703125" style="2049" customWidth="1"/>
    <col min="14333" max="14333" width="11.5703125" style="2049" customWidth="1"/>
    <col min="14334" max="14334" width="14.5703125" style="2049" customWidth="1"/>
    <col min="14335" max="14335" width="13.28515625" style="2049" customWidth="1"/>
    <col min="14336" max="14336" width="13.42578125" style="2049" customWidth="1"/>
    <col min="14337" max="14337" width="14.140625" style="2049" customWidth="1"/>
    <col min="14338" max="14338" width="17.5703125" style="2049" customWidth="1"/>
    <col min="14339" max="14339" width="16" style="2049" customWidth="1"/>
    <col min="14340" max="14340" width="19" style="2049" customWidth="1"/>
    <col min="14341" max="14341" width="14" style="2049" customWidth="1"/>
    <col min="14342" max="14345" width="19.140625" style="2049" customWidth="1"/>
    <col min="14346" max="14346" width="15" style="2049" customWidth="1"/>
    <col min="14347" max="14347" width="22" style="2049" customWidth="1"/>
    <col min="14348" max="14348" width="19.42578125" style="2049" customWidth="1"/>
    <col min="14349" max="14349" width="15" style="2049" customWidth="1"/>
    <col min="14350" max="14350" width="19.28515625" style="2049" customWidth="1"/>
    <col min="14351" max="14351" width="19.85546875" style="2049" customWidth="1"/>
    <col min="14352" max="14352" width="19.5703125" style="2049" customWidth="1"/>
    <col min="14353" max="14353" width="14" style="2049" customWidth="1"/>
    <col min="14354" max="14354" width="16.42578125" style="2049" customWidth="1"/>
    <col min="14355" max="14355" width="18.140625" style="2049" customWidth="1"/>
    <col min="14356" max="14356" width="15.85546875" style="2049" customWidth="1"/>
    <col min="14357" max="14584" width="9.140625" style="2049"/>
    <col min="14585" max="14585" width="18" style="2049" customWidth="1"/>
    <col min="14586" max="14586" width="21.140625" style="2049" customWidth="1"/>
    <col min="14587" max="14587" width="13" style="2049" customWidth="1"/>
    <col min="14588" max="14588" width="14.5703125" style="2049" customWidth="1"/>
    <col min="14589" max="14589" width="11.5703125" style="2049" customWidth="1"/>
    <col min="14590" max="14590" width="14.5703125" style="2049" customWidth="1"/>
    <col min="14591" max="14591" width="13.28515625" style="2049" customWidth="1"/>
    <col min="14592" max="14592" width="13.42578125" style="2049" customWidth="1"/>
    <col min="14593" max="14593" width="14.140625" style="2049" customWidth="1"/>
    <col min="14594" max="14594" width="17.5703125" style="2049" customWidth="1"/>
    <col min="14595" max="14595" width="16" style="2049" customWidth="1"/>
    <col min="14596" max="14596" width="19" style="2049" customWidth="1"/>
    <col min="14597" max="14597" width="14" style="2049" customWidth="1"/>
    <col min="14598" max="14601" width="19.140625" style="2049" customWidth="1"/>
    <col min="14602" max="14602" width="15" style="2049" customWidth="1"/>
    <col min="14603" max="14603" width="22" style="2049" customWidth="1"/>
    <col min="14604" max="14604" width="19.42578125" style="2049" customWidth="1"/>
    <col min="14605" max="14605" width="15" style="2049" customWidth="1"/>
    <col min="14606" max="14606" width="19.28515625" style="2049" customWidth="1"/>
    <col min="14607" max="14607" width="19.85546875" style="2049" customWidth="1"/>
    <col min="14608" max="14608" width="19.5703125" style="2049" customWidth="1"/>
    <col min="14609" max="14609" width="14" style="2049" customWidth="1"/>
    <col min="14610" max="14610" width="16.42578125" style="2049" customWidth="1"/>
    <col min="14611" max="14611" width="18.140625" style="2049" customWidth="1"/>
    <col min="14612" max="14612" width="15.85546875" style="2049" customWidth="1"/>
    <col min="14613" max="14840" width="9.140625" style="2049"/>
    <col min="14841" max="14841" width="18" style="2049" customWidth="1"/>
    <col min="14842" max="14842" width="21.140625" style="2049" customWidth="1"/>
    <col min="14843" max="14843" width="13" style="2049" customWidth="1"/>
    <col min="14844" max="14844" width="14.5703125" style="2049" customWidth="1"/>
    <col min="14845" max="14845" width="11.5703125" style="2049" customWidth="1"/>
    <col min="14846" max="14846" width="14.5703125" style="2049" customWidth="1"/>
    <col min="14847" max="14847" width="13.28515625" style="2049" customWidth="1"/>
    <col min="14848" max="14848" width="13.42578125" style="2049" customWidth="1"/>
    <col min="14849" max="14849" width="14.140625" style="2049" customWidth="1"/>
    <col min="14850" max="14850" width="17.5703125" style="2049" customWidth="1"/>
    <col min="14851" max="14851" width="16" style="2049" customWidth="1"/>
    <col min="14852" max="14852" width="19" style="2049" customWidth="1"/>
    <col min="14853" max="14853" width="14" style="2049" customWidth="1"/>
    <col min="14854" max="14857" width="19.140625" style="2049" customWidth="1"/>
    <col min="14858" max="14858" width="15" style="2049" customWidth="1"/>
    <col min="14859" max="14859" width="22" style="2049" customWidth="1"/>
    <col min="14860" max="14860" width="19.42578125" style="2049" customWidth="1"/>
    <col min="14861" max="14861" width="15" style="2049" customWidth="1"/>
    <col min="14862" max="14862" width="19.28515625" style="2049" customWidth="1"/>
    <col min="14863" max="14863" width="19.85546875" style="2049" customWidth="1"/>
    <col min="14864" max="14864" width="19.5703125" style="2049" customWidth="1"/>
    <col min="14865" max="14865" width="14" style="2049" customWidth="1"/>
    <col min="14866" max="14866" width="16.42578125" style="2049" customWidth="1"/>
    <col min="14867" max="14867" width="18.140625" style="2049" customWidth="1"/>
    <col min="14868" max="14868" width="15.85546875" style="2049" customWidth="1"/>
    <col min="14869" max="15096" width="9.140625" style="2049"/>
    <col min="15097" max="15097" width="18" style="2049" customWidth="1"/>
    <col min="15098" max="15098" width="21.140625" style="2049" customWidth="1"/>
    <col min="15099" max="15099" width="13" style="2049" customWidth="1"/>
    <col min="15100" max="15100" width="14.5703125" style="2049" customWidth="1"/>
    <col min="15101" max="15101" width="11.5703125" style="2049" customWidth="1"/>
    <col min="15102" max="15102" width="14.5703125" style="2049" customWidth="1"/>
    <col min="15103" max="15103" width="13.28515625" style="2049" customWidth="1"/>
    <col min="15104" max="15104" width="13.42578125" style="2049" customWidth="1"/>
    <col min="15105" max="15105" width="14.140625" style="2049" customWidth="1"/>
    <col min="15106" max="15106" width="17.5703125" style="2049" customWidth="1"/>
    <col min="15107" max="15107" width="16" style="2049" customWidth="1"/>
    <col min="15108" max="15108" width="19" style="2049" customWidth="1"/>
    <col min="15109" max="15109" width="14" style="2049" customWidth="1"/>
    <col min="15110" max="15113" width="19.140625" style="2049" customWidth="1"/>
    <col min="15114" max="15114" width="15" style="2049" customWidth="1"/>
    <col min="15115" max="15115" width="22" style="2049" customWidth="1"/>
    <col min="15116" max="15116" width="19.42578125" style="2049" customWidth="1"/>
    <col min="15117" max="15117" width="15" style="2049" customWidth="1"/>
    <col min="15118" max="15118" width="19.28515625" style="2049" customWidth="1"/>
    <col min="15119" max="15119" width="19.85546875" style="2049" customWidth="1"/>
    <col min="15120" max="15120" width="19.5703125" style="2049" customWidth="1"/>
    <col min="15121" max="15121" width="14" style="2049" customWidth="1"/>
    <col min="15122" max="15122" width="16.42578125" style="2049" customWidth="1"/>
    <col min="15123" max="15123" width="18.140625" style="2049" customWidth="1"/>
    <col min="15124" max="15124" width="15.85546875" style="2049" customWidth="1"/>
    <col min="15125" max="15352" width="9.140625" style="2049"/>
    <col min="15353" max="15353" width="18" style="2049" customWidth="1"/>
    <col min="15354" max="15354" width="21.140625" style="2049" customWidth="1"/>
    <col min="15355" max="15355" width="13" style="2049" customWidth="1"/>
    <col min="15356" max="15356" width="14.5703125" style="2049" customWidth="1"/>
    <col min="15357" max="15357" width="11.5703125" style="2049" customWidth="1"/>
    <col min="15358" max="15358" width="14.5703125" style="2049" customWidth="1"/>
    <col min="15359" max="15359" width="13.28515625" style="2049" customWidth="1"/>
    <col min="15360" max="15360" width="13.42578125" style="2049" customWidth="1"/>
    <col min="15361" max="15361" width="14.140625" style="2049" customWidth="1"/>
    <col min="15362" max="15362" width="17.5703125" style="2049" customWidth="1"/>
    <col min="15363" max="15363" width="16" style="2049" customWidth="1"/>
    <col min="15364" max="15364" width="19" style="2049" customWidth="1"/>
    <col min="15365" max="15365" width="14" style="2049" customWidth="1"/>
    <col min="15366" max="15369" width="19.140625" style="2049" customWidth="1"/>
    <col min="15370" max="15370" width="15" style="2049" customWidth="1"/>
    <col min="15371" max="15371" width="22" style="2049" customWidth="1"/>
    <col min="15372" max="15372" width="19.42578125" style="2049" customWidth="1"/>
    <col min="15373" max="15373" width="15" style="2049" customWidth="1"/>
    <col min="15374" max="15374" width="19.28515625" style="2049" customWidth="1"/>
    <col min="15375" max="15375" width="19.85546875" style="2049" customWidth="1"/>
    <col min="15376" max="15376" width="19.5703125" style="2049" customWidth="1"/>
    <col min="15377" max="15377" width="14" style="2049" customWidth="1"/>
    <col min="15378" max="15378" width="16.42578125" style="2049" customWidth="1"/>
    <col min="15379" max="15379" width="18.140625" style="2049" customWidth="1"/>
    <col min="15380" max="15380" width="15.85546875" style="2049" customWidth="1"/>
    <col min="15381" max="15608" width="9.140625" style="2049"/>
    <col min="15609" max="15609" width="18" style="2049" customWidth="1"/>
    <col min="15610" max="15610" width="21.140625" style="2049" customWidth="1"/>
    <col min="15611" max="15611" width="13" style="2049" customWidth="1"/>
    <col min="15612" max="15612" width="14.5703125" style="2049" customWidth="1"/>
    <col min="15613" max="15613" width="11.5703125" style="2049" customWidth="1"/>
    <col min="15614" max="15614" width="14.5703125" style="2049" customWidth="1"/>
    <col min="15615" max="15615" width="13.28515625" style="2049" customWidth="1"/>
    <col min="15616" max="15616" width="13.42578125" style="2049" customWidth="1"/>
    <col min="15617" max="15617" width="14.140625" style="2049" customWidth="1"/>
    <col min="15618" max="15618" width="17.5703125" style="2049" customWidth="1"/>
    <col min="15619" max="15619" width="16" style="2049" customWidth="1"/>
    <col min="15620" max="15620" width="19" style="2049" customWidth="1"/>
    <col min="15621" max="15621" width="14" style="2049" customWidth="1"/>
    <col min="15622" max="15625" width="19.140625" style="2049" customWidth="1"/>
    <col min="15626" max="15626" width="15" style="2049" customWidth="1"/>
    <col min="15627" max="15627" width="22" style="2049" customWidth="1"/>
    <col min="15628" max="15628" width="19.42578125" style="2049" customWidth="1"/>
    <col min="15629" max="15629" width="15" style="2049" customWidth="1"/>
    <col min="15630" max="15630" width="19.28515625" style="2049" customWidth="1"/>
    <col min="15631" max="15631" width="19.85546875" style="2049" customWidth="1"/>
    <col min="15632" max="15632" width="19.5703125" style="2049" customWidth="1"/>
    <col min="15633" max="15633" width="14" style="2049" customWidth="1"/>
    <col min="15634" max="15634" width="16.42578125" style="2049" customWidth="1"/>
    <col min="15635" max="15635" width="18.140625" style="2049" customWidth="1"/>
    <col min="15636" max="15636" width="15.85546875" style="2049" customWidth="1"/>
    <col min="15637" max="15864" width="9.140625" style="2049"/>
    <col min="15865" max="15865" width="18" style="2049" customWidth="1"/>
    <col min="15866" max="15866" width="21.140625" style="2049" customWidth="1"/>
    <col min="15867" max="15867" width="13" style="2049" customWidth="1"/>
    <col min="15868" max="15868" width="14.5703125" style="2049" customWidth="1"/>
    <col min="15869" max="15869" width="11.5703125" style="2049" customWidth="1"/>
    <col min="15870" max="15870" width="14.5703125" style="2049" customWidth="1"/>
    <col min="15871" max="15871" width="13.28515625" style="2049" customWidth="1"/>
    <col min="15872" max="15872" width="13.42578125" style="2049" customWidth="1"/>
    <col min="15873" max="15873" width="14.140625" style="2049" customWidth="1"/>
    <col min="15874" max="15874" width="17.5703125" style="2049" customWidth="1"/>
    <col min="15875" max="15875" width="16" style="2049" customWidth="1"/>
    <col min="15876" max="15876" width="19" style="2049" customWidth="1"/>
    <col min="15877" max="15877" width="14" style="2049" customWidth="1"/>
    <col min="15878" max="15881" width="19.140625" style="2049" customWidth="1"/>
    <col min="15882" max="15882" width="15" style="2049" customWidth="1"/>
    <col min="15883" max="15883" width="22" style="2049" customWidth="1"/>
    <col min="15884" max="15884" width="19.42578125" style="2049" customWidth="1"/>
    <col min="15885" max="15885" width="15" style="2049" customWidth="1"/>
    <col min="15886" max="15886" width="19.28515625" style="2049" customWidth="1"/>
    <col min="15887" max="15887" width="19.85546875" style="2049" customWidth="1"/>
    <col min="15888" max="15888" width="19.5703125" style="2049" customWidth="1"/>
    <col min="15889" max="15889" width="14" style="2049" customWidth="1"/>
    <col min="15890" max="15890" width="16.42578125" style="2049" customWidth="1"/>
    <col min="15891" max="15891" width="18.140625" style="2049" customWidth="1"/>
    <col min="15892" max="15892" width="15.85546875" style="2049" customWidth="1"/>
    <col min="15893" max="16120" width="9.140625" style="2049"/>
    <col min="16121" max="16121" width="18" style="2049" customWidth="1"/>
    <col min="16122" max="16122" width="21.140625" style="2049" customWidth="1"/>
    <col min="16123" max="16123" width="13" style="2049" customWidth="1"/>
    <col min="16124" max="16124" width="14.5703125" style="2049" customWidth="1"/>
    <col min="16125" max="16125" width="11.5703125" style="2049" customWidth="1"/>
    <col min="16126" max="16126" width="14.5703125" style="2049" customWidth="1"/>
    <col min="16127" max="16127" width="13.28515625" style="2049" customWidth="1"/>
    <col min="16128" max="16128" width="13.42578125" style="2049" customWidth="1"/>
    <col min="16129" max="16129" width="14.140625" style="2049" customWidth="1"/>
    <col min="16130" max="16130" width="17.5703125" style="2049" customWidth="1"/>
    <col min="16131" max="16131" width="16" style="2049" customWidth="1"/>
    <col min="16132" max="16132" width="19" style="2049" customWidth="1"/>
    <col min="16133" max="16133" width="14" style="2049" customWidth="1"/>
    <col min="16134" max="16137" width="19.140625" style="2049" customWidth="1"/>
    <col min="16138" max="16138" width="15" style="2049" customWidth="1"/>
    <col min="16139" max="16139" width="22" style="2049" customWidth="1"/>
    <col min="16140" max="16140" width="19.42578125" style="2049" customWidth="1"/>
    <col min="16141" max="16141" width="15" style="2049" customWidth="1"/>
    <col min="16142" max="16142" width="19.28515625" style="2049" customWidth="1"/>
    <col min="16143" max="16143" width="19.85546875" style="2049" customWidth="1"/>
    <col min="16144" max="16144" width="19.5703125" style="2049" customWidth="1"/>
    <col min="16145" max="16145" width="14" style="2049" customWidth="1"/>
    <col min="16146" max="16146" width="16.42578125" style="2049" customWidth="1"/>
    <col min="16147" max="16147" width="18.140625" style="2049" customWidth="1"/>
    <col min="16148" max="16148" width="15.85546875" style="2049" customWidth="1"/>
    <col min="16149" max="16384" width="9.140625" style="2049"/>
  </cols>
  <sheetData>
    <row r="1" spans="1:20">
      <c r="Q1" s="2295" t="s">
        <v>894</v>
      </c>
    </row>
    <row r="2" spans="1:20" ht="21.75" customHeight="1">
      <c r="A2" s="5141" t="s">
        <v>1682</v>
      </c>
      <c r="B2" s="5141"/>
      <c r="C2" s="5141"/>
      <c r="D2" s="5141"/>
      <c r="E2" s="5141"/>
      <c r="F2" s="5141"/>
      <c r="G2" s="5141"/>
      <c r="H2" s="5141"/>
      <c r="I2" s="5141"/>
      <c r="J2" s="5141"/>
      <c r="K2" s="5141"/>
      <c r="L2" s="5141"/>
      <c r="M2" s="5141"/>
      <c r="N2" s="5141"/>
      <c r="O2" s="5141"/>
      <c r="P2" s="5141"/>
      <c r="Q2" s="5141"/>
      <c r="R2" s="5141"/>
      <c r="S2" s="5141"/>
      <c r="T2" s="5141"/>
    </row>
    <row r="3" spans="1:20" ht="22.5" customHeight="1" thickBot="1">
      <c r="A3" s="5142" t="s">
        <v>1016</v>
      </c>
      <c r="B3" s="5142"/>
      <c r="C3" s="5142"/>
      <c r="D3" s="5142"/>
      <c r="E3" s="5142"/>
      <c r="F3" s="5142"/>
      <c r="G3" s="5142"/>
      <c r="H3" s="5142"/>
      <c r="I3" s="5142"/>
      <c r="J3" s="5142"/>
      <c r="K3" s="5142"/>
      <c r="L3" s="5142"/>
      <c r="M3" s="5142"/>
      <c r="N3" s="5142"/>
      <c r="O3" s="5142"/>
      <c r="P3" s="5142"/>
      <c r="Q3" s="5142"/>
      <c r="R3" s="5142"/>
      <c r="S3" s="5142"/>
      <c r="T3" s="5142"/>
    </row>
    <row r="4" spans="1:20" ht="15.75" customHeight="1" thickBot="1">
      <c r="A4" s="5143"/>
      <c r="B4" s="5144"/>
      <c r="C4" s="5147" t="s">
        <v>1017</v>
      </c>
      <c r="D4" s="5148"/>
      <c r="E4" s="5147" t="s">
        <v>1018</v>
      </c>
      <c r="F4" s="5148"/>
      <c r="G4" s="5147" t="s">
        <v>1019</v>
      </c>
      <c r="H4" s="5148"/>
      <c r="I4" s="5147" t="s">
        <v>1020</v>
      </c>
      <c r="J4" s="5148"/>
      <c r="K4" s="5147" t="s">
        <v>1021</v>
      </c>
      <c r="L4" s="5148"/>
      <c r="M4" s="5147" t="s">
        <v>1022</v>
      </c>
      <c r="N4" s="5148"/>
      <c r="O4" s="5147" t="s">
        <v>1023</v>
      </c>
      <c r="P4" s="5148"/>
      <c r="Q4" s="5147" t="s">
        <v>1024</v>
      </c>
      <c r="R4" s="5148"/>
      <c r="S4" s="5147" t="s">
        <v>1025</v>
      </c>
      <c r="T4" s="5148"/>
    </row>
    <row r="5" spans="1:20" ht="15.75" thickBot="1">
      <c r="A5" s="5145"/>
      <c r="B5" s="5146"/>
      <c r="C5" s="2074" t="s">
        <v>44</v>
      </c>
      <c r="D5" s="2075" t="s">
        <v>1026</v>
      </c>
      <c r="E5" s="2076" t="s">
        <v>44</v>
      </c>
      <c r="F5" s="2075" t="s">
        <v>1026</v>
      </c>
      <c r="G5" s="2074" t="s">
        <v>44</v>
      </c>
      <c r="H5" s="2075" t="s">
        <v>1026</v>
      </c>
      <c r="I5" s="2074" t="s">
        <v>44</v>
      </c>
      <c r="J5" s="2075" t="s">
        <v>1026</v>
      </c>
      <c r="K5" s="2074" t="s">
        <v>44</v>
      </c>
      <c r="L5" s="2075" t="s">
        <v>1026</v>
      </c>
      <c r="M5" s="2074" t="s">
        <v>44</v>
      </c>
      <c r="N5" s="2075" t="s">
        <v>1026</v>
      </c>
      <c r="O5" s="2076" t="s">
        <v>44</v>
      </c>
      <c r="P5" s="2075" t="s">
        <v>1026</v>
      </c>
      <c r="Q5" s="2074" t="s">
        <v>44</v>
      </c>
      <c r="R5" s="2075" t="s">
        <v>1026</v>
      </c>
      <c r="S5" s="2076" t="s">
        <v>44</v>
      </c>
      <c r="T5" s="2075" t="s">
        <v>1026</v>
      </c>
    </row>
    <row r="6" spans="1:20">
      <c r="A6" s="5149" t="s">
        <v>1027</v>
      </c>
      <c r="B6" s="5150"/>
      <c r="C6" s="2077"/>
      <c r="D6" s="2078">
        <v>8870</v>
      </c>
      <c r="E6" s="2079"/>
      <c r="F6" s="2080">
        <f>D6</f>
        <v>8870</v>
      </c>
      <c r="G6" s="2081"/>
      <c r="H6" s="2080">
        <f>F6</f>
        <v>8870</v>
      </c>
      <c r="I6" s="2079"/>
      <c r="J6" s="2080">
        <f>H6</f>
        <v>8870</v>
      </c>
      <c r="K6" s="2079"/>
      <c r="L6" s="2080">
        <f>J6</f>
        <v>8870</v>
      </c>
      <c r="M6" s="2079"/>
      <c r="N6" s="2080">
        <f>L6</f>
        <v>8870</v>
      </c>
      <c r="O6" s="2079"/>
      <c r="P6" s="2080">
        <f>N6</f>
        <v>8870</v>
      </c>
      <c r="Q6" s="2079"/>
      <c r="R6" s="2080">
        <f>P6</f>
        <v>8870</v>
      </c>
      <c r="S6" s="2077"/>
      <c r="T6" s="2080">
        <f>R6</f>
        <v>8870</v>
      </c>
    </row>
    <row r="7" spans="1:20">
      <c r="A7" s="5151" t="s">
        <v>1683</v>
      </c>
      <c r="B7" s="5152"/>
      <c r="C7" s="2077"/>
      <c r="D7" s="2078">
        <v>107.4</v>
      </c>
      <c r="E7" s="2079"/>
      <c r="F7" s="2078">
        <v>107.4</v>
      </c>
      <c r="G7" s="2081"/>
      <c r="H7" s="2078">
        <v>107.4</v>
      </c>
      <c r="I7" s="2079"/>
      <c r="J7" s="2078">
        <v>107.4</v>
      </c>
      <c r="K7" s="2079"/>
      <c r="L7" s="2078">
        <v>107.4</v>
      </c>
      <c r="M7" s="2079"/>
      <c r="N7" s="2078">
        <v>107.4</v>
      </c>
      <c r="O7" s="2079"/>
      <c r="P7" s="2078">
        <v>107.4</v>
      </c>
      <c r="Q7" s="2079"/>
      <c r="R7" s="2078">
        <v>107.4</v>
      </c>
      <c r="S7" s="2077"/>
      <c r="T7" s="2080">
        <v>107.4</v>
      </c>
    </row>
    <row r="8" spans="1:20">
      <c r="A8" s="5139" t="s">
        <v>1028</v>
      </c>
      <c r="B8" s="5140"/>
      <c r="C8" s="2082"/>
      <c r="D8" s="2083">
        <v>1</v>
      </c>
      <c r="E8" s="2084"/>
      <c r="F8" s="2085">
        <f>B21</f>
        <v>1.1299999999999999</v>
      </c>
      <c r="G8" s="2086"/>
      <c r="H8" s="2085">
        <f>B22</f>
        <v>1.28</v>
      </c>
      <c r="I8" s="2084"/>
      <c r="J8" s="2085">
        <v>1.44</v>
      </c>
      <c r="K8" s="2084"/>
      <c r="L8" s="2085">
        <v>1.63</v>
      </c>
      <c r="M8" s="2084"/>
      <c r="N8" s="2085">
        <f>1.84</f>
        <v>1.84</v>
      </c>
      <c r="O8" s="2084"/>
      <c r="P8" s="2085">
        <v>2.08</v>
      </c>
      <c r="Q8" s="2084"/>
      <c r="R8" s="2085">
        <v>2.35</v>
      </c>
      <c r="S8" s="2082"/>
      <c r="T8" s="2085">
        <v>2.66</v>
      </c>
    </row>
    <row r="9" spans="1:20">
      <c r="A9" s="5139" t="s">
        <v>1029</v>
      </c>
      <c r="B9" s="5140"/>
      <c r="C9" s="2087"/>
      <c r="D9" s="2088">
        <f>D6*D7*D8/100</f>
        <v>9526.3799999999992</v>
      </c>
      <c r="E9" s="2087"/>
      <c r="F9" s="2088">
        <f>F6*F7*F8/100</f>
        <v>10764.8094</v>
      </c>
      <c r="G9" s="2082"/>
      <c r="H9" s="2088">
        <f>H6*H7*H8/100</f>
        <v>12193.7664</v>
      </c>
      <c r="I9" s="2087"/>
      <c r="J9" s="2088">
        <f>J6*J7*J8/100</f>
        <v>13717.9872</v>
      </c>
      <c r="K9" s="2087"/>
      <c r="L9" s="2088">
        <f>L6*L7*L8/100</f>
        <v>15527.999399999999</v>
      </c>
      <c r="M9" s="2087"/>
      <c r="N9" s="2088">
        <f>N6*N7*N8/100</f>
        <v>17528.539200000003</v>
      </c>
      <c r="O9" s="2087"/>
      <c r="P9" s="2088">
        <f>P6*P7*P8/100</f>
        <v>19814.8704</v>
      </c>
      <c r="Q9" s="2087"/>
      <c r="R9" s="2088">
        <f>R6*R7*R8/100</f>
        <v>22386.993000000002</v>
      </c>
      <c r="S9" s="2087"/>
      <c r="T9" s="2089">
        <f>T6*T7*T8/100</f>
        <v>25340.1708</v>
      </c>
    </row>
    <row r="10" spans="1:20" ht="60.75" customHeight="1">
      <c r="A10" s="5156" t="s">
        <v>1030</v>
      </c>
      <c r="B10" s="5157"/>
      <c r="C10" s="2090">
        <v>0.125</v>
      </c>
      <c r="D10" s="2091">
        <f>D9*C10</f>
        <v>1190.7974999999999</v>
      </c>
      <c r="E10" s="2090">
        <v>0.125</v>
      </c>
      <c r="F10" s="2091">
        <f>F9*E10</f>
        <v>1345.601175</v>
      </c>
      <c r="G10" s="2090">
        <v>0.125</v>
      </c>
      <c r="H10" s="2091">
        <f>H9*G10</f>
        <v>1524.2208000000001</v>
      </c>
      <c r="I10" s="2090">
        <v>0.125</v>
      </c>
      <c r="J10" s="2091">
        <f>J9*I10</f>
        <v>1714.7483999999999</v>
      </c>
      <c r="K10" s="2090">
        <v>0.125</v>
      </c>
      <c r="L10" s="2091">
        <f>L9*K10</f>
        <v>1940.9999249999998</v>
      </c>
      <c r="M10" s="2090">
        <v>0.125</v>
      </c>
      <c r="N10" s="2091">
        <f>N9*M10</f>
        <v>2191.0674000000004</v>
      </c>
      <c r="O10" s="2090">
        <v>0.125</v>
      </c>
      <c r="P10" s="2091">
        <f>P9*O10</f>
        <v>2476.8588</v>
      </c>
      <c r="Q10" s="2090">
        <v>0.125</v>
      </c>
      <c r="R10" s="2091">
        <f>R9*Q10</f>
        <v>2798.3741250000003</v>
      </c>
      <c r="S10" s="2090">
        <v>0.125</v>
      </c>
      <c r="T10" s="2091">
        <f>T9*S10</f>
        <v>3167.52135</v>
      </c>
    </row>
    <row r="11" spans="1:20">
      <c r="A11" s="5158" t="s">
        <v>1031</v>
      </c>
      <c r="B11" s="5159"/>
      <c r="C11" s="2092">
        <v>0.1</v>
      </c>
      <c r="D11" s="2089">
        <f>D9*C11</f>
        <v>952.63799999999992</v>
      </c>
      <c r="E11" s="2092">
        <v>0.1</v>
      </c>
      <c r="F11" s="2089">
        <f>F9*E11</f>
        <v>1076.4809400000001</v>
      </c>
      <c r="G11" s="2092">
        <v>0.1</v>
      </c>
      <c r="H11" s="2089">
        <f>H9*G11</f>
        <v>1219.3766400000002</v>
      </c>
      <c r="I11" s="2092">
        <v>0.1</v>
      </c>
      <c r="J11" s="2089">
        <f>J9*I11</f>
        <v>1371.79872</v>
      </c>
      <c r="K11" s="2092">
        <v>0.1</v>
      </c>
      <c r="L11" s="2089">
        <f>L9*K11</f>
        <v>1552.7999399999999</v>
      </c>
      <c r="M11" s="2092">
        <v>0.1</v>
      </c>
      <c r="N11" s="2089">
        <f>N9*M11</f>
        <v>1752.8539200000005</v>
      </c>
      <c r="O11" s="2092">
        <v>0.1</v>
      </c>
      <c r="P11" s="2089">
        <f>P9*O11</f>
        <v>1981.48704</v>
      </c>
      <c r="Q11" s="2092">
        <v>0.1</v>
      </c>
      <c r="R11" s="2089">
        <f>R9*Q11</f>
        <v>2238.6993000000002</v>
      </c>
      <c r="S11" s="2092">
        <v>0.1</v>
      </c>
      <c r="T11" s="2089">
        <f>T9*S11</f>
        <v>2534.0170800000001</v>
      </c>
    </row>
    <row r="12" spans="1:20">
      <c r="A12" s="5158" t="s">
        <v>1032</v>
      </c>
      <c r="B12" s="5159"/>
      <c r="C12" s="2092">
        <v>0</v>
      </c>
      <c r="D12" s="2089">
        <f>D9*C12</f>
        <v>0</v>
      </c>
      <c r="E12" s="2092">
        <v>0</v>
      </c>
      <c r="F12" s="2089">
        <f>F9*E12</f>
        <v>0</v>
      </c>
      <c r="G12" s="2092">
        <v>0</v>
      </c>
      <c r="H12" s="2089">
        <f>H9*G12</f>
        <v>0</v>
      </c>
      <c r="I12" s="2092">
        <v>0</v>
      </c>
      <c r="J12" s="2089">
        <f>J9*I12</f>
        <v>0</v>
      </c>
      <c r="K12" s="2092">
        <v>0</v>
      </c>
      <c r="L12" s="2089">
        <f>L9*K12</f>
        <v>0</v>
      </c>
      <c r="M12" s="2092">
        <v>0</v>
      </c>
      <c r="N12" s="2089">
        <f>N9*M12</f>
        <v>0</v>
      </c>
      <c r="O12" s="2092">
        <v>0</v>
      </c>
      <c r="P12" s="2089">
        <f>P9*O12</f>
        <v>0</v>
      </c>
      <c r="Q12" s="2092">
        <v>0</v>
      </c>
      <c r="R12" s="2089">
        <f>R9*Q12</f>
        <v>0</v>
      </c>
      <c r="S12" s="2092">
        <v>0</v>
      </c>
      <c r="T12" s="2089">
        <f>T9*S12</f>
        <v>0</v>
      </c>
    </row>
    <row r="13" spans="1:20">
      <c r="A13" s="5158" t="s">
        <v>1033</v>
      </c>
      <c r="B13" s="5159"/>
      <c r="C13" s="2092">
        <v>0.15</v>
      </c>
      <c r="D13" s="2089">
        <f>D9*C13</f>
        <v>1428.9569999999999</v>
      </c>
      <c r="E13" s="2092">
        <v>0.15</v>
      </c>
      <c r="F13" s="2089">
        <f>F9*E13</f>
        <v>1614.7214099999999</v>
      </c>
      <c r="G13" s="2092">
        <v>0.15</v>
      </c>
      <c r="H13" s="2089">
        <f>H9*G13</f>
        <v>1829.0649599999999</v>
      </c>
      <c r="I13" s="2092">
        <v>0.15</v>
      </c>
      <c r="J13" s="2089">
        <f>J9*I13</f>
        <v>2057.6980799999997</v>
      </c>
      <c r="K13" s="2092">
        <v>0.15</v>
      </c>
      <c r="L13" s="2089">
        <f>L9*K13</f>
        <v>2329.1999099999998</v>
      </c>
      <c r="M13" s="2092">
        <v>0.15</v>
      </c>
      <c r="N13" s="2089">
        <f>N9*M13</f>
        <v>2629.2808800000003</v>
      </c>
      <c r="O13" s="2092">
        <v>0.15</v>
      </c>
      <c r="P13" s="2089">
        <f>P9*O13</f>
        <v>2972.23056</v>
      </c>
      <c r="Q13" s="2092">
        <v>0.15</v>
      </c>
      <c r="R13" s="2089">
        <f>R9*Q13</f>
        <v>3358.0489500000003</v>
      </c>
      <c r="S13" s="2092">
        <v>0.15</v>
      </c>
      <c r="T13" s="2089">
        <f>T9*S13</f>
        <v>3801.0256199999999</v>
      </c>
    </row>
    <row r="14" spans="1:20">
      <c r="A14" s="5139" t="s">
        <v>1034</v>
      </c>
      <c r="B14" s="5140"/>
      <c r="C14" s="2092">
        <v>0.2</v>
      </c>
      <c r="D14" s="2089">
        <f>(D9+D10+D11+D12+D13)*0.2</f>
        <v>2619.7545000000005</v>
      </c>
      <c r="E14" s="2092">
        <v>0.2</v>
      </c>
      <c r="F14" s="2089">
        <f>(F9+F10+F11+F12+F13)*0.2</f>
        <v>2960.3225849999999</v>
      </c>
      <c r="G14" s="2092">
        <v>0.2</v>
      </c>
      <c r="H14" s="2089">
        <f>(H9+H10+H11+H12+H13)*0.2</f>
        <v>3353.2857600000007</v>
      </c>
      <c r="I14" s="2092">
        <v>0.2</v>
      </c>
      <c r="J14" s="2089">
        <f>(J9+J10+J11+J12+J13)*0.2</f>
        <v>3772.4464799999996</v>
      </c>
      <c r="K14" s="2092">
        <v>0.2</v>
      </c>
      <c r="L14" s="2089">
        <f>(L9+L10+L11+L12+L13)*0.2</f>
        <v>4270.1998349999994</v>
      </c>
      <c r="M14" s="2092">
        <v>0.2</v>
      </c>
      <c r="N14" s="2089">
        <f>(N9+N10+N11+N12+N13)*0.2</f>
        <v>4820.3482800000011</v>
      </c>
      <c r="O14" s="2092">
        <v>0.2</v>
      </c>
      <c r="P14" s="2089">
        <f>(P9+P10+P11+P12+P13)*0.2</f>
        <v>5449.0893600000009</v>
      </c>
      <c r="Q14" s="2092">
        <v>0.2</v>
      </c>
      <c r="R14" s="2089">
        <f>(R9+R10+R11+R12+R13)*0.2</f>
        <v>6156.4230750000015</v>
      </c>
      <c r="S14" s="2092">
        <v>0.2</v>
      </c>
      <c r="T14" s="2089">
        <f>(T9+T10+T11+T12+T13)*0.2</f>
        <v>6968.5469700000003</v>
      </c>
    </row>
    <row r="15" spans="1:20" ht="15.75" thickBot="1">
      <c r="A15" s="5160" t="s">
        <v>1035</v>
      </c>
      <c r="B15" s="5161"/>
      <c r="C15" s="2093">
        <v>0.5</v>
      </c>
      <c r="D15" s="2091">
        <f>(D9+D10+D11+D12+D13)*0.5</f>
        <v>6549.3862500000005</v>
      </c>
      <c r="E15" s="2093">
        <v>0.5</v>
      </c>
      <c r="F15" s="2091">
        <f>(F9+F10+F11+F12+F13)*0.5</f>
        <v>7400.8064624999997</v>
      </c>
      <c r="G15" s="2093">
        <v>0.5</v>
      </c>
      <c r="H15" s="2091">
        <f>(H9+H10+H11+H12+H13)*0.5</f>
        <v>8383.2144000000008</v>
      </c>
      <c r="I15" s="2093">
        <v>0.5</v>
      </c>
      <c r="J15" s="2091">
        <f>(J9+J10+J11+J12+J13)*0.5</f>
        <v>9431.1161999999986</v>
      </c>
      <c r="K15" s="2093">
        <v>0.5</v>
      </c>
      <c r="L15" s="2091">
        <f>(L9+L10+L11+L12+L13)*0.5</f>
        <v>10675.499587499999</v>
      </c>
      <c r="M15" s="2093">
        <v>0.5</v>
      </c>
      <c r="N15" s="2091">
        <f>(N9+N10+N11+N12+N13)*0.5</f>
        <v>12050.870700000003</v>
      </c>
      <c r="O15" s="2093">
        <v>0.5</v>
      </c>
      <c r="P15" s="2091">
        <f>(P9+P10+P11+P12+P13)*0.5</f>
        <v>13622.723400000001</v>
      </c>
      <c r="Q15" s="2093">
        <v>0.5</v>
      </c>
      <c r="R15" s="2091">
        <f>(R9+R10+R11+R12+R13)*0.5</f>
        <v>15391.057687500002</v>
      </c>
      <c r="S15" s="2093">
        <v>0.5</v>
      </c>
      <c r="T15" s="2091">
        <f>(T9+T10+T11+T12+T13)*0.5</f>
        <v>17421.367425</v>
      </c>
    </row>
    <row r="16" spans="1:20" ht="28.5" customHeight="1" thickBot="1">
      <c r="A16" s="5153" t="s">
        <v>1036</v>
      </c>
      <c r="B16" s="5154"/>
      <c r="C16" s="2094"/>
      <c r="D16" s="2095">
        <f>D9+D10+D11+D12+D13+D14+D15</f>
        <v>22267.913250000001</v>
      </c>
      <c r="E16" s="2094"/>
      <c r="F16" s="2095">
        <f>F9+F10+F11+F12+F13+F14+F15</f>
        <v>25162.7419725</v>
      </c>
      <c r="G16" s="2094"/>
      <c r="H16" s="2095">
        <f>H9+H10+H11+H12+H13+H14+H15</f>
        <v>28502.928960000001</v>
      </c>
      <c r="I16" s="2094"/>
      <c r="J16" s="2095">
        <f>J9+J10+J11+J12+J13+J14+J15</f>
        <v>32065.795079999996</v>
      </c>
      <c r="K16" s="2094"/>
      <c r="L16" s="2095">
        <f>L9+L10+L11+L12+L13+L14+L15</f>
        <v>36296.698597499999</v>
      </c>
      <c r="M16" s="2094"/>
      <c r="N16" s="2095">
        <f>N9+N10+N11+N12+N13+N14+N15</f>
        <v>40972.960380000011</v>
      </c>
      <c r="O16" s="2094"/>
      <c r="P16" s="2095">
        <f>P9+P10+P11+P12+P13+P14+P15</f>
        <v>46317.259560000006</v>
      </c>
      <c r="Q16" s="2094"/>
      <c r="R16" s="2095">
        <f>R9+R10+R11+R12+R13+R14+R15</f>
        <v>52329.596137500012</v>
      </c>
      <c r="S16" s="2094"/>
      <c r="T16" s="2095">
        <f>T9+T10+T11+T12+T13+T14+T15</f>
        <v>59232.649245000008</v>
      </c>
    </row>
    <row r="18" spans="1:8" ht="15.75">
      <c r="A18" s="5155" t="s">
        <v>1037</v>
      </c>
      <c r="B18" s="5155"/>
      <c r="C18" s="2096"/>
      <c r="D18" s="2096"/>
      <c r="E18" s="2096"/>
      <c r="F18" s="2096"/>
      <c r="G18" s="2096"/>
      <c r="H18" s="2096"/>
    </row>
    <row r="19" spans="1:8">
      <c r="A19" s="2097" t="s">
        <v>1038</v>
      </c>
      <c r="B19" s="2097" t="s">
        <v>1039</v>
      </c>
      <c r="C19" s="2096"/>
      <c r="D19" s="2096"/>
      <c r="E19" s="2096"/>
      <c r="F19" s="2096"/>
      <c r="G19" s="2096"/>
      <c r="H19" s="2096"/>
    </row>
    <row r="20" spans="1:8">
      <c r="A20" s="2097">
        <v>1</v>
      </c>
      <c r="B20" s="2097">
        <v>1</v>
      </c>
      <c r="C20" s="2096"/>
      <c r="D20" s="2096"/>
      <c r="E20" s="2096"/>
      <c r="F20" s="2096"/>
      <c r="G20" s="2096"/>
      <c r="H20" s="2096"/>
    </row>
    <row r="21" spans="1:8">
      <c r="A21" s="2097">
        <v>2</v>
      </c>
      <c r="B21" s="2097">
        <v>1.1299999999999999</v>
      </c>
      <c r="C21" s="2096"/>
      <c r="D21" s="2096"/>
      <c r="E21" s="2096"/>
      <c r="F21" s="2096"/>
      <c r="G21" s="2096"/>
      <c r="H21" s="2096"/>
    </row>
    <row r="22" spans="1:8">
      <c r="A22" s="2097">
        <v>3</v>
      </c>
      <c r="B22" s="2097">
        <v>1.28</v>
      </c>
      <c r="C22" s="2096"/>
      <c r="D22" s="2096"/>
      <c r="E22" s="2096"/>
      <c r="F22" s="2096"/>
      <c r="G22" s="2096"/>
      <c r="H22" s="2096"/>
    </row>
    <row r="23" spans="1:8">
      <c r="A23" s="2097">
        <v>4</v>
      </c>
      <c r="B23" s="2097">
        <v>1.44</v>
      </c>
      <c r="C23" s="2096"/>
      <c r="D23" s="2096"/>
      <c r="E23" s="2096"/>
      <c r="F23" s="2096"/>
      <c r="G23" s="2096"/>
      <c r="H23" s="2096"/>
    </row>
    <row r="24" spans="1:8">
      <c r="A24" s="2097">
        <v>5</v>
      </c>
      <c r="B24" s="2097">
        <v>1.63</v>
      </c>
      <c r="C24" s="2096"/>
      <c r="D24" s="2096"/>
      <c r="E24" s="2096"/>
      <c r="F24" s="2096"/>
      <c r="G24" s="2096"/>
      <c r="H24" s="2096"/>
    </row>
    <row r="25" spans="1:8">
      <c r="A25" s="2097">
        <v>6</v>
      </c>
      <c r="B25" s="2098">
        <v>1.84</v>
      </c>
      <c r="C25" s="2096"/>
      <c r="D25" s="2096"/>
      <c r="E25" s="2096"/>
      <c r="F25" s="2096"/>
      <c r="G25" s="2096"/>
      <c r="H25" s="2096"/>
    </row>
    <row r="26" spans="1:8">
      <c r="A26" s="2097">
        <v>7</v>
      </c>
      <c r="B26" s="2098">
        <v>2.08</v>
      </c>
      <c r="C26" s="2096"/>
      <c r="D26" s="2096"/>
      <c r="E26" s="2096"/>
      <c r="F26" s="2096"/>
      <c r="G26" s="2096"/>
      <c r="H26" s="2096"/>
    </row>
    <row r="27" spans="1:8">
      <c r="A27" s="2097">
        <v>8</v>
      </c>
      <c r="B27" s="2098">
        <v>2.35</v>
      </c>
      <c r="C27" s="2096"/>
      <c r="D27" s="2096"/>
      <c r="E27" s="2096"/>
      <c r="F27" s="2096"/>
      <c r="G27" s="2096"/>
      <c r="H27" s="2096"/>
    </row>
    <row r="28" spans="1:8">
      <c r="A28" s="2097">
        <v>9</v>
      </c>
      <c r="B28" s="2098">
        <v>2.66</v>
      </c>
      <c r="C28" s="2096"/>
      <c r="D28" s="2096"/>
      <c r="E28" s="2096"/>
      <c r="F28" s="2096"/>
      <c r="G28" s="2096"/>
      <c r="H28" s="2096"/>
    </row>
    <row r="29" spans="1:8">
      <c r="A29" s="2097">
        <v>10</v>
      </c>
      <c r="B29" s="2098">
        <v>2.78</v>
      </c>
      <c r="C29" s="2096"/>
      <c r="D29" s="2096"/>
      <c r="E29" s="2096"/>
      <c r="F29" s="2096"/>
      <c r="G29" s="2096"/>
      <c r="H29" s="2096"/>
    </row>
    <row r="30" spans="1:8">
      <c r="A30" s="2097">
        <v>11</v>
      </c>
      <c r="B30" s="2098">
        <v>3.11</v>
      </c>
      <c r="C30" s="2096"/>
      <c r="D30" s="2096"/>
      <c r="E30" s="2096"/>
      <c r="F30" s="2096"/>
      <c r="G30" s="2096"/>
      <c r="H30" s="2096"/>
    </row>
    <row r="31" spans="1:8">
      <c r="A31" s="2097">
        <v>12</v>
      </c>
      <c r="B31" s="2098">
        <v>3.48</v>
      </c>
      <c r="C31" s="2096"/>
      <c r="D31" s="2096"/>
      <c r="E31" s="2096"/>
      <c r="F31" s="2096"/>
      <c r="G31" s="2096"/>
      <c r="H31" s="2096"/>
    </row>
    <row r="32" spans="1:8">
      <c r="A32" s="2097">
        <v>13</v>
      </c>
      <c r="B32" s="2098">
        <v>3.9</v>
      </c>
      <c r="C32" s="2096"/>
      <c r="D32" s="2096"/>
      <c r="E32" s="2096"/>
      <c r="F32" s="2096"/>
      <c r="G32" s="2096"/>
      <c r="H32" s="2096"/>
    </row>
    <row r="33" spans="1:20">
      <c r="A33" s="2097">
        <v>14</v>
      </c>
      <c r="B33" s="2098">
        <v>4.37</v>
      </c>
      <c r="C33" s="2096"/>
      <c r="D33" s="2096"/>
      <c r="E33" s="2096"/>
      <c r="F33" s="2096"/>
      <c r="G33" s="2096"/>
      <c r="H33" s="2096"/>
    </row>
    <row r="34" spans="1:20">
      <c r="A34" s="2097">
        <v>15</v>
      </c>
      <c r="B34" s="2098">
        <v>4.8899999999999997</v>
      </c>
      <c r="C34" s="2096"/>
      <c r="D34" s="2096"/>
      <c r="E34" s="2096"/>
      <c r="F34" s="2096"/>
      <c r="G34" s="2096"/>
      <c r="H34" s="2096"/>
    </row>
    <row r="35" spans="1:20">
      <c r="A35" s="2097">
        <v>16</v>
      </c>
      <c r="B35" s="2098">
        <v>5.47</v>
      </c>
      <c r="C35" s="2096"/>
      <c r="D35" s="2096"/>
      <c r="E35" s="2096"/>
      <c r="F35" s="2096"/>
      <c r="G35" s="2096"/>
      <c r="H35" s="2096"/>
    </row>
    <row r="36" spans="1:20">
      <c r="A36" s="2096"/>
      <c r="B36" s="2096"/>
      <c r="C36" s="2096"/>
      <c r="D36" s="2096"/>
      <c r="E36" s="2096"/>
      <c r="F36" s="2096"/>
      <c r="G36" s="2096"/>
      <c r="H36" s="2096"/>
    </row>
    <row r="37" spans="1:20">
      <c r="A37" s="2096"/>
      <c r="B37" s="2096"/>
      <c r="C37" s="2096"/>
      <c r="D37" s="2096"/>
      <c r="E37" s="2096"/>
      <c r="F37" s="2096"/>
      <c r="G37" s="2096"/>
      <c r="H37" s="2096"/>
    </row>
    <row r="38" spans="1:20">
      <c r="Q38" s="2295" t="s">
        <v>894</v>
      </c>
    </row>
    <row r="39" spans="1:20" ht="15.75">
      <c r="A39" s="5141" t="s">
        <v>1682</v>
      </c>
      <c r="B39" s="5141"/>
      <c r="C39" s="5141"/>
      <c r="D39" s="5141"/>
      <c r="E39" s="5141"/>
      <c r="F39" s="5141"/>
      <c r="G39" s="5141"/>
      <c r="H39" s="5141"/>
      <c r="I39" s="5141"/>
      <c r="J39" s="5141"/>
      <c r="K39" s="5141"/>
      <c r="L39" s="5141"/>
      <c r="M39" s="5141"/>
      <c r="N39" s="5141"/>
      <c r="O39" s="5141"/>
      <c r="P39" s="5141"/>
      <c r="Q39" s="5141"/>
      <c r="R39" s="5141"/>
      <c r="S39" s="5141"/>
      <c r="T39" s="5141"/>
    </row>
    <row r="40" spans="1:20" ht="19.5" thickBot="1">
      <c r="A40" s="5142" t="s">
        <v>1016</v>
      </c>
      <c r="B40" s="5142"/>
      <c r="C40" s="5142"/>
      <c r="D40" s="5142"/>
      <c r="E40" s="5142"/>
      <c r="F40" s="5142"/>
      <c r="G40" s="5142"/>
      <c r="H40" s="5142"/>
      <c r="I40" s="5142"/>
      <c r="J40" s="5142"/>
      <c r="K40" s="5142"/>
      <c r="L40" s="5142"/>
      <c r="M40" s="5142"/>
      <c r="N40" s="5142"/>
      <c r="O40" s="5142"/>
      <c r="P40" s="5142"/>
      <c r="Q40" s="5142"/>
      <c r="R40" s="5142"/>
      <c r="S40" s="5142"/>
      <c r="T40" s="5142"/>
    </row>
    <row r="41" spans="1:20" ht="15.75" thickBot="1">
      <c r="A41" s="5143"/>
      <c r="B41" s="5144"/>
      <c r="C41" s="5147" t="s">
        <v>1017</v>
      </c>
      <c r="D41" s="5148"/>
      <c r="E41" s="5147" t="s">
        <v>1018</v>
      </c>
      <c r="F41" s="5148"/>
      <c r="G41" s="5147" t="s">
        <v>1019</v>
      </c>
      <c r="H41" s="5148"/>
      <c r="I41" s="5147" t="s">
        <v>1020</v>
      </c>
      <c r="J41" s="5148"/>
      <c r="K41" s="5147" t="s">
        <v>1021</v>
      </c>
      <c r="L41" s="5148"/>
      <c r="M41" s="5147" t="s">
        <v>1022</v>
      </c>
      <c r="N41" s="5148"/>
      <c r="O41" s="5147" t="s">
        <v>1023</v>
      </c>
      <c r="P41" s="5148"/>
      <c r="Q41" s="5147" t="s">
        <v>1024</v>
      </c>
      <c r="R41" s="5148"/>
      <c r="S41" s="5147" t="s">
        <v>1025</v>
      </c>
      <c r="T41" s="5148"/>
    </row>
    <row r="42" spans="1:20" ht="15.75" thickBot="1">
      <c r="A42" s="5145"/>
      <c r="B42" s="5146"/>
      <c r="C42" s="2074" t="s">
        <v>44</v>
      </c>
      <c r="D42" s="2075" t="s">
        <v>1026</v>
      </c>
      <c r="E42" s="2076" t="s">
        <v>44</v>
      </c>
      <c r="F42" s="2075" t="s">
        <v>1026</v>
      </c>
      <c r="G42" s="2074" t="s">
        <v>44</v>
      </c>
      <c r="H42" s="2075" t="s">
        <v>1026</v>
      </c>
      <c r="I42" s="2074" t="s">
        <v>44</v>
      </c>
      <c r="J42" s="2075" t="s">
        <v>1026</v>
      </c>
      <c r="K42" s="2074" t="s">
        <v>44</v>
      </c>
      <c r="L42" s="2075" t="s">
        <v>1026</v>
      </c>
      <c r="M42" s="2074" t="s">
        <v>44</v>
      </c>
      <c r="N42" s="2075" t="s">
        <v>1026</v>
      </c>
      <c r="O42" s="2076" t="s">
        <v>44</v>
      </c>
      <c r="P42" s="2075" t="s">
        <v>1026</v>
      </c>
      <c r="Q42" s="2074" t="s">
        <v>44</v>
      </c>
      <c r="R42" s="2075" t="s">
        <v>1026</v>
      </c>
      <c r="S42" s="2076" t="s">
        <v>44</v>
      </c>
      <c r="T42" s="2075" t="s">
        <v>1026</v>
      </c>
    </row>
    <row r="43" spans="1:20">
      <c r="A43" s="5149" t="s">
        <v>1027</v>
      </c>
      <c r="B43" s="5150"/>
      <c r="C43" s="2077"/>
      <c r="D43" s="2078">
        <f>SUM(D9)</f>
        <v>9526.3799999999992</v>
      </c>
      <c r="E43" s="2079"/>
      <c r="F43" s="2080">
        <f>D43</f>
        <v>9526.3799999999992</v>
      </c>
      <c r="G43" s="2081"/>
      <c r="H43" s="2080">
        <f>F43</f>
        <v>9526.3799999999992</v>
      </c>
      <c r="I43" s="2079"/>
      <c r="J43" s="2080">
        <f>H43</f>
        <v>9526.3799999999992</v>
      </c>
      <c r="K43" s="2079"/>
      <c r="L43" s="2080">
        <f>J43</f>
        <v>9526.3799999999992</v>
      </c>
      <c r="M43" s="2079"/>
      <c r="N43" s="2080">
        <f>L43</f>
        <v>9526.3799999999992</v>
      </c>
      <c r="O43" s="2079"/>
      <c r="P43" s="2080">
        <f>N43</f>
        <v>9526.3799999999992</v>
      </c>
      <c r="Q43" s="2079"/>
      <c r="R43" s="2080">
        <f>P43</f>
        <v>9526.3799999999992</v>
      </c>
      <c r="S43" s="2077"/>
      <c r="T43" s="2080">
        <f>R43</f>
        <v>9526.3799999999992</v>
      </c>
    </row>
    <row r="44" spans="1:20">
      <c r="A44" s="5151" t="s">
        <v>1683</v>
      </c>
      <c r="B44" s="5152"/>
      <c r="C44" s="2077"/>
      <c r="D44" s="2078">
        <v>110</v>
      </c>
      <c r="E44" s="2079"/>
      <c r="F44" s="2078">
        <v>110</v>
      </c>
      <c r="G44" s="2081"/>
      <c r="H44" s="2078">
        <v>110</v>
      </c>
      <c r="I44" s="2079"/>
      <c r="J44" s="2078">
        <v>110</v>
      </c>
      <c r="K44" s="2079"/>
      <c r="L44" s="2078">
        <v>110</v>
      </c>
      <c r="M44" s="2079"/>
      <c r="N44" s="2078">
        <v>110</v>
      </c>
      <c r="O44" s="2079"/>
      <c r="P44" s="2078">
        <v>110</v>
      </c>
      <c r="Q44" s="2079"/>
      <c r="R44" s="2078">
        <v>110</v>
      </c>
      <c r="S44" s="2077"/>
      <c r="T44" s="2080">
        <v>110</v>
      </c>
    </row>
    <row r="45" spans="1:20">
      <c r="A45" s="5139" t="s">
        <v>1028</v>
      </c>
      <c r="B45" s="5140"/>
      <c r="C45" s="2082"/>
      <c r="D45" s="2083">
        <v>1</v>
      </c>
      <c r="E45" s="2084"/>
      <c r="F45" s="2085">
        <f>B58</f>
        <v>1.1299999999999999</v>
      </c>
      <c r="G45" s="2086"/>
      <c r="H45" s="2085">
        <f>B59</f>
        <v>1.28</v>
      </c>
      <c r="I45" s="2084"/>
      <c r="J45" s="2085">
        <v>1.44</v>
      </c>
      <c r="K45" s="2084"/>
      <c r="L45" s="2085">
        <v>1.63</v>
      </c>
      <c r="M45" s="2084"/>
      <c r="N45" s="2085">
        <f>1.84</f>
        <v>1.84</v>
      </c>
      <c r="O45" s="2084"/>
      <c r="P45" s="2085">
        <v>2.08</v>
      </c>
      <c r="Q45" s="2084"/>
      <c r="R45" s="2085">
        <v>2.35</v>
      </c>
      <c r="S45" s="2082"/>
      <c r="T45" s="2085">
        <v>2.66</v>
      </c>
    </row>
    <row r="46" spans="1:20">
      <c r="A46" s="5139" t="s">
        <v>1029</v>
      </c>
      <c r="B46" s="5140"/>
      <c r="C46" s="2087"/>
      <c r="D46" s="2088">
        <f>D43*D44*D45/100</f>
        <v>10479.018</v>
      </c>
      <c r="E46" s="2087"/>
      <c r="F46" s="2088">
        <f>F43*F44*F45/100</f>
        <v>11841.290339999998</v>
      </c>
      <c r="G46" s="2082"/>
      <c r="H46" s="2088">
        <f>H43*H44*H45/100</f>
        <v>13413.143040000001</v>
      </c>
      <c r="I46" s="2087"/>
      <c r="J46" s="2088">
        <f>J43*J44*J45/100</f>
        <v>15089.78592</v>
      </c>
      <c r="K46" s="2087"/>
      <c r="L46" s="2088">
        <f>L43*L44*L45/100</f>
        <v>17080.799339999998</v>
      </c>
      <c r="M46" s="2087"/>
      <c r="N46" s="2088">
        <f>N43*N44*N45/100</f>
        <v>19281.393120000001</v>
      </c>
      <c r="O46" s="2087"/>
      <c r="P46" s="2088">
        <f>P43*P44*P45/100</f>
        <v>21796.35744</v>
      </c>
      <c r="Q46" s="2087"/>
      <c r="R46" s="2088">
        <f>R43*R44*R45/100</f>
        <v>24625.692299999999</v>
      </c>
      <c r="S46" s="2087"/>
      <c r="T46" s="2089">
        <f>T43*T44*T45/100</f>
        <v>27874.187880000001</v>
      </c>
    </row>
    <row r="47" spans="1:20">
      <c r="A47" s="5156" t="s">
        <v>1030</v>
      </c>
      <c r="B47" s="5157"/>
      <c r="C47" s="2090">
        <v>0.125</v>
      </c>
      <c r="D47" s="2091">
        <f>D46*C47</f>
        <v>1309.87725</v>
      </c>
      <c r="E47" s="2090">
        <v>0.125</v>
      </c>
      <c r="F47" s="2091">
        <f>F46*E47</f>
        <v>1480.1612924999997</v>
      </c>
      <c r="G47" s="2090">
        <v>0.125</v>
      </c>
      <c r="H47" s="2091">
        <f>H46*G47</f>
        <v>1676.6428800000001</v>
      </c>
      <c r="I47" s="2090">
        <v>0.125</v>
      </c>
      <c r="J47" s="2091">
        <f>J46*I47</f>
        <v>1886.22324</v>
      </c>
      <c r="K47" s="2090">
        <v>0.125</v>
      </c>
      <c r="L47" s="2091">
        <f>L46*K47</f>
        <v>2135.0999174999997</v>
      </c>
      <c r="M47" s="2090">
        <v>0.125</v>
      </c>
      <c r="N47" s="2091">
        <f>N46*M47</f>
        <v>2410.1741400000001</v>
      </c>
      <c r="O47" s="2090">
        <v>0.125</v>
      </c>
      <c r="P47" s="2091">
        <f>P46*O47</f>
        <v>2724.54468</v>
      </c>
      <c r="Q47" s="2090">
        <v>0.125</v>
      </c>
      <c r="R47" s="2091">
        <f>R46*Q47</f>
        <v>3078.2115374999998</v>
      </c>
      <c r="S47" s="2090">
        <v>0.125</v>
      </c>
      <c r="T47" s="2091">
        <f>T46*S47</f>
        <v>3484.2734850000002</v>
      </c>
    </row>
    <row r="48" spans="1:20">
      <c r="A48" s="5158" t="s">
        <v>1031</v>
      </c>
      <c r="B48" s="5159"/>
      <c r="C48" s="2092">
        <v>0.1</v>
      </c>
      <c r="D48" s="2089">
        <f>D46*C48</f>
        <v>1047.9018000000001</v>
      </c>
      <c r="E48" s="2092">
        <v>0.1</v>
      </c>
      <c r="F48" s="2089">
        <f>F46*E48</f>
        <v>1184.1290339999998</v>
      </c>
      <c r="G48" s="2092">
        <v>0.1</v>
      </c>
      <c r="H48" s="2089">
        <f>H46*G48</f>
        <v>1341.3143040000002</v>
      </c>
      <c r="I48" s="2092">
        <v>0.1</v>
      </c>
      <c r="J48" s="2089">
        <f>J46*I48</f>
        <v>1508.9785920000002</v>
      </c>
      <c r="K48" s="2092">
        <v>0.1</v>
      </c>
      <c r="L48" s="2089">
        <f>L46*K48</f>
        <v>1708.0799339999999</v>
      </c>
      <c r="M48" s="2092">
        <v>0.1</v>
      </c>
      <c r="N48" s="2089">
        <f>N46*M48</f>
        <v>1928.1393120000002</v>
      </c>
      <c r="O48" s="2092">
        <v>0.1</v>
      </c>
      <c r="P48" s="2089">
        <f>P46*O48</f>
        <v>2179.6357440000002</v>
      </c>
      <c r="Q48" s="2092">
        <v>0.1</v>
      </c>
      <c r="R48" s="2089">
        <f>R46*Q48</f>
        <v>2462.5692300000001</v>
      </c>
      <c r="S48" s="2092">
        <v>0.1</v>
      </c>
      <c r="T48" s="2089">
        <f>T46*S48</f>
        <v>2787.4187880000004</v>
      </c>
    </row>
    <row r="49" spans="1:20">
      <c r="A49" s="5158" t="s">
        <v>1032</v>
      </c>
      <c r="B49" s="5159"/>
      <c r="C49" s="2092">
        <v>0</v>
      </c>
      <c r="D49" s="2089">
        <f>D46*C49</f>
        <v>0</v>
      </c>
      <c r="E49" s="2092">
        <v>0</v>
      </c>
      <c r="F49" s="2089">
        <f>F46*E49</f>
        <v>0</v>
      </c>
      <c r="G49" s="2092">
        <v>0</v>
      </c>
      <c r="H49" s="2089">
        <f>H46*G49</f>
        <v>0</v>
      </c>
      <c r="I49" s="2092">
        <v>0</v>
      </c>
      <c r="J49" s="2089">
        <f>J46*I49</f>
        <v>0</v>
      </c>
      <c r="K49" s="2092">
        <v>0</v>
      </c>
      <c r="L49" s="2089">
        <f>L46*K49</f>
        <v>0</v>
      </c>
      <c r="M49" s="2092">
        <v>0</v>
      </c>
      <c r="N49" s="2089">
        <f>N46*M49</f>
        <v>0</v>
      </c>
      <c r="O49" s="2092">
        <v>0</v>
      </c>
      <c r="P49" s="2089">
        <f>P46*O49</f>
        <v>0</v>
      </c>
      <c r="Q49" s="2092">
        <v>0</v>
      </c>
      <c r="R49" s="2089">
        <f>R46*Q49</f>
        <v>0</v>
      </c>
      <c r="S49" s="2092">
        <v>0</v>
      </c>
      <c r="T49" s="2089">
        <f>T46*S49</f>
        <v>0</v>
      </c>
    </row>
    <row r="50" spans="1:20">
      <c r="A50" s="5158" t="s">
        <v>1033</v>
      </c>
      <c r="B50" s="5159"/>
      <c r="C50" s="2092">
        <v>0.15</v>
      </c>
      <c r="D50" s="2089">
        <f>D46*C50</f>
        <v>1571.8526999999999</v>
      </c>
      <c r="E50" s="2092">
        <v>0.15</v>
      </c>
      <c r="F50" s="2089">
        <f>F46*E50</f>
        <v>1776.1935509999996</v>
      </c>
      <c r="G50" s="2092">
        <v>0.15</v>
      </c>
      <c r="H50" s="2089">
        <f>H46*G50</f>
        <v>2011.971456</v>
      </c>
      <c r="I50" s="2092">
        <v>0.15</v>
      </c>
      <c r="J50" s="2089">
        <f>J46*I50</f>
        <v>2263.4678880000001</v>
      </c>
      <c r="K50" s="2092">
        <v>0.15</v>
      </c>
      <c r="L50" s="2089">
        <f>L46*K50</f>
        <v>2562.1199009999996</v>
      </c>
      <c r="M50" s="2092">
        <v>0.15</v>
      </c>
      <c r="N50" s="2089">
        <f>N46*M50</f>
        <v>2892.2089679999999</v>
      </c>
      <c r="O50" s="2092">
        <v>0.15</v>
      </c>
      <c r="P50" s="2089">
        <f>P46*O50</f>
        <v>3269.4536159999998</v>
      </c>
      <c r="Q50" s="2092">
        <v>0.15</v>
      </c>
      <c r="R50" s="2089">
        <f>R46*Q50</f>
        <v>3693.8538449999996</v>
      </c>
      <c r="S50" s="2092">
        <v>0.15</v>
      </c>
      <c r="T50" s="2089">
        <f>T46*S50</f>
        <v>4181.1281820000004</v>
      </c>
    </row>
    <row r="51" spans="1:20">
      <c r="A51" s="5139" t="s">
        <v>1034</v>
      </c>
      <c r="B51" s="5140"/>
      <c r="C51" s="2092">
        <v>0.2</v>
      </c>
      <c r="D51" s="2089">
        <f>(D46+D47+D48+D49+D50)*0.2</f>
        <v>2881.7299499999999</v>
      </c>
      <c r="E51" s="2092">
        <v>0.2</v>
      </c>
      <c r="F51" s="2089">
        <f>(F46+F47+F48+F49+F50)*0.2</f>
        <v>3256.3548434999993</v>
      </c>
      <c r="G51" s="2092">
        <v>0.2</v>
      </c>
      <c r="H51" s="2089">
        <f>(H46+H47+H48+H49+H50)*0.2</f>
        <v>3688.6143360000005</v>
      </c>
      <c r="I51" s="2092">
        <v>0.2</v>
      </c>
      <c r="J51" s="2089">
        <f>(J46+J47+J48+J49+J50)*0.2</f>
        <v>4149.6911280000004</v>
      </c>
      <c r="K51" s="2092">
        <v>0.2</v>
      </c>
      <c r="L51" s="2089">
        <f>(L46+L47+L48+L49+L50)*0.2</f>
        <v>4697.2198184999997</v>
      </c>
      <c r="M51" s="2092">
        <v>0.2</v>
      </c>
      <c r="N51" s="2089">
        <f>(N46+N47+N48+N49+N50)*0.2</f>
        <v>5302.383108</v>
      </c>
      <c r="O51" s="2092">
        <v>0.2</v>
      </c>
      <c r="P51" s="2089">
        <f>(P46+P47+P48+P49+P50)*0.2</f>
        <v>5993.9982959999998</v>
      </c>
      <c r="Q51" s="2092">
        <v>0.2</v>
      </c>
      <c r="R51" s="2089">
        <f>(R46+R47+R48+R49+R50)*0.2</f>
        <v>6772.0653825000009</v>
      </c>
      <c r="S51" s="2092">
        <v>0.2</v>
      </c>
      <c r="T51" s="2089">
        <f>(T46+T47+T48+T49+T50)*0.2</f>
        <v>7665.4016670000019</v>
      </c>
    </row>
    <row r="52" spans="1:20" ht="15.75" thickBot="1">
      <c r="A52" s="5160" t="s">
        <v>1035</v>
      </c>
      <c r="B52" s="5161"/>
      <c r="C52" s="2093">
        <v>0.5</v>
      </c>
      <c r="D52" s="2091">
        <f>(D46+D47+D48+D49+D50)*0.5</f>
        <v>7204.3248749999993</v>
      </c>
      <c r="E52" s="2093">
        <v>0.5</v>
      </c>
      <c r="F52" s="2091">
        <f>(F46+F47+F48+F49+F50)*0.5</f>
        <v>8140.8871087499983</v>
      </c>
      <c r="G52" s="2093">
        <v>0.5</v>
      </c>
      <c r="H52" s="2091">
        <f>(H46+H47+H48+H49+H50)*0.5</f>
        <v>9221.5358400000005</v>
      </c>
      <c r="I52" s="2093">
        <v>0.5</v>
      </c>
      <c r="J52" s="2091">
        <f>(J46+J47+J48+J49+J50)*0.5</f>
        <v>10374.22782</v>
      </c>
      <c r="K52" s="2093">
        <v>0.5</v>
      </c>
      <c r="L52" s="2091">
        <f>(L46+L47+L48+L49+L50)*0.5</f>
        <v>11743.049546249998</v>
      </c>
      <c r="M52" s="2093">
        <v>0.5</v>
      </c>
      <c r="N52" s="2091">
        <f>(N46+N47+N48+N49+N50)*0.5</f>
        <v>13255.957769999999</v>
      </c>
      <c r="O52" s="2093">
        <v>0.5</v>
      </c>
      <c r="P52" s="2091">
        <f>(P46+P47+P48+P49+P50)*0.5</f>
        <v>14984.995739999998</v>
      </c>
      <c r="Q52" s="2093">
        <v>0.5</v>
      </c>
      <c r="R52" s="2091">
        <f>(R46+R47+R48+R49+R50)*0.5</f>
        <v>16930.16345625</v>
      </c>
      <c r="S52" s="2093">
        <v>0.5</v>
      </c>
      <c r="T52" s="2091">
        <f>(T46+T47+T48+T49+T50)*0.5</f>
        <v>19163.504167500003</v>
      </c>
    </row>
    <row r="53" spans="1:20" ht="15.75" thickBot="1">
      <c r="A53" s="5153" t="s">
        <v>1036</v>
      </c>
      <c r="B53" s="5154"/>
      <c r="C53" s="2094"/>
      <c r="D53" s="2095">
        <f>D46+D47+D48+D49+D50+D51+D52</f>
        <v>24494.704574999996</v>
      </c>
      <c r="E53" s="2094"/>
      <c r="F53" s="2095">
        <f>F46+F47+F48+F49+F50+F51+F52</f>
        <v>27679.016169749993</v>
      </c>
      <c r="G53" s="2094"/>
      <c r="H53" s="2095">
        <f>H46+H47+H48+H49+H50+H51+H52</f>
        <v>31353.221856</v>
      </c>
      <c r="I53" s="2094"/>
      <c r="J53" s="2095">
        <f>J46+J47+J48+J49+J50+J51+J52</f>
        <v>35272.374587999999</v>
      </c>
      <c r="K53" s="2094"/>
      <c r="L53" s="2095">
        <f>L46+L47+L48+L49+L50+L51+L52</f>
        <v>39926.368457249991</v>
      </c>
      <c r="M53" s="2094"/>
      <c r="N53" s="2095">
        <f>N46+N47+N48+N49+N50+N51+N52</f>
        <v>45070.256417999997</v>
      </c>
      <c r="O53" s="2094"/>
      <c r="P53" s="2095">
        <f>P46+P47+P48+P49+P50+P51+P52</f>
        <v>50948.985515999993</v>
      </c>
      <c r="Q53" s="2094"/>
      <c r="R53" s="2095">
        <f>R46+R47+R48+R49+R50+R51+R52</f>
        <v>57562.555751249995</v>
      </c>
      <c r="S53" s="2094"/>
      <c r="T53" s="2095">
        <f>T46+T47+T48+T49+T50+T51+T52</f>
        <v>65155.914169500007</v>
      </c>
    </row>
    <row r="55" spans="1:20" ht="15.75">
      <c r="A55" s="5155" t="s">
        <v>1037</v>
      </c>
      <c r="B55" s="5155"/>
      <c r="C55" s="2096"/>
      <c r="D55" s="2096"/>
      <c r="E55" s="2096"/>
      <c r="F55" s="2096"/>
      <c r="G55" s="2096"/>
      <c r="H55" s="2096"/>
    </row>
    <row r="56" spans="1:20">
      <c r="A56" s="2097" t="s">
        <v>1038</v>
      </c>
      <c r="B56" s="2097" t="s">
        <v>1039</v>
      </c>
      <c r="C56" s="2096"/>
      <c r="D56" s="2096"/>
      <c r="E56" s="2096"/>
      <c r="F56" s="2096"/>
      <c r="G56" s="2096"/>
      <c r="H56" s="2096"/>
    </row>
    <row r="57" spans="1:20">
      <c r="A57" s="2097">
        <v>1</v>
      </c>
      <c r="B57" s="2097">
        <v>1</v>
      </c>
      <c r="C57" s="2096"/>
      <c r="D57" s="2096"/>
      <c r="E57" s="2096"/>
      <c r="F57" s="2096"/>
      <c r="G57" s="2096"/>
      <c r="H57" s="2096"/>
    </row>
    <row r="58" spans="1:20">
      <c r="A58" s="2097">
        <v>2</v>
      </c>
      <c r="B58" s="2097">
        <v>1.1299999999999999</v>
      </c>
      <c r="C58" s="2096"/>
      <c r="D58" s="2096"/>
      <c r="E58" s="2096"/>
      <c r="F58" s="2096"/>
      <c r="G58" s="2096"/>
      <c r="H58" s="2096"/>
    </row>
    <row r="59" spans="1:20">
      <c r="A59" s="2097">
        <v>3</v>
      </c>
      <c r="B59" s="2097">
        <v>1.28</v>
      </c>
      <c r="C59" s="2096"/>
      <c r="D59" s="2096"/>
      <c r="E59" s="2096"/>
      <c r="F59" s="2096"/>
      <c r="G59" s="2096"/>
      <c r="H59" s="2096"/>
    </row>
    <row r="60" spans="1:20">
      <c r="A60" s="2097">
        <v>4</v>
      </c>
      <c r="B60" s="2097">
        <v>1.44</v>
      </c>
      <c r="C60" s="2096"/>
      <c r="D60" s="2096"/>
      <c r="E60" s="2096"/>
      <c r="F60" s="2096"/>
      <c r="G60" s="2096"/>
      <c r="H60" s="2096"/>
    </row>
    <row r="61" spans="1:20">
      <c r="A61" s="2097">
        <v>5</v>
      </c>
      <c r="B61" s="2097">
        <v>1.63</v>
      </c>
      <c r="C61" s="2096"/>
      <c r="D61" s="2096"/>
      <c r="E61" s="2096"/>
      <c r="F61" s="2096"/>
      <c r="G61" s="2096"/>
      <c r="H61" s="2096"/>
    </row>
    <row r="62" spans="1:20">
      <c r="A62" s="2097">
        <v>6</v>
      </c>
      <c r="B62" s="2098">
        <v>1.84</v>
      </c>
      <c r="C62" s="2096"/>
      <c r="D62" s="2096"/>
      <c r="E62" s="2096"/>
      <c r="F62" s="2096"/>
      <c r="G62" s="2096"/>
      <c r="H62" s="2096"/>
    </row>
    <row r="63" spans="1:20">
      <c r="A63" s="2097">
        <v>7</v>
      </c>
      <c r="B63" s="2098">
        <v>2.08</v>
      </c>
      <c r="C63" s="2096"/>
      <c r="D63" s="2096"/>
      <c r="E63" s="2096"/>
      <c r="F63" s="2096"/>
      <c r="G63" s="2096"/>
      <c r="H63" s="2096"/>
    </row>
    <row r="64" spans="1:20">
      <c r="A64" s="2097">
        <v>8</v>
      </c>
      <c r="B64" s="2098">
        <v>2.35</v>
      </c>
      <c r="C64" s="2096"/>
      <c r="D64" s="2096"/>
      <c r="E64" s="2096"/>
      <c r="F64" s="2096"/>
      <c r="G64" s="2096"/>
      <c r="H64" s="2096"/>
    </row>
    <row r="65" spans="1:8">
      <c r="A65" s="2097">
        <v>9</v>
      </c>
      <c r="B65" s="2098">
        <v>2.66</v>
      </c>
      <c r="C65" s="2096"/>
      <c r="D65" s="2096"/>
      <c r="E65" s="2096"/>
      <c r="F65" s="2096"/>
      <c r="G65" s="2096"/>
      <c r="H65" s="2096"/>
    </row>
    <row r="66" spans="1:8">
      <c r="A66" s="2097">
        <v>10</v>
      </c>
      <c r="B66" s="2098">
        <v>2.78</v>
      </c>
      <c r="C66" s="2096"/>
      <c r="D66" s="2096"/>
      <c r="E66" s="2096"/>
      <c r="F66" s="2096"/>
      <c r="G66" s="2096"/>
      <c r="H66" s="2096"/>
    </row>
    <row r="67" spans="1:8">
      <c r="A67" s="2097">
        <v>11</v>
      </c>
      <c r="B67" s="2098">
        <v>3.11</v>
      </c>
      <c r="C67" s="2096"/>
      <c r="D67" s="2096"/>
      <c r="E67" s="2096"/>
      <c r="F67" s="2096"/>
      <c r="G67" s="2096"/>
      <c r="H67" s="2096"/>
    </row>
    <row r="68" spans="1:8">
      <c r="A68" s="2097">
        <v>12</v>
      </c>
      <c r="B68" s="2098">
        <v>3.48</v>
      </c>
      <c r="C68" s="2096"/>
      <c r="D68" s="2096"/>
      <c r="E68" s="2096"/>
      <c r="F68" s="2096"/>
      <c r="G68" s="2096"/>
      <c r="H68" s="2096"/>
    </row>
    <row r="69" spans="1:8">
      <c r="A69" s="2097">
        <v>13</v>
      </c>
      <c r="B69" s="2098">
        <v>3.9</v>
      </c>
      <c r="C69" s="2096"/>
      <c r="D69" s="2096"/>
      <c r="E69" s="2096"/>
      <c r="F69" s="2096"/>
      <c r="G69" s="2096"/>
      <c r="H69" s="2096"/>
    </row>
    <row r="70" spans="1:8">
      <c r="A70" s="2097">
        <v>14</v>
      </c>
      <c r="B70" s="2098">
        <v>4.37</v>
      </c>
      <c r="C70" s="2096"/>
      <c r="D70" s="2096"/>
      <c r="E70" s="2096"/>
      <c r="F70" s="2096"/>
      <c r="G70" s="2096"/>
      <c r="H70" s="2096"/>
    </row>
    <row r="71" spans="1:8">
      <c r="A71" s="2097">
        <v>15</v>
      </c>
      <c r="B71" s="2098">
        <v>4.8899999999999997</v>
      </c>
      <c r="C71" s="2096"/>
      <c r="D71" s="2096"/>
      <c r="E71" s="2096"/>
      <c r="F71" s="2096"/>
      <c r="G71" s="2096"/>
      <c r="H71" s="2096"/>
    </row>
    <row r="72" spans="1:8">
      <c r="A72" s="2097">
        <v>16</v>
      </c>
      <c r="B72" s="2098">
        <v>5.47</v>
      </c>
      <c r="C72" s="2096"/>
      <c r="D72" s="2096"/>
      <c r="E72" s="2096"/>
      <c r="F72" s="2096"/>
      <c r="G72" s="2096"/>
      <c r="H72" s="2096"/>
    </row>
  </sheetData>
  <mergeCells count="48">
    <mergeCell ref="A53:B53"/>
    <mergeCell ref="A55:B55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9:T39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16:B16"/>
    <mergeCell ref="A18:B18"/>
    <mergeCell ref="A10:B10"/>
    <mergeCell ref="A11:B11"/>
    <mergeCell ref="A12:B12"/>
    <mergeCell ref="A13:B13"/>
    <mergeCell ref="A14:B14"/>
    <mergeCell ref="A15:B15"/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</mergeCells>
  <printOptions horizontalCentered="1"/>
  <pageMargins left="0.31496062992125984" right="0.51181102362204722" top="0.74803149606299213" bottom="0.74803149606299213" header="0.31496062992125984" footer="0.31496062992125984"/>
  <pageSetup paperSize="9" scale="7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U146"/>
  <sheetViews>
    <sheetView zoomScale="50" zoomScaleNormal="50" zoomScaleSheetLayoutView="50" zoomScalePageLayoutView="80" workbookViewId="0">
      <pane xSplit="20" ySplit="7" topLeftCell="U102" activePane="bottomRight" state="frozen"/>
      <selection pane="topRight" activeCell="U1" sqref="U1"/>
      <selection pane="bottomLeft" activeCell="A8" sqref="A8"/>
      <selection pane="bottomRight" activeCell="A59" sqref="A59:AP137"/>
    </sheetView>
  </sheetViews>
  <sheetFormatPr defaultRowHeight="12.75" outlineLevelCol="1"/>
  <cols>
    <col min="1" max="1" width="50.570312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86" customWidth="1" collapsed="1"/>
    <col min="22" max="22" width="13.42578125" style="386" hidden="1" customWidth="1" outlineLevel="1"/>
    <col min="23" max="23" width="13.85546875" style="386" customWidth="1" collapsed="1"/>
    <col min="24" max="28" width="13.85546875" style="386" customWidth="1"/>
    <col min="29" max="34" width="14.140625" customWidth="1"/>
    <col min="35" max="35" width="13.85546875" style="684" customWidth="1"/>
    <col min="36" max="36" width="11.7109375" style="684" customWidth="1"/>
    <col min="37" max="37" width="12.28515625" style="684" customWidth="1"/>
    <col min="38" max="38" width="13.28515625" customWidth="1"/>
    <col min="39" max="44" width="14" customWidth="1"/>
    <col min="45" max="45" width="12.5703125" hidden="1" customWidth="1"/>
    <col min="46" max="46" width="11.28515625" hidden="1" customWidth="1"/>
    <col min="47" max="47" width="11.140625" hidden="1" customWidth="1"/>
    <col min="48" max="49" width="12" customWidth="1"/>
  </cols>
  <sheetData>
    <row r="1" spans="1:47">
      <c r="A1" s="5282" t="s">
        <v>1531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  <c r="AT1" s="4426"/>
      <c r="AU1" s="4426"/>
    </row>
    <row r="2" spans="1:47" ht="26.25">
      <c r="A2" s="5283" t="s">
        <v>55</v>
      </c>
      <c r="B2" s="5283"/>
      <c r="C2" s="5283"/>
      <c r="D2" s="5283"/>
      <c r="E2" s="5283"/>
      <c r="F2" s="5283"/>
      <c r="G2" s="5283"/>
      <c r="H2" s="5283"/>
      <c r="I2" s="5283"/>
      <c r="J2" s="5283"/>
      <c r="K2" s="5283"/>
      <c r="L2" s="5283"/>
      <c r="M2" s="5283"/>
      <c r="N2" s="5283"/>
      <c r="O2" s="5283"/>
      <c r="P2" s="5283"/>
      <c r="Q2" s="5283"/>
      <c r="R2" s="5283"/>
      <c r="S2" s="5283"/>
      <c r="T2" s="5283"/>
      <c r="U2" s="5283"/>
      <c r="V2" s="5283"/>
      <c r="W2" s="5283"/>
      <c r="X2" s="5283"/>
      <c r="Y2" s="5283"/>
      <c r="Z2" s="5283"/>
      <c r="AA2" s="5283"/>
      <c r="AB2" s="5283"/>
      <c r="AC2" s="5283"/>
      <c r="AD2" s="5283"/>
      <c r="AE2" s="5283"/>
      <c r="AF2" s="5283"/>
      <c r="AG2" s="5283"/>
      <c r="AH2" s="5283"/>
      <c r="AI2" s="5283"/>
      <c r="AJ2" s="5284"/>
      <c r="AK2" s="5284"/>
      <c r="AL2" s="5284"/>
      <c r="AM2" s="5284"/>
      <c r="AN2" s="5284"/>
      <c r="AO2" s="5284"/>
      <c r="AP2" s="5284"/>
      <c r="AQ2" s="5284"/>
      <c r="AR2" s="5284"/>
      <c r="AS2" s="5284"/>
      <c r="AT2" s="5284"/>
      <c r="AU2" s="5284"/>
    </row>
    <row r="3" spans="1:47" ht="13.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47" ht="16.5" customHeight="1">
      <c r="A4" s="4905" t="s">
        <v>546</v>
      </c>
      <c r="B4" s="5008" t="s">
        <v>58</v>
      </c>
      <c r="C4" s="4605" t="s">
        <v>59</v>
      </c>
      <c r="D4" s="4559"/>
      <c r="E4" s="5219" t="s">
        <v>67</v>
      </c>
      <c r="F4" s="5220"/>
      <c r="G4" s="5229" t="s">
        <v>95</v>
      </c>
      <c r="H4" s="5230"/>
      <c r="I4" s="5227" t="s">
        <v>124</v>
      </c>
      <c r="J4" s="5227"/>
      <c r="K4" s="5227"/>
      <c r="L4" s="5227"/>
      <c r="M4" s="5227"/>
      <c r="N4" s="5221" t="s">
        <v>162</v>
      </c>
      <c r="O4" s="5222"/>
      <c r="P4" s="5222"/>
      <c r="Q4" s="5222"/>
      <c r="R4" s="5222"/>
      <c r="S4" s="5222"/>
      <c r="T4" s="5223"/>
      <c r="U4" s="4797" t="s">
        <v>238</v>
      </c>
      <c r="V4" s="4798"/>
      <c r="W4" s="4798"/>
      <c r="X4" s="4798"/>
      <c r="Y4" s="4798"/>
      <c r="Z4" s="5217"/>
      <c r="AA4" s="4797" t="s">
        <v>380</v>
      </c>
      <c r="AB4" s="4798"/>
      <c r="AC4" s="5248"/>
      <c r="AD4" s="5248"/>
      <c r="AE4" s="5249"/>
      <c r="AF4" s="5250" t="s">
        <v>833</v>
      </c>
      <c r="AG4" s="5248"/>
      <c r="AH4" s="5249"/>
      <c r="AI4" s="5238" t="s">
        <v>246</v>
      </c>
      <c r="AJ4" s="5239"/>
      <c r="AK4" s="5240"/>
      <c r="AL4" s="5235" t="s">
        <v>1652</v>
      </c>
      <c r="AM4" s="5285" t="s">
        <v>1596</v>
      </c>
      <c r="AN4" s="5286"/>
      <c r="AO4" s="5287"/>
      <c r="AP4" s="4379" t="s">
        <v>912</v>
      </c>
      <c r="AQ4" s="5255"/>
      <c r="AR4" s="5256"/>
      <c r="AS4" s="5257" t="s">
        <v>246</v>
      </c>
      <c r="AT4" s="5258"/>
      <c r="AU4" s="5259"/>
    </row>
    <row r="5" spans="1:47" ht="12.75" customHeight="1">
      <c r="A5" s="5185"/>
      <c r="B5" s="4593"/>
      <c r="C5" s="4593" t="s">
        <v>61</v>
      </c>
      <c r="D5" s="5179" t="s">
        <v>62</v>
      </c>
      <c r="E5" s="5218" t="s">
        <v>61</v>
      </c>
      <c r="F5" s="5216" t="s">
        <v>66</v>
      </c>
      <c r="G5" s="5228" t="s">
        <v>61</v>
      </c>
      <c r="H5" s="5228" t="s">
        <v>112</v>
      </c>
      <c r="I5" s="5228" t="s">
        <v>60</v>
      </c>
      <c r="J5" s="5228" t="s">
        <v>63</v>
      </c>
      <c r="K5" s="5228" t="s">
        <v>110</v>
      </c>
      <c r="L5" s="5228" t="s">
        <v>61</v>
      </c>
      <c r="M5" s="5216" t="s">
        <v>123</v>
      </c>
      <c r="N5" s="5180" t="s">
        <v>126</v>
      </c>
      <c r="O5" s="5180" t="s">
        <v>161</v>
      </c>
      <c r="P5" s="5180" t="s">
        <v>247</v>
      </c>
      <c r="Q5" s="5180" t="s">
        <v>170</v>
      </c>
      <c r="R5" s="5180" t="s">
        <v>161</v>
      </c>
      <c r="S5" s="5216" t="s">
        <v>110</v>
      </c>
      <c r="T5" s="5224" t="s">
        <v>61</v>
      </c>
      <c r="U5" s="5234" t="s">
        <v>568</v>
      </c>
      <c r="V5" s="4705" t="s">
        <v>243</v>
      </c>
      <c r="W5" s="4705" t="s">
        <v>569</v>
      </c>
      <c r="X5" s="4705" t="s">
        <v>391</v>
      </c>
      <c r="Y5" s="4705" t="s">
        <v>134</v>
      </c>
      <c r="Z5" s="5231" t="s">
        <v>658</v>
      </c>
      <c r="AA5" s="5234" t="s">
        <v>568</v>
      </c>
      <c r="AB5" s="4705" t="s">
        <v>569</v>
      </c>
      <c r="AC5" s="4593" t="s">
        <v>570</v>
      </c>
      <c r="AD5" s="4705" t="s">
        <v>391</v>
      </c>
      <c r="AE5" s="5233" t="s">
        <v>134</v>
      </c>
      <c r="AF5" s="5234" t="s">
        <v>568</v>
      </c>
      <c r="AG5" s="4705" t="s">
        <v>569</v>
      </c>
      <c r="AH5" s="4593" t="s">
        <v>570</v>
      </c>
      <c r="AI5" s="5241"/>
      <c r="AJ5" s="5242"/>
      <c r="AK5" s="5243"/>
      <c r="AL5" s="5236"/>
      <c r="AM5" s="4585" t="s">
        <v>391</v>
      </c>
      <c r="AN5" s="4587" t="s">
        <v>134</v>
      </c>
      <c r="AO5" s="5253" t="s">
        <v>1715</v>
      </c>
      <c r="AP5" s="5263" t="s">
        <v>568</v>
      </c>
      <c r="AQ5" s="5264" t="s">
        <v>569</v>
      </c>
      <c r="AR5" s="5265" t="s">
        <v>570</v>
      </c>
      <c r="AS5" s="5260"/>
      <c r="AT5" s="5261"/>
      <c r="AU5" s="5262"/>
    </row>
    <row r="6" spans="1:47" ht="12.75" customHeight="1">
      <c r="A6" s="5185"/>
      <c r="B6" s="4593"/>
      <c r="C6" s="4593"/>
      <c r="D6" s="5179"/>
      <c r="E6" s="5218"/>
      <c r="F6" s="5216"/>
      <c r="G6" s="5180"/>
      <c r="H6" s="5180"/>
      <c r="I6" s="5180"/>
      <c r="J6" s="5180"/>
      <c r="K6" s="5180"/>
      <c r="L6" s="5180"/>
      <c r="M6" s="5216"/>
      <c r="N6" s="5180"/>
      <c r="O6" s="5180"/>
      <c r="P6" s="5180"/>
      <c r="Q6" s="5180"/>
      <c r="R6" s="5180"/>
      <c r="S6" s="5216"/>
      <c r="T6" s="5225"/>
      <c r="U6" s="5234"/>
      <c r="V6" s="4705"/>
      <c r="W6" s="4705"/>
      <c r="X6" s="4705"/>
      <c r="Y6" s="4705"/>
      <c r="Z6" s="4743"/>
      <c r="AA6" s="5234"/>
      <c r="AB6" s="4705"/>
      <c r="AC6" s="4593"/>
      <c r="AD6" s="4705"/>
      <c r="AE6" s="5233"/>
      <c r="AF6" s="5234"/>
      <c r="AG6" s="4705"/>
      <c r="AH6" s="4593"/>
      <c r="AI6" s="5241"/>
      <c r="AJ6" s="5242"/>
      <c r="AK6" s="5243"/>
      <c r="AL6" s="5236"/>
      <c r="AM6" s="5251"/>
      <c r="AN6" s="5252"/>
      <c r="AO6" s="5253"/>
      <c r="AP6" s="5263"/>
      <c r="AQ6" s="5264"/>
      <c r="AR6" s="5265"/>
      <c r="AS6" s="5260"/>
      <c r="AT6" s="5261"/>
      <c r="AU6" s="5262"/>
    </row>
    <row r="7" spans="1:47" ht="19.5" customHeight="1">
      <c r="A7" s="5185"/>
      <c r="B7" s="4593"/>
      <c r="C7" s="4593"/>
      <c r="D7" s="5179"/>
      <c r="E7" s="5218"/>
      <c r="F7" s="5216"/>
      <c r="G7" s="5181"/>
      <c r="H7" s="5181"/>
      <c r="I7" s="5181"/>
      <c r="J7" s="5181"/>
      <c r="K7" s="5181"/>
      <c r="L7" s="5181"/>
      <c r="M7" s="5216"/>
      <c r="N7" s="5181"/>
      <c r="O7" s="5181"/>
      <c r="P7" s="5181"/>
      <c r="Q7" s="5181"/>
      <c r="R7" s="5181"/>
      <c r="S7" s="5216"/>
      <c r="T7" s="5226"/>
      <c r="U7" s="5234"/>
      <c r="V7" s="4705"/>
      <c r="W7" s="4705"/>
      <c r="X7" s="4705"/>
      <c r="Y7" s="4705"/>
      <c r="Z7" s="5232"/>
      <c r="AA7" s="5234"/>
      <c r="AB7" s="4705"/>
      <c r="AC7" s="4593"/>
      <c r="AD7" s="4705"/>
      <c r="AE7" s="5233"/>
      <c r="AF7" s="5234"/>
      <c r="AG7" s="4705"/>
      <c r="AH7" s="4593"/>
      <c r="AI7" s="5241"/>
      <c r="AJ7" s="5242"/>
      <c r="AK7" s="5243"/>
      <c r="AL7" s="5237"/>
      <c r="AM7" s="5251"/>
      <c r="AN7" s="5252"/>
      <c r="AO7" s="5254"/>
      <c r="AP7" s="5263"/>
      <c r="AQ7" s="5264"/>
      <c r="AR7" s="5265"/>
      <c r="AS7" s="5260"/>
      <c r="AT7" s="5261"/>
      <c r="AU7" s="5262"/>
    </row>
    <row r="8" spans="1:47" ht="38.25" customHeight="1">
      <c r="A8" s="1099" t="s">
        <v>72</v>
      </c>
      <c r="B8" s="1053">
        <v>4357</v>
      </c>
      <c r="C8" s="1049">
        <v>5406.5</v>
      </c>
      <c r="D8" s="1100">
        <f>C8/B8*100</f>
        <v>124.08767500573789</v>
      </c>
      <c r="E8" s="1093">
        <v>6087.5</v>
      </c>
      <c r="F8" s="399">
        <f t="shared" ref="F8:F16" si="0">E8/C8*100</f>
        <v>112.59594932026265</v>
      </c>
      <c r="G8" s="282">
        <v>6903.5</v>
      </c>
      <c r="H8" s="399">
        <f>G8/E8*100</f>
        <v>113.40451745379876</v>
      </c>
      <c r="I8" s="282">
        <v>6484.8</v>
      </c>
      <c r="J8" s="282">
        <v>3738.1</v>
      </c>
      <c r="K8" s="282">
        <v>5035.8999999999996</v>
      </c>
      <c r="L8" s="282">
        <v>7062.7</v>
      </c>
      <c r="M8" s="399">
        <f>L8/G8*100</f>
        <v>102.30607662779749</v>
      </c>
      <c r="N8" s="282">
        <v>8395.1</v>
      </c>
      <c r="O8" s="399">
        <f t="shared" ref="O8:O17" si="1">N8/L8*100</f>
        <v>118.86530646919735</v>
      </c>
      <c r="P8" s="282">
        <v>7191.3</v>
      </c>
      <c r="Q8" s="399">
        <f t="shared" ref="Q8:Q17" si="2">P8/I8*100</f>
        <v>110.89470762398224</v>
      </c>
      <c r="R8" s="399">
        <f t="shared" ref="R8:R17" si="3">P8/L8*100</f>
        <v>101.82083339232872</v>
      </c>
      <c r="S8" s="282">
        <v>5453.4</v>
      </c>
      <c r="T8" s="1083">
        <v>6885.5</v>
      </c>
      <c r="U8" s="1106">
        <v>8933.7000000000007</v>
      </c>
      <c r="V8" s="1087">
        <f>U8/P8</f>
        <v>1.2422927704309374</v>
      </c>
      <c r="W8" s="1069">
        <f>P8*1.056</f>
        <v>7594.0128000000004</v>
      </c>
      <c r="X8" s="1069">
        <v>3201.3</v>
      </c>
      <c r="Y8" s="1069">
        <v>4939.3</v>
      </c>
      <c r="Z8" s="1196">
        <v>6586.3</v>
      </c>
      <c r="AA8" s="1110">
        <v>7973.7</v>
      </c>
      <c r="AB8" s="1069">
        <f>T8*1.074*1.067</f>
        <v>7890.4938089999996</v>
      </c>
      <c r="AC8" s="1090">
        <f>AB8/W8</f>
        <v>1.039041415495112</v>
      </c>
      <c r="AD8" s="1069">
        <v>3191.57</v>
      </c>
      <c r="AE8" s="1107">
        <v>5009.13</v>
      </c>
      <c r="AF8" s="1196">
        <f>SUM(AB8*1.1)</f>
        <v>8679.5431898999996</v>
      </c>
      <c r="AG8" s="1196">
        <f>AE8/9*12*1.074</f>
        <v>7173.074160000001</v>
      </c>
      <c r="AH8" s="1090">
        <f>SUM(AG8/AB8)</f>
        <v>0.9090779783412668</v>
      </c>
      <c r="AI8" s="5173" t="s">
        <v>250</v>
      </c>
      <c r="AJ8" s="5174"/>
      <c r="AK8" s="5175"/>
      <c r="AL8" s="3630">
        <v>6533.03</v>
      </c>
      <c r="AM8" s="3329">
        <v>3263.78</v>
      </c>
      <c r="AN8" s="3508">
        <v>4959.1899999999996</v>
      </c>
      <c r="AO8" s="3509">
        <f>SUM(AM8+((AN8-AM8)/3*6))</f>
        <v>6654.5999999999985</v>
      </c>
      <c r="AP8" s="3608">
        <f>SUM(AP10*AP9*12)/1000</f>
        <v>7541.0415960000018</v>
      </c>
      <c r="AQ8" s="3609">
        <f>AG8*(1-0.01)*(1+0.071)*(1+0)</f>
        <v>7605.5388011064006</v>
      </c>
      <c r="AR8" s="3610">
        <f>SUM(AQ8/AG8)</f>
        <v>1.06029</v>
      </c>
      <c r="AS8" s="5266" t="s">
        <v>250</v>
      </c>
      <c r="AT8" s="5267"/>
      <c r="AU8" s="5268"/>
    </row>
    <row r="9" spans="1:47" ht="38.25" customHeight="1">
      <c r="A9" s="2036" t="s">
        <v>1473</v>
      </c>
      <c r="B9" s="2163"/>
      <c r="C9" s="2164"/>
      <c r="D9" s="2165"/>
      <c r="E9" s="2166"/>
      <c r="F9" s="2167"/>
      <c r="G9" s="2168"/>
      <c r="H9" s="2167"/>
      <c r="I9" s="2168"/>
      <c r="J9" s="2169"/>
      <c r="K9" s="2168"/>
      <c r="L9" s="2168"/>
      <c r="M9" s="2167"/>
      <c r="N9" s="2168"/>
      <c r="O9" s="2167"/>
      <c r="P9" s="2168"/>
      <c r="Q9" s="2167"/>
      <c r="R9" s="2167"/>
      <c r="S9" s="2168"/>
      <c r="T9" s="2170"/>
      <c r="U9" s="2033"/>
      <c r="V9" s="2171"/>
      <c r="W9" s="2172"/>
      <c r="X9" s="2172"/>
      <c r="Y9" s="2172"/>
      <c r="Z9" s="2173"/>
      <c r="AA9" s="2029"/>
      <c r="AB9" s="2172"/>
      <c r="AC9" s="2174"/>
      <c r="AD9" s="2172">
        <v>13</v>
      </c>
      <c r="AE9" s="2783">
        <v>13</v>
      </c>
      <c r="AF9" s="2782"/>
      <c r="AG9" s="2173">
        <f>AD9</f>
        <v>13</v>
      </c>
      <c r="AH9" s="1090"/>
      <c r="AI9" s="5245"/>
      <c r="AJ9" s="5246"/>
      <c r="AK9" s="5247"/>
      <c r="AL9" s="3597">
        <v>13</v>
      </c>
      <c r="AM9" s="3329">
        <v>13</v>
      </c>
      <c r="AN9" s="3508">
        <v>13</v>
      </c>
      <c r="AO9" s="3331">
        <v>13</v>
      </c>
      <c r="AP9" s="3608">
        <v>13</v>
      </c>
      <c r="AQ9" s="3609">
        <f>AN9</f>
        <v>13</v>
      </c>
      <c r="AR9" s="3610">
        <f t="shared" ref="AR9:AR54" si="4">SUM(AQ9/AG9)</f>
        <v>1</v>
      </c>
      <c r="AS9" s="5269"/>
      <c r="AT9" s="5270"/>
      <c r="AU9" s="5271"/>
    </row>
    <row r="10" spans="1:47" ht="38.25" customHeight="1">
      <c r="A10" s="2036" t="s">
        <v>1474</v>
      </c>
      <c r="B10" s="2163"/>
      <c r="C10" s="2164"/>
      <c r="D10" s="2165"/>
      <c r="E10" s="2166"/>
      <c r="F10" s="2167"/>
      <c r="G10" s="2168"/>
      <c r="H10" s="2167"/>
      <c r="I10" s="2168"/>
      <c r="J10" s="2169"/>
      <c r="K10" s="2168"/>
      <c r="L10" s="2168"/>
      <c r="M10" s="2167"/>
      <c r="N10" s="2168"/>
      <c r="O10" s="2167"/>
      <c r="P10" s="2168"/>
      <c r="Q10" s="2167"/>
      <c r="R10" s="2167"/>
      <c r="S10" s="2168"/>
      <c r="T10" s="2170"/>
      <c r="U10" s="2033"/>
      <c r="V10" s="2171"/>
      <c r="W10" s="2172"/>
      <c r="X10" s="2172"/>
      <c r="Y10" s="2172"/>
      <c r="Z10" s="2173"/>
      <c r="AA10" s="2029"/>
      <c r="AB10" s="2172"/>
      <c r="AC10" s="2174"/>
      <c r="AD10" s="2172">
        <f>AD8/AD9/6*1000</f>
        <v>40917.564102564109</v>
      </c>
      <c r="AE10" s="2783">
        <f>AE8/AE9/9*1000</f>
        <v>42813.076923076922</v>
      </c>
      <c r="AF10" s="2782"/>
      <c r="AG10" s="2173">
        <f>AD10*1.074</f>
        <v>43945.463846153856</v>
      </c>
      <c r="AH10" s="1090"/>
      <c r="AI10" s="5245" t="s">
        <v>1498</v>
      </c>
      <c r="AJ10" s="5246"/>
      <c r="AK10" s="5247"/>
      <c r="AL10" s="3597">
        <f>AL8/AL9/12*1000</f>
        <v>41878.39743589743</v>
      </c>
      <c r="AM10" s="3329">
        <f>AM8/AM9/6*1000</f>
        <v>41843.333333333336</v>
      </c>
      <c r="AN10" s="3508">
        <f>AN8/AN9/9*1000</f>
        <v>42386.239316239313</v>
      </c>
      <c r="AO10" s="3331">
        <f>AO8/AO9/12*1000</f>
        <v>42657.69230769229</v>
      </c>
      <c r="AP10" s="3608">
        <f>SUM(AG10*1.1)</f>
        <v>48340.010230769243</v>
      </c>
      <c r="AQ10" s="3609">
        <f>AG10*(1-0.01)*(1+0.071)*(1+0)</f>
        <v>46594.935861438469</v>
      </c>
      <c r="AR10" s="3610">
        <f t="shared" si="4"/>
        <v>1.06029</v>
      </c>
      <c r="AS10" s="5269" t="s">
        <v>1498</v>
      </c>
      <c r="AT10" s="5270"/>
      <c r="AU10" s="5271"/>
    </row>
    <row r="11" spans="1:47" ht="38.25" customHeight="1">
      <c r="A11" s="1099" t="s">
        <v>121</v>
      </c>
      <c r="B11" s="1053">
        <v>1088.3</v>
      </c>
      <c r="C11" s="1049">
        <v>1239</v>
      </c>
      <c r="D11" s="1100">
        <f>C11/B11*100</f>
        <v>113.84728475604153</v>
      </c>
      <c r="E11" s="1093">
        <v>1492.4</v>
      </c>
      <c r="F11" s="399">
        <f t="shared" si="0"/>
        <v>120.45197740112997</v>
      </c>
      <c r="G11" s="282">
        <v>2283.5</v>
      </c>
      <c r="H11" s="399">
        <f t="shared" ref="H11:H45" si="5">G11/E11*100</f>
        <v>153.00857678906459</v>
      </c>
      <c r="I11" s="282">
        <f>I8*30.2/100</f>
        <v>1958.4096</v>
      </c>
      <c r="J11" s="433">
        <v>1276.0999999999999</v>
      </c>
      <c r="K11" s="282">
        <v>1509.5</v>
      </c>
      <c r="L11" s="282">
        <v>2054.4</v>
      </c>
      <c r="M11" s="399">
        <f t="shared" ref="M11:M45" si="6">L11/G11*100</f>
        <v>89.967155682067002</v>
      </c>
      <c r="N11" s="282">
        <v>2535.3000000000002</v>
      </c>
      <c r="O11" s="399">
        <f t="shared" si="1"/>
        <v>123.40829439252336</v>
      </c>
      <c r="P11" s="282">
        <v>2171.6999999999998</v>
      </c>
      <c r="Q11" s="399">
        <f t="shared" si="2"/>
        <v>110.89100053431109</v>
      </c>
      <c r="R11" s="399">
        <f t="shared" si="3"/>
        <v>105.70969626168223</v>
      </c>
      <c r="S11" s="282">
        <v>1600.4</v>
      </c>
      <c r="T11" s="1083">
        <v>1941.4</v>
      </c>
      <c r="U11" s="1106">
        <v>2698</v>
      </c>
      <c r="V11" s="1087">
        <f t="shared" ref="V11:V45" si="7">U11/P11</f>
        <v>1.2423447069116362</v>
      </c>
      <c r="W11" s="1069">
        <f>W8*S12</f>
        <v>2228.6019886896256</v>
      </c>
      <c r="X11" s="1069">
        <v>962.5</v>
      </c>
      <c r="Y11" s="1069">
        <v>1485.4</v>
      </c>
      <c r="Z11" s="1196">
        <v>1966.3</v>
      </c>
      <c r="AA11" s="1110">
        <v>2408.1</v>
      </c>
      <c r="AB11" s="1069">
        <f>AB8*AB12</f>
        <v>2372.9150899699553</v>
      </c>
      <c r="AC11" s="1090">
        <f>AB11/W11</f>
        <v>1.0647549908026346</v>
      </c>
      <c r="AD11" s="1069">
        <v>957.03</v>
      </c>
      <c r="AE11" s="1107">
        <v>1502.4</v>
      </c>
      <c r="AF11" s="1196">
        <f>SUM(AF8*AF12)</f>
        <v>2621.2220433497996</v>
      </c>
      <c r="AG11" s="1196">
        <f>AG8*AG12</f>
        <v>2141.4778738909558</v>
      </c>
      <c r="AH11" s="1090">
        <f t="shared" ref="AH11:AH41" si="8">SUM(AG11/AB11)</f>
        <v>0.90246713122721567</v>
      </c>
      <c r="AI11" s="5173" t="s">
        <v>250</v>
      </c>
      <c r="AJ11" s="5174"/>
      <c r="AK11" s="5175"/>
      <c r="AL11" s="3598">
        <v>1957.14</v>
      </c>
      <c r="AM11" s="3329">
        <v>982.24</v>
      </c>
      <c r="AN11" s="3508">
        <v>1492.74</v>
      </c>
      <c r="AO11" s="3509">
        <f>SUM(AM11+((AN11-AM11)/3*6))</f>
        <v>2003.24</v>
      </c>
      <c r="AP11" s="3608">
        <f>SUM(AP8*AP12)</f>
        <v>2259.2960621616003</v>
      </c>
      <c r="AQ11" s="3609">
        <f>AG11*(1-0.01)*(1+0.071)*(1+0)</f>
        <v>2270.5875749078414</v>
      </c>
      <c r="AR11" s="3610">
        <f t="shared" si="4"/>
        <v>1.06029</v>
      </c>
      <c r="AS11" s="5266" t="s">
        <v>250</v>
      </c>
      <c r="AT11" s="5267"/>
      <c r="AU11" s="5268"/>
    </row>
    <row r="12" spans="1:47" s="191" customFormat="1" ht="20.25" customHeight="1">
      <c r="A12" s="1101" t="s">
        <v>322</v>
      </c>
      <c r="B12" s="1098"/>
      <c r="C12" s="1097"/>
      <c r="D12" s="1100"/>
      <c r="E12" s="1094">
        <f>E11/E8</f>
        <v>0.24515811088295689</v>
      </c>
      <c r="F12" s="405">
        <f t="shared" ref="F12:W12" si="9">F11/F8</f>
        <v>1.0697718535017811</v>
      </c>
      <c r="G12" s="405">
        <f t="shared" si="9"/>
        <v>0.33077424494821467</v>
      </c>
      <c r="H12" s="405">
        <f t="shared" si="9"/>
        <v>1.3492282337994217</v>
      </c>
      <c r="I12" s="405">
        <f t="shared" si="9"/>
        <v>0.30199999999999999</v>
      </c>
      <c r="J12" s="405">
        <f t="shared" si="9"/>
        <v>0.34137663518899974</v>
      </c>
      <c r="K12" s="405">
        <f t="shared" si="9"/>
        <v>0.29974781071903733</v>
      </c>
      <c r="L12" s="405">
        <f t="shared" si="9"/>
        <v>0.29088025825817326</v>
      </c>
      <c r="M12" s="405">
        <f t="shared" si="9"/>
        <v>0.87939210111026878</v>
      </c>
      <c r="N12" s="405">
        <f t="shared" si="9"/>
        <v>0.3019975938344987</v>
      </c>
      <c r="O12" s="405">
        <f t="shared" si="9"/>
        <v>1.0382196290765739</v>
      </c>
      <c r="P12" s="405">
        <f t="shared" si="9"/>
        <v>0.3019899044678987</v>
      </c>
      <c r="Q12" s="405">
        <f t="shared" si="9"/>
        <v>0.99996657108575715</v>
      </c>
      <c r="R12" s="405">
        <f t="shared" si="9"/>
        <v>1.0381931942588725</v>
      </c>
      <c r="S12" s="405">
        <f t="shared" si="9"/>
        <v>0.29346829500861854</v>
      </c>
      <c r="T12" s="1084">
        <f>T11/T8</f>
        <v>0.2819548326192724</v>
      </c>
      <c r="U12" s="1108">
        <f t="shared" si="9"/>
        <v>0.30200252974691333</v>
      </c>
      <c r="V12" s="1087">
        <f t="shared" si="7"/>
        <v>1.0000418069572123</v>
      </c>
      <c r="W12" s="1070">
        <f t="shared" si="9"/>
        <v>0.29346829500861854</v>
      </c>
      <c r="X12" s="1070">
        <f>X11/X8</f>
        <v>0.30065910723768469</v>
      </c>
      <c r="Y12" s="1070">
        <f>Y11/Y8</f>
        <v>0.30073087279574029</v>
      </c>
      <c r="Z12" s="1197">
        <f>Z11/Z8</f>
        <v>0.29854394728451483</v>
      </c>
      <c r="AA12" s="1108">
        <f>X12</f>
        <v>0.30065910723768469</v>
      </c>
      <c r="AB12" s="1070">
        <f>Y12</f>
        <v>0.30073087279574029</v>
      </c>
      <c r="AC12" s="1070">
        <f>Z12</f>
        <v>0.29854394728451483</v>
      </c>
      <c r="AD12" s="1070">
        <f t="shared" ref="AD12:AE12" si="10">AD11/AD8</f>
        <v>0.29986182349125978</v>
      </c>
      <c r="AE12" s="1109">
        <f t="shared" si="10"/>
        <v>0.29993232357714816</v>
      </c>
      <c r="AF12" s="1197">
        <v>0.30199999999999999</v>
      </c>
      <c r="AG12" s="1197">
        <f>Z12</f>
        <v>0.29854394728451483</v>
      </c>
      <c r="AH12" s="1090">
        <f t="shared" si="8"/>
        <v>0.99272796473838976</v>
      </c>
      <c r="AI12" s="5244"/>
      <c r="AJ12" s="5174"/>
      <c r="AK12" s="5175"/>
      <c r="AL12" s="3599">
        <f t="shared" ref="AL12" si="11">AL11/AL8</f>
        <v>0.29957615379081376</v>
      </c>
      <c r="AM12" s="3510">
        <f>AM11/AM8</f>
        <v>0.30095165728082163</v>
      </c>
      <c r="AN12" s="3511">
        <f>AN11/AN8</f>
        <v>0.30100480118729067</v>
      </c>
      <c r="AO12" s="3512">
        <f>AO11/AO8</f>
        <v>0.30103086586721972</v>
      </c>
      <c r="AP12" s="3611">
        <v>0.29959999999999998</v>
      </c>
      <c r="AQ12" s="3595">
        <f>AQ11/AQ8</f>
        <v>0.29854394728451483</v>
      </c>
      <c r="AR12" s="3612">
        <f t="shared" si="4"/>
        <v>1</v>
      </c>
      <c r="AS12" s="5272"/>
      <c r="AT12" s="5267"/>
      <c r="AU12" s="5268"/>
    </row>
    <row r="13" spans="1:47" ht="20.25" customHeight="1">
      <c r="A13" s="1099" t="s">
        <v>83</v>
      </c>
      <c r="B13" s="1053">
        <v>324.39999999999998</v>
      </c>
      <c r="C13" s="1049">
        <v>328</v>
      </c>
      <c r="D13" s="1100"/>
      <c r="E13" s="1093">
        <v>140.6</v>
      </c>
      <c r="F13" s="399">
        <f t="shared" si="0"/>
        <v>42.865853658536587</v>
      </c>
      <c r="G13" s="282">
        <v>140.6</v>
      </c>
      <c r="H13" s="399">
        <f t="shared" si="5"/>
        <v>100</v>
      </c>
      <c r="I13" s="282">
        <v>159.69999999999999</v>
      </c>
      <c r="J13" s="282">
        <v>0</v>
      </c>
      <c r="K13" s="282">
        <v>147.30000000000001</v>
      </c>
      <c r="L13" s="282">
        <v>147.30000000000001</v>
      </c>
      <c r="M13" s="399">
        <f t="shared" si="6"/>
        <v>104.76529160739689</v>
      </c>
      <c r="N13" s="282">
        <v>166.9</v>
      </c>
      <c r="O13" s="399">
        <f t="shared" si="1"/>
        <v>113.306177868296</v>
      </c>
      <c r="P13" s="282">
        <v>166.9</v>
      </c>
      <c r="Q13" s="399">
        <f t="shared" si="2"/>
        <v>104.50845335003132</v>
      </c>
      <c r="R13" s="399">
        <f t="shared" si="3"/>
        <v>113.306177868296</v>
      </c>
      <c r="S13" s="282">
        <v>0</v>
      </c>
      <c r="T13" s="1083">
        <v>0</v>
      </c>
      <c r="U13" s="1106">
        <v>183</v>
      </c>
      <c r="V13" s="1087">
        <f t="shared" si="7"/>
        <v>1.0964649490713001</v>
      </c>
      <c r="W13" s="1069">
        <v>0</v>
      </c>
      <c r="X13" s="1069">
        <v>80</v>
      </c>
      <c r="Y13" s="1069">
        <v>240</v>
      </c>
      <c r="Z13" s="1196">
        <v>389.6</v>
      </c>
      <c r="AA13" s="1110">
        <v>0</v>
      </c>
      <c r="AB13" s="1069">
        <v>0</v>
      </c>
      <c r="AC13" s="1090"/>
      <c r="AD13" s="1069">
        <v>528</v>
      </c>
      <c r="AE13" s="1107">
        <v>792</v>
      </c>
      <c r="AF13" s="1196">
        <v>1056</v>
      </c>
      <c r="AG13" s="1196">
        <v>1056</v>
      </c>
      <c r="AH13" s="1090"/>
      <c r="AI13" s="5173" t="s">
        <v>250</v>
      </c>
      <c r="AJ13" s="5174"/>
      <c r="AK13" s="5175"/>
      <c r="AL13" s="3598">
        <v>1056</v>
      </c>
      <c r="AM13" s="3329">
        <v>528</v>
      </c>
      <c r="AN13" s="3508">
        <v>792</v>
      </c>
      <c r="AO13" s="3331">
        <f>SUM(AN13/9*12)</f>
        <v>1056</v>
      </c>
      <c r="AP13" s="3608">
        <f>SUM(AG13*1.1)</f>
        <v>1161.6000000000001</v>
      </c>
      <c r="AQ13" s="3609">
        <f>AG13*(1-0.01)*(1+0.071)*(1+0)</f>
        <v>1119.66624</v>
      </c>
      <c r="AR13" s="3610">
        <f t="shared" si="4"/>
        <v>1.06029</v>
      </c>
      <c r="AS13" s="5266" t="s">
        <v>250</v>
      </c>
      <c r="AT13" s="5267"/>
      <c r="AU13" s="5268"/>
    </row>
    <row r="14" spans="1:47" ht="20.25" customHeight="1">
      <c r="A14" s="1099" t="s">
        <v>52</v>
      </c>
      <c r="B14" s="1053">
        <v>107.6</v>
      </c>
      <c r="C14" s="1049">
        <v>91.5</v>
      </c>
      <c r="D14" s="1100">
        <f>C14/B14*100</f>
        <v>85.037174721189587</v>
      </c>
      <c r="E14" s="1093">
        <v>103.9</v>
      </c>
      <c r="F14" s="399">
        <f t="shared" si="0"/>
        <v>113.55191256830601</v>
      </c>
      <c r="G14" s="282">
        <v>103.5</v>
      </c>
      <c r="H14" s="399">
        <f t="shared" si="5"/>
        <v>99.615014436958603</v>
      </c>
      <c r="I14" s="282">
        <v>112.9</v>
      </c>
      <c r="J14" s="282">
        <v>50</v>
      </c>
      <c r="K14" s="282">
        <v>74.5</v>
      </c>
      <c r="L14" s="282">
        <v>97.9</v>
      </c>
      <c r="M14" s="399">
        <f t="shared" si="6"/>
        <v>94.589371980676333</v>
      </c>
      <c r="N14" s="282">
        <v>119.7</v>
      </c>
      <c r="O14" s="399">
        <f t="shared" si="1"/>
        <v>122.26762002042901</v>
      </c>
      <c r="P14" s="282">
        <v>118.4</v>
      </c>
      <c r="Q14" s="399">
        <f t="shared" si="2"/>
        <v>104.87156775907881</v>
      </c>
      <c r="R14" s="399">
        <f t="shared" si="3"/>
        <v>120.93973442288049</v>
      </c>
      <c r="S14" s="282">
        <v>86.7</v>
      </c>
      <c r="T14" s="1083">
        <v>113.5</v>
      </c>
      <c r="U14" s="1106">
        <v>124.3</v>
      </c>
      <c r="V14" s="1087">
        <f t="shared" si="7"/>
        <v>1.0498310810810809</v>
      </c>
      <c r="W14" s="1069">
        <f>P14*1.048</f>
        <v>124.08320000000001</v>
      </c>
      <c r="X14" s="1069">
        <v>58.3</v>
      </c>
      <c r="Y14" s="1069">
        <v>86.2</v>
      </c>
      <c r="Z14" s="1196">
        <v>114.6</v>
      </c>
      <c r="AA14" s="1110">
        <v>131</v>
      </c>
      <c r="AB14" s="1069">
        <f>AA14</f>
        <v>131</v>
      </c>
      <c r="AC14" s="1090">
        <f>AB14/W14</f>
        <v>1.0557432432432432</v>
      </c>
      <c r="AD14" s="1069">
        <v>75.569999999999993</v>
      </c>
      <c r="AE14" s="1107">
        <v>113.59</v>
      </c>
      <c r="AF14" s="1196">
        <f>SUM(AB14*1.1)</f>
        <v>144.10000000000002</v>
      </c>
      <c r="AG14" s="1196">
        <f>AF14</f>
        <v>144.10000000000002</v>
      </c>
      <c r="AH14" s="1090">
        <f t="shared" si="8"/>
        <v>1.1000000000000001</v>
      </c>
      <c r="AI14" s="5173" t="s">
        <v>250</v>
      </c>
      <c r="AJ14" s="5174"/>
      <c r="AK14" s="5175"/>
      <c r="AL14" s="3598">
        <v>153.05000000000001</v>
      </c>
      <c r="AM14" s="3329">
        <v>79.72</v>
      </c>
      <c r="AN14" s="3508">
        <v>113.13</v>
      </c>
      <c r="AO14" s="3331">
        <f>SUM(AN14/9*12)</f>
        <v>150.84</v>
      </c>
      <c r="AP14" s="3608">
        <f>SUM(AL14*1.074*1.1)</f>
        <v>180.81327000000005</v>
      </c>
      <c r="AQ14" s="3609">
        <f t="shared" ref="AQ14:AQ44" si="12">AG14*(1-0.01)*(1+0.071)*(1+0)</f>
        <v>152.787789</v>
      </c>
      <c r="AR14" s="3610">
        <f t="shared" si="4"/>
        <v>1.06029</v>
      </c>
      <c r="AS14" s="5266" t="s">
        <v>250</v>
      </c>
      <c r="AT14" s="5267"/>
      <c r="AU14" s="5268"/>
    </row>
    <row r="15" spans="1:47" ht="20.25" customHeight="1">
      <c r="A15" s="1099" t="s">
        <v>31</v>
      </c>
      <c r="B15" s="1053">
        <v>2520.4</v>
      </c>
      <c r="C15" s="1049">
        <v>1777.2</v>
      </c>
      <c r="D15" s="1100">
        <f>C15/B15*100</f>
        <v>70.512617044913512</v>
      </c>
      <c r="E15" s="1093">
        <v>1991.1</v>
      </c>
      <c r="F15" s="399">
        <f t="shared" si="0"/>
        <v>112.03578663065497</v>
      </c>
      <c r="G15" s="282">
        <v>2194.3000000000002</v>
      </c>
      <c r="H15" s="399">
        <f t="shared" si="5"/>
        <v>110.20541409271259</v>
      </c>
      <c r="I15" s="282">
        <v>1991.3</v>
      </c>
      <c r="J15" s="282">
        <v>1139.5</v>
      </c>
      <c r="K15" s="282">
        <v>1737</v>
      </c>
      <c r="L15" s="282">
        <v>2367.8000000000002</v>
      </c>
      <c r="M15" s="399">
        <f t="shared" si="6"/>
        <v>107.90684956478147</v>
      </c>
      <c r="N15" s="282">
        <v>2413.4</v>
      </c>
      <c r="O15" s="399">
        <f t="shared" si="1"/>
        <v>101.92583833094011</v>
      </c>
      <c r="P15" s="282">
        <v>2188.6</v>
      </c>
      <c r="Q15" s="399">
        <f t="shared" si="2"/>
        <v>109.90810023602671</v>
      </c>
      <c r="R15" s="399">
        <f t="shared" si="3"/>
        <v>92.431793225779188</v>
      </c>
      <c r="S15" s="282">
        <v>2103.8000000000002</v>
      </c>
      <c r="T15" s="1083">
        <v>2562.8000000000002</v>
      </c>
      <c r="U15" s="1106">
        <v>2520</v>
      </c>
      <c r="V15" s="1087">
        <f t="shared" si="7"/>
        <v>1.1514209997258522</v>
      </c>
      <c r="W15" s="1069">
        <f>P15*1.03</f>
        <v>2254.2579999999998</v>
      </c>
      <c r="X15" s="1069">
        <v>606.20000000000005</v>
      </c>
      <c r="Y15" s="1069">
        <v>1009.7</v>
      </c>
      <c r="Z15" s="1196">
        <v>1396.8</v>
      </c>
      <c r="AA15" s="1110">
        <v>2637.1</v>
      </c>
      <c r="AB15" s="1069">
        <f>AA15</f>
        <v>2637.1</v>
      </c>
      <c r="AC15" s="1090">
        <f>AB15/W15</f>
        <v>1.1698306050150427</v>
      </c>
      <c r="AD15" s="1069">
        <v>730.2</v>
      </c>
      <c r="AE15" s="1107">
        <v>1127.3599999999999</v>
      </c>
      <c r="AF15" s="1196">
        <f>SUM(AB15*1.15)</f>
        <v>3032.6649999999995</v>
      </c>
      <c r="AG15" s="1196">
        <f>AE15/3*4*1.033</f>
        <v>1552.7505066666663</v>
      </c>
      <c r="AH15" s="1090">
        <f t="shared" si="8"/>
        <v>0.58880986942727476</v>
      </c>
      <c r="AI15" s="5173" t="s">
        <v>1504</v>
      </c>
      <c r="AJ15" s="5174"/>
      <c r="AK15" s="5175"/>
      <c r="AL15" s="3597">
        <v>1559.75</v>
      </c>
      <c r="AM15" s="3329">
        <v>787.4</v>
      </c>
      <c r="AN15" s="3508">
        <v>1150.46</v>
      </c>
      <c r="AO15" s="3331">
        <f>SUM(AN15/9*12)</f>
        <v>1533.9466666666667</v>
      </c>
      <c r="AP15" s="3608">
        <f>SUM(AL15*1.074*1.1)</f>
        <v>1842.6886500000003</v>
      </c>
      <c r="AQ15" s="3609">
        <f t="shared" si="12"/>
        <v>1646.3658347135995</v>
      </c>
      <c r="AR15" s="3610">
        <f t="shared" si="4"/>
        <v>1.06029</v>
      </c>
      <c r="AS15" s="5266" t="s">
        <v>1504</v>
      </c>
      <c r="AT15" s="5267"/>
      <c r="AU15" s="5268"/>
    </row>
    <row r="16" spans="1:47" ht="38.25" customHeight="1">
      <c r="A16" s="1099" t="s">
        <v>71</v>
      </c>
      <c r="B16" s="1053">
        <v>113.7</v>
      </c>
      <c r="C16" s="1049">
        <v>71.400000000000006</v>
      </c>
      <c r="D16" s="1100">
        <f>C16/B16*100</f>
        <v>62.79683377308708</v>
      </c>
      <c r="E16" s="1093">
        <v>95.5</v>
      </c>
      <c r="F16" s="399">
        <f t="shared" si="0"/>
        <v>133.75350140056022</v>
      </c>
      <c r="G16" s="282">
        <v>111.7</v>
      </c>
      <c r="H16" s="399">
        <f t="shared" si="5"/>
        <v>116.96335078534032</v>
      </c>
      <c r="I16" s="282">
        <v>93.4</v>
      </c>
      <c r="J16" s="282">
        <v>61.3</v>
      </c>
      <c r="K16" s="282">
        <v>93.4</v>
      </c>
      <c r="L16" s="282">
        <v>132.30000000000001</v>
      </c>
      <c r="M16" s="399">
        <f t="shared" si="6"/>
        <v>118.44225604297225</v>
      </c>
      <c r="N16" s="282">
        <v>122.9</v>
      </c>
      <c r="O16" s="399">
        <f t="shared" si="1"/>
        <v>92.894935752078595</v>
      </c>
      <c r="P16" s="282">
        <v>130.69999999999999</v>
      </c>
      <c r="Q16" s="399">
        <f t="shared" si="2"/>
        <v>139.93576017130619</v>
      </c>
      <c r="R16" s="399">
        <f t="shared" si="3"/>
        <v>98.790627362055915</v>
      </c>
      <c r="S16" s="282">
        <v>58.4</v>
      </c>
      <c r="T16" s="1083">
        <v>130.69999999999999</v>
      </c>
      <c r="U16" s="1106">
        <v>148.19999999999999</v>
      </c>
      <c r="V16" s="1087">
        <f t="shared" si="7"/>
        <v>1.13389441469013</v>
      </c>
      <c r="W16" s="1069">
        <f>S16/3*4*1.048</f>
        <v>81.604266666666661</v>
      </c>
      <c r="X16" s="1069">
        <v>70</v>
      </c>
      <c r="Y16" s="1069">
        <v>94.99</v>
      </c>
      <c r="Z16" s="1196">
        <v>124.7</v>
      </c>
      <c r="AA16" s="1110">
        <v>191.1</v>
      </c>
      <c r="AB16" s="1069">
        <f>Y16/3*4*1.049</f>
        <v>132.85934666666665</v>
      </c>
      <c r="AC16" s="1090">
        <f>AB16/W16</f>
        <v>1.6280931389208406</v>
      </c>
      <c r="AD16" s="1069">
        <v>78.25</v>
      </c>
      <c r="AE16" s="1107">
        <v>112.2</v>
      </c>
      <c r="AF16" s="1196">
        <f>SUM(Z16*1.1)</f>
        <v>137.17000000000002</v>
      </c>
      <c r="AG16" s="1196">
        <f>AF16</f>
        <v>137.17000000000002</v>
      </c>
      <c r="AH16" s="1090">
        <f t="shared" si="8"/>
        <v>1.032445239582191</v>
      </c>
      <c r="AI16" s="5173" t="s">
        <v>250</v>
      </c>
      <c r="AJ16" s="5174"/>
      <c r="AK16" s="5175"/>
      <c r="AL16" s="3600">
        <f>131.29+13.23</f>
        <v>144.51999999999998</v>
      </c>
      <c r="AM16" s="3329">
        <f>15.28+75.19</f>
        <v>90.47</v>
      </c>
      <c r="AN16" s="3508">
        <v>132.35</v>
      </c>
      <c r="AO16" s="3331">
        <f>SUM(AN16/9*12)</f>
        <v>176.46666666666667</v>
      </c>
      <c r="AP16" s="3608">
        <f>SUM(AL16*1.074*1.1)</f>
        <v>170.735928</v>
      </c>
      <c r="AQ16" s="3609">
        <f t="shared" si="12"/>
        <v>145.4399793</v>
      </c>
      <c r="AR16" s="3610">
        <f t="shared" si="4"/>
        <v>1.06029</v>
      </c>
      <c r="AS16" s="5266" t="s">
        <v>250</v>
      </c>
      <c r="AT16" s="5267"/>
      <c r="AU16" s="5268"/>
    </row>
    <row r="17" spans="1:47" ht="20.25" customHeight="1">
      <c r="A17" s="1099" t="s">
        <v>851</v>
      </c>
      <c r="B17" s="1053">
        <f>SUM(B18:B22)</f>
        <v>636.9</v>
      </c>
      <c r="C17" s="1049">
        <f>SUM(C18:C22)</f>
        <v>812.49999999999989</v>
      </c>
      <c r="D17" s="1100">
        <f>C17/B17*100</f>
        <v>127.57104726016641</v>
      </c>
      <c r="E17" s="1093">
        <f>SUM(E18:E22)</f>
        <v>929.9</v>
      </c>
      <c r="F17" s="282">
        <f>SUM(F18:F22)</f>
        <v>498.86527273998672</v>
      </c>
      <c r="G17" s="282">
        <f>SUM(G18:G22)</f>
        <v>882.49999999999989</v>
      </c>
      <c r="H17" s="399">
        <f t="shared" si="5"/>
        <v>94.902677707280347</v>
      </c>
      <c r="I17" s="282">
        <f>SUM(I18:I22)</f>
        <v>978.70000000000016</v>
      </c>
      <c r="J17" s="282">
        <f>SUM(J18:J22)</f>
        <v>526.9</v>
      </c>
      <c r="K17" s="282">
        <f>SUM(K18:K22)</f>
        <v>542.70000000000005</v>
      </c>
      <c r="L17" s="282">
        <f>SUM(L18:L22)</f>
        <v>790.2</v>
      </c>
      <c r="M17" s="399">
        <f t="shared" si="6"/>
        <v>89.541076487252141</v>
      </c>
      <c r="N17" s="282">
        <f>SUM(N18:N22)</f>
        <v>1105.9999999999998</v>
      </c>
      <c r="O17" s="399">
        <f t="shared" si="1"/>
        <v>139.96456593267524</v>
      </c>
      <c r="P17" s="282">
        <f>SUM(P18:P22)</f>
        <v>868.5</v>
      </c>
      <c r="Q17" s="399">
        <f t="shared" si="2"/>
        <v>88.740165525697336</v>
      </c>
      <c r="R17" s="399">
        <f t="shared" si="3"/>
        <v>109.90888382687926</v>
      </c>
      <c r="S17" s="282">
        <f>SUM(S18:S22)</f>
        <v>477.5</v>
      </c>
      <c r="T17" s="1083">
        <f>SUM(T18:T22)</f>
        <v>5233.3999999999996</v>
      </c>
      <c r="U17" s="1110">
        <f>SUM(U18:U22)</f>
        <v>990.9</v>
      </c>
      <c r="V17" s="1087">
        <f t="shared" si="7"/>
        <v>1.1409326424870465</v>
      </c>
      <c r="W17" s="1069">
        <f t="shared" ref="W17:AB17" si="13">SUM(W18:W22)</f>
        <v>729.71640000000002</v>
      </c>
      <c r="X17" s="1069">
        <f t="shared" si="13"/>
        <v>2335.7000000000003</v>
      </c>
      <c r="Y17" s="1069">
        <f t="shared" si="13"/>
        <v>2529</v>
      </c>
      <c r="Z17" s="1196">
        <f t="shared" si="13"/>
        <v>4147.5</v>
      </c>
      <c r="AA17" s="1110">
        <f t="shared" si="13"/>
        <v>5434.9</v>
      </c>
      <c r="AB17" s="1069">
        <f t="shared" si="13"/>
        <v>4876.6199500000002</v>
      </c>
      <c r="AC17" s="1090">
        <f>AB17/(W17+W25)</f>
        <v>0.96894515275477255</v>
      </c>
      <c r="AD17" s="1069">
        <f t="shared" ref="AD17:AG17" si="14">SUM(AD18:AD22)</f>
        <v>2106.85</v>
      </c>
      <c r="AE17" s="1107">
        <f t="shared" si="14"/>
        <v>2260.81</v>
      </c>
      <c r="AF17" s="1196">
        <f t="shared" si="14"/>
        <v>4616.423065</v>
      </c>
      <c r="AG17" s="1196">
        <f t="shared" si="14"/>
        <v>4448.0314096000002</v>
      </c>
      <c r="AH17" s="1090">
        <f t="shared" si="8"/>
        <v>0.91211360639247685</v>
      </c>
      <c r="AI17" s="5173"/>
      <c r="AJ17" s="5174"/>
      <c r="AK17" s="5175"/>
      <c r="AL17" s="3597">
        <f t="shared" ref="AL17:AQ17" si="15">SUM(AL18:AL22)</f>
        <v>3628.62</v>
      </c>
      <c r="AM17" s="3329">
        <f t="shared" si="15"/>
        <v>1993.6299999999999</v>
      </c>
      <c r="AN17" s="3508">
        <f t="shared" si="15"/>
        <v>2174.44</v>
      </c>
      <c r="AO17" s="3331">
        <f t="shared" si="15"/>
        <v>4743.3066666666673</v>
      </c>
      <c r="AP17" s="3608">
        <f t="shared" si="15"/>
        <v>4892.8345505600009</v>
      </c>
      <c r="AQ17" s="3609">
        <f t="shared" si="15"/>
        <v>4632.9959912847844</v>
      </c>
      <c r="AR17" s="3610">
        <f t="shared" si="4"/>
        <v>1.0415834702258584</v>
      </c>
      <c r="AS17" s="5266"/>
      <c r="AT17" s="5267"/>
      <c r="AU17" s="5268"/>
    </row>
    <row r="18" spans="1:47" ht="38.25" customHeight="1">
      <c r="A18" s="1101" t="s">
        <v>563</v>
      </c>
      <c r="B18" s="1098">
        <v>240.3</v>
      </c>
      <c r="C18" s="1097">
        <v>359.1</v>
      </c>
      <c r="D18" s="1100">
        <f t="shared" ref="D18:D26" si="16">C18/B18*100</f>
        <v>149.43820224719101</v>
      </c>
      <c r="E18" s="1095">
        <v>465.8</v>
      </c>
      <c r="F18" s="399">
        <f t="shared" ref="F18:F25" si="17">E18/C18*100</f>
        <v>129.71317181843497</v>
      </c>
      <c r="G18" s="399">
        <v>457.7</v>
      </c>
      <c r="H18" s="399">
        <f t="shared" si="5"/>
        <v>98.261056247316432</v>
      </c>
      <c r="I18" s="399">
        <v>479.1</v>
      </c>
      <c r="J18" s="399">
        <v>293.2</v>
      </c>
      <c r="K18" s="399">
        <v>287.8</v>
      </c>
      <c r="L18" s="399">
        <v>441.5</v>
      </c>
      <c r="M18" s="399">
        <f t="shared" si="6"/>
        <v>96.460563688005237</v>
      </c>
      <c r="N18" s="399">
        <v>551</v>
      </c>
      <c r="O18" s="399">
        <f t="shared" ref="O18:O26" si="18">N18/L18*100</f>
        <v>124.80181200453002</v>
      </c>
      <c r="P18" s="399">
        <v>512.6</v>
      </c>
      <c r="Q18" s="399">
        <f t="shared" ref="Q18:Q26" si="19">P18/I18*100</f>
        <v>106.99227718639115</v>
      </c>
      <c r="R18" s="399">
        <f t="shared" ref="R18:R26" si="20">P18/L18*100</f>
        <v>116.10419026047565</v>
      </c>
      <c r="S18" s="282">
        <v>228</v>
      </c>
      <c r="T18" s="1083">
        <v>4866.7</v>
      </c>
      <c r="U18" s="1106">
        <v>550</v>
      </c>
      <c r="V18" s="1087">
        <f t="shared" si="7"/>
        <v>1.0729613733905579</v>
      </c>
      <c r="W18" s="1069">
        <f>S18/5*8*1.015</f>
        <v>370.27199999999999</v>
      </c>
      <c r="X18" s="1069">
        <v>2130</v>
      </c>
      <c r="Y18" s="1069">
        <v>2267.8000000000002</v>
      </c>
      <c r="Z18" s="1196">
        <v>3728</v>
      </c>
      <c r="AA18" s="1110">
        <v>5023</v>
      </c>
      <c r="AB18" s="1069">
        <f>1630/3*8*1.035</f>
        <v>4498.8</v>
      </c>
      <c r="AC18" s="1090">
        <f>AB18/(W18+W25)</f>
        <v>0.96262478944989949</v>
      </c>
      <c r="AD18" s="1069">
        <v>2001.55</v>
      </c>
      <c r="AE18" s="1107">
        <v>2110.23</v>
      </c>
      <c r="AF18" s="1196">
        <f>SUM(Z18*1.1)</f>
        <v>4100.8</v>
      </c>
      <c r="AG18" s="1196">
        <f>AF18</f>
        <v>4100.8</v>
      </c>
      <c r="AH18" s="1090">
        <f t="shared" si="8"/>
        <v>0.91153196407931003</v>
      </c>
      <c r="AI18" s="5173" t="s">
        <v>250</v>
      </c>
      <c r="AJ18" s="5174"/>
      <c r="AK18" s="5175"/>
      <c r="AL18" s="3597">
        <v>3433.81</v>
      </c>
      <c r="AM18" s="3329">
        <v>1893.99</v>
      </c>
      <c r="AN18" s="3508">
        <v>2000.12</v>
      </c>
      <c r="AO18" s="3331">
        <v>4510.88</v>
      </c>
      <c r="AP18" s="3608">
        <f>SUM(AG18*1.1)</f>
        <v>4510.880000000001</v>
      </c>
      <c r="AQ18" s="3631">
        <v>4264.83</v>
      </c>
      <c r="AR18" s="3610">
        <f t="shared" si="4"/>
        <v>1.0399995122902848</v>
      </c>
      <c r="AS18" s="5266" t="s">
        <v>250</v>
      </c>
      <c r="AT18" s="5267"/>
      <c r="AU18" s="5268"/>
    </row>
    <row r="19" spans="1:47" ht="38.25" customHeight="1">
      <c r="A19" s="1101" t="s">
        <v>564</v>
      </c>
      <c r="B19" s="1098">
        <v>27.6</v>
      </c>
      <c r="C19" s="1097">
        <v>31.9</v>
      </c>
      <c r="D19" s="1100">
        <f t="shared" si="16"/>
        <v>115.57971014492752</v>
      </c>
      <c r="E19" s="1095">
        <v>32</v>
      </c>
      <c r="F19" s="399">
        <f t="shared" si="17"/>
        <v>100.31347962382446</v>
      </c>
      <c r="G19" s="399">
        <v>38.4</v>
      </c>
      <c r="H19" s="399">
        <f t="shared" si="5"/>
        <v>120</v>
      </c>
      <c r="I19" s="399">
        <v>34.700000000000003</v>
      </c>
      <c r="J19" s="399">
        <v>19.2</v>
      </c>
      <c r="K19" s="399">
        <v>30.8</v>
      </c>
      <c r="L19" s="399">
        <v>41.5</v>
      </c>
      <c r="M19" s="399">
        <f t="shared" si="6"/>
        <v>108.07291666666667</v>
      </c>
      <c r="N19" s="399">
        <v>42.4</v>
      </c>
      <c r="O19" s="399">
        <f t="shared" si="18"/>
        <v>102.16867469879519</v>
      </c>
      <c r="P19" s="399">
        <v>42.4</v>
      </c>
      <c r="Q19" s="399">
        <f t="shared" si="19"/>
        <v>122.19020172910662</v>
      </c>
      <c r="R19" s="399">
        <f t="shared" si="20"/>
        <v>102.16867469879519</v>
      </c>
      <c r="S19" s="282">
        <v>1.5</v>
      </c>
      <c r="T19" s="1083">
        <v>1.5</v>
      </c>
      <c r="U19" s="1106">
        <v>44.5</v>
      </c>
      <c r="V19" s="1087">
        <f t="shared" si="7"/>
        <v>1.0495283018867925</v>
      </c>
      <c r="W19" s="1069">
        <f>P19*1.048</f>
        <v>44.435200000000002</v>
      </c>
      <c r="X19" s="1069">
        <v>0</v>
      </c>
      <c r="Y19" s="1069">
        <v>0</v>
      </c>
      <c r="Z19" s="1196">
        <v>0</v>
      </c>
      <c r="AA19" s="1110">
        <v>47</v>
      </c>
      <c r="AB19" s="1069">
        <f>(E19+G19+L19+S19)/4*1.049</f>
        <v>29.739149999999999</v>
      </c>
      <c r="AC19" s="1090">
        <f>AB19/W19</f>
        <v>0.66927008317730086</v>
      </c>
      <c r="AD19" s="1069">
        <v>0</v>
      </c>
      <c r="AE19" s="1107">
        <v>0</v>
      </c>
      <c r="AF19" s="1196">
        <f>SUM(AB19*1.1)</f>
        <v>32.713065</v>
      </c>
      <c r="AG19" s="1196">
        <v>0</v>
      </c>
      <c r="AH19" s="1090">
        <f t="shared" si="8"/>
        <v>0</v>
      </c>
      <c r="AI19" s="5173" t="s">
        <v>1497</v>
      </c>
      <c r="AJ19" s="5174"/>
      <c r="AK19" s="5175"/>
      <c r="AL19" s="3597">
        <v>0</v>
      </c>
      <c r="AM19" s="3329">
        <v>0</v>
      </c>
      <c r="AN19" s="3508">
        <v>0</v>
      </c>
      <c r="AO19" s="3331">
        <v>0</v>
      </c>
      <c r="AP19" s="3608">
        <f>SUM(AL19*1.1)</f>
        <v>0</v>
      </c>
      <c r="AQ19" s="3609">
        <f t="shared" si="12"/>
        <v>0</v>
      </c>
      <c r="AR19" s="3610"/>
      <c r="AS19" s="5266" t="s">
        <v>1497</v>
      </c>
      <c r="AT19" s="5267"/>
      <c r="AU19" s="5268"/>
    </row>
    <row r="20" spans="1:47" ht="38.25" customHeight="1">
      <c r="A20" s="1101" t="s">
        <v>565</v>
      </c>
      <c r="B20" s="1098">
        <v>315.7</v>
      </c>
      <c r="C20" s="1097">
        <v>352.3</v>
      </c>
      <c r="D20" s="1100">
        <f t="shared" si="16"/>
        <v>111.59328476401649</v>
      </c>
      <c r="E20" s="1095">
        <v>378.8</v>
      </c>
      <c r="F20" s="399">
        <f t="shared" si="17"/>
        <v>107.52199829690605</v>
      </c>
      <c r="G20" s="399">
        <v>338.8</v>
      </c>
      <c r="H20" s="399">
        <f t="shared" si="5"/>
        <v>89.440337909186908</v>
      </c>
      <c r="I20" s="399">
        <v>422.8</v>
      </c>
      <c r="J20" s="399">
        <v>198.2</v>
      </c>
      <c r="K20" s="399">
        <v>199.6</v>
      </c>
      <c r="L20" s="399">
        <v>260.2</v>
      </c>
      <c r="M20" s="399">
        <f t="shared" si="6"/>
        <v>76.800472255017709</v>
      </c>
      <c r="N20" s="399">
        <v>454.4</v>
      </c>
      <c r="O20" s="399">
        <f t="shared" si="18"/>
        <v>174.63489623366641</v>
      </c>
      <c r="P20" s="399">
        <v>279.2</v>
      </c>
      <c r="Q20" s="399">
        <f t="shared" si="19"/>
        <v>66.035950804162724</v>
      </c>
      <c r="R20" s="399">
        <f t="shared" si="20"/>
        <v>107.3020753266718</v>
      </c>
      <c r="S20" s="282">
        <v>222.9</v>
      </c>
      <c r="T20" s="1083">
        <v>315.10000000000002</v>
      </c>
      <c r="U20" s="1106">
        <v>339.3</v>
      </c>
      <c r="V20" s="1087">
        <f t="shared" si="7"/>
        <v>1.2152578796561606</v>
      </c>
      <c r="W20" s="1069">
        <f>P20</f>
        <v>279.2</v>
      </c>
      <c r="X20" s="1069">
        <v>188.9</v>
      </c>
      <c r="Y20" s="1069">
        <v>235.5</v>
      </c>
      <c r="Z20" s="1196">
        <v>385.4</v>
      </c>
      <c r="AA20" s="1110">
        <v>309.7</v>
      </c>
      <c r="AB20" s="1069">
        <f>W20*1.049</f>
        <v>292.88079999999997</v>
      </c>
      <c r="AC20" s="1090">
        <f>AB20/W20</f>
        <v>1.0489999999999999</v>
      </c>
      <c r="AD20" s="1069">
        <v>87.9</v>
      </c>
      <c r="AE20" s="1107">
        <v>124.62</v>
      </c>
      <c r="AF20" s="1196">
        <f>SUM(Z20*1.1)</f>
        <v>423.94</v>
      </c>
      <c r="AG20" s="1196">
        <f>AB20*1.062</f>
        <v>311.0394096</v>
      </c>
      <c r="AH20" s="1090">
        <f t="shared" si="8"/>
        <v>1.0620000000000001</v>
      </c>
      <c r="AI20" s="5173" t="s">
        <v>1501</v>
      </c>
      <c r="AJ20" s="5174"/>
      <c r="AK20" s="5175"/>
      <c r="AL20" s="3597">
        <v>160.21</v>
      </c>
      <c r="AM20" s="3329">
        <v>82.6</v>
      </c>
      <c r="AN20" s="3508">
        <v>149.84</v>
      </c>
      <c r="AO20" s="3331">
        <f>SUM(AN20/9*12)</f>
        <v>199.78666666666669</v>
      </c>
      <c r="AP20" s="3608">
        <f>SUM(AG20*1.1)</f>
        <v>342.14335056000004</v>
      </c>
      <c r="AQ20" s="3609">
        <f t="shared" si="12"/>
        <v>329.791975604784</v>
      </c>
      <c r="AR20" s="3610">
        <f t="shared" si="4"/>
        <v>1.06029</v>
      </c>
      <c r="AS20" s="5266" t="s">
        <v>1501</v>
      </c>
      <c r="AT20" s="5267"/>
      <c r="AU20" s="5268"/>
    </row>
    <row r="21" spans="1:47" ht="38.25" customHeight="1">
      <c r="A21" s="1101" t="s">
        <v>566</v>
      </c>
      <c r="B21" s="1098">
        <v>23.9</v>
      </c>
      <c r="C21" s="1097">
        <v>47.8</v>
      </c>
      <c r="D21" s="1100">
        <f t="shared" si="16"/>
        <v>200</v>
      </c>
      <c r="E21" s="1095">
        <v>34</v>
      </c>
      <c r="F21" s="399">
        <f t="shared" si="17"/>
        <v>71.129707112970721</v>
      </c>
      <c r="G21" s="399">
        <v>32.799999999999997</v>
      </c>
      <c r="H21" s="399">
        <f t="shared" si="5"/>
        <v>96.470588235294102</v>
      </c>
      <c r="I21" s="399">
        <v>34.700000000000003</v>
      </c>
      <c r="J21" s="399">
        <v>16.3</v>
      </c>
      <c r="K21" s="399">
        <v>24.5</v>
      </c>
      <c r="L21" s="399">
        <v>32.200000000000003</v>
      </c>
      <c r="M21" s="399">
        <f t="shared" si="6"/>
        <v>98.170731707317088</v>
      </c>
      <c r="N21" s="399">
        <v>40.6</v>
      </c>
      <c r="O21" s="399">
        <f t="shared" si="18"/>
        <v>126.08695652173911</v>
      </c>
      <c r="P21" s="399">
        <v>34.299999999999997</v>
      </c>
      <c r="Q21" s="399">
        <f t="shared" si="19"/>
        <v>98.8472622478386</v>
      </c>
      <c r="R21" s="399">
        <f t="shared" si="20"/>
        <v>106.52173913043477</v>
      </c>
      <c r="S21" s="282">
        <v>25.1</v>
      </c>
      <c r="T21" s="1083">
        <v>33.4</v>
      </c>
      <c r="U21" s="1106">
        <v>40.1</v>
      </c>
      <c r="V21" s="1087">
        <f t="shared" si="7"/>
        <v>1.1690962099125366</v>
      </c>
      <c r="W21" s="1069">
        <f>P21*1.044</f>
        <v>35.809199999999997</v>
      </c>
      <c r="X21" s="1069">
        <v>16.8</v>
      </c>
      <c r="Y21" s="1069">
        <v>25.7</v>
      </c>
      <c r="Z21" s="1196">
        <v>34.1</v>
      </c>
      <c r="AA21" s="1110">
        <v>37.700000000000003</v>
      </c>
      <c r="AB21" s="1069">
        <f>AA21</f>
        <v>37.700000000000003</v>
      </c>
      <c r="AC21" s="1090">
        <f>AB21/W21</f>
        <v>1.0528020732102366</v>
      </c>
      <c r="AD21" s="1069">
        <v>17.399999999999999</v>
      </c>
      <c r="AE21" s="1107">
        <v>25.96</v>
      </c>
      <c r="AF21" s="1196">
        <f>SUM(AA21*1.1)</f>
        <v>41.470000000000006</v>
      </c>
      <c r="AG21" s="1196">
        <f>AD21*2*1.04</f>
        <v>36.192</v>
      </c>
      <c r="AH21" s="1090">
        <f t="shared" si="8"/>
        <v>0.96</v>
      </c>
      <c r="AI21" s="5173" t="s">
        <v>250</v>
      </c>
      <c r="AJ21" s="5174"/>
      <c r="AK21" s="5175"/>
      <c r="AL21" s="3597">
        <v>34.6</v>
      </c>
      <c r="AM21" s="3329">
        <v>17.04</v>
      </c>
      <c r="AN21" s="3508">
        <v>24.48</v>
      </c>
      <c r="AO21" s="3331">
        <f>SUM(AN21/9*12)</f>
        <v>32.64</v>
      </c>
      <c r="AP21" s="3608">
        <f>SUM(AG21*1.1)</f>
        <v>39.811200000000007</v>
      </c>
      <c r="AQ21" s="3609">
        <f t="shared" si="12"/>
        <v>38.374015679999999</v>
      </c>
      <c r="AR21" s="3610">
        <f t="shared" si="4"/>
        <v>1.06029</v>
      </c>
      <c r="AS21" s="5266" t="s">
        <v>250</v>
      </c>
      <c r="AT21" s="5267"/>
      <c r="AU21" s="5268"/>
    </row>
    <row r="22" spans="1:47" ht="28.5" customHeight="1">
      <c r="A22" s="1101" t="s">
        <v>567</v>
      </c>
      <c r="B22" s="1098">
        <v>29.4</v>
      </c>
      <c r="C22" s="1097">
        <v>21.4</v>
      </c>
      <c r="D22" s="1100">
        <f t="shared" si="16"/>
        <v>72.789115646258509</v>
      </c>
      <c r="E22" s="1095">
        <v>19.3</v>
      </c>
      <c r="F22" s="399">
        <f t="shared" si="17"/>
        <v>90.186915887850475</v>
      </c>
      <c r="G22" s="399">
        <v>14.8</v>
      </c>
      <c r="H22" s="399">
        <f t="shared" si="5"/>
        <v>76.683937823834199</v>
      </c>
      <c r="I22" s="399">
        <v>7.4</v>
      </c>
      <c r="J22" s="399">
        <v>0</v>
      </c>
      <c r="K22" s="399">
        <v>0</v>
      </c>
      <c r="L22" s="399">
        <v>14.8</v>
      </c>
      <c r="M22" s="399">
        <f t="shared" si="6"/>
        <v>100</v>
      </c>
      <c r="N22" s="399">
        <v>17.600000000000001</v>
      </c>
      <c r="O22" s="399"/>
      <c r="P22" s="399">
        <v>0</v>
      </c>
      <c r="Q22" s="399">
        <f t="shared" si="19"/>
        <v>0</v>
      </c>
      <c r="R22" s="399"/>
      <c r="S22" s="282">
        <v>0</v>
      </c>
      <c r="T22" s="1083">
        <v>16.7</v>
      </c>
      <c r="U22" s="1106">
        <v>17</v>
      </c>
      <c r="V22" s="1087"/>
      <c r="W22" s="1069">
        <f>P22</f>
        <v>0</v>
      </c>
      <c r="X22" s="1069">
        <v>0</v>
      </c>
      <c r="Y22" s="1069">
        <v>0</v>
      </c>
      <c r="Z22" s="1196">
        <v>0</v>
      </c>
      <c r="AA22" s="1110">
        <v>17.5</v>
      </c>
      <c r="AB22" s="1069">
        <f>AA22</f>
        <v>17.5</v>
      </c>
      <c r="AC22" s="1090"/>
      <c r="AD22" s="1069">
        <v>0</v>
      </c>
      <c r="AE22" s="1107">
        <v>0</v>
      </c>
      <c r="AF22" s="1196">
        <f>SUM(AB22)</f>
        <v>17.5</v>
      </c>
      <c r="AG22" s="1196">
        <v>0</v>
      </c>
      <c r="AH22" s="1090">
        <f t="shared" si="8"/>
        <v>0</v>
      </c>
      <c r="AI22" s="5173" t="s">
        <v>1497</v>
      </c>
      <c r="AJ22" s="5174"/>
      <c r="AK22" s="5175"/>
      <c r="AL22" s="3597">
        <v>0</v>
      </c>
      <c r="AM22" s="3329">
        <v>0</v>
      </c>
      <c r="AN22" s="3508">
        <v>0</v>
      </c>
      <c r="AO22" s="3331">
        <v>0</v>
      </c>
      <c r="AP22" s="3608">
        <f>SUM(AL22)</f>
        <v>0</v>
      </c>
      <c r="AQ22" s="3609">
        <f t="shared" si="12"/>
        <v>0</v>
      </c>
      <c r="AR22" s="3610"/>
      <c r="AS22" s="5266" t="s">
        <v>1497</v>
      </c>
      <c r="AT22" s="5267"/>
      <c r="AU22" s="5268"/>
    </row>
    <row r="23" spans="1:47" ht="20.25" customHeight="1">
      <c r="A23" s="1099" t="s">
        <v>30</v>
      </c>
      <c r="B23" s="1053">
        <v>596.20000000000005</v>
      </c>
      <c r="C23" s="1049">
        <v>491.2</v>
      </c>
      <c r="D23" s="1100">
        <f t="shared" si="16"/>
        <v>82.388460248238843</v>
      </c>
      <c r="E23" s="1093">
        <v>434.9</v>
      </c>
      <c r="F23" s="399">
        <f t="shared" si="17"/>
        <v>88.538273615635177</v>
      </c>
      <c r="G23" s="282">
        <v>447.9</v>
      </c>
      <c r="H23" s="399">
        <f t="shared" si="5"/>
        <v>102.98919291791215</v>
      </c>
      <c r="I23" s="399">
        <v>638.6</v>
      </c>
      <c r="J23" s="282">
        <v>240.8</v>
      </c>
      <c r="K23" s="282">
        <v>453.7</v>
      </c>
      <c r="L23" s="399">
        <v>604.6</v>
      </c>
      <c r="M23" s="399">
        <f t="shared" si="6"/>
        <v>134.98548783210541</v>
      </c>
      <c r="N23" s="282">
        <v>692.7</v>
      </c>
      <c r="O23" s="399">
        <f t="shared" si="18"/>
        <v>114.57161759841216</v>
      </c>
      <c r="P23" s="399">
        <v>634.6</v>
      </c>
      <c r="Q23" s="399">
        <f t="shared" si="19"/>
        <v>99.373629815220795</v>
      </c>
      <c r="R23" s="399">
        <f t="shared" si="20"/>
        <v>104.96195831955011</v>
      </c>
      <c r="S23" s="282">
        <v>521.70000000000005</v>
      </c>
      <c r="T23" s="1083">
        <v>640.4</v>
      </c>
      <c r="U23" s="1106">
        <v>743.4</v>
      </c>
      <c r="V23" s="1087">
        <f t="shared" si="7"/>
        <v>1.1714465805231642</v>
      </c>
      <c r="W23" s="1069">
        <f>P23*1.048</f>
        <v>665.06080000000009</v>
      </c>
      <c r="X23" s="1069">
        <v>580.4</v>
      </c>
      <c r="Y23" s="1069">
        <v>679.7</v>
      </c>
      <c r="Z23" s="1196">
        <v>819.2</v>
      </c>
      <c r="AA23" s="1110">
        <v>748.4</v>
      </c>
      <c r="AB23" s="1069">
        <f>AA23</f>
        <v>748.4</v>
      </c>
      <c r="AC23" s="1090">
        <f>AB23/W23</f>
        <v>1.1253106482895998</v>
      </c>
      <c r="AD23" s="1069">
        <v>235.18</v>
      </c>
      <c r="AE23" s="1107">
        <v>379.87</v>
      </c>
      <c r="AF23" s="1196">
        <f>SUM(Z23*1.1)</f>
        <v>901.12000000000012</v>
      </c>
      <c r="AG23" s="1196">
        <f>AB23*1.062</f>
        <v>794.80079999999998</v>
      </c>
      <c r="AH23" s="1090">
        <f t="shared" si="8"/>
        <v>1.0620000000000001</v>
      </c>
      <c r="AI23" s="5173" t="s">
        <v>250</v>
      </c>
      <c r="AJ23" s="5174"/>
      <c r="AK23" s="5175"/>
      <c r="AL23" s="3597">
        <v>759.95</v>
      </c>
      <c r="AM23" s="3329">
        <v>317.77</v>
      </c>
      <c r="AN23" s="3508">
        <v>723.27</v>
      </c>
      <c r="AO23" s="3331">
        <f>SUM(AN23/9*12)</f>
        <v>964.3599999999999</v>
      </c>
      <c r="AP23" s="3608">
        <f>SUM(AG23*1.1)</f>
        <v>874.28088000000002</v>
      </c>
      <c r="AQ23" s="3609">
        <f t="shared" si="12"/>
        <v>842.71934023200004</v>
      </c>
      <c r="AR23" s="3610">
        <f t="shared" si="4"/>
        <v>1.0602900000000002</v>
      </c>
      <c r="AS23" s="5266" t="s">
        <v>250</v>
      </c>
      <c r="AT23" s="5267"/>
      <c r="AU23" s="5268"/>
    </row>
    <row r="24" spans="1:47" ht="20.25" customHeight="1">
      <c r="A24" s="1099" t="s">
        <v>296</v>
      </c>
      <c r="B24" s="1053"/>
      <c r="C24" s="1049"/>
      <c r="D24" s="1100"/>
      <c r="E24" s="1093"/>
      <c r="F24" s="399"/>
      <c r="G24" s="282"/>
      <c r="H24" s="399"/>
      <c r="I24" s="399"/>
      <c r="J24" s="282"/>
      <c r="K24" s="282"/>
      <c r="L24" s="399"/>
      <c r="M24" s="399"/>
      <c r="N24" s="282"/>
      <c r="O24" s="399"/>
      <c r="P24" s="399"/>
      <c r="Q24" s="399"/>
      <c r="R24" s="399"/>
      <c r="S24" s="282"/>
      <c r="T24" s="1083"/>
      <c r="U24" s="1106"/>
      <c r="V24" s="1087"/>
      <c r="W24" s="1069">
        <f>7.607*3.39</f>
        <v>25.787730000000003</v>
      </c>
      <c r="X24" s="1069">
        <v>0</v>
      </c>
      <c r="Y24" s="1069">
        <v>0</v>
      </c>
      <c r="Z24" s="1196">
        <v>0</v>
      </c>
      <c r="AA24" s="1110">
        <v>27.2</v>
      </c>
      <c r="AB24" s="1069">
        <f>7.607/2*3.39+7.607/2*3.39*1.033</f>
        <v>26.213227545000002</v>
      </c>
      <c r="AC24" s="1090">
        <f>AB24/W24</f>
        <v>1.0165</v>
      </c>
      <c r="AD24" s="1069">
        <v>0</v>
      </c>
      <c r="AE24" s="1107">
        <v>0</v>
      </c>
      <c r="AF24" s="1196">
        <f>SUM(AA24*1.1)</f>
        <v>29.92</v>
      </c>
      <c r="AG24" s="2200">
        <v>27.1</v>
      </c>
      <c r="AH24" s="1090">
        <f t="shared" si="8"/>
        <v>1.0338291976246605</v>
      </c>
      <c r="AI24" s="5182" t="s">
        <v>1502</v>
      </c>
      <c r="AJ24" s="5183"/>
      <c r="AK24" s="5184"/>
      <c r="AL24" s="3597">
        <v>0</v>
      </c>
      <c r="AM24" s="3329">
        <v>0</v>
      </c>
      <c r="AN24" s="3508"/>
      <c r="AO24" s="3331"/>
      <c r="AP24" s="3608">
        <f>SUM(AG24*1.1)</f>
        <v>29.810000000000002</v>
      </c>
      <c r="AQ24" s="3631">
        <v>28.824999999999999</v>
      </c>
      <c r="AR24" s="3610">
        <f t="shared" si="4"/>
        <v>1.0636531365313653</v>
      </c>
      <c r="AS24" s="5276" t="s">
        <v>1502</v>
      </c>
      <c r="AT24" s="5277"/>
      <c r="AU24" s="5278"/>
    </row>
    <row r="25" spans="1:47" ht="20.25" customHeight="1">
      <c r="A25" s="1099" t="s">
        <v>84</v>
      </c>
      <c r="B25" s="1053">
        <v>2265.5</v>
      </c>
      <c r="C25" s="1049">
        <v>2370.8000000000002</v>
      </c>
      <c r="D25" s="1100">
        <f t="shared" si="16"/>
        <v>104.64798057823882</v>
      </c>
      <c r="E25" s="1093">
        <v>3361.3</v>
      </c>
      <c r="F25" s="399">
        <f t="shared" si="17"/>
        <v>141.77914627973681</v>
      </c>
      <c r="G25" s="282">
        <v>3843.8</v>
      </c>
      <c r="H25" s="399">
        <f t="shared" si="5"/>
        <v>114.35456519798888</v>
      </c>
      <c r="I25" s="282">
        <v>2976.4</v>
      </c>
      <c r="J25" s="282">
        <v>2205.8000000000002</v>
      </c>
      <c r="K25" s="282">
        <v>2484.8000000000002</v>
      </c>
      <c r="L25" s="399">
        <v>3864.3</v>
      </c>
      <c r="M25" s="399">
        <f t="shared" si="6"/>
        <v>100.5333263957542</v>
      </c>
      <c r="N25" s="282">
        <v>4898</v>
      </c>
      <c r="O25" s="399">
        <f t="shared" si="18"/>
        <v>126.74999353052299</v>
      </c>
      <c r="P25" s="399">
        <v>3475.4</v>
      </c>
      <c r="Q25" s="399">
        <f t="shared" si="19"/>
        <v>116.76521972853111</v>
      </c>
      <c r="R25" s="399">
        <f t="shared" si="20"/>
        <v>89.936081567166099</v>
      </c>
      <c r="S25" s="282">
        <v>2996.7</v>
      </c>
      <c r="T25" s="1083">
        <v>0</v>
      </c>
      <c r="U25" s="1106">
        <v>4889.2</v>
      </c>
      <c r="V25" s="1087">
        <f t="shared" si="7"/>
        <v>1.4068020947229094</v>
      </c>
      <c r="W25" s="1069">
        <v>4303.2</v>
      </c>
      <c r="X25" s="1069">
        <v>0</v>
      </c>
      <c r="Y25" s="1069">
        <v>0</v>
      </c>
      <c r="Z25" s="1196">
        <v>0</v>
      </c>
      <c r="AA25" s="1110">
        <v>0</v>
      </c>
      <c r="AB25" s="1069">
        <v>0</v>
      </c>
      <c r="AC25" s="1090"/>
      <c r="AD25" s="1069">
        <v>0</v>
      </c>
      <c r="AE25" s="1107">
        <v>0</v>
      </c>
      <c r="AF25" s="1196">
        <f>SUM(Z25*1.1)</f>
        <v>0</v>
      </c>
      <c r="AG25" s="1196">
        <f>AF25</f>
        <v>0</v>
      </c>
      <c r="AH25" s="1090"/>
      <c r="AI25" s="5173" t="s">
        <v>250</v>
      </c>
      <c r="AJ25" s="5174"/>
      <c r="AK25" s="5175"/>
      <c r="AL25" s="3597">
        <v>0</v>
      </c>
      <c r="AM25" s="3329"/>
      <c r="AN25" s="3508"/>
      <c r="AO25" s="3331"/>
      <c r="AP25" s="3608">
        <f>SUM(AJ25*1.1)</f>
        <v>0</v>
      </c>
      <c r="AQ25" s="3609">
        <f t="shared" si="12"/>
        <v>0</v>
      </c>
      <c r="AR25" s="3610"/>
      <c r="AS25" s="5266" t="s">
        <v>250</v>
      </c>
      <c r="AT25" s="5267"/>
      <c r="AU25" s="5268"/>
    </row>
    <row r="26" spans="1:47" ht="20.25" customHeight="1">
      <c r="A26" s="1099" t="s">
        <v>853</v>
      </c>
      <c r="B26" s="1053">
        <f>SUM(B27:B40)</f>
        <v>612.30000000000007</v>
      </c>
      <c r="C26" s="1049">
        <f>SUM(C27:C40)</f>
        <v>1059.2000000000003</v>
      </c>
      <c r="D26" s="1100">
        <f t="shared" si="16"/>
        <v>172.98709782786219</v>
      </c>
      <c r="E26" s="1093">
        <f>SUM(E27:E40)</f>
        <v>1540.5</v>
      </c>
      <c r="F26" s="282">
        <f>SUM(F27:F40)</f>
        <v>7226.5100998898079</v>
      </c>
      <c r="G26" s="282">
        <f>SUM(G27:G40)</f>
        <v>1630.6000000000001</v>
      </c>
      <c r="H26" s="399">
        <f t="shared" si="5"/>
        <v>105.84875040571245</v>
      </c>
      <c r="I26" s="282">
        <f>SUM(I27:I42)</f>
        <v>574.80000000000007</v>
      </c>
      <c r="J26" s="282">
        <f>SUM(J27:J41)</f>
        <v>833.19999999999993</v>
      </c>
      <c r="K26" s="282">
        <f>SUM(K27:K42)</f>
        <v>1422.4999999999998</v>
      </c>
      <c r="L26" s="282">
        <f>SUM(L27:L42)</f>
        <v>2181.3999999999996</v>
      </c>
      <c r="M26" s="399">
        <f t="shared" si="6"/>
        <v>133.77897706365752</v>
      </c>
      <c r="N26" s="282">
        <f>SUM(N27:N41)</f>
        <v>1609.2</v>
      </c>
      <c r="O26" s="399">
        <f t="shared" si="18"/>
        <v>73.769139084991309</v>
      </c>
      <c r="P26" s="282">
        <f>SUM(P27:P41)</f>
        <v>688.09999999999991</v>
      </c>
      <c r="Q26" s="399">
        <f t="shared" si="19"/>
        <v>119.71120389700762</v>
      </c>
      <c r="R26" s="399">
        <f t="shared" si="20"/>
        <v>31.543962592830294</v>
      </c>
      <c r="S26" s="282">
        <f>SUM(S27:S42)</f>
        <v>1530.4999999999998</v>
      </c>
      <c r="T26" s="1083">
        <f>SUM(T27:T42)</f>
        <v>1994.6</v>
      </c>
      <c r="U26" s="1069">
        <f t="shared" ref="U26:Y26" si="21">SUM(U27:U44)</f>
        <v>1927.9999999999998</v>
      </c>
      <c r="V26" s="1069">
        <f t="shared" si="21"/>
        <v>20.175819892344588</v>
      </c>
      <c r="W26" s="1069">
        <f t="shared" si="21"/>
        <v>717.20720000000006</v>
      </c>
      <c r="X26" s="1069">
        <f t="shared" si="21"/>
        <v>567.9</v>
      </c>
      <c r="Y26" s="1069">
        <f t="shared" si="21"/>
        <v>1099.3100000000002</v>
      </c>
      <c r="Z26" s="1196">
        <f>SUM(Z27:Z44)</f>
        <v>1771.4000000000003</v>
      </c>
      <c r="AA26" s="1110">
        <f t="shared" ref="AA26:AB26" si="22">SUM(AA27:AA44)</f>
        <v>1836.6</v>
      </c>
      <c r="AB26" s="1069">
        <f t="shared" si="22"/>
        <v>884.60680579999996</v>
      </c>
      <c r="AC26" s="1090">
        <f t="shared" ref="AC26:AC35" si="23">AB26/W26</f>
        <v>1.2334048038000733</v>
      </c>
      <c r="AD26" s="1069">
        <f t="shared" ref="AD26:AG26" si="24">SUM(AD27:AD44)</f>
        <v>1469.5699999999997</v>
      </c>
      <c r="AE26" s="1107">
        <f t="shared" si="24"/>
        <v>2026.9600000000003</v>
      </c>
      <c r="AF26" s="1196">
        <f t="shared" si="24"/>
        <v>2123.25</v>
      </c>
      <c r="AG26" s="1196">
        <f t="shared" si="24"/>
        <v>1245.10448</v>
      </c>
      <c r="AH26" s="1090">
        <f t="shared" si="8"/>
        <v>1.4075230620388248</v>
      </c>
      <c r="AI26" s="5173"/>
      <c r="AJ26" s="5174"/>
      <c r="AK26" s="5175"/>
      <c r="AL26" s="3597">
        <f t="shared" ref="AL26:AN26" si="25">SUM(AL27:AL44)</f>
        <v>2427.5200000000004</v>
      </c>
      <c r="AM26" s="3329">
        <f t="shared" si="25"/>
        <v>895.88</v>
      </c>
      <c r="AN26" s="3508">
        <f t="shared" si="25"/>
        <v>1945.96</v>
      </c>
      <c r="AO26" s="3331">
        <f>SUM(AO27:AO44)</f>
        <v>2594.6133333333328</v>
      </c>
      <c r="AP26" s="3608">
        <f t="shared" ref="AP26:AQ26" si="26">SUM(AP27:AP44)</f>
        <v>2444.9756980000006</v>
      </c>
      <c r="AQ26" s="3609">
        <f t="shared" si="26"/>
        <v>1307.1242634015998</v>
      </c>
      <c r="AR26" s="3610">
        <f t="shared" si="4"/>
        <v>1.0498109069542501</v>
      </c>
      <c r="AS26" s="5266"/>
      <c r="AT26" s="5267"/>
      <c r="AU26" s="5268"/>
    </row>
    <row r="27" spans="1:47" ht="20.25" customHeight="1">
      <c r="A27" s="1101" t="s">
        <v>551</v>
      </c>
      <c r="B27" s="1098">
        <v>84.7</v>
      </c>
      <c r="C27" s="1097">
        <v>70.5</v>
      </c>
      <c r="D27" s="1100">
        <f t="shared" ref="D27:D40" si="27">C27/B27*100</f>
        <v>83.234946871310498</v>
      </c>
      <c r="E27" s="1093">
        <v>133.5</v>
      </c>
      <c r="F27" s="399">
        <f t="shared" ref="F27:F40" si="28">E27/C27*100</f>
        <v>189.36170212765958</v>
      </c>
      <c r="G27" s="399">
        <v>78.5</v>
      </c>
      <c r="H27" s="399">
        <f t="shared" si="5"/>
        <v>58.801498127340821</v>
      </c>
      <c r="I27" s="399">
        <v>117.7</v>
      </c>
      <c r="J27" s="282">
        <v>78.5</v>
      </c>
      <c r="K27" s="282">
        <v>491.2</v>
      </c>
      <c r="L27" s="399">
        <v>491.2</v>
      </c>
      <c r="M27" s="399">
        <f t="shared" si="6"/>
        <v>625.73248407643302</v>
      </c>
      <c r="N27" s="399">
        <v>123</v>
      </c>
      <c r="O27" s="399">
        <f t="shared" ref="O27:O39" si="29">N27/L27*100</f>
        <v>25.04071661237785</v>
      </c>
      <c r="P27" s="399">
        <v>123</v>
      </c>
      <c r="Q27" s="399">
        <f t="shared" ref="Q27:Q40" si="30">P27/I27*100</f>
        <v>104.50297366185217</v>
      </c>
      <c r="R27" s="399">
        <f t="shared" ref="R27:R42" si="31">P27/L27*100</f>
        <v>25.04071661237785</v>
      </c>
      <c r="S27" s="282">
        <v>192.6</v>
      </c>
      <c r="T27" s="1083">
        <v>192.6</v>
      </c>
      <c r="U27" s="1106">
        <v>240</v>
      </c>
      <c r="V27" s="1087">
        <f t="shared" si="7"/>
        <v>1.9512195121951219</v>
      </c>
      <c r="W27" s="1069">
        <f>P27*1.048</f>
        <v>128.904</v>
      </c>
      <c r="X27" s="1069">
        <v>0</v>
      </c>
      <c r="Y27" s="1069">
        <v>0</v>
      </c>
      <c r="Z27" s="1196">
        <v>242.3</v>
      </c>
      <c r="AA27" s="1110">
        <v>141</v>
      </c>
      <c r="AB27" s="1069">
        <v>141</v>
      </c>
      <c r="AC27" s="1090">
        <f t="shared" si="23"/>
        <v>1.0938372742506051</v>
      </c>
      <c r="AD27" s="1069">
        <v>0</v>
      </c>
      <c r="AE27" s="1107">
        <v>0</v>
      </c>
      <c r="AF27" s="1196">
        <f>SUM(Z27*1.1)</f>
        <v>266.53000000000003</v>
      </c>
      <c r="AG27" s="1196">
        <f>AF27</f>
        <v>266.53000000000003</v>
      </c>
      <c r="AH27" s="1090">
        <f t="shared" si="8"/>
        <v>1.8902836879432625</v>
      </c>
      <c r="AI27" s="5173" t="s">
        <v>250</v>
      </c>
      <c r="AJ27" s="5174"/>
      <c r="AK27" s="5175"/>
      <c r="AL27" s="3597">
        <v>0</v>
      </c>
      <c r="AM27" s="3329">
        <v>0</v>
      </c>
      <c r="AN27" s="3508"/>
      <c r="AO27" s="3331"/>
      <c r="AP27" s="3608">
        <f>SUM(AG27*1.1)</f>
        <v>293.18300000000005</v>
      </c>
      <c r="AQ27" s="3609">
        <f t="shared" si="12"/>
        <v>282.59909370000003</v>
      </c>
      <c r="AR27" s="3610">
        <f t="shared" si="4"/>
        <v>1.06029</v>
      </c>
      <c r="AS27" s="5266" t="s">
        <v>250</v>
      </c>
      <c r="AT27" s="5267"/>
      <c r="AU27" s="5268"/>
    </row>
    <row r="28" spans="1:47" ht="20.25" customHeight="1">
      <c r="A28" s="1101" t="s">
        <v>552</v>
      </c>
      <c r="B28" s="1098">
        <v>131.6</v>
      </c>
      <c r="C28" s="1097">
        <v>171.2</v>
      </c>
      <c r="D28" s="1100">
        <f t="shared" si="27"/>
        <v>130.09118541033436</v>
      </c>
      <c r="E28" s="1095">
        <v>112.7</v>
      </c>
      <c r="F28" s="399">
        <f t="shared" si="28"/>
        <v>65.829439252336456</v>
      </c>
      <c r="G28" s="399">
        <v>319</v>
      </c>
      <c r="H28" s="399">
        <f t="shared" si="5"/>
        <v>283.05235137533271</v>
      </c>
      <c r="I28" s="399">
        <v>102.5</v>
      </c>
      <c r="J28" s="399">
        <v>56.8</v>
      </c>
      <c r="K28" s="399">
        <v>159.5</v>
      </c>
      <c r="L28" s="399">
        <v>193.1</v>
      </c>
      <c r="M28" s="399">
        <f t="shared" si="6"/>
        <v>60.532915360501562</v>
      </c>
      <c r="N28" s="399">
        <v>245.6</v>
      </c>
      <c r="O28" s="399">
        <f t="shared" si="29"/>
        <v>127.18798549974106</v>
      </c>
      <c r="P28" s="399">
        <v>223.1</v>
      </c>
      <c r="Q28" s="399">
        <f t="shared" si="30"/>
        <v>217.65853658536588</v>
      </c>
      <c r="R28" s="399">
        <f t="shared" si="31"/>
        <v>115.53599171413775</v>
      </c>
      <c r="S28" s="282">
        <v>280</v>
      </c>
      <c r="T28" s="1083">
        <v>321.39999999999998</v>
      </c>
      <c r="U28" s="1106">
        <v>260.8</v>
      </c>
      <c r="V28" s="1087">
        <f t="shared" si="7"/>
        <v>1.1689825190497536</v>
      </c>
      <c r="W28" s="1069">
        <f t="shared" ref="W28:W42" si="32">P28*1.048</f>
        <v>233.80879999999999</v>
      </c>
      <c r="X28" s="1069">
        <v>4.9000000000000004</v>
      </c>
      <c r="Y28" s="1069">
        <v>142.5</v>
      </c>
      <c r="Z28" s="1196">
        <v>203.7</v>
      </c>
      <c r="AA28" s="1110">
        <v>273.2</v>
      </c>
      <c r="AB28" s="1069">
        <v>273.2</v>
      </c>
      <c r="AC28" s="1090">
        <f t="shared" si="23"/>
        <v>1.1684761223700733</v>
      </c>
      <c r="AD28" s="1069">
        <v>65.5</v>
      </c>
      <c r="AE28" s="1107">
        <v>229.74</v>
      </c>
      <c r="AF28" s="1196">
        <f>SUM(AB28*1.1)</f>
        <v>300.52000000000004</v>
      </c>
      <c r="AG28" s="1196">
        <f>AF28</f>
        <v>300.52000000000004</v>
      </c>
      <c r="AH28" s="1090">
        <f t="shared" si="8"/>
        <v>1.1000000000000001</v>
      </c>
      <c r="AI28" s="5173" t="s">
        <v>250</v>
      </c>
      <c r="AJ28" s="5174"/>
      <c r="AK28" s="5175"/>
      <c r="AL28" s="3597">
        <v>299.19</v>
      </c>
      <c r="AM28" s="3329">
        <v>42.02</v>
      </c>
      <c r="AN28" s="3508">
        <v>312.29000000000002</v>
      </c>
      <c r="AO28" s="3331">
        <f>SUM(AN28/9*12)</f>
        <v>416.38666666666666</v>
      </c>
      <c r="AP28" s="3608">
        <f>SUM(AG28*1.1)</f>
        <v>330.57200000000006</v>
      </c>
      <c r="AQ28" s="3609">
        <f t="shared" si="12"/>
        <v>318.63835080000001</v>
      </c>
      <c r="AR28" s="3610">
        <f t="shared" si="4"/>
        <v>1.06029</v>
      </c>
      <c r="AS28" s="5266" t="s">
        <v>250</v>
      </c>
      <c r="AT28" s="5267"/>
      <c r="AU28" s="5268"/>
    </row>
    <row r="29" spans="1:47" ht="20.25" customHeight="1">
      <c r="A29" s="1101" t="s">
        <v>1654</v>
      </c>
      <c r="B29" s="1098">
        <v>2</v>
      </c>
      <c r="C29" s="1097">
        <v>5</v>
      </c>
      <c r="D29" s="1100">
        <f t="shared" si="27"/>
        <v>250</v>
      </c>
      <c r="E29" s="1095">
        <v>7.5</v>
      </c>
      <c r="F29" s="399">
        <f t="shared" si="28"/>
        <v>150</v>
      </c>
      <c r="G29" s="399">
        <v>13.9</v>
      </c>
      <c r="H29" s="399">
        <f t="shared" si="5"/>
        <v>185.33333333333331</v>
      </c>
      <c r="I29" s="399">
        <v>6</v>
      </c>
      <c r="J29" s="399">
        <v>2.9</v>
      </c>
      <c r="K29" s="399"/>
      <c r="L29" s="399">
        <v>19.399999999999999</v>
      </c>
      <c r="M29" s="399">
        <f t="shared" si="6"/>
        <v>139.56834532374097</v>
      </c>
      <c r="N29" s="399">
        <v>14.6</v>
      </c>
      <c r="O29" s="399"/>
      <c r="P29" s="399">
        <v>6.3</v>
      </c>
      <c r="Q29" s="399">
        <f t="shared" si="30"/>
        <v>105</v>
      </c>
      <c r="R29" s="399"/>
      <c r="S29" s="282">
        <v>2.5</v>
      </c>
      <c r="T29" s="1083">
        <v>21</v>
      </c>
      <c r="U29" s="1106">
        <v>21</v>
      </c>
      <c r="V29" s="1087">
        <f t="shared" si="7"/>
        <v>3.3333333333333335</v>
      </c>
      <c r="W29" s="1069">
        <f>P29</f>
        <v>6.3</v>
      </c>
      <c r="X29" s="1069">
        <v>2.6</v>
      </c>
      <c r="Y29" s="1069">
        <v>4.91</v>
      </c>
      <c r="Z29" s="1196">
        <v>15.6</v>
      </c>
      <c r="AA29" s="1110">
        <v>6.8</v>
      </c>
      <c r="AB29" s="1069">
        <v>6.8</v>
      </c>
      <c r="AC29" s="1090">
        <f t="shared" si="23"/>
        <v>1.0793650793650793</v>
      </c>
      <c r="AD29" s="1069">
        <v>1.86</v>
      </c>
      <c r="AE29" s="1107">
        <v>12.54</v>
      </c>
      <c r="AF29" s="1196">
        <f>SUM(Z29*1.1)</f>
        <v>17.16</v>
      </c>
      <c r="AG29" s="1196">
        <f>AF29</f>
        <v>17.16</v>
      </c>
      <c r="AH29" s="1090">
        <f t="shared" si="8"/>
        <v>2.5235294117647058</v>
      </c>
      <c r="AI29" s="5176" t="s">
        <v>250</v>
      </c>
      <c r="AJ29" s="5177"/>
      <c r="AK29" s="5178"/>
      <c r="AL29" s="3597">
        <v>15.36</v>
      </c>
      <c r="AM29" s="3329">
        <v>4.38</v>
      </c>
      <c r="AN29" s="3508">
        <v>11.28</v>
      </c>
      <c r="AO29" s="3331">
        <f>SUM(AN29/9*12)</f>
        <v>15.04</v>
      </c>
      <c r="AP29" s="3608">
        <f>SUM(AG29*1.1)</f>
        <v>18.876000000000001</v>
      </c>
      <c r="AQ29" s="3609">
        <f t="shared" si="12"/>
        <v>18.194576399999999</v>
      </c>
      <c r="AR29" s="3610">
        <f t="shared" si="4"/>
        <v>1.06029</v>
      </c>
      <c r="AS29" s="5273" t="s">
        <v>250</v>
      </c>
      <c r="AT29" s="5274"/>
      <c r="AU29" s="5275"/>
    </row>
    <row r="30" spans="1:47" ht="20.25" customHeight="1">
      <c r="A30" s="1101" t="s">
        <v>553</v>
      </c>
      <c r="B30" s="1098">
        <v>74.7</v>
      </c>
      <c r="C30" s="1098">
        <v>67.5</v>
      </c>
      <c r="D30" s="1100">
        <f t="shared" si="27"/>
        <v>90.361445783132524</v>
      </c>
      <c r="E30" s="1095">
        <v>69.599999999999994</v>
      </c>
      <c r="F30" s="399">
        <f t="shared" si="28"/>
        <v>103.11111111111111</v>
      </c>
      <c r="G30" s="399">
        <v>69.599999999999994</v>
      </c>
      <c r="H30" s="399">
        <f t="shared" si="5"/>
        <v>100</v>
      </c>
      <c r="I30" s="399">
        <v>66.5</v>
      </c>
      <c r="J30" s="399">
        <v>34.799999999999997</v>
      </c>
      <c r="K30" s="399">
        <v>50.1</v>
      </c>
      <c r="L30" s="399">
        <v>69.400000000000006</v>
      </c>
      <c r="M30" s="399">
        <f t="shared" si="6"/>
        <v>99.712643678160944</v>
      </c>
      <c r="N30" s="399">
        <v>73.900000000000006</v>
      </c>
      <c r="O30" s="399">
        <f t="shared" si="29"/>
        <v>106.48414985590777</v>
      </c>
      <c r="P30" s="399">
        <v>70.099999999999994</v>
      </c>
      <c r="Q30" s="399">
        <f t="shared" si="30"/>
        <v>105.41353383458645</v>
      </c>
      <c r="R30" s="399">
        <f t="shared" si="31"/>
        <v>101.00864553314119</v>
      </c>
      <c r="S30" s="282">
        <v>16.7</v>
      </c>
      <c r="T30" s="1083">
        <v>81.900000000000006</v>
      </c>
      <c r="U30" s="1106">
        <v>82.3</v>
      </c>
      <c r="V30" s="1087">
        <f t="shared" si="7"/>
        <v>1.1740370898716119</v>
      </c>
      <c r="W30" s="1069">
        <f>P30</f>
        <v>70.099999999999994</v>
      </c>
      <c r="X30" s="1069">
        <v>37.799999999999997</v>
      </c>
      <c r="Y30" s="1069">
        <v>56.7</v>
      </c>
      <c r="Z30" s="1196">
        <v>75.599999999999994</v>
      </c>
      <c r="AA30" s="1110">
        <v>84.2</v>
      </c>
      <c r="AB30" s="1069">
        <f>AA30</f>
        <v>84.2</v>
      </c>
      <c r="AC30" s="1090">
        <f t="shared" si="23"/>
        <v>1.2011412268188304</v>
      </c>
      <c r="AD30" s="1069">
        <v>41.55</v>
      </c>
      <c r="AE30" s="1107">
        <v>62.34</v>
      </c>
      <c r="AF30" s="1196">
        <f>SUM(AB30*1.1)</f>
        <v>92.62</v>
      </c>
      <c r="AG30" s="1196">
        <f>AE30/3*4*1.062</f>
        <v>88.273440000000008</v>
      </c>
      <c r="AH30" s="1090">
        <f t="shared" si="8"/>
        <v>1.0483781472684086</v>
      </c>
      <c r="AI30" s="5173" t="s">
        <v>1501</v>
      </c>
      <c r="AJ30" s="5174"/>
      <c r="AK30" s="5175"/>
      <c r="AL30" s="3597">
        <v>83.13</v>
      </c>
      <c r="AM30" s="3329">
        <v>41.58</v>
      </c>
      <c r="AN30" s="3508">
        <v>62.37</v>
      </c>
      <c r="AO30" s="3331">
        <f>SUM(AN30/9*12)</f>
        <v>83.16</v>
      </c>
      <c r="AP30" s="3608">
        <f>SUM(AG30*1.1)</f>
        <v>97.100784000000019</v>
      </c>
      <c r="AQ30" s="3631">
        <v>88.265000000000001</v>
      </c>
      <c r="AR30" s="3610">
        <f t="shared" si="4"/>
        <v>0.99990438800164572</v>
      </c>
      <c r="AS30" s="5266" t="s">
        <v>1501</v>
      </c>
      <c r="AT30" s="5267"/>
      <c r="AU30" s="5268"/>
    </row>
    <row r="31" spans="1:47" ht="20.25" customHeight="1">
      <c r="A31" s="1101" t="s">
        <v>1653</v>
      </c>
      <c r="B31" s="1098">
        <v>17</v>
      </c>
      <c r="C31" s="1097">
        <v>50.1</v>
      </c>
      <c r="D31" s="1100">
        <f t="shared" si="27"/>
        <v>294.70588235294122</v>
      </c>
      <c r="E31" s="1095">
        <v>33</v>
      </c>
      <c r="F31" s="399">
        <f t="shared" si="28"/>
        <v>65.868263473053887</v>
      </c>
      <c r="G31" s="399">
        <v>29.6</v>
      </c>
      <c r="H31" s="399">
        <f t="shared" si="5"/>
        <v>89.696969696969703</v>
      </c>
      <c r="I31" s="399">
        <v>35.6</v>
      </c>
      <c r="J31" s="399">
        <v>6.2</v>
      </c>
      <c r="K31" s="399">
        <v>13.7</v>
      </c>
      <c r="L31" s="399">
        <v>13.7</v>
      </c>
      <c r="M31" s="399">
        <f t="shared" si="6"/>
        <v>46.283783783783775</v>
      </c>
      <c r="N31" s="399">
        <v>37.200000000000003</v>
      </c>
      <c r="O31" s="399">
        <f t="shared" si="29"/>
        <v>271.5328467153285</v>
      </c>
      <c r="P31" s="399">
        <v>19.2</v>
      </c>
      <c r="Q31" s="399">
        <f t="shared" si="30"/>
        <v>53.932584269662918</v>
      </c>
      <c r="R31" s="399">
        <f t="shared" si="31"/>
        <v>140.14598540145985</v>
      </c>
      <c r="S31" s="282">
        <v>23.2</v>
      </c>
      <c r="T31" s="1083">
        <v>23.3</v>
      </c>
      <c r="U31" s="1106">
        <v>20.2</v>
      </c>
      <c r="V31" s="1087">
        <f t="shared" si="7"/>
        <v>1.0520833333333333</v>
      </c>
      <c r="W31" s="1069">
        <f t="shared" si="32"/>
        <v>20.121600000000001</v>
      </c>
      <c r="X31" s="1069">
        <v>37.799999999999997</v>
      </c>
      <c r="Y31" s="1069">
        <v>47</v>
      </c>
      <c r="Z31" s="1196">
        <v>47.2</v>
      </c>
      <c r="AA31" s="1110">
        <v>21.6</v>
      </c>
      <c r="AB31" s="1069">
        <f>AA31</f>
        <v>21.6</v>
      </c>
      <c r="AC31" s="1090">
        <f t="shared" si="23"/>
        <v>1.0734732824427482</v>
      </c>
      <c r="AD31" s="1069">
        <v>39.18</v>
      </c>
      <c r="AE31" s="1107">
        <v>91.2</v>
      </c>
      <c r="AF31" s="1196">
        <f>SUM(Z31*1.1)</f>
        <v>51.920000000000009</v>
      </c>
      <c r="AG31" s="1196">
        <f>AF31</f>
        <v>51.920000000000009</v>
      </c>
      <c r="AH31" s="1090">
        <f t="shared" si="8"/>
        <v>2.4037037037037039</v>
      </c>
      <c r="AI31" s="5176" t="s">
        <v>250</v>
      </c>
      <c r="AJ31" s="5177"/>
      <c r="AK31" s="5178"/>
      <c r="AL31" s="3597">
        <f>64.93+100.5</f>
        <v>165.43</v>
      </c>
      <c r="AM31" s="3329">
        <f>19.98+14.93</f>
        <v>34.909999999999997</v>
      </c>
      <c r="AN31" s="3508">
        <v>225.26</v>
      </c>
      <c r="AO31" s="3331">
        <f>SUM(AN31/9*12)</f>
        <v>300.34666666666664</v>
      </c>
      <c r="AP31" s="3608">
        <f>SUM(AL31*1.1)</f>
        <v>181.97300000000001</v>
      </c>
      <c r="AQ31" s="3609">
        <f t="shared" si="12"/>
        <v>55.050256800000007</v>
      </c>
      <c r="AR31" s="3610">
        <f t="shared" si="4"/>
        <v>1.06029</v>
      </c>
      <c r="AS31" s="5273" t="s">
        <v>250</v>
      </c>
      <c r="AT31" s="5274"/>
      <c r="AU31" s="5275"/>
    </row>
    <row r="32" spans="1:47" ht="20.25" customHeight="1">
      <c r="A32" s="1101" t="s">
        <v>555</v>
      </c>
      <c r="B32" s="1098">
        <v>3.9</v>
      </c>
      <c r="C32" s="1097">
        <v>6.4</v>
      </c>
      <c r="D32" s="1100">
        <f t="shared" si="27"/>
        <v>164.10256410256412</v>
      </c>
      <c r="E32" s="1095">
        <v>7.3</v>
      </c>
      <c r="F32" s="399">
        <f t="shared" si="28"/>
        <v>114.0625</v>
      </c>
      <c r="G32" s="399">
        <v>6.3</v>
      </c>
      <c r="H32" s="399">
        <f t="shared" si="5"/>
        <v>86.301369863013704</v>
      </c>
      <c r="I32" s="399">
        <v>6</v>
      </c>
      <c r="J32" s="399">
        <v>3.6</v>
      </c>
      <c r="K32" s="399">
        <v>3.8</v>
      </c>
      <c r="L32" s="399">
        <v>5.5</v>
      </c>
      <c r="M32" s="399">
        <f t="shared" si="6"/>
        <v>87.301587301587304</v>
      </c>
      <c r="N32" s="399">
        <v>6.8</v>
      </c>
      <c r="O32" s="399">
        <f t="shared" si="29"/>
        <v>123.63636363636363</v>
      </c>
      <c r="P32" s="399">
        <v>5.3</v>
      </c>
      <c r="Q32" s="399">
        <f t="shared" si="30"/>
        <v>88.333333333333329</v>
      </c>
      <c r="R32" s="399">
        <f t="shared" si="31"/>
        <v>96.36363636363636</v>
      </c>
      <c r="S32" s="282">
        <v>4.2</v>
      </c>
      <c r="T32" s="1083">
        <v>4.2</v>
      </c>
      <c r="U32" s="1106">
        <v>5.7</v>
      </c>
      <c r="V32" s="1087">
        <f t="shared" si="7"/>
        <v>1.0754716981132075</v>
      </c>
      <c r="W32" s="1069">
        <f>P32</f>
        <v>5.3</v>
      </c>
      <c r="X32" s="1069">
        <v>0</v>
      </c>
      <c r="Y32" s="1069">
        <v>0</v>
      </c>
      <c r="Z32" s="1196"/>
      <c r="AA32" s="1110">
        <v>6</v>
      </c>
      <c r="AB32" s="1069">
        <f>AA32</f>
        <v>6</v>
      </c>
      <c r="AC32" s="1090">
        <f t="shared" si="23"/>
        <v>1.1320754716981132</v>
      </c>
      <c r="AD32" s="1069">
        <v>0.7</v>
      </c>
      <c r="AE32" s="1107">
        <v>0.7</v>
      </c>
      <c r="AF32" s="1196">
        <f>SUM(AB32)</f>
        <v>6</v>
      </c>
      <c r="AG32" s="1196"/>
      <c r="AH32" s="1090">
        <f t="shared" si="8"/>
        <v>0</v>
      </c>
      <c r="AI32" s="5173" t="s">
        <v>1499</v>
      </c>
      <c r="AJ32" s="5174"/>
      <c r="AK32" s="5175"/>
      <c r="AL32" s="3597">
        <v>1.68</v>
      </c>
      <c r="AM32" s="3329">
        <v>0</v>
      </c>
      <c r="AN32" s="3508">
        <v>0</v>
      </c>
      <c r="AO32" s="3331">
        <v>0</v>
      </c>
      <c r="AP32" s="3608">
        <f>SUM(AL32*1.1)</f>
        <v>1.8480000000000001</v>
      </c>
      <c r="AQ32" s="3609">
        <f t="shared" si="12"/>
        <v>0</v>
      </c>
      <c r="AR32" s="3610"/>
      <c r="AS32" s="5266" t="s">
        <v>1499</v>
      </c>
      <c r="AT32" s="5267"/>
      <c r="AU32" s="5268"/>
    </row>
    <row r="33" spans="1:47" ht="20.25" customHeight="1">
      <c r="A33" s="1101" t="s">
        <v>556</v>
      </c>
      <c r="B33" s="1098">
        <v>12.6</v>
      </c>
      <c r="C33" s="1098">
        <v>3.3</v>
      </c>
      <c r="D33" s="1100">
        <f t="shared" si="27"/>
        <v>26.190476190476193</v>
      </c>
      <c r="E33" s="1095">
        <v>197.5</v>
      </c>
      <c r="F33" s="399">
        <f t="shared" si="28"/>
        <v>5984.848484848485</v>
      </c>
      <c r="G33" s="399">
        <v>73.2</v>
      </c>
      <c r="H33" s="399">
        <f t="shared" si="5"/>
        <v>37.063291139240505</v>
      </c>
      <c r="I33" s="399">
        <v>3.6</v>
      </c>
      <c r="J33" s="399">
        <v>46.2</v>
      </c>
      <c r="K33" s="399">
        <v>40.5</v>
      </c>
      <c r="L33" s="399">
        <v>98.8</v>
      </c>
      <c r="M33" s="399">
        <f t="shared" si="6"/>
        <v>134.9726775956284</v>
      </c>
      <c r="N33" s="399">
        <v>77.3</v>
      </c>
      <c r="O33" s="399">
        <f t="shared" si="29"/>
        <v>78.238866396761125</v>
      </c>
      <c r="P33" s="399">
        <v>56.6</v>
      </c>
      <c r="Q33" s="399">
        <f t="shared" si="30"/>
        <v>1572.2222222222222</v>
      </c>
      <c r="R33" s="399">
        <f t="shared" si="31"/>
        <v>57.287449392712553</v>
      </c>
      <c r="S33" s="282">
        <v>71.400000000000006</v>
      </c>
      <c r="T33" s="1083">
        <v>147.19999999999999</v>
      </c>
      <c r="U33" s="1106">
        <v>104</v>
      </c>
      <c r="V33" s="1087">
        <f t="shared" si="7"/>
        <v>1.8374558303886925</v>
      </c>
      <c r="W33" s="1069">
        <f t="shared" si="32"/>
        <v>59.316800000000001</v>
      </c>
      <c r="X33" s="1069">
        <v>57.1</v>
      </c>
      <c r="Y33" s="1069">
        <v>75.400000000000006</v>
      </c>
      <c r="Z33" s="1196">
        <v>120.8</v>
      </c>
      <c r="AA33" s="1110">
        <v>60.6</v>
      </c>
      <c r="AB33" s="1069">
        <f>AA33</f>
        <v>60.6</v>
      </c>
      <c r="AC33" s="1090">
        <f t="shared" si="23"/>
        <v>1.021632994362474</v>
      </c>
      <c r="AD33" s="1069">
        <v>777.98</v>
      </c>
      <c r="AE33" s="1107">
        <v>815.25</v>
      </c>
      <c r="AF33" s="1196">
        <f t="shared" ref="AF33:AF39" si="33">SUM(Z33*1.1)</f>
        <v>132.88</v>
      </c>
      <c r="AG33" s="2200">
        <v>132.88</v>
      </c>
      <c r="AH33" s="1090">
        <f t="shared" si="8"/>
        <v>2.1927392739273928</v>
      </c>
      <c r="AI33" s="5173" t="s">
        <v>1503</v>
      </c>
      <c r="AJ33" s="5174"/>
      <c r="AK33" s="5175"/>
      <c r="AL33" s="3597">
        <v>795.64</v>
      </c>
      <c r="AM33" s="3329">
        <v>161.78</v>
      </c>
      <c r="AN33" s="3508">
        <v>351.96</v>
      </c>
      <c r="AO33" s="3331">
        <f t="shared" ref="AO33:AO39" si="34">SUM(AN33/9*12)</f>
        <v>469.28</v>
      </c>
      <c r="AP33" s="3608">
        <f>SUM(AL33*1.074*1.1)</f>
        <v>939.96909600000015</v>
      </c>
      <c r="AQ33" s="3609">
        <f t="shared" si="12"/>
        <v>140.89133519999999</v>
      </c>
      <c r="AR33" s="3610">
        <f t="shared" si="4"/>
        <v>1.06029</v>
      </c>
      <c r="AS33" s="5266" t="s">
        <v>1503</v>
      </c>
      <c r="AT33" s="5267"/>
      <c r="AU33" s="5268"/>
    </row>
    <row r="34" spans="1:47" ht="38.25" customHeight="1">
      <c r="A34" s="1101" t="s">
        <v>557</v>
      </c>
      <c r="B34" s="1098">
        <v>135.5</v>
      </c>
      <c r="C34" s="1098">
        <v>181.6</v>
      </c>
      <c r="D34" s="1100">
        <f t="shared" si="27"/>
        <v>134.02214022140222</v>
      </c>
      <c r="E34" s="1095">
        <v>362.1</v>
      </c>
      <c r="F34" s="399">
        <f t="shared" si="28"/>
        <v>199.39427312775334</v>
      </c>
      <c r="G34" s="399">
        <v>395.9</v>
      </c>
      <c r="H34" s="399">
        <f t="shared" si="5"/>
        <v>109.33443800055231</v>
      </c>
      <c r="I34" s="399">
        <v>133.5</v>
      </c>
      <c r="J34" s="399">
        <v>256.10000000000002</v>
      </c>
      <c r="K34" s="399">
        <v>77.099999999999994</v>
      </c>
      <c r="L34" s="399">
        <v>109.7</v>
      </c>
      <c r="M34" s="399">
        <f t="shared" si="6"/>
        <v>27.709017428643602</v>
      </c>
      <c r="N34" s="399">
        <v>139.5</v>
      </c>
      <c r="O34" s="399">
        <f t="shared" si="29"/>
        <v>127.16499544211486</v>
      </c>
      <c r="P34" s="399">
        <v>107.8</v>
      </c>
      <c r="Q34" s="399">
        <f t="shared" si="30"/>
        <v>80.749063670411985</v>
      </c>
      <c r="R34" s="399">
        <f t="shared" si="31"/>
        <v>98.268003646308117</v>
      </c>
      <c r="S34" s="282">
        <v>214</v>
      </c>
      <c r="T34" s="1083">
        <v>253.7</v>
      </c>
      <c r="U34" s="1106">
        <v>176.8</v>
      </c>
      <c r="V34" s="1087">
        <f t="shared" si="7"/>
        <v>1.6400742115027831</v>
      </c>
      <c r="W34" s="1069">
        <f t="shared" si="32"/>
        <v>112.9744</v>
      </c>
      <c r="X34" s="1069">
        <v>7.9</v>
      </c>
      <c r="Y34" s="1069">
        <v>20.100000000000001</v>
      </c>
      <c r="Z34" s="1196">
        <v>43.2</v>
      </c>
      <c r="AA34" s="1110">
        <v>178</v>
      </c>
      <c r="AB34" s="1069">
        <v>28.16</v>
      </c>
      <c r="AC34" s="1090">
        <f t="shared" si="23"/>
        <v>0.24926000934725034</v>
      </c>
      <c r="AD34" s="1069">
        <v>59.79</v>
      </c>
      <c r="AE34" s="1107">
        <v>117.23</v>
      </c>
      <c r="AF34" s="1196">
        <f t="shared" si="33"/>
        <v>47.52000000000001</v>
      </c>
      <c r="AG34" s="1196">
        <f>AF34</f>
        <v>47.52000000000001</v>
      </c>
      <c r="AH34" s="1090">
        <f t="shared" si="8"/>
        <v>1.6875000000000004</v>
      </c>
      <c r="AI34" s="5176" t="s">
        <v>250</v>
      </c>
      <c r="AJ34" s="5177"/>
      <c r="AK34" s="5178"/>
      <c r="AL34" s="3597">
        <v>147.91</v>
      </c>
      <c r="AM34" s="3329">
        <v>24.34</v>
      </c>
      <c r="AN34" s="3508">
        <v>95.88</v>
      </c>
      <c r="AO34" s="3331">
        <f t="shared" si="34"/>
        <v>127.83999999999999</v>
      </c>
      <c r="AP34" s="3608">
        <f>SUM(AL34*1.074*1.1)</f>
        <v>174.74087400000002</v>
      </c>
      <c r="AQ34" s="3609">
        <f t="shared" si="12"/>
        <v>50.384980800000008</v>
      </c>
      <c r="AR34" s="3610">
        <f t="shared" si="4"/>
        <v>1.06029</v>
      </c>
      <c r="AS34" s="5273" t="s">
        <v>250</v>
      </c>
      <c r="AT34" s="5274"/>
      <c r="AU34" s="5275"/>
    </row>
    <row r="35" spans="1:47" ht="38.25" customHeight="1">
      <c r="A35" s="1101" t="s">
        <v>558</v>
      </c>
      <c r="B35" s="1098">
        <v>46.1</v>
      </c>
      <c r="C35" s="1097">
        <v>102.2</v>
      </c>
      <c r="D35" s="1100">
        <f t="shared" si="27"/>
        <v>221.69197396963125</v>
      </c>
      <c r="E35" s="1095">
        <v>50.2</v>
      </c>
      <c r="F35" s="399">
        <f t="shared" si="28"/>
        <v>49.119373776908027</v>
      </c>
      <c r="G35" s="399">
        <v>38.799999999999997</v>
      </c>
      <c r="H35" s="399">
        <f t="shared" si="5"/>
        <v>77.290836653386435</v>
      </c>
      <c r="I35" s="399">
        <v>56.8</v>
      </c>
      <c r="J35" s="399">
        <v>23.8</v>
      </c>
      <c r="K35" s="399">
        <v>39.299999999999997</v>
      </c>
      <c r="L35" s="399">
        <v>30.8</v>
      </c>
      <c r="M35" s="399">
        <f t="shared" si="6"/>
        <v>79.381443298969074</v>
      </c>
      <c r="N35" s="399">
        <v>59.4</v>
      </c>
      <c r="O35" s="399">
        <f t="shared" si="29"/>
        <v>192.85714285714283</v>
      </c>
      <c r="P35" s="399">
        <v>55</v>
      </c>
      <c r="Q35" s="399">
        <f t="shared" si="30"/>
        <v>96.83098591549296</v>
      </c>
      <c r="R35" s="399">
        <f t="shared" si="31"/>
        <v>178.57142857142856</v>
      </c>
      <c r="S35" s="282">
        <v>18.2</v>
      </c>
      <c r="T35" s="1083">
        <v>13.8</v>
      </c>
      <c r="U35" s="1106">
        <v>59.6</v>
      </c>
      <c r="V35" s="1087">
        <f t="shared" si="7"/>
        <v>1.0836363636363637</v>
      </c>
      <c r="W35" s="1069">
        <f t="shared" si="32"/>
        <v>57.64</v>
      </c>
      <c r="X35" s="1069">
        <v>3.8</v>
      </c>
      <c r="Y35" s="1069">
        <v>3.8</v>
      </c>
      <c r="Z35" s="1196">
        <v>44.6</v>
      </c>
      <c r="AA35" s="1110">
        <v>65.599999999999994</v>
      </c>
      <c r="AB35" s="1069">
        <f>13.8*1.077*1.049</f>
        <v>15.590867399999999</v>
      </c>
      <c r="AC35" s="1090">
        <f t="shared" si="23"/>
        <v>0.27048694309507282</v>
      </c>
      <c r="AD35" s="1069">
        <v>26.9</v>
      </c>
      <c r="AE35" s="1107">
        <v>26.9</v>
      </c>
      <c r="AF35" s="1196">
        <f t="shared" si="33"/>
        <v>49.06</v>
      </c>
      <c r="AG35" s="1196">
        <f>AF35</f>
        <v>49.06</v>
      </c>
      <c r="AH35" s="1090">
        <f t="shared" si="8"/>
        <v>3.1467139538368474</v>
      </c>
      <c r="AI35" s="5173" t="s">
        <v>250</v>
      </c>
      <c r="AJ35" s="5174"/>
      <c r="AK35" s="5175"/>
      <c r="AL35" s="3597">
        <v>26.9</v>
      </c>
      <c r="AM35" s="3329">
        <v>100.01</v>
      </c>
      <c r="AN35" s="3508">
        <v>100.01</v>
      </c>
      <c r="AO35" s="3331">
        <f t="shared" si="34"/>
        <v>133.34666666666666</v>
      </c>
      <c r="AP35" s="3608">
        <f>SUM(AG35*1.1)</f>
        <v>53.966000000000008</v>
      </c>
      <c r="AQ35" s="3609">
        <f t="shared" si="12"/>
        <v>52.017827400000002</v>
      </c>
      <c r="AR35" s="3610">
        <f t="shared" si="4"/>
        <v>1.06029</v>
      </c>
      <c r="AS35" s="5266" t="s">
        <v>250</v>
      </c>
      <c r="AT35" s="5267"/>
      <c r="AU35" s="5268"/>
    </row>
    <row r="36" spans="1:47" ht="20.25" customHeight="1">
      <c r="A36" s="1102" t="s">
        <v>571</v>
      </c>
      <c r="B36" s="1098">
        <v>21.5</v>
      </c>
      <c r="C36" s="1097">
        <v>304.3</v>
      </c>
      <c r="D36" s="1100">
        <f t="shared" si="27"/>
        <v>1415.3488372093025</v>
      </c>
      <c r="E36" s="1095">
        <v>523.9</v>
      </c>
      <c r="F36" s="399">
        <f t="shared" si="28"/>
        <v>172.16562602694708</v>
      </c>
      <c r="G36" s="399">
        <v>556</v>
      </c>
      <c r="H36" s="399">
        <f t="shared" si="5"/>
        <v>106.12712349685054</v>
      </c>
      <c r="I36" s="399">
        <v>0</v>
      </c>
      <c r="J36" s="399">
        <v>275.10000000000002</v>
      </c>
      <c r="K36" s="399">
        <v>473.8</v>
      </c>
      <c r="L36" s="399">
        <v>672.1</v>
      </c>
      <c r="M36" s="399">
        <f t="shared" si="6"/>
        <v>120.88129496402877</v>
      </c>
      <c r="N36" s="399">
        <v>715</v>
      </c>
      <c r="O36" s="399">
        <f t="shared" si="29"/>
        <v>106.38297872340425</v>
      </c>
      <c r="P36" s="399">
        <v>0</v>
      </c>
      <c r="Q36" s="399"/>
      <c r="R36" s="399">
        <f t="shared" si="31"/>
        <v>0</v>
      </c>
      <c r="S36" s="282">
        <v>540.79999999999995</v>
      </c>
      <c r="T36" s="1083">
        <v>706</v>
      </c>
      <c r="U36" s="1106">
        <v>741.3</v>
      </c>
      <c r="V36" s="1087"/>
      <c r="W36" s="1069">
        <f t="shared" si="32"/>
        <v>0</v>
      </c>
      <c r="X36" s="1069">
        <v>313.60000000000002</v>
      </c>
      <c r="Y36" s="1069">
        <v>497.5</v>
      </c>
      <c r="Z36" s="1196">
        <v>652.29999999999995</v>
      </c>
      <c r="AA36" s="1110">
        <v>735</v>
      </c>
      <c r="AB36" s="1069">
        <v>0</v>
      </c>
      <c r="AC36" s="1090"/>
      <c r="AD36" s="1069">
        <v>306.45999999999998</v>
      </c>
      <c r="AE36" s="1107">
        <v>459.06</v>
      </c>
      <c r="AF36" s="1196">
        <f t="shared" si="33"/>
        <v>717.53</v>
      </c>
      <c r="AG36" s="1196">
        <v>0</v>
      </c>
      <c r="AH36" s="1090"/>
      <c r="AI36" s="5176"/>
      <c r="AJ36" s="5177"/>
      <c r="AK36" s="5178"/>
      <c r="AL36" s="3597">
        <v>629.62</v>
      </c>
      <c r="AM36" s="3329">
        <v>321.20999999999998</v>
      </c>
      <c r="AN36" s="3508">
        <v>474.31</v>
      </c>
      <c r="AO36" s="3331">
        <f t="shared" si="34"/>
        <v>632.4133333333333</v>
      </c>
      <c r="AP36" s="3608">
        <f t="shared" ref="AP36:AP37" si="35">SUM(AJ36*1.1)</f>
        <v>0</v>
      </c>
      <c r="AQ36" s="3609">
        <f t="shared" si="12"/>
        <v>0</v>
      </c>
      <c r="AR36" s="3610"/>
      <c r="AS36" s="5273"/>
      <c r="AT36" s="5274"/>
      <c r="AU36" s="5275"/>
    </row>
    <row r="37" spans="1:47" ht="20.25" customHeight="1">
      <c r="A37" s="1102" t="s">
        <v>584</v>
      </c>
      <c r="B37" s="1098"/>
      <c r="C37" s="1097"/>
      <c r="D37" s="1100"/>
      <c r="E37" s="1095"/>
      <c r="F37" s="1173"/>
      <c r="G37" s="1173"/>
      <c r="H37" s="1173"/>
      <c r="I37" s="1173"/>
      <c r="J37" s="1173"/>
      <c r="K37" s="1173"/>
      <c r="L37" s="1173"/>
      <c r="M37" s="1173"/>
      <c r="N37" s="1173"/>
      <c r="O37" s="1173"/>
      <c r="P37" s="1173"/>
      <c r="Q37" s="1173"/>
      <c r="R37" s="1173"/>
      <c r="S37" s="1050"/>
      <c r="T37" s="1083"/>
      <c r="U37" s="1106"/>
      <c r="V37" s="1087"/>
      <c r="W37" s="1069"/>
      <c r="X37" s="1069"/>
      <c r="Y37" s="1069"/>
      <c r="Z37" s="1196">
        <v>35.9</v>
      </c>
      <c r="AA37" s="1110"/>
      <c r="AB37" s="1069"/>
      <c r="AC37" s="1090"/>
      <c r="AD37" s="1069">
        <v>21.6</v>
      </c>
      <c r="AE37" s="1107">
        <v>34.4</v>
      </c>
      <c r="AF37" s="1196">
        <f t="shared" si="33"/>
        <v>39.49</v>
      </c>
      <c r="AG37" s="1196">
        <v>0</v>
      </c>
      <c r="AH37" s="1090"/>
      <c r="AI37" s="5189"/>
      <c r="AJ37" s="5190"/>
      <c r="AK37" s="5191"/>
      <c r="AL37" s="3597">
        <v>51.03</v>
      </c>
      <c r="AM37" s="3329">
        <v>23.41</v>
      </c>
      <c r="AN37" s="3508">
        <v>93.87</v>
      </c>
      <c r="AO37" s="3331">
        <f t="shared" si="34"/>
        <v>125.16</v>
      </c>
      <c r="AP37" s="3608">
        <f t="shared" si="35"/>
        <v>0</v>
      </c>
      <c r="AQ37" s="3609">
        <f t="shared" si="12"/>
        <v>0</v>
      </c>
      <c r="AR37" s="3610"/>
      <c r="AS37" s="5306"/>
      <c r="AT37" s="5307"/>
      <c r="AU37" s="5308"/>
    </row>
    <row r="38" spans="1:47" ht="38.25" customHeight="1">
      <c r="A38" s="1101" t="s">
        <v>559</v>
      </c>
      <c r="B38" s="1098">
        <v>57</v>
      </c>
      <c r="C38" s="1097">
        <v>74.2</v>
      </c>
      <c r="D38" s="1100">
        <f t="shared" si="27"/>
        <v>130.17543859649123</v>
      </c>
      <c r="E38" s="1095">
        <v>24.3</v>
      </c>
      <c r="F38" s="399">
        <f t="shared" si="28"/>
        <v>32.749326145552558</v>
      </c>
      <c r="G38" s="399">
        <v>26.9</v>
      </c>
      <c r="H38" s="399">
        <f t="shared" si="5"/>
        <v>110.69958847736625</v>
      </c>
      <c r="I38" s="399">
        <v>26.1</v>
      </c>
      <c r="J38" s="399">
        <v>12.9</v>
      </c>
      <c r="K38" s="399">
        <v>3.8</v>
      </c>
      <c r="L38" s="399">
        <v>8.1</v>
      </c>
      <c r="M38" s="399">
        <f t="shared" si="6"/>
        <v>30.111524163568777</v>
      </c>
      <c r="N38" s="399">
        <v>27.3</v>
      </c>
      <c r="O38" s="399">
        <f t="shared" si="29"/>
        <v>337.03703703703707</v>
      </c>
      <c r="P38" s="399">
        <v>5.3</v>
      </c>
      <c r="Q38" s="399">
        <f t="shared" si="30"/>
        <v>20.306513409961685</v>
      </c>
      <c r="R38" s="399">
        <f t="shared" si="31"/>
        <v>65.432098765432102</v>
      </c>
      <c r="S38" s="282">
        <v>17.7</v>
      </c>
      <c r="T38" s="1083">
        <v>21.2</v>
      </c>
      <c r="U38" s="1106">
        <v>9.5</v>
      </c>
      <c r="V38" s="1087">
        <f t="shared" si="7"/>
        <v>1.7924528301886793</v>
      </c>
      <c r="W38" s="1069">
        <f t="shared" si="32"/>
        <v>5.5544000000000002</v>
      </c>
      <c r="X38" s="1069">
        <v>14</v>
      </c>
      <c r="Y38" s="1069">
        <v>27.5</v>
      </c>
      <c r="Z38" s="1196">
        <v>48.8</v>
      </c>
      <c r="AA38" s="1110">
        <v>6.4</v>
      </c>
      <c r="AB38" s="1069">
        <f>W38*1.049</f>
        <v>5.8265655999999995</v>
      </c>
      <c r="AC38" s="1090">
        <f>AB38/W38</f>
        <v>1.0489999999999999</v>
      </c>
      <c r="AD38" s="1069">
        <v>18.73</v>
      </c>
      <c r="AE38" s="1107">
        <v>27.19</v>
      </c>
      <c r="AF38" s="1196">
        <f t="shared" si="33"/>
        <v>53.68</v>
      </c>
      <c r="AG38" s="1196">
        <f>AE38/3*4*1.062</f>
        <v>38.501040000000003</v>
      </c>
      <c r="AH38" s="1090">
        <f t="shared" si="8"/>
        <v>6.607844593734602</v>
      </c>
      <c r="AI38" s="5173" t="s">
        <v>1501</v>
      </c>
      <c r="AJ38" s="5174"/>
      <c r="AK38" s="5175"/>
      <c r="AL38" s="3597">
        <v>32.619999999999997</v>
      </c>
      <c r="AM38" s="3329">
        <v>23.12</v>
      </c>
      <c r="AN38" s="3508">
        <v>66.010000000000005</v>
      </c>
      <c r="AO38" s="3331">
        <f t="shared" si="34"/>
        <v>88.01333333333335</v>
      </c>
      <c r="AP38" s="3608">
        <f>SUM(AG38*1.1)</f>
        <v>42.351144000000005</v>
      </c>
      <c r="AQ38" s="3609">
        <f t="shared" si="12"/>
        <v>40.822267701600005</v>
      </c>
      <c r="AR38" s="3610">
        <f t="shared" si="4"/>
        <v>1.06029</v>
      </c>
      <c r="AS38" s="5266" t="s">
        <v>1501</v>
      </c>
      <c r="AT38" s="5267"/>
      <c r="AU38" s="5268"/>
    </row>
    <row r="39" spans="1:47" ht="38.25" customHeight="1">
      <c r="A39" s="1101" t="s">
        <v>560</v>
      </c>
      <c r="B39" s="1098">
        <v>21.7</v>
      </c>
      <c r="C39" s="1097">
        <v>18.899999999999999</v>
      </c>
      <c r="D39" s="1100">
        <f t="shared" si="27"/>
        <v>87.096774193548384</v>
      </c>
      <c r="E39" s="1095">
        <v>18.899999999999999</v>
      </c>
      <c r="F39" s="399">
        <f t="shared" si="28"/>
        <v>100</v>
      </c>
      <c r="G39" s="399">
        <v>18.2</v>
      </c>
      <c r="H39" s="399">
        <f t="shared" si="5"/>
        <v>96.296296296296305</v>
      </c>
      <c r="I39" s="399">
        <v>15.7</v>
      </c>
      <c r="J39" s="399">
        <v>36.299999999999997</v>
      </c>
      <c r="K39" s="399">
        <v>41.1</v>
      </c>
      <c r="L39" s="399">
        <v>57.5</v>
      </c>
      <c r="M39" s="399">
        <f t="shared" si="6"/>
        <v>315.93406593406598</v>
      </c>
      <c r="N39" s="399">
        <v>16.399999999999999</v>
      </c>
      <c r="O39" s="399">
        <f t="shared" si="29"/>
        <v>28.521739130434781</v>
      </c>
      <c r="P39" s="399">
        <v>16.399999999999999</v>
      </c>
      <c r="Q39" s="399">
        <f t="shared" si="30"/>
        <v>104.45859872611464</v>
      </c>
      <c r="R39" s="399">
        <f t="shared" si="31"/>
        <v>28.521739130434781</v>
      </c>
      <c r="S39" s="282">
        <v>22.1</v>
      </c>
      <c r="T39" s="1083">
        <v>35.799999999999997</v>
      </c>
      <c r="U39" s="1106">
        <v>66.7</v>
      </c>
      <c r="V39" s="1087">
        <f t="shared" si="7"/>
        <v>4.0670731707317076</v>
      </c>
      <c r="W39" s="1069">
        <f t="shared" si="32"/>
        <v>17.187200000000001</v>
      </c>
      <c r="X39" s="1069">
        <v>30.9</v>
      </c>
      <c r="Y39" s="1069">
        <v>47.6</v>
      </c>
      <c r="Z39" s="1196">
        <v>100.9</v>
      </c>
      <c r="AA39" s="1110">
        <v>34.6</v>
      </c>
      <c r="AB39" s="1069">
        <f>W39*1.049</f>
        <v>18.029372800000001</v>
      </c>
      <c r="AC39" s="1090">
        <f>AB39/W39</f>
        <v>1.0489999999999999</v>
      </c>
      <c r="AD39" s="1069">
        <v>79.8</v>
      </c>
      <c r="AE39" s="1107">
        <v>108.69</v>
      </c>
      <c r="AF39" s="1196">
        <f t="shared" si="33"/>
        <v>110.99000000000001</v>
      </c>
      <c r="AG39" s="1196">
        <f>AF39</f>
        <v>110.99000000000001</v>
      </c>
      <c r="AH39" s="1090">
        <f t="shared" si="8"/>
        <v>6.1560655066159597</v>
      </c>
      <c r="AI39" s="5176" t="s">
        <v>250</v>
      </c>
      <c r="AJ39" s="5177"/>
      <c r="AK39" s="5178"/>
      <c r="AL39" s="3597">
        <v>124.92</v>
      </c>
      <c r="AM39" s="3329">
        <v>87.24</v>
      </c>
      <c r="AN39" s="3508">
        <v>102.75</v>
      </c>
      <c r="AO39" s="3331">
        <f t="shared" si="34"/>
        <v>137</v>
      </c>
      <c r="AP39" s="3608">
        <f>SUM(AL39*1.074*1.1)</f>
        <v>147.58048800000003</v>
      </c>
      <c r="AQ39" s="3609">
        <f t="shared" si="12"/>
        <v>117.6815871</v>
      </c>
      <c r="AR39" s="3610">
        <f t="shared" si="4"/>
        <v>1.06029</v>
      </c>
      <c r="AS39" s="5273" t="s">
        <v>250</v>
      </c>
      <c r="AT39" s="5274"/>
      <c r="AU39" s="5275"/>
    </row>
    <row r="40" spans="1:47" ht="20.25" customHeight="1">
      <c r="A40" s="1101" t="s">
        <v>561</v>
      </c>
      <c r="B40" s="1098">
        <v>4</v>
      </c>
      <c r="C40" s="1098">
        <v>4</v>
      </c>
      <c r="D40" s="1100">
        <f t="shared" si="27"/>
        <v>100</v>
      </c>
      <c r="E40" s="1095">
        <v>0</v>
      </c>
      <c r="F40" s="399">
        <f t="shared" si="28"/>
        <v>0</v>
      </c>
      <c r="G40" s="399">
        <v>4.7</v>
      </c>
      <c r="H40" s="399"/>
      <c r="I40" s="399">
        <v>4.8</v>
      </c>
      <c r="J40" s="399">
        <v>0</v>
      </c>
      <c r="K40" s="399">
        <v>0</v>
      </c>
      <c r="L40" s="399">
        <v>0</v>
      </c>
      <c r="M40" s="399">
        <f t="shared" si="6"/>
        <v>0</v>
      </c>
      <c r="N40" s="399">
        <v>5</v>
      </c>
      <c r="O40" s="399"/>
      <c r="P40" s="399">
        <v>0</v>
      </c>
      <c r="Q40" s="399">
        <f t="shared" si="30"/>
        <v>0</v>
      </c>
      <c r="R40" s="399" t="e">
        <f t="shared" si="31"/>
        <v>#DIV/0!</v>
      </c>
      <c r="S40" s="282">
        <v>0</v>
      </c>
      <c r="T40" s="1083">
        <v>0</v>
      </c>
      <c r="U40" s="1106">
        <v>0</v>
      </c>
      <c r="V40" s="1087"/>
      <c r="W40" s="1069">
        <f t="shared" si="32"/>
        <v>0</v>
      </c>
      <c r="X40" s="1069">
        <v>0</v>
      </c>
      <c r="Y40" s="1069">
        <v>0</v>
      </c>
      <c r="Z40" s="1196">
        <v>0</v>
      </c>
      <c r="AA40" s="1110">
        <v>0</v>
      </c>
      <c r="AB40" s="1069">
        <v>0</v>
      </c>
      <c r="AC40" s="1090"/>
      <c r="AD40" s="1069">
        <v>0</v>
      </c>
      <c r="AE40" s="1107">
        <v>0</v>
      </c>
      <c r="AF40" s="1196">
        <v>0</v>
      </c>
      <c r="AG40" s="1196">
        <v>0</v>
      </c>
      <c r="AH40" s="1090"/>
      <c r="AI40" s="5176"/>
      <c r="AJ40" s="5177"/>
      <c r="AK40" s="5178"/>
      <c r="AL40" s="3597">
        <v>0</v>
      </c>
      <c r="AM40" s="3329"/>
      <c r="AN40" s="3508"/>
      <c r="AO40" s="3331"/>
      <c r="AP40" s="3608">
        <v>0</v>
      </c>
      <c r="AQ40" s="3609">
        <f t="shared" si="12"/>
        <v>0</v>
      </c>
      <c r="AR40" s="3610"/>
      <c r="AS40" s="5273"/>
      <c r="AT40" s="5274"/>
      <c r="AU40" s="5275"/>
    </row>
    <row r="41" spans="1:47" ht="20.25" customHeight="1">
      <c r="A41" s="1101" t="s">
        <v>562</v>
      </c>
      <c r="B41" s="1098"/>
      <c r="C41" s="1098"/>
      <c r="D41" s="1100"/>
      <c r="E41" s="1095"/>
      <c r="F41" s="399"/>
      <c r="G41" s="399"/>
      <c r="H41" s="399"/>
      <c r="I41" s="399">
        <f>E41*1.03</f>
        <v>0</v>
      </c>
      <c r="J41" s="399"/>
      <c r="K41" s="399">
        <v>0</v>
      </c>
      <c r="L41" s="399">
        <v>127.9</v>
      </c>
      <c r="M41" s="399"/>
      <c r="N41" s="399">
        <v>68.2</v>
      </c>
      <c r="O41" s="399"/>
      <c r="P41" s="399">
        <v>0</v>
      </c>
      <c r="Q41" s="399"/>
      <c r="R41" s="399">
        <f t="shared" si="31"/>
        <v>0</v>
      </c>
      <c r="S41" s="282">
        <v>0</v>
      </c>
      <c r="T41" s="1083">
        <v>172.5</v>
      </c>
      <c r="U41" s="1106">
        <v>140.1</v>
      </c>
      <c r="V41" s="1087"/>
      <c r="W41" s="1069">
        <f t="shared" si="32"/>
        <v>0</v>
      </c>
      <c r="X41" s="1069">
        <v>54</v>
      </c>
      <c r="Y41" s="1069">
        <v>162</v>
      </c>
      <c r="Z41" s="1196">
        <v>128</v>
      </c>
      <c r="AA41" s="1110">
        <v>223.6</v>
      </c>
      <c r="AB41" s="1069">
        <f>AA41</f>
        <v>223.6</v>
      </c>
      <c r="AC41" s="1090"/>
      <c r="AD41" s="1069">
        <v>20.99</v>
      </c>
      <c r="AE41" s="1196">
        <v>31.49</v>
      </c>
      <c r="AF41" s="1206">
        <f>SUM(AB41)</f>
        <v>223.6</v>
      </c>
      <c r="AG41" s="1196">
        <f>Z41</f>
        <v>128</v>
      </c>
      <c r="AH41" s="1090">
        <f t="shared" si="8"/>
        <v>0.57245080500894452</v>
      </c>
      <c r="AI41" s="5176" t="s">
        <v>1500</v>
      </c>
      <c r="AJ41" s="5177"/>
      <c r="AK41" s="5178"/>
      <c r="AL41" s="3597">
        <v>42.01</v>
      </c>
      <c r="AM41" s="3329">
        <v>22.5</v>
      </c>
      <c r="AN41" s="3508">
        <v>33.75</v>
      </c>
      <c r="AO41" s="3331">
        <f>SUM(AN41/9*12)</f>
        <v>45</v>
      </c>
      <c r="AP41" s="3608">
        <f>SUM(AG41*1.1)</f>
        <v>140.80000000000001</v>
      </c>
      <c r="AQ41" s="3631">
        <v>128</v>
      </c>
      <c r="AR41" s="3610">
        <f t="shared" si="4"/>
        <v>1</v>
      </c>
      <c r="AS41" s="5273" t="s">
        <v>1500</v>
      </c>
      <c r="AT41" s="5274"/>
      <c r="AU41" s="5275"/>
    </row>
    <row r="42" spans="1:47" ht="20.25" customHeight="1">
      <c r="A42" s="1126" t="s">
        <v>300</v>
      </c>
      <c r="B42" s="1127"/>
      <c r="C42" s="1127"/>
      <c r="D42" s="1128"/>
      <c r="E42" s="1129"/>
      <c r="F42" s="1130"/>
      <c r="G42" s="1130"/>
      <c r="H42" s="1130"/>
      <c r="I42" s="1130"/>
      <c r="J42" s="1130"/>
      <c r="K42" s="1130">
        <f>1.4+9.5+17.7</f>
        <v>28.6</v>
      </c>
      <c r="L42" s="1130">
        <v>284.2</v>
      </c>
      <c r="M42" s="1130"/>
      <c r="N42" s="1130"/>
      <c r="O42" s="1130"/>
      <c r="P42" s="1130">
        <v>0</v>
      </c>
      <c r="Q42" s="1130"/>
      <c r="R42" s="1130">
        <f t="shared" si="31"/>
        <v>0</v>
      </c>
      <c r="S42" s="1131">
        <v>127.1</v>
      </c>
      <c r="T42" s="1132">
        <v>0</v>
      </c>
      <c r="U42" s="1106">
        <v>0</v>
      </c>
      <c r="V42" s="1087"/>
      <c r="W42" s="1069">
        <f t="shared" si="32"/>
        <v>0</v>
      </c>
      <c r="X42" s="1069">
        <v>3.5</v>
      </c>
      <c r="Y42" s="1069">
        <v>14.3</v>
      </c>
      <c r="Z42" s="1107"/>
      <c r="AA42" s="1110"/>
      <c r="AB42" s="1069">
        <v>0</v>
      </c>
      <c r="AC42" s="1090"/>
      <c r="AD42" s="1069"/>
      <c r="AE42" s="1196"/>
      <c r="AF42" s="1110">
        <v>0</v>
      </c>
      <c r="AG42" s="1069">
        <v>0</v>
      </c>
      <c r="AH42" s="1090"/>
      <c r="AI42" s="5176"/>
      <c r="AJ42" s="5177"/>
      <c r="AK42" s="5178"/>
      <c r="AL42" s="3597"/>
      <c r="AM42" s="3329"/>
      <c r="AN42" s="3508"/>
      <c r="AO42" s="3331"/>
      <c r="AP42" s="3613">
        <v>0</v>
      </c>
      <c r="AQ42" s="3609">
        <f t="shared" si="12"/>
        <v>0</v>
      </c>
      <c r="AR42" s="3610"/>
      <c r="AS42" s="5273"/>
      <c r="AT42" s="5274"/>
      <c r="AU42" s="5275"/>
    </row>
    <row r="43" spans="1:47" ht="20.25" customHeight="1">
      <c r="A43" s="1184" t="s">
        <v>852</v>
      </c>
      <c r="B43" s="1185"/>
      <c r="C43" s="1185"/>
      <c r="D43" s="1186"/>
      <c r="E43" s="1187"/>
      <c r="F43" s="1188"/>
      <c r="G43" s="1188"/>
      <c r="H43" s="1188"/>
      <c r="I43" s="1188"/>
      <c r="J43" s="1188"/>
      <c r="K43" s="1188"/>
      <c r="L43" s="1188"/>
      <c r="M43" s="1188"/>
      <c r="N43" s="1188"/>
      <c r="O43" s="1188"/>
      <c r="P43" s="1188"/>
      <c r="Q43" s="1188"/>
      <c r="R43" s="1188"/>
      <c r="S43" s="1189"/>
      <c r="T43" s="1190"/>
      <c r="U43" s="1106"/>
      <c r="V43" s="1087"/>
      <c r="W43" s="1069"/>
      <c r="X43" s="1069"/>
      <c r="Y43" s="1069"/>
      <c r="Z43" s="1107">
        <v>6.4</v>
      </c>
      <c r="AA43" s="1110"/>
      <c r="AB43" s="1069"/>
      <c r="AC43" s="1090"/>
      <c r="AD43" s="1069"/>
      <c r="AE43" s="1196"/>
      <c r="AF43" s="1110">
        <f>SUM(Z43*1.1)</f>
        <v>7.0400000000000009</v>
      </c>
      <c r="AG43" s="1069">
        <f>AF43</f>
        <v>7.0400000000000009</v>
      </c>
      <c r="AH43" s="1090"/>
      <c r="AI43" s="5189"/>
      <c r="AJ43" s="5190"/>
      <c r="AK43" s="5191"/>
      <c r="AL43" s="3597"/>
      <c r="AM43" s="3329"/>
      <c r="AN43" s="3508"/>
      <c r="AO43" s="3331"/>
      <c r="AP43" s="3613">
        <f>SUM(AG43*1.1)</f>
        <v>7.7440000000000015</v>
      </c>
      <c r="AQ43" s="3609">
        <f t="shared" si="12"/>
        <v>7.4644416000000007</v>
      </c>
      <c r="AR43" s="3610">
        <f t="shared" si="4"/>
        <v>1.06029</v>
      </c>
      <c r="AS43" s="5306"/>
      <c r="AT43" s="5307"/>
      <c r="AU43" s="5308"/>
    </row>
    <row r="44" spans="1:47" ht="20.25" customHeight="1" thickBot="1">
      <c r="A44" s="1184" t="s">
        <v>614</v>
      </c>
      <c r="B44" s="1185"/>
      <c r="C44" s="1185"/>
      <c r="D44" s="1186"/>
      <c r="E44" s="1187"/>
      <c r="F44" s="1188"/>
      <c r="G44" s="1188"/>
      <c r="H44" s="1188"/>
      <c r="I44" s="1188"/>
      <c r="J44" s="1188"/>
      <c r="K44" s="1188"/>
      <c r="L44" s="1188"/>
      <c r="M44" s="1188"/>
      <c r="N44" s="1188"/>
      <c r="O44" s="1188"/>
      <c r="P44" s="1188"/>
      <c r="Q44" s="1188"/>
      <c r="R44" s="1188"/>
      <c r="S44" s="1189"/>
      <c r="T44" s="1190"/>
      <c r="U44" s="1202"/>
      <c r="V44" s="1123"/>
      <c r="W44" s="1200"/>
      <c r="X44" s="1200"/>
      <c r="Y44" s="1200"/>
      <c r="Z44" s="1201">
        <v>6.1</v>
      </c>
      <c r="AA44" s="1199"/>
      <c r="AB44" s="1200"/>
      <c r="AC44" s="1124"/>
      <c r="AD44" s="1200">
        <v>8.5299999999999994</v>
      </c>
      <c r="AE44" s="1204">
        <v>10.23</v>
      </c>
      <c r="AF44" s="1134">
        <f>SUM(Z44*1.1)</f>
        <v>6.71</v>
      </c>
      <c r="AG44" s="1133">
        <f>AF44</f>
        <v>6.71</v>
      </c>
      <c r="AH44" s="1090"/>
      <c r="AI44" s="5192"/>
      <c r="AJ44" s="5193"/>
      <c r="AK44" s="5194"/>
      <c r="AL44" s="3322">
        <v>12.08</v>
      </c>
      <c r="AM44" s="3330">
        <v>9.3800000000000008</v>
      </c>
      <c r="AN44" s="3513">
        <v>16.22</v>
      </c>
      <c r="AO44" s="3331">
        <f>SUM(AN44/9*12)</f>
        <v>21.626666666666665</v>
      </c>
      <c r="AP44" s="3614">
        <f>SUM(AL44*1.074*1.1)</f>
        <v>14.271312000000004</v>
      </c>
      <c r="AQ44" s="3609">
        <f t="shared" si="12"/>
        <v>7.1145458999999995</v>
      </c>
      <c r="AR44" s="3621">
        <f t="shared" si="4"/>
        <v>1.06029</v>
      </c>
      <c r="AS44" s="5309"/>
      <c r="AT44" s="5310"/>
      <c r="AU44" s="5311"/>
    </row>
    <row r="45" spans="1:47" ht="20.100000000000001" customHeight="1" thickBot="1">
      <c r="A45" s="1136" t="s">
        <v>54</v>
      </c>
      <c r="B45" s="1137">
        <f>B8+B11+B13+B14+B15+B16+B17+B23+B25+B26</f>
        <v>12622.300000000001</v>
      </c>
      <c r="C45" s="1138">
        <f>C8+C11+C13+C14+C15+C16+C17+C23+C25+C26</f>
        <v>13647.300000000003</v>
      </c>
      <c r="D45" s="1139">
        <f>C45/B45*100</f>
        <v>108.12054855295787</v>
      </c>
      <c r="E45" s="1140">
        <f>E8+E11+E13+E14+E15+E16+E17+E23+E25+E26</f>
        <v>16177.599999999999</v>
      </c>
      <c r="F45" s="1141">
        <f>F8+F11+F13+F14+F15+F16+F17+F23+F25+F26</f>
        <v>8590.9477735046166</v>
      </c>
      <c r="G45" s="1141">
        <f>G8+G11+G13+G14+G15+G16+G17+G23+G25+G26</f>
        <v>18541.900000000001</v>
      </c>
      <c r="H45" s="1142">
        <f t="shared" si="5"/>
        <v>114.61465235881715</v>
      </c>
      <c r="I45" s="1141">
        <f>I8+I11+I13+I14+I15+I16+I17+I23+I25+I26</f>
        <v>15969.009599999999</v>
      </c>
      <c r="J45" s="1141">
        <f>J8+J11+J13+J14+J15+J16+J17+J23+J25+J26</f>
        <v>10071.700000000001</v>
      </c>
      <c r="K45" s="1141">
        <f>K8+K11+K13+K14+K15+K16+K17+K23+K25+K26</f>
        <v>13501.300000000003</v>
      </c>
      <c r="L45" s="1141">
        <f>L8+L11+L13+L14+L15+L16+L17+L23+L25+L26</f>
        <v>19302.900000000001</v>
      </c>
      <c r="M45" s="1142">
        <f t="shared" si="6"/>
        <v>104.10421801433509</v>
      </c>
      <c r="N45" s="1141">
        <f>N8+N11+N13+N14+N15+N16+N17+N23+N25+N26</f>
        <v>22059.200000000001</v>
      </c>
      <c r="O45" s="1142">
        <f>N45/L45*100</f>
        <v>114.27920157074843</v>
      </c>
      <c r="P45" s="1141">
        <f>P8+P11+P13+P14+P15+P16+P17+P23+P25+P26</f>
        <v>17634.2</v>
      </c>
      <c r="Q45" s="1142">
        <f>P45/I45*100</f>
        <v>110.42763729066832</v>
      </c>
      <c r="R45" s="1142">
        <f>P45/L45*100</f>
        <v>91.355184972206246</v>
      </c>
      <c r="S45" s="1141">
        <f>S8+S11+S13+S14+S15+S16+S17+S23+S25+S26</f>
        <v>14829.099999999999</v>
      </c>
      <c r="T45" s="1143">
        <f>T8+T11+T13+T14+T15+T16+T17+T23+T25+T26</f>
        <v>19502.300000000003</v>
      </c>
      <c r="U45" s="1144">
        <f>U8+U11+U13+U14+U15+U16+U17+U23+U25+U26</f>
        <v>23158.7</v>
      </c>
      <c r="V45" s="1145">
        <f t="shared" si="7"/>
        <v>1.3132832790826916</v>
      </c>
      <c r="W45" s="1146">
        <f t="shared" ref="W45:AB45" si="36">W8+W11+W13+W14+W15+W16+W17+W23+W25+W26+W24</f>
        <v>18723.532385356291</v>
      </c>
      <c r="X45" s="1146">
        <f t="shared" si="36"/>
        <v>8462.2999999999993</v>
      </c>
      <c r="Y45" s="1146">
        <f t="shared" si="36"/>
        <v>12163.6</v>
      </c>
      <c r="Z45" s="1147">
        <f t="shared" si="36"/>
        <v>17316.400000000001</v>
      </c>
      <c r="AA45" s="1144">
        <f t="shared" si="36"/>
        <v>21388.100000000002</v>
      </c>
      <c r="AB45" s="1146">
        <f t="shared" si="36"/>
        <v>19700.208228981621</v>
      </c>
      <c r="AC45" s="1148">
        <f>AB45/W45</f>
        <v>1.0521630119532994</v>
      </c>
      <c r="AD45" s="1146">
        <f t="shared" ref="AD45:AG45" si="37">AD8+AD11+AD13+AD14+AD15+AD16+AD17+AD23+AD25+AD26+AD24</f>
        <v>9372.2199999999993</v>
      </c>
      <c r="AE45" s="1147">
        <f t="shared" si="37"/>
        <v>13324.320000000003</v>
      </c>
      <c r="AF45" s="1144">
        <f t="shared" si="37"/>
        <v>23341.413298249798</v>
      </c>
      <c r="AG45" s="1146">
        <f t="shared" si="37"/>
        <v>18719.609230157621</v>
      </c>
      <c r="AH45" s="1149">
        <f t="shared" ref="AH45:AH46" si="38">SUM(AG45/AB45)</f>
        <v>0.95022392720796689</v>
      </c>
      <c r="AI45" s="5207"/>
      <c r="AJ45" s="5208"/>
      <c r="AK45" s="5209"/>
      <c r="AL45" s="3323">
        <f t="shared" ref="AL45:AQ45" si="39">AL8+AL11+AL13+AL14+AL15+AL16+AL17+AL23+AL25+AL26+AL24</f>
        <v>18219.580000000002</v>
      </c>
      <c r="AM45" s="1144">
        <f t="shared" si="39"/>
        <v>8938.89</v>
      </c>
      <c r="AN45" s="1146">
        <f t="shared" si="39"/>
        <v>13483.54</v>
      </c>
      <c r="AO45" s="1147">
        <f t="shared" si="39"/>
        <v>19877.373333333329</v>
      </c>
      <c r="AP45" s="3317">
        <f t="shared" si="39"/>
        <v>21398.076634721609</v>
      </c>
      <c r="AQ45" s="3593">
        <f t="shared" si="39"/>
        <v>19752.050813946229</v>
      </c>
      <c r="AR45" s="3622">
        <f t="shared" si="4"/>
        <v>1.0551529452936084</v>
      </c>
      <c r="AS45" s="5288"/>
      <c r="AT45" s="5289"/>
      <c r="AU45" s="5290"/>
    </row>
    <row r="46" spans="1:47" ht="20.100000000000001" customHeight="1" thickBot="1">
      <c r="A46" s="1150" t="s">
        <v>222</v>
      </c>
      <c r="B46" s="1151"/>
      <c r="C46" s="1151"/>
      <c r="D46" s="1152"/>
      <c r="E46" s="1153"/>
      <c r="F46" s="1154"/>
      <c r="G46" s="1154"/>
      <c r="H46" s="1154"/>
      <c r="I46" s="1154"/>
      <c r="J46" s="1154"/>
      <c r="K46" s="1154">
        <f t="shared" ref="K46:X46" si="40">K45-K36</f>
        <v>13027.500000000004</v>
      </c>
      <c r="L46" s="1154">
        <f t="shared" si="40"/>
        <v>18630.800000000003</v>
      </c>
      <c r="M46" s="1154">
        <f t="shared" si="40"/>
        <v>-16.777076949693679</v>
      </c>
      <c r="N46" s="1154">
        <f t="shared" si="40"/>
        <v>21344.2</v>
      </c>
      <c r="O46" s="1154">
        <f t="shared" si="40"/>
        <v>7.8962228473441769</v>
      </c>
      <c r="P46" s="1154">
        <f t="shared" si="40"/>
        <v>17634.2</v>
      </c>
      <c r="Q46" s="1154">
        <f t="shared" si="40"/>
        <v>110.42763729066832</v>
      </c>
      <c r="R46" s="1154">
        <f t="shared" si="40"/>
        <v>91.355184972206246</v>
      </c>
      <c r="S46" s="1154">
        <f t="shared" si="40"/>
        <v>14288.3</v>
      </c>
      <c r="T46" s="1155">
        <f t="shared" si="40"/>
        <v>18796.300000000003</v>
      </c>
      <c r="U46" s="1156">
        <f t="shared" si="40"/>
        <v>22417.4</v>
      </c>
      <c r="V46" s="1157">
        <f t="shared" si="40"/>
        <v>1.3132832790826916</v>
      </c>
      <c r="W46" s="1157">
        <f t="shared" si="40"/>
        <v>18723.532385356291</v>
      </c>
      <c r="X46" s="1157">
        <f t="shared" si="40"/>
        <v>8148.6999999999989</v>
      </c>
      <c r="Y46" s="1157"/>
      <c r="Z46" s="1158">
        <f>SUM(Z45-Z36-Z37)</f>
        <v>16628.2</v>
      </c>
      <c r="AA46" s="1156">
        <f t="shared" ref="AA46:AB46" si="41">SUM(AA45-AA36-AA37)</f>
        <v>20653.100000000002</v>
      </c>
      <c r="AB46" s="1157">
        <f t="shared" si="41"/>
        <v>19700.208228981621</v>
      </c>
      <c r="AC46" s="1148">
        <f>AB46/W46</f>
        <v>1.0521630119532994</v>
      </c>
      <c r="AD46" s="1157">
        <f t="shared" ref="AD46" si="42">SUM(AD45-AD36-AD37)</f>
        <v>9044.16</v>
      </c>
      <c r="AE46" s="1158">
        <f t="shared" ref="AE46" si="43">SUM(AE45-AE36-AE37)</f>
        <v>12830.860000000004</v>
      </c>
      <c r="AF46" s="1156">
        <f t="shared" ref="AF46" si="44">SUM(AF45-AF36-AF37)</f>
        <v>22584.393298249797</v>
      </c>
      <c r="AG46" s="1157">
        <f t="shared" ref="AG46" si="45">SUM(AG45-AG36-AG37)</f>
        <v>18719.609230157621</v>
      </c>
      <c r="AH46" s="1149">
        <f t="shared" si="38"/>
        <v>0.95022392720796689</v>
      </c>
      <c r="AI46" s="5210"/>
      <c r="AJ46" s="5211"/>
      <c r="AK46" s="5212"/>
      <c r="AL46" s="3601">
        <f t="shared" ref="AL46" si="46">SUM(AL45-AL36-AL37)</f>
        <v>17538.930000000004</v>
      </c>
      <c r="AM46" s="1156">
        <f>AM45-AM36-AM37</f>
        <v>8594.27</v>
      </c>
      <c r="AN46" s="1157">
        <f>AN45-AN36-AN37</f>
        <v>12915.36</v>
      </c>
      <c r="AO46" s="1158">
        <f>SUM(AO45-AO36-AO37)</f>
        <v>19119.799999999996</v>
      </c>
      <c r="AP46" s="3615">
        <f t="shared" ref="AP46:AQ46" si="47">SUM(AP45-AP36-AP37)</f>
        <v>21398.076634721609</v>
      </c>
      <c r="AQ46" s="3596">
        <f t="shared" si="47"/>
        <v>19752.050813946229</v>
      </c>
      <c r="AR46" s="3622">
        <f t="shared" si="4"/>
        <v>1.0551529452936084</v>
      </c>
      <c r="AS46" s="5291"/>
      <c r="AT46" s="5292"/>
      <c r="AU46" s="5293"/>
    </row>
    <row r="47" spans="1:47" ht="19.5" customHeight="1">
      <c r="A47" s="4905" t="s">
        <v>158</v>
      </c>
      <c r="B47" s="4605"/>
      <c r="C47" s="4605"/>
      <c r="D47" s="1162"/>
      <c r="E47" s="1163"/>
      <c r="F47" s="1164"/>
      <c r="G47" s="1164"/>
      <c r="H47" s="1164"/>
      <c r="I47" s="1165">
        <v>1679.5</v>
      </c>
      <c r="J47" s="1164"/>
      <c r="K47" s="1165">
        <f>I47/I45*K46</f>
        <v>1370.1342035638834</v>
      </c>
      <c r="L47" s="1164">
        <f>I47/I45*L46</f>
        <v>1959.4470404726922</v>
      </c>
      <c r="M47" s="1164"/>
      <c r="N47" s="1165">
        <f>вода!O16</f>
        <v>1662.3</v>
      </c>
      <c r="O47" s="1164"/>
      <c r="P47" s="1165">
        <f>N47/N45*P45</f>
        <v>1328.848310908827</v>
      </c>
      <c r="Q47" s="1164"/>
      <c r="R47" s="1164"/>
      <c r="S47" s="1166">
        <v>832.1</v>
      </c>
      <c r="T47" s="1167"/>
      <c r="U47" s="1168">
        <f>вода!Y16</f>
        <v>1803.5</v>
      </c>
      <c r="V47" s="1169"/>
      <c r="W47" s="1169">
        <f>W46*(P47/P46)</f>
        <v>1410.9363841017698</v>
      </c>
      <c r="X47" s="1169">
        <v>658.7</v>
      </c>
      <c r="Y47" s="1169"/>
      <c r="Z47" s="1170">
        <v>1490.4</v>
      </c>
      <c r="AA47" s="1168">
        <f>SUM(AA45*AA51)</f>
        <v>1665.6132835608219</v>
      </c>
      <c r="AB47" s="1169">
        <f>AB46*(W47/W46)</f>
        <v>1484.5350755710156</v>
      </c>
      <c r="AC47" s="1171"/>
      <c r="AD47" s="1169">
        <v>1047.32</v>
      </c>
      <c r="AE47" s="1170">
        <v>1465.34</v>
      </c>
      <c r="AF47" s="1168">
        <f>SUM(AF45*AF51)</f>
        <v>2008.9650493007493</v>
      </c>
      <c r="AG47" s="1169">
        <f>SUM(AG45*AG51)</f>
        <v>1611.1723912953566</v>
      </c>
      <c r="AH47" s="1162"/>
      <c r="AI47" s="5213"/>
      <c r="AJ47" s="5214"/>
      <c r="AK47" s="5215"/>
      <c r="AL47" s="3602">
        <v>1903.85</v>
      </c>
      <c r="AM47" s="1168">
        <v>877.96</v>
      </c>
      <c r="AN47" s="1169">
        <v>1336.29</v>
      </c>
      <c r="AO47" s="1170">
        <f>SUM(AO45*AN51)</f>
        <v>1969.9526394107181</v>
      </c>
      <c r="AP47" s="3318">
        <f>SUM(AP45*AP51)</f>
        <v>2235.9861314593818</v>
      </c>
      <c r="AQ47" s="3623">
        <f>SUM(AQ45*AQ51)</f>
        <v>1957.532516102463</v>
      </c>
      <c r="AR47" s="3624">
        <f t="shared" si="4"/>
        <v>1.2149739696871533</v>
      </c>
      <c r="AS47" s="5294"/>
      <c r="AT47" s="5295"/>
      <c r="AU47" s="5296"/>
    </row>
    <row r="48" spans="1:47" ht="20.100000000000001" customHeight="1">
      <c r="A48" s="5185" t="s">
        <v>155</v>
      </c>
      <c r="B48" s="5186"/>
      <c r="C48" s="5186"/>
      <c r="D48" s="1103"/>
      <c r="E48" s="1096"/>
      <c r="F48" s="1172"/>
      <c r="G48" s="1172"/>
      <c r="H48" s="1172"/>
      <c r="I48" s="1173">
        <v>8659.2999999999993</v>
      </c>
      <c r="J48" s="1172"/>
      <c r="K48" s="1173">
        <f>I48/I45*K46</f>
        <v>7064.2471622034736</v>
      </c>
      <c r="L48" s="1172">
        <f>I48/I45*L46</f>
        <v>10102.673270357356</v>
      </c>
      <c r="M48" s="1172"/>
      <c r="N48" s="1173">
        <f>вода!O26</f>
        <v>13061</v>
      </c>
      <c r="O48" s="1172"/>
      <c r="P48" s="1173">
        <f>N48/N45*P45</f>
        <v>10441.008114528178</v>
      </c>
      <c r="Q48" s="1172"/>
      <c r="R48" s="1172"/>
      <c r="S48" s="1174">
        <v>7957</v>
      </c>
      <c r="T48" s="1085"/>
      <c r="U48" s="1111">
        <f>вода!Y26</f>
        <v>13533.8</v>
      </c>
      <c r="V48" s="1071"/>
      <c r="W48" s="1071">
        <f>W46*(P48/P46)</f>
        <v>11085.989359774539</v>
      </c>
      <c r="X48" s="1071">
        <v>4626.8999999999996</v>
      </c>
      <c r="Y48" s="1071"/>
      <c r="Z48" s="1112">
        <v>9696.2999999999993</v>
      </c>
      <c r="AA48" s="1111">
        <f>SUM(AA45*AA52)</f>
        <v>12499.072390937314</v>
      </c>
      <c r="AB48" s="1071">
        <f>AB46*(W48/W46)</f>
        <v>11664.267955262609</v>
      </c>
      <c r="AC48" s="1091"/>
      <c r="AD48" s="1071">
        <v>5322.04</v>
      </c>
      <c r="AE48" s="1112">
        <v>7066.56</v>
      </c>
      <c r="AF48" s="1111">
        <f>SUM(AF45*AF52)</f>
        <v>13069.99987086343</v>
      </c>
      <c r="AG48" s="1071">
        <f>SUM(AG45*AG52)</f>
        <v>10482.025535236962</v>
      </c>
      <c r="AH48" s="1103"/>
      <c r="AI48" s="5176"/>
      <c r="AJ48" s="5177"/>
      <c r="AK48" s="5178"/>
      <c r="AL48" s="3603">
        <f>9707.88-629.62-51.03</f>
        <v>9027.2299999999977</v>
      </c>
      <c r="AM48" s="3325">
        <v>4832.79</v>
      </c>
      <c r="AN48" s="3514">
        <v>7109.65</v>
      </c>
      <c r="AO48" s="3326">
        <f>SUM(AO45*AN52)</f>
        <v>10481.013689233931</v>
      </c>
      <c r="AP48" s="3616">
        <f>SUM(AP45*AP52)</f>
        <v>10602.075313440699</v>
      </c>
      <c r="AQ48" s="3625">
        <f>SUM(AQ45*AQ52)</f>
        <v>10414.933175514203</v>
      </c>
      <c r="AR48" s="3610">
        <f t="shared" si="4"/>
        <v>0.99359929438282535</v>
      </c>
      <c r="AS48" s="5273"/>
      <c r="AT48" s="5274"/>
      <c r="AU48" s="5275"/>
    </row>
    <row r="49" spans="1:47" ht="20.100000000000001" customHeight="1">
      <c r="A49" s="5185" t="s">
        <v>156</v>
      </c>
      <c r="B49" s="5186"/>
      <c r="C49" s="5186"/>
      <c r="D49" s="1103"/>
      <c r="E49" s="1096"/>
      <c r="F49" s="1172"/>
      <c r="G49" s="1172"/>
      <c r="H49" s="1172"/>
      <c r="I49" s="1173">
        <v>3523.1</v>
      </c>
      <c r="J49" s="1172"/>
      <c r="K49" s="1173">
        <f>I49/I45*K46</f>
        <v>2874.1410018314482</v>
      </c>
      <c r="L49" s="1172">
        <f>I49/I45*L46</f>
        <v>4110.3470486986253</v>
      </c>
      <c r="M49" s="1172"/>
      <c r="N49" s="1173">
        <f>вода!O34</f>
        <v>4691.6000000000004</v>
      </c>
      <c r="O49" s="1172"/>
      <c r="P49" s="1173">
        <f>N49/N45*P45</f>
        <v>3750.4811017625302</v>
      </c>
      <c r="Q49" s="1172"/>
      <c r="R49" s="1172"/>
      <c r="S49" s="1174">
        <v>3991.4</v>
      </c>
      <c r="T49" s="1085"/>
      <c r="U49" s="1111">
        <f>вода!Y34</f>
        <v>5004</v>
      </c>
      <c r="V49" s="1071"/>
      <c r="W49" s="1071">
        <f>W46*(P49/P46)</f>
        <v>3982.1627501966336</v>
      </c>
      <c r="X49" s="1071">
        <v>1750</v>
      </c>
      <c r="Y49" s="1071"/>
      <c r="Z49" s="1112">
        <v>3840.1</v>
      </c>
      <c r="AA49" s="1111">
        <f>SUM(AA45*AA53)</f>
        <v>4621.4188361177448</v>
      </c>
      <c r="AB49" s="1071">
        <f>AB46*(W49/W46)</f>
        <v>4189.8843533351246</v>
      </c>
      <c r="AC49" s="1091"/>
      <c r="AD49" s="1071">
        <v>1853.14</v>
      </c>
      <c r="AE49" s="1112">
        <v>3037.94</v>
      </c>
      <c r="AF49" s="1111">
        <f>SUM(AF45*AF53)</f>
        <v>5176.2122153917117</v>
      </c>
      <c r="AG49" s="1071">
        <f>SUM(AG45*AG53)</f>
        <v>4151.2769054034479</v>
      </c>
      <c r="AH49" s="1103"/>
      <c r="AI49" s="5176"/>
      <c r="AJ49" s="5177"/>
      <c r="AK49" s="5178"/>
      <c r="AL49" s="3603">
        <v>4010.45</v>
      </c>
      <c r="AM49" s="3325">
        <v>2053.5500000000002</v>
      </c>
      <c r="AN49" s="3514">
        <v>3169.88</v>
      </c>
      <c r="AO49" s="3326">
        <f>SUM(AO45*AN53)</f>
        <v>4673.022676675907</v>
      </c>
      <c r="AP49" s="3616">
        <f>SUM(AP45*AP53)</f>
        <v>4710.0930120079202</v>
      </c>
      <c r="AQ49" s="3625">
        <f>SUM(AQ45*AQ53)</f>
        <v>4643.5602841769951</v>
      </c>
      <c r="AR49" s="3610">
        <f t="shared" si="4"/>
        <v>1.1185860134101808</v>
      </c>
      <c r="AS49" s="5273"/>
      <c r="AT49" s="5274"/>
      <c r="AU49" s="5275"/>
    </row>
    <row r="50" spans="1:47" ht="20.100000000000001" customHeight="1" thickBot="1">
      <c r="A50" s="5187" t="s">
        <v>157</v>
      </c>
      <c r="B50" s="5188"/>
      <c r="C50" s="5188"/>
      <c r="D50" s="1175"/>
      <c r="E50" s="1176"/>
      <c r="F50" s="1177"/>
      <c r="G50" s="1177"/>
      <c r="H50" s="1177"/>
      <c r="I50" s="1122">
        <v>2107</v>
      </c>
      <c r="J50" s="1177"/>
      <c r="K50" s="1122">
        <f>I50/I45*K46</f>
        <v>1718.888220844955</v>
      </c>
      <c r="L50" s="1177">
        <f>I50/I45*L45</f>
        <v>2546.8837027939417</v>
      </c>
      <c r="M50" s="1177"/>
      <c r="N50" s="1122">
        <f>N45-N47-N48-N49</f>
        <v>2644.3000000000011</v>
      </c>
      <c r="O50" s="1177"/>
      <c r="P50" s="1122">
        <f>N50/N45*P45</f>
        <v>2113.8624728004652</v>
      </c>
      <c r="Q50" s="1177"/>
      <c r="R50" s="1177"/>
      <c r="S50" s="1178">
        <v>2048.6</v>
      </c>
      <c r="T50" s="1179"/>
      <c r="U50" s="1180">
        <f>вода!Y42</f>
        <v>2817.5</v>
      </c>
      <c r="V50" s="1181"/>
      <c r="W50" s="1181">
        <f>W46*(P50/P46)</f>
        <v>2244.4438912833493</v>
      </c>
      <c r="X50" s="1181">
        <v>1113.8</v>
      </c>
      <c r="Y50" s="1181"/>
      <c r="Z50" s="1182">
        <v>2289.6</v>
      </c>
      <c r="AA50" s="1180">
        <f>SUM(AA45*AA54)</f>
        <v>2602.0878438772475</v>
      </c>
      <c r="AB50" s="1181">
        <f>AB46*(W50/W46)</f>
        <v>2361.5208448128728</v>
      </c>
      <c r="AC50" s="1183"/>
      <c r="AD50" s="1181">
        <v>1149.72</v>
      </c>
      <c r="AE50" s="1182">
        <v>1754.48</v>
      </c>
      <c r="AF50" s="1180">
        <f>SUM(AF45*AF54)</f>
        <v>3086.2361626939046</v>
      </c>
      <c r="AG50" s="1181">
        <f>SUM(AG45*AG54)</f>
        <v>2475.1343982218523</v>
      </c>
      <c r="AH50" s="1175"/>
      <c r="AI50" s="5204"/>
      <c r="AJ50" s="5205"/>
      <c r="AK50" s="5206"/>
      <c r="AL50" s="3604">
        <v>2350.87</v>
      </c>
      <c r="AM50" s="3515">
        <v>1174.5899999999999</v>
      </c>
      <c r="AN50" s="3516">
        <v>1867.72</v>
      </c>
      <c r="AO50" s="3517">
        <f>SUM(AO45*AN54)</f>
        <v>2753.3843280127712</v>
      </c>
      <c r="AP50" s="3617">
        <f>SUM(AP45*AP54)</f>
        <v>2760.9910007951876</v>
      </c>
      <c r="AQ50" s="3626">
        <f>SUM(AQ45*AQ54)</f>
        <v>2736.0248381525657</v>
      </c>
      <c r="AR50" s="3627">
        <f t="shared" si="4"/>
        <v>1.1054045550488645</v>
      </c>
      <c r="AS50" s="5297"/>
      <c r="AT50" s="5298"/>
      <c r="AU50" s="5299"/>
    </row>
    <row r="51" spans="1:47" ht="20.100000000000001" customHeight="1">
      <c r="A51" s="4905" t="s">
        <v>847</v>
      </c>
      <c r="B51" s="4605"/>
      <c r="C51" s="4605"/>
      <c r="D51" s="424"/>
      <c r="E51" s="435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1159">
        <f>U47/U45</f>
        <v>7.7875701140392162E-2</v>
      </c>
      <c r="V51" s="423"/>
      <c r="W51" s="423"/>
      <c r="X51" s="423"/>
      <c r="Y51" s="523"/>
      <c r="Z51" s="1193">
        <f>Z47/Z45</f>
        <v>8.6068697881776804E-2</v>
      </c>
      <c r="AA51" s="1160">
        <f>U51</f>
        <v>7.7875701140392162E-2</v>
      </c>
      <c r="AB51" s="1161">
        <f>AB47/AB45</f>
        <v>7.535631391890911E-2</v>
      </c>
      <c r="AC51" s="422"/>
      <c r="AD51" s="1161">
        <f t="shared" ref="AD51:AE51" si="48">AD47/AD45</f>
        <v>0.11174727012383405</v>
      </c>
      <c r="AE51" s="1203">
        <f t="shared" si="48"/>
        <v>0.10997484299386381</v>
      </c>
      <c r="AF51" s="1207">
        <f>SUM(Z51)</f>
        <v>8.6068697881776804E-2</v>
      </c>
      <c r="AG51" s="1213">
        <f>SUM(AF51)</f>
        <v>8.6068697881776804E-2</v>
      </c>
      <c r="AH51" s="1210"/>
      <c r="AI51" s="5195"/>
      <c r="AJ51" s="5196"/>
      <c r="AK51" s="5197"/>
      <c r="AL51" s="3605">
        <f t="shared" ref="AL51:AM51" si="49">AL47/AL45</f>
        <v>0.10449472490584304</v>
      </c>
      <c r="AM51" s="3522">
        <f t="shared" si="49"/>
        <v>9.8218011408575348E-2</v>
      </c>
      <c r="AN51" s="3523">
        <f t="shared" ref="AN51" si="50">AN47/AN45</f>
        <v>9.9105279474084693E-2</v>
      </c>
      <c r="AO51" s="1193">
        <f>AO47/AO45</f>
        <v>9.9105279474084693E-2</v>
      </c>
      <c r="AP51" s="3618">
        <f>SUM(AL51)</f>
        <v>0.10449472490584304</v>
      </c>
      <c r="AQ51" s="3628">
        <f>SUM(AO51)</f>
        <v>9.9105279474084693E-2</v>
      </c>
      <c r="AR51" s="3629">
        <f t="shared" si="4"/>
        <v>1.1514671641740744</v>
      </c>
      <c r="AS51" s="5300"/>
      <c r="AT51" s="5301"/>
      <c r="AU51" s="5302"/>
    </row>
    <row r="52" spans="1:47" ht="20.100000000000001" customHeight="1">
      <c r="A52" s="5185" t="s">
        <v>848</v>
      </c>
      <c r="B52" s="5186"/>
      <c r="C52" s="5186"/>
      <c r="D52" s="1104"/>
      <c r="E52" s="435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1113">
        <f>U48/U45</f>
        <v>0.58439376994390868</v>
      </c>
      <c r="V52" s="1089"/>
      <c r="W52" s="1089"/>
      <c r="X52" s="1089"/>
      <c r="Y52" s="1191"/>
      <c r="Z52" s="1194">
        <f>Z48/Z45</f>
        <v>0.55994895012820212</v>
      </c>
      <c r="AA52" s="1117">
        <f>U52</f>
        <v>0.58439376994390868</v>
      </c>
      <c r="AB52" s="1088">
        <f>AB48/AB45</f>
        <v>0.59208856168854718</v>
      </c>
      <c r="AC52" s="1092"/>
      <c r="AD52" s="1088">
        <f t="shared" ref="AD52:AE52" si="51">AD48/AD45</f>
        <v>0.56785265390697193</v>
      </c>
      <c r="AE52" s="1194">
        <f t="shared" si="51"/>
        <v>0.53035051694945778</v>
      </c>
      <c r="AF52" s="1208">
        <f>SUM(Z52)</f>
        <v>0.55994895012820212</v>
      </c>
      <c r="AG52" s="1214">
        <f>SUM(AF52)</f>
        <v>0.55994895012820212</v>
      </c>
      <c r="AH52" s="1211"/>
      <c r="AI52" s="5198"/>
      <c r="AJ52" s="5199"/>
      <c r="AK52" s="5200"/>
      <c r="AL52" s="3606">
        <f t="shared" ref="AL52:AM52" si="52">AL48/AL45</f>
        <v>0.49546861124131275</v>
      </c>
      <c r="AM52" s="3518">
        <f t="shared" si="52"/>
        <v>0.54064766430731337</v>
      </c>
      <c r="AN52" s="3524">
        <f t="shared" ref="AN52" si="53">AN48/AN45</f>
        <v>0.52728363619642904</v>
      </c>
      <c r="AO52" s="3519">
        <f>AO48/AO45</f>
        <v>0.52728363619642904</v>
      </c>
      <c r="AP52" s="3619">
        <f>SUM(AL52)</f>
        <v>0.49546861124131275</v>
      </c>
      <c r="AQ52" s="3637">
        <f t="shared" ref="AQ52:AQ54" si="54">SUM(AO52)</f>
        <v>0.52728363619642904</v>
      </c>
      <c r="AR52" s="3610">
        <f t="shared" si="4"/>
        <v>0.94166376430513132</v>
      </c>
      <c r="AS52" s="5303"/>
      <c r="AT52" s="5304"/>
      <c r="AU52" s="5305"/>
    </row>
    <row r="53" spans="1:47" ht="20.100000000000001" customHeight="1">
      <c r="A53" s="5185" t="s">
        <v>849</v>
      </c>
      <c r="B53" s="5186"/>
      <c r="C53" s="5186"/>
      <c r="D53" s="1104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435"/>
      <c r="T53" s="435"/>
      <c r="U53" s="1113">
        <f>U49/U45</f>
        <v>0.21607430468895059</v>
      </c>
      <c r="V53" s="1089"/>
      <c r="W53" s="1089"/>
      <c r="X53" s="1089"/>
      <c r="Y53" s="1191"/>
      <c r="Z53" s="1194">
        <f>Z49/Z45</f>
        <v>0.2217608740846827</v>
      </c>
      <c r="AA53" s="1117">
        <f>U53</f>
        <v>0.21607430468895059</v>
      </c>
      <c r="AB53" s="1088">
        <f>AB49/AB45</f>
        <v>0.21268223688982377</v>
      </c>
      <c r="AC53" s="1092"/>
      <c r="AD53" s="1088">
        <f t="shared" ref="AD53:AE53" si="55">AD49/AD45</f>
        <v>0.19772689928320081</v>
      </c>
      <c r="AE53" s="1194">
        <f t="shared" si="55"/>
        <v>0.22799962774835783</v>
      </c>
      <c r="AF53" s="1208">
        <f>SUM(Z53)</f>
        <v>0.2217608740846827</v>
      </c>
      <c r="AG53" s="1214">
        <f>SUM(AF53)</f>
        <v>0.2217608740846827</v>
      </c>
      <c r="AH53" s="1211"/>
      <c r="AI53" s="5198"/>
      <c r="AJ53" s="5199"/>
      <c r="AK53" s="5200"/>
      <c r="AL53" s="3606">
        <f t="shared" ref="AL53:AM53" si="56">AL49/AL45</f>
        <v>0.22011758778193566</v>
      </c>
      <c r="AM53" s="3518">
        <f t="shared" si="56"/>
        <v>0.22973210320297044</v>
      </c>
      <c r="AN53" s="3524">
        <f t="shared" ref="AN53" si="57">AN49/AN45</f>
        <v>0.23509256471223433</v>
      </c>
      <c r="AO53" s="3519">
        <f>AO49/AO45</f>
        <v>0.23509256471223433</v>
      </c>
      <c r="AP53" s="3619">
        <f>SUM(AL53)</f>
        <v>0.22011758778193566</v>
      </c>
      <c r="AQ53" s="3637">
        <f t="shared" si="54"/>
        <v>0.23509256471223433</v>
      </c>
      <c r="AR53" s="3610">
        <f t="shared" si="4"/>
        <v>1.0601174155836919</v>
      </c>
      <c r="AS53" s="5303"/>
      <c r="AT53" s="5304"/>
      <c r="AU53" s="5305"/>
    </row>
    <row r="54" spans="1:47" ht="20.100000000000001" customHeight="1" thickBot="1">
      <c r="A54" s="5187" t="s">
        <v>850</v>
      </c>
      <c r="B54" s="5188"/>
      <c r="C54" s="5188"/>
      <c r="D54" s="420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1114">
        <f>U50/U45</f>
        <v>0.12166054225841692</v>
      </c>
      <c r="V54" s="1115"/>
      <c r="W54" s="1115"/>
      <c r="X54" s="1115"/>
      <c r="Y54" s="1192"/>
      <c r="Z54" s="1195">
        <f>Z50/Z45</f>
        <v>0.13222147790533828</v>
      </c>
      <c r="AA54" s="1118">
        <f>U54</f>
        <v>0.12166054225841692</v>
      </c>
      <c r="AB54" s="1119">
        <f>AB50/AB45</f>
        <v>0.11987288750272002</v>
      </c>
      <c r="AC54" s="1105"/>
      <c r="AD54" s="1119">
        <f t="shared" ref="AD54:AE54" si="58">AD50/AD45</f>
        <v>0.1226731766859933</v>
      </c>
      <c r="AE54" s="1195">
        <f t="shared" si="58"/>
        <v>0.1316750123083204</v>
      </c>
      <c r="AF54" s="1209">
        <f>SUM(Z54)</f>
        <v>0.13222147790533828</v>
      </c>
      <c r="AG54" s="1215">
        <f>SUM(AF54)</f>
        <v>0.13222147790533828</v>
      </c>
      <c r="AH54" s="1212"/>
      <c r="AI54" s="5201"/>
      <c r="AJ54" s="5202"/>
      <c r="AK54" s="5203"/>
      <c r="AL54" s="3607">
        <f t="shared" ref="AL54:AM54" si="59">AL50/AL45</f>
        <v>0.12902986786742612</v>
      </c>
      <c r="AM54" s="3520">
        <f t="shared" si="59"/>
        <v>0.13140222108114094</v>
      </c>
      <c r="AN54" s="3525">
        <f t="shared" ref="AN54" si="60">AN50/AN45</f>
        <v>0.13851851961725184</v>
      </c>
      <c r="AO54" s="3521">
        <f>AO50/AO45</f>
        <v>0.13851851961725184</v>
      </c>
      <c r="AP54" s="3620">
        <f>SUM(AL54)</f>
        <v>0.12902986786742612</v>
      </c>
      <c r="AQ54" s="3638">
        <f t="shared" si="54"/>
        <v>0.13851851961725184</v>
      </c>
      <c r="AR54" s="3627">
        <f t="shared" si="4"/>
        <v>1.0476249533107005</v>
      </c>
      <c r="AS54" s="5279"/>
      <c r="AT54" s="5280"/>
      <c r="AU54" s="5281"/>
    </row>
    <row r="57" spans="1:47">
      <c r="AH57" s="645"/>
      <c r="AL57" s="645"/>
    </row>
    <row r="58" spans="1:47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2590"/>
      <c r="V58" s="2590"/>
      <c r="W58" s="2590"/>
      <c r="X58" s="2590"/>
      <c r="Y58" s="2590"/>
      <c r="Z58" s="2590"/>
      <c r="AA58" s="2590"/>
      <c r="AB58" s="2590"/>
      <c r="AC58" s="428"/>
      <c r="AD58" s="428"/>
      <c r="AE58" s="428"/>
      <c r="AF58" s="428"/>
      <c r="AG58" s="428"/>
      <c r="AH58" s="428"/>
      <c r="AI58" s="2590"/>
      <c r="AJ58" s="2590"/>
      <c r="AK58" s="2590"/>
      <c r="AL58" s="428"/>
      <c r="AM58" s="428"/>
      <c r="AN58" s="428"/>
      <c r="AO58" s="428"/>
      <c r="AP58" s="428"/>
      <c r="AQ58" s="428"/>
    </row>
    <row r="59" spans="1:47" ht="20.25">
      <c r="A59" s="4982" t="s">
        <v>1788</v>
      </c>
      <c r="B59" s="5168"/>
      <c r="C59" s="5168"/>
      <c r="D59" s="5168"/>
      <c r="E59" s="5168"/>
      <c r="F59" s="5168"/>
      <c r="G59" s="5168"/>
      <c r="H59" s="5168"/>
      <c r="I59" s="5168"/>
      <c r="J59" s="5168"/>
      <c r="K59" s="5168"/>
      <c r="L59" s="5168"/>
      <c r="M59" s="5168"/>
      <c r="N59" s="5168"/>
      <c r="O59" s="5168"/>
      <c r="P59" s="5168"/>
      <c r="Q59" s="5168"/>
      <c r="R59" s="5168"/>
      <c r="S59" s="5168"/>
      <c r="T59" s="5168"/>
      <c r="U59" s="5168"/>
      <c r="V59" s="5168"/>
      <c r="W59" s="5168"/>
      <c r="X59" s="5168"/>
      <c r="Y59" s="5168"/>
      <c r="Z59" s="5168"/>
      <c r="AA59" s="5168"/>
      <c r="AB59" s="5168"/>
      <c r="AC59" s="5168"/>
      <c r="AD59" s="5168"/>
      <c r="AE59" s="5168"/>
      <c r="AF59" s="5168"/>
      <c r="AG59" s="5168"/>
      <c r="AH59" s="5168"/>
      <c r="AI59" s="5168"/>
      <c r="AJ59" s="5168"/>
      <c r="AK59" s="5168"/>
      <c r="AL59" s="5168"/>
      <c r="AM59" s="5168"/>
      <c r="AN59" s="5168"/>
      <c r="AO59" s="5168"/>
      <c r="AP59" s="5168"/>
    </row>
    <row r="60" spans="1:47">
      <c r="A60" s="684"/>
      <c r="B60" s="684"/>
      <c r="C60" s="684"/>
      <c r="D60" s="684"/>
      <c r="E60" s="684"/>
      <c r="F60" s="684"/>
      <c r="G60" s="684"/>
      <c r="H60" s="684"/>
      <c r="I60" s="684"/>
      <c r="J60" s="684"/>
      <c r="K60" s="684"/>
      <c r="L60" s="684"/>
      <c r="M60" s="684"/>
      <c r="N60" s="684"/>
      <c r="O60" s="684"/>
      <c r="P60" s="684"/>
      <c r="Q60" s="684"/>
      <c r="R60" s="684"/>
      <c r="S60" s="684"/>
      <c r="T60" s="684"/>
      <c r="AB60" s="684"/>
      <c r="AC60" s="684"/>
      <c r="AD60" s="684"/>
      <c r="AE60" s="684"/>
      <c r="AF60" s="684"/>
      <c r="AG60" s="684"/>
      <c r="AH60" s="684"/>
      <c r="AL60" s="684"/>
      <c r="AM60" s="684"/>
      <c r="AN60" s="684"/>
      <c r="AO60" s="684"/>
      <c r="AP60" s="684"/>
    </row>
    <row r="61" spans="1:47" ht="18.75">
      <c r="A61" s="5169" t="s">
        <v>546</v>
      </c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5171" t="s">
        <v>1789</v>
      </c>
      <c r="V61" s="667"/>
      <c r="W61" s="5171" t="s">
        <v>576</v>
      </c>
      <c r="X61" s="5171"/>
      <c r="Y61" s="5172" t="s">
        <v>587</v>
      </c>
      <c r="Z61" s="5172" t="s">
        <v>588</v>
      </c>
      <c r="AA61" s="5172" t="s">
        <v>589</v>
      </c>
      <c r="AB61" s="5165" t="s">
        <v>601</v>
      </c>
      <c r="AC61" s="5172" t="s">
        <v>590</v>
      </c>
      <c r="AD61" s="5172" t="s">
        <v>591</v>
      </c>
      <c r="AE61" s="5172" t="s">
        <v>592</v>
      </c>
      <c r="AF61" s="5165" t="s">
        <v>600</v>
      </c>
      <c r="AG61" s="5165" t="s">
        <v>599</v>
      </c>
      <c r="AH61" s="5172" t="s">
        <v>593</v>
      </c>
      <c r="AI61" s="5172" t="s">
        <v>594</v>
      </c>
      <c r="AJ61" s="5172" t="s">
        <v>595</v>
      </c>
      <c r="AK61" s="5165" t="s">
        <v>225</v>
      </c>
      <c r="AL61" s="5162" t="s">
        <v>229</v>
      </c>
      <c r="AM61" s="5166" t="s">
        <v>596</v>
      </c>
      <c r="AN61" s="5166" t="s">
        <v>597</v>
      </c>
      <c r="AO61" s="5166" t="s">
        <v>598</v>
      </c>
      <c r="AP61" s="5162" t="s">
        <v>135</v>
      </c>
      <c r="AQ61" s="5164" t="s">
        <v>602</v>
      </c>
    </row>
    <row r="62" spans="1:47" ht="37.5">
      <c r="A62" s="5170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5171"/>
      <c r="V62" s="667"/>
      <c r="W62" s="2562" t="s">
        <v>1554</v>
      </c>
      <c r="X62" s="2562" t="s">
        <v>1555</v>
      </c>
      <c r="Y62" s="5172"/>
      <c r="Z62" s="5172"/>
      <c r="AA62" s="5172"/>
      <c r="AB62" s="5165"/>
      <c r="AC62" s="5172"/>
      <c r="AD62" s="5172"/>
      <c r="AE62" s="5172"/>
      <c r="AF62" s="5165"/>
      <c r="AG62" s="5165"/>
      <c r="AH62" s="5172"/>
      <c r="AI62" s="5172"/>
      <c r="AJ62" s="5172"/>
      <c r="AK62" s="5165"/>
      <c r="AL62" s="5163"/>
      <c r="AM62" s="5167"/>
      <c r="AN62" s="5167"/>
      <c r="AO62" s="5167"/>
      <c r="AP62" s="5163"/>
      <c r="AQ62" s="5164"/>
    </row>
    <row r="63" spans="1:47" ht="18.75">
      <c r="A63" s="2563" t="s">
        <v>1590</v>
      </c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2564">
        <f>SUM(AQ47)</f>
        <v>1957.532516102463</v>
      </c>
      <c r="V63" s="667"/>
      <c r="W63" s="2564">
        <f>SUM(вода!CA16)</f>
        <v>1947.0260105894729</v>
      </c>
      <c r="X63" s="2565">
        <f>SUM(U63-W63)</f>
        <v>10.506505512990088</v>
      </c>
      <c r="Y63" s="2566">
        <f>SUM(Y64+Y65+Y66+Y67+Y68+Y69+Y70+Y71+Y72+Y76)</f>
        <v>159.97261206274035</v>
      </c>
      <c r="Z63" s="2566">
        <f>SUM(Z64+Z65+Z66+Z67+Z68+Z69+Z70+Z71+Z72+Z76)</f>
        <v>159.97261206274035</v>
      </c>
      <c r="AA63" s="2566">
        <f>SUM(AA64+AA65+AA66+AA67+AA68+AA69+AA70+AA71+AA72+AA76)</f>
        <v>159.97261206274035</v>
      </c>
      <c r="AB63" s="2567">
        <f>SUM(Y63+Z63+AA63)</f>
        <v>479.91783618822103</v>
      </c>
      <c r="AC63" s="2566">
        <f t="shared" ref="AC63:AE63" si="61">SUM(AC64+AC65+AC66+AC67+AC68+AC69+AC70+AC71+AC72+AC76)</f>
        <v>159.996396082811</v>
      </c>
      <c r="AD63" s="2566">
        <f t="shared" si="61"/>
        <v>160.39015374842501</v>
      </c>
      <c r="AE63" s="2566">
        <f t="shared" si="61"/>
        <v>160.73370070500098</v>
      </c>
      <c r="AF63" s="2567">
        <f>SUM(AC63+AD63+AE63)</f>
        <v>481.12025053623699</v>
      </c>
      <c r="AG63" s="2567">
        <f>SUM(AB63+AF63)</f>
        <v>961.03808672445803</v>
      </c>
      <c r="AH63" s="2566">
        <f t="shared" ref="AH63:AJ63" si="62">SUM(AH64+AH65+AH66+AH67+AH68+AH69+AH70+AH71+AH72+AH76)</f>
        <v>166.60609378270451</v>
      </c>
      <c r="AI63" s="2566">
        <f t="shared" si="62"/>
        <v>166.5030296957317</v>
      </c>
      <c r="AJ63" s="2566">
        <f t="shared" si="62"/>
        <v>166.15948273915572</v>
      </c>
      <c r="AK63" s="2567">
        <f>SUM(AH63+AI63+AJ63)</f>
        <v>499.26860621759192</v>
      </c>
      <c r="AL63" s="2567">
        <f>SUM(AG63+AK63)</f>
        <v>1460.3066929420499</v>
      </c>
      <c r="AM63" s="2566">
        <f t="shared" ref="AM63:AO63" si="63">SUM(AM64+AM65+AM66+AM67+AM68+AM69+AM70+AM71+AM72+AM76)</f>
        <v>165.74194105347107</v>
      </c>
      <c r="AN63" s="2566">
        <f t="shared" si="63"/>
        <v>165.74194105347107</v>
      </c>
      <c r="AO63" s="2566">
        <f t="shared" si="63"/>
        <v>165.74194105347107</v>
      </c>
      <c r="AP63" s="2567">
        <f>SUM(AM63+AN63+AO63)</f>
        <v>497.2258231604132</v>
      </c>
      <c r="AQ63" s="669">
        <f>SUM(AO63+AN63+AM63+AJ63+AI63+AH63+AE63+AD63+AC63+AA63+Z63+Y63)</f>
        <v>1957.5325161024634</v>
      </c>
    </row>
    <row r="64" spans="1:47" ht="18.75">
      <c r="A64" s="2568" t="s">
        <v>72</v>
      </c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2569">
        <f>SUM(U63*46.45%)</f>
        <v>909.27385372959407</v>
      </c>
      <c r="V64" s="667"/>
      <c r="W64" s="2569">
        <f>SUM(U64*вода!CA52/вода!BY52)</f>
        <v>904.39358191881024</v>
      </c>
      <c r="X64" s="2570">
        <f>SUM(U64-W64)</f>
        <v>4.8802718107838245</v>
      </c>
      <c r="Y64" s="2556">
        <f>SUM(U64/2)/(1+(106.03%*100-100)/2/100)/6</f>
        <v>73.555133858304956</v>
      </c>
      <c r="Z64" s="2571">
        <f>SUM(Y64)</f>
        <v>73.555133858304956</v>
      </c>
      <c r="AA64" s="2556">
        <f>SUM(Y64)</f>
        <v>73.555133858304956</v>
      </c>
      <c r="AB64" s="2555">
        <f>SUM(Y64+Z64+AA64)</f>
        <v>220.66540157491488</v>
      </c>
      <c r="AC64" s="2572">
        <f>SUM(Y64)</f>
        <v>73.555133858304956</v>
      </c>
      <c r="AD64" s="2572">
        <f>SUM(Y64)</f>
        <v>73.555133858304956</v>
      </c>
      <c r="AE64" s="2572">
        <f>SUM(Y64)</f>
        <v>73.555133858304956</v>
      </c>
      <c r="AF64" s="2555">
        <f>SUM(AC64+AD64+AE64)</f>
        <v>220.66540157491488</v>
      </c>
      <c r="AG64" s="2555">
        <f>SUM(AB64+AF64)</f>
        <v>441.33080314982976</v>
      </c>
      <c r="AH64" s="2572">
        <f>SUM(U64-AG64)/6</f>
        <v>77.990508429960713</v>
      </c>
      <c r="AI64" s="2572">
        <f>SUM(AH64)</f>
        <v>77.990508429960713</v>
      </c>
      <c r="AJ64" s="2572">
        <f>SUM(AH64)</f>
        <v>77.990508429960713</v>
      </c>
      <c r="AK64" s="2555">
        <f>SUM(AH64+AI64+AJ64)</f>
        <v>233.97152528988215</v>
      </c>
      <c r="AL64" s="2555">
        <f>SUM(AG64+AK64)</f>
        <v>675.30232843971191</v>
      </c>
      <c r="AM64" s="2572">
        <f>SUM(AH64)</f>
        <v>77.990508429960713</v>
      </c>
      <c r="AN64" s="2572">
        <f>SUM(AH64)</f>
        <v>77.990508429960713</v>
      </c>
      <c r="AO64" s="2572">
        <f>SUM(AH64)</f>
        <v>77.990508429960713</v>
      </c>
      <c r="AP64" s="2555">
        <f>SUM(AM64+AN64+AO64)</f>
        <v>233.97152528988215</v>
      </c>
      <c r="AQ64" s="669">
        <f>SUM(AO64+AN64+AM64+AJ64+AI64+AH64+AE64+AD64+AC64+AA64+Z64+Y64)</f>
        <v>909.27385372959418</v>
      </c>
    </row>
    <row r="65" spans="1:43" ht="18.75">
      <c r="A65" s="2568" t="s">
        <v>121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2569">
        <f>SUM(U63*13.97%)</f>
        <v>273.46729249951409</v>
      </c>
      <c r="V65" s="667"/>
      <c r="W65" s="2569">
        <f>SUM(U65*вода!CA52/вода!BY52)</f>
        <v>271.99953367934938</v>
      </c>
      <c r="X65" s="2570">
        <f t="shared" ref="X65:X78" si="64">SUM(U65-W65)</f>
        <v>1.467758820164704</v>
      </c>
      <c r="Y65" s="2556">
        <f>SUM(Y64*(U65/U64))</f>
        <v>22.121963832088703</v>
      </c>
      <c r="Z65" s="2556">
        <f>SUM(Y65)</f>
        <v>22.121963832088703</v>
      </c>
      <c r="AA65" s="2571">
        <f>SUM(Y65)</f>
        <v>22.121963832088703</v>
      </c>
      <c r="AB65" s="2555">
        <f t="shared" ref="AB65:AB123" si="65">SUM(Y65+Z65+AA65)</f>
        <v>66.365891496266102</v>
      </c>
      <c r="AC65" s="2572">
        <f>SUM(Y65)</f>
        <v>22.121963832088703</v>
      </c>
      <c r="AD65" s="2572">
        <f>SUM(Y65)</f>
        <v>22.121963832088703</v>
      </c>
      <c r="AE65" s="2572">
        <f>SUM(Y65)</f>
        <v>22.121963832088703</v>
      </c>
      <c r="AF65" s="2555">
        <f t="shared" ref="AF65:AF123" si="66">SUM(AC65+AD65+AE65)</f>
        <v>66.365891496266102</v>
      </c>
      <c r="AG65" s="2555">
        <f t="shared" ref="AG65:AG123" si="67">SUM(AB65+AF65)</f>
        <v>132.7317829925322</v>
      </c>
      <c r="AH65" s="2572">
        <f>SUM(U65-AG65)/6</f>
        <v>23.455918251163649</v>
      </c>
      <c r="AI65" s="2572">
        <f>SUM(AH65)</f>
        <v>23.455918251163649</v>
      </c>
      <c r="AJ65" s="2572">
        <f>SUM(AH65)</f>
        <v>23.455918251163649</v>
      </c>
      <c r="AK65" s="2555">
        <f t="shared" ref="AK65:AK123" si="68">SUM(AH65+AI65+AJ65)</f>
        <v>70.367754753490942</v>
      </c>
      <c r="AL65" s="2555">
        <f t="shared" ref="AL65:AL123" si="69">SUM(AG65+AK65)</f>
        <v>203.09953774602315</v>
      </c>
      <c r="AM65" s="2572">
        <f>SUM(AH65)</f>
        <v>23.455918251163649</v>
      </c>
      <c r="AN65" s="2572">
        <f>SUM(AH65)</f>
        <v>23.455918251163649</v>
      </c>
      <c r="AO65" s="2572">
        <f>SUM(AH65)</f>
        <v>23.455918251163649</v>
      </c>
      <c r="AP65" s="2555">
        <f t="shared" ref="AP65:AP123" si="70">SUM(AM65+AN65+AO65)</f>
        <v>70.367754753490942</v>
      </c>
      <c r="AQ65" s="669">
        <f t="shared" ref="AQ65:AQ128" si="71">SUM(AO65+AN65+AM65+AJ65+AI65+AH65+AE65+AD65+AC65+AA65+Z65+Y65)</f>
        <v>273.46729249951414</v>
      </c>
    </row>
    <row r="66" spans="1:43" ht="18.75">
      <c r="A66" s="2568" t="s">
        <v>1556</v>
      </c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2569">
        <f>SUM(U63*25.46%)</f>
        <v>498.38777859968707</v>
      </c>
      <c r="V66" s="667"/>
      <c r="W66" s="2569">
        <f>SUM(U66*вода!CA52/вода!BY52)</f>
        <v>495.71282229607982</v>
      </c>
      <c r="X66" s="2570">
        <f t="shared" si="64"/>
        <v>2.6749563036072459</v>
      </c>
      <c r="Y66" s="2556">
        <f>SUM(U66/12)</f>
        <v>41.532314883307258</v>
      </c>
      <c r="Z66" s="2556">
        <f>SUM(Y66)</f>
        <v>41.532314883307258</v>
      </c>
      <c r="AA66" s="2556">
        <f>SUM(Y66)</f>
        <v>41.532314883307258</v>
      </c>
      <c r="AB66" s="2555">
        <f t="shared" si="65"/>
        <v>124.59694464992177</v>
      </c>
      <c r="AC66" s="2572">
        <f>SUM(Y66)</f>
        <v>41.532314883307258</v>
      </c>
      <c r="AD66" s="2572">
        <f>SUM(Y66)</f>
        <v>41.532314883307258</v>
      </c>
      <c r="AE66" s="2572">
        <f>SUM(Y66)</f>
        <v>41.532314883307258</v>
      </c>
      <c r="AF66" s="2555">
        <f t="shared" si="66"/>
        <v>124.59694464992177</v>
      </c>
      <c r="AG66" s="2555">
        <f t="shared" si="67"/>
        <v>249.19388929984353</v>
      </c>
      <c r="AH66" s="2572">
        <f>SUM(Y66)</f>
        <v>41.532314883307258</v>
      </c>
      <c r="AI66" s="2572">
        <f>SUM(Y66)</f>
        <v>41.532314883307258</v>
      </c>
      <c r="AJ66" s="2572">
        <f>SUM(Y66)</f>
        <v>41.532314883307258</v>
      </c>
      <c r="AK66" s="2555">
        <f t="shared" si="68"/>
        <v>124.59694464992177</v>
      </c>
      <c r="AL66" s="2555">
        <f t="shared" si="69"/>
        <v>373.79083394976533</v>
      </c>
      <c r="AM66" s="2572">
        <f>SUM(Y66)</f>
        <v>41.532314883307258</v>
      </c>
      <c r="AN66" s="2572">
        <f>SUM(Y66)</f>
        <v>41.532314883307258</v>
      </c>
      <c r="AO66" s="2572">
        <f>SUM(Y66)</f>
        <v>41.532314883307258</v>
      </c>
      <c r="AP66" s="2555">
        <f t="shared" si="70"/>
        <v>124.59694464992177</v>
      </c>
      <c r="AQ66" s="669">
        <f t="shared" si="71"/>
        <v>498.38777859968712</v>
      </c>
    </row>
    <row r="67" spans="1:43" ht="18.75">
      <c r="A67" s="2568" t="s">
        <v>52</v>
      </c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2569">
        <f>SUM(U63*0.72%)</f>
        <v>14.094234115937732</v>
      </c>
      <c r="V67" s="667"/>
      <c r="W67" s="2569">
        <f>SUM(U67*вода!CA52/вода!BY52)</f>
        <v>14.018587276244205</v>
      </c>
      <c r="X67" s="2570">
        <f t="shared" si="64"/>
        <v>7.5646839693527923E-2</v>
      </c>
      <c r="Y67" s="2556">
        <f t="shared" ref="Y67:Y71" si="72">SUM(U67/12)</f>
        <v>1.1745195096614778</v>
      </c>
      <c r="Z67" s="2556">
        <f t="shared" ref="Z67:Z78" si="73">SUM(Y67)</f>
        <v>1.1745195096614778</v>
      </c>
      <c r="AA67" s="2556">
        <f t="shared" ref="AA67:AA71" si="74">SUM(Y67)</f>
        <v>1.1745195096614778</v>
      </c>
      <c r="AB67" s="2555">
        <f t="shared" ref="AB67:AB71" si="75">SUM(Y67+Z67+AA67)</f>
        <v>3.5235585289844336</v>
      </c>
      <c r="AC67" s="2572">
        <f t="shared" ref="AC67:AC71" si="76">SUM(Y67)</f>
        <v>1.1745195096614778</v>
      </c>
      <c r="AD67" s="2572">
        <f t="shared" ref="AD67:AD71" si="77">SUM(Y67)</f>
        <v>1.1745195096614778</v>
      </c>
      <c r="AE67" s="2572">
        <f t="shared" ref="AE67:AE71" si="78">SUM(Y67)</f>
        <v>1.1745195096614778</v>
      </c>
      <c r="AF67" s="2555">
        <f t="shared" ref="AF67:AF71" si="79">SUM(AC67+AD67+AE67)</f>
        <v>3.5235585289844336</v>
      </c>
      <c r="AG67" s="2555">
        <f t="shared" si="67"/>
        <v>7.0471170579688671</v>
      </c>
      <c r="AH67" s="2572">
        <f t="shared" ref="AH67:AH71" si="80">SUM(Y67)</f>
        <v>1.1745195096614778</v>
      </c>
      <c r="AI67" s="2572">
        <f t="shared" ref="AI67:AI71" si="81">SUM(Y67)</f>
        <v>1.1745195096614778</v>
      </c>
      <c r="AJ67" s="2572">
        <f t="shared" ref="AJ67:AJ71" si="82">SUM(Y67)</f>
        <v>1.1745195096614778</v>
      </c>
      <c r="AK67" s="2555">
        <f t="shared" ref="AK67:AK71" si="83">SUM(AH67+AI67+AJ67)</f>
        <v>3.5235585289844336</v>
      </c>
      <c r="AL67" s="2555">
        <f t="shared" si="69"/>
        <v>10.5706755869533</v>
      </c>
      <c r="AM67" s="2572">
        <f t="shared" ref="AM67:AM71" si="84">SUM(Y67)</f>
        <v>1.1745195096614778</v>
      </c>
      <c r="AN67" s="2572">
        <f t="shared" ref="AN67:AN71" si="85">SUM(Y67)</f>
        <v>1.1745195096614778</v>
      </c>
      <c r="AO67" s="2572">
        <f t="shared" ref="AO67:AO71" si="86">SUM(Y67)</f>
        <v>1.1745195096614778</v>
      </c>
      <c r="AP67" s="2555">
        <f t="shared" ref="AP67:AP71" si="87">SUM(AM67+AN67+AO67)</f>
        <v>3.5235585289844336</v>
      </c>
      <c r="AQ67" s="669">
        <f t="shared" si="71"/>
        <v>14.094234115937732</v>
      </c>
    </row>
    <row r="68" spans="1:43" ht="18.75">
      <c r="A68" s="2568" t="s">
        <v>1557</v>
      </c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2569">
        <f>SUM(U63*0.65%)</f>
        <v>12.723961354666011</v>
      </c>
      <c r="V68" s="667"/>
      <c r="W68" s="2569">
        <f>SUM(U68*вода!CA52/вода!BY52)</f>
        <v>12.655669068831576</v>
      </c>
      <c r="X68" s="2570">
        <f t="shared" si="64"/>
        <v>6.8292285834434807E-2</v>
      </c>
      <c r="Y68" s="2556">
        <f t="shared" si="72"/>
        <v>1.0603301128888343</v>
      </c>
      <c r="Z68" s="2556">
        <f t="shared" si="73"/>
        <v>1.0603301128888343</v>
      </c>
      <c r="AA68" s="2556">
        <f t="shared" si="74"/>
        <v>1.0603301128888343</v>
      </c>
      <c r="AB68" s="2555">
        <f t="shared" si="75"/>
        <v>3.1809903386665028</v>
      </c>
      <c r="AC68" s="2572">
        <f t="shared" si="76"/>
        <v>1.0603301128888343</v>
      </c>
      <c r="AD68" s="2572">
        <f t="shared" si="77"/>
        <v>1.0603301128888343</v>
      </c>
      <c r="AE68" s="2572">
        <f t="shared" si="78"/>
        <v>1.0603301128888343</v>
      </c>
      <c r="AF68" s="2555">
        <f t="shared" si="79"/>
        <v>3.1809903386665028</v>
      </c>
      <c r="AG68" s="2555">
        <f t="shared" si="67"/>
        <v>6.3619806773330057</v>
      </c>
      <c r="AH68" s="2572">
        <f t="shared" si="80"/>
        <v>1.0603301128888343</v>
      </c>
      <c r="AI68" s="2572">
        <f t="shared" si="81"/>
        <v>1.0603301128888343</v>
      </c>
      <c r="AJ68" s="2572">
        <f t="shared" si="82"/>
        <v>1.0603301128888343</v>
      </c>
      <c r="AK68" s="2555">
        <f t="shared" si="83"/>
        <v>3.1809903386665028</v>
      </c>
      <c r="AL68" s="2555">
        <f t="shared" si="69"/>
        <v>9.5429710159995089</v>
      </c>
      <c r="AM68" s="2572">
        <f t="shared" si="84"/>
        <v>1.0603301128888343</v>
      </c>
      <c r="AN68" s="2572">
        <f t="shared" si="85"/>
        <v>1.0603301128888343</v>
      </c>
      <c r="AO68" s="2572">
        <f t="shared" si="86"/>
        <v>1.0603301128888343</v>
      </c>
      <c r="AP68" s="2555">
        <f t="shared" si="87"/>
        <v>3.1809903386665028</v>
      </c>
      <c r="AQ68" s="669">
        <f t="shared" si="71"/>
        <v>12.723961354666015</v>
      </c>
    </row>
    <row r="69" spans="1:43" ht="18.75">
      <c r="A69" s="2568" t="s">
        <v>606</v>
      </c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2569">
        <f>SUM(U63*0.62%)</f>
        <v>12.13670159983527</v>
      </c>
      <c r="V69" s="667"/>
      <c r="W69" s="2569">
        <f>SUM(U69*вода!CA52/вода!BY52)</f>
        <v>12.071561265654731</v>
      </c>
      <c r="X69" s="2570">
        <f t="shared" si="64"/>
        <v>6.5140334180538773E-2</v>
      </c>
      <c r="Y69" s="2556">
        <f t="shared" si="72"/>
        <v>1.0113917999862725</v>
      </c>
      <c r="Z69" s="2556">
        <f t="shared" si="73"/>
        <v>1.0113917999862725</v>
      </c>
      <c r="AA69" s="2556">
        <f t="shared" si="74"/>
        <v>1.0113917999862725</v>
      </c>
      <c r="AB69" s="2555">
        <f t="shared" si="75"/>
        <v>3.0341753999588175</v>
      </c>
      <c r="AC69" s="2572">
        <f t="shared" si="76"/>
        <v>1.0113917999862725</v>
      </c>
      <c r="AD69" s="2572">
        <f t="shared" si="77"/>
        <v>1.0113917999862725</v>
      </c>
      <c r="AE69" s="2572">
        <f t="shared" si="78"/>
        <v>1.0113917999862725</v>
      </c>
      <c r="AF69" s="2555">
        <f t="shared" si="79"/>
        <v>3.0341753999588175</v>
      </c>
      <c r="AG69" s="2555">
        <f t="shared" si="67"/>
        <v>6.0683507999176349</v>
      </c>
      <c r="AH69" s="2572">
        <f t="shared" si="80"/>
        <v>1.0113917999862725</v>
      </c>
      <c r="AI69" s="2572">
        <f t="shared" si="81"/>
        <v>1.0113917999862725</v>
      </c>
      <c r="AJ69" s="2572">
        <f t="shared" si="82"/>
        <v>1.0113917999862725</v>
      </c>
      <c r="AK69" s="2555">
        <f t="shared" si="83"/>
        <v>3.0341753999588175</v>
      </c>
      <c r="AL69" s="2555">
        <f t="shared" si="69"/>
        <v>9.1025261998764524</v>
      </c>
      <c r="AM69" s="2572">
        <f t="shared" si="84"/>
        <v>1.0113917999862725</v>
      </c>
      <c r="AN69" s="2572">
        <f t="shared" si="85"/>
        <v>1.0113917999862725</v>
      </c>
      <c r="AO69" s="2572">
        <f t="shared" si="86"/>
        <v>1.0113917999862725</v>
      </c>
      <c r="AP69" s="2555">
        <f t="shared" si="87"/>
        <v>3.0341753999588175</v>
      </c>
      <c r="AQ69" s="669">
        <f t="shared" si="71"/>
        <v>12.13670159983527</v>
      </c>
    </row>
    <row r="70" spans="1:43" ht="18.75">
      <c r="A70" s="2568" t="s">
        <v>98</v>
      </c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2569">
        <f>SUM(U63*5.75%)</f>
        <v>112.55811967589163</v>
      </c>
      <c r="V70" s="667"/>
      <c r="W70" s="2569">
        <f>SUM(U70*вода!CA52/вода!BY52)</f>
        <v>111.95399560889472</v>
      </c>
      <c r="X70" s="2570">
        <f t="shared" si="64"/>
        <v>0.60412406699691701</v>
      </c>
      <c r="Y70" s="2556">
        <f t="shared" si="72"/>
        <v>9.3798433063243021</v>
      </c>
      <c r="Z70" s="2556">
        <f t="shared" si="73"/>
        <v>9.3798433063243021</v>
      </c>
      <c r="AA70" s="2556">
        <f t="shared" si="74"/>
        <v>9.3798433063243021</v>
      </c>
      <c r="AB70" s="2555">
        <f t="shared" si="75"/>
        <v>28.139529918972904</v>
      </c>
      <c r="AC70" s="2572">
        <f t="shared" si="76"/>
        <v>9.3798433063243021</v>
      </c>
      <c r="AD70" s="2572">
        <f t="shared" si="77"/>
        <v>9.3798433063243021</v>
      </c>
      <c r="AE70" s="2572">
        <f t="shared" si="78"/>
        <v>9.3798433063243021</v>
      </c>
      <c r="AF70" s="2555">
        <f t="shared" si="79"/>
        <v>28.139529918972904</v>
      </c>
      <c r="AG70" s="2555">
        <f t="shared" si="67"/>
        <v>56.279059837945809</v>
      </c>
      <c r="AH70" s="2572">
        <f t="shared" si="80"/>
        <v>9.3798433063243021</v>
      </c>
      <c r="AI70" s="2572">
        <f t="shared" si="81"/>
        <v>9.3798433063243021</v>
      </c>
      <c r="AJ70" s="2572">
        <f t="shared" si="82"/>
        <v>9.3798433063243021</v>
      </c>
      <c r="AK70" s="2555">
        <f t="shared" si="83"/>
        <v>28.139529918972904</v>
      </c>
      <c r="AL70" s="2555">
        <f t="shared" si="69"/>
        <v>84.41858975691872</v>
      </c>
      <c r="AM70" s="2572">
        <f t="shared" si="84"/>
        <v>9.3798433063243021</v>
      </c>
      <c r="AN70" s="2572">
        <f t="shared" si="85"/>
        <v>9.3798433063243021</v>
      </c>
      <c r="AO70" s="2572">
        <f t="shared" si="86"/>
        <v>9.3798433063243021</v>
      </c>
      <c r="AP70" s="2555">
        <f t="shared" si="87"/>
        <v>28.139529918972904</v>
      </c>
      <c r="AQ70" s="669">
        <f t="shared" si="71"/>
        <v>112.55811967589163</v>
      </c>
    </row>
    <row r="71" spans="1:43" ht="18.75">
      <c r="A71" s="2568" t="s">
        <v>38</v>
      </c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2569">
        <v>0</v>
      </c>
      <c r="V71" s="667"/>
      <c r="W71" s="2569">
        <f>SUM(U71*вода!CA52/вода!BY52)</f>
        <v>0</v>
      </c>
      <c r="X71" s="2570">
        <f t="shared" si="64"/>
        <v>0</v>
      </c>
      <c r="Y71" s="2556">
        <f t="shared" si="72"/>
        <v>0</v>
      </c>
      <c r="Z71" s="2556">
        <f t="shared" si="73"/>
        <v>0</v>
      </c>
      <c r="AA71" s="2556">
        <f t="shared" si="74"/>
        <v>0</v>
      </c>
      <c r="AB71" s="2555">
        <f t="shared" si="75"/>
        <v>0</v>
      </c>
      <c r="AC71" s="2572">
        <f t="shared" si="76"/>
        <v>0</v>
      </c>
      <c r="AD71" s="2572">
        <f t="shared" si="77"/>
        <v>0</v>
      </c>
      <c r="AE71" s="2572">
        <f t="shared" si="78"/>
        <v>0</v>
      </c>
      <c r="AF71" s="2555">
        <f t="shared" si="79"/>
        <v>0</v>
      </c>
      <c r="AG71" s="2555">
        <f t="shared" si="67"/>
        <v>0</v>
      </c>
      <c r="AH71" s="2572">
        <f t="shared" si="80"/>
        <v>0</v>
      </c>
      <c r="AI71" s="2572">
        <f t="shared" si="81"/>
        <v>0</v>
      </c>
      <c r="AJ71" s="2572">
        <f t="shared" si="82"/>
        <v>0</v>
      </c>
      <c r="AK71" s="2555">
        <f t="shared" si="83"/>
        <v>0</v>
      </c>
      <c r="AL71" s="2555">
        <f t="shared" si="69"/>
        <v>0</v>
      </c>
      <c r="AM71" s="2572">
        <f t="shared" si="84"/>
        <v>0</v>
      </c>
      <c r="AN71" s="2572">
        <f t="shared" si="85"/>
        <v>0</v>
      </c>
      <c r="AO71" s="2572">
        <f t="shared" si="86"/>
        <v>0</v>
      </c>
      <c r="AP71" s="2555">
        <f t="shared" si="87"/>
        <v>0</v>
      </c>
      <c r="AQ71" s="669">
        <f t="shared" si="71"/>
        <v>0</v>
      </c>
    </row>
    <row r="72" spans="1:43" ht="18.75">
      <c r="A72" s="2568" t="s">
        <v>607</v>
      </c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2569">
        <f>SUM(U73:U75)</f>
        <v>76.343768127996057</v>
      </c>
      <c r="V72" s="667"/>
      <c r="W72" s="2569">
        <f>SUM(U72*вода!CA52/вода!BY52)</f>
        <v>75.934014412989455</v>
      </c>
      <c r="X72" s="2570">
        <f t="shared" si="64"/>
        <v>0.40975371500660174</v>
      </c>
      <c r="Y72" s="2556">
        <f>SUM(Y73:Y75)</f>
        <v>6.3619806773330039</v>
      </c>
      <c r="Z72" s="2556">
        <f>SUM(Z73:Z75)</f>
        <v>6.3619806773330039</v>
      </c>
      <c r="AA72" s="2556">
        <f>SUM(AA73:AA75)</f>
        <v>6.3619806773330039</v>
      </c>
      <c r="AB72" s="2555">
        <f t="shared" si="65"/>
        <v>19.085942031999011</v>
      </c>
      <c r="AC72" s="2556">
        <f t="shared" ref="AC72:AE72" si="88">SUM(AC73:AC75)</f>
        <v>6.3619806773330039</v>
      </c>
      <c r="AD72" s="2556">
        <f t="shared" si="88"/>
        <v>6.3619806773330039</v>
      </c>
      <c r="AE72" s="2556">
        <f t="shared" si="88"/>
        <v>6.3619806773330039</v>
      </c>
      <c r="AF72" s="2555">
        <f t="shared" si="66"/>
        <v>19.085942031999011</v>
      </c>
      <c r="AG72" s="2555">
        <f t="shared" si="67"/>
        <v>38.171884063998021</v>
      </c>
      <c r="AH72" s="2556">
        <f t="shared" ref="AH72:AJ72" si="89">SUM(AH73:AH75)</f>
        <v>6.3619806773330039</v>
      </c>
      <c r="AI72" s="2556">
        <f t="shared" si="89"/>
        <v>6.3619806773330039</v>
      </c>
      <c r="AJ72" s="2556">
        <f t="shared" si="89"/>
        <v>6.3619806773330039</v>
      </c>
      <c r="AK72" s="2555">
        <f t="shared" si="68"/>
        <v>19.085942031999011</v>
      </c>
      <c r="AL72" s="2555">
        <f t="shared" si="69"/>
        <v>57.257826095997032</v>
      </c>
      <c r="AM72" s="2556">
        <f t="shared" ref="AM72:AO72" si="90">SUM(AM73:AM75)</f>
        <v>6.3619806773330039</v>
      </c>
      <c r="AN72" s="2556">
        <f t="shared" si="90"/>
        <v>6.3619806773330039</v>
      </c>
      <c r="AO72" s="2556">
        <f t="shared" si="90"/>
        <v>6.3619806773330039</v>
      </c>
      <c r="AP72" s="2555">
        <f t="shared" si="70"/>
        <v>19.085942031999011</v>
      </c>
      <c r="AQ72" s="669">
        <f t="shared" si="71"/>
        <v>76.343768127996043</v>
      </c>
    </row>
    <row r="73" spans="1:43" ht="18.75">
      <c r="A73" s="2573" t="s">
        <v>565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2569">
        <f>SUM(U63*3.85%)</f>
        <v>75.36500186994482</v>
      </c>
      <c r="V73" s="667"/>
      <c r="W73" s="2569">
        <f>SUM(U73*вода!CA52/вода!BY52)</f>
        <v>74.960501407694707</v>
      </c>
      <c r="X73" s="2570">
        <f t="shared" si="64"/>
        <v>0.40450046225011249</v>
      </c>
      <c r="Y73" s="2556">
        <f t="shared" ref="Y73:Y75" si="91">SUM(U73/12)</f>
        <v>6.2804168224954013</v>
      </c>
      <c r="Z73" s="2556">
        <f t="shared" si="73"/>
        <v>6.2804168224954013</v>
      </c>
      <c r="AA73" s="2556">
        <f t="shared" ref="AA73:AA75" si="92">SUM(Y73)</f>
        <v>6.2804168224954013</v>
      </c>
      <c r="AB73" s="2555">
        <f t="shared" si="65"/>
        <v>18.841250467486205</v>
      </c>
      <c r="AC73" s="2572">
        <f t="shared" ref="AC73" si="93">SUM(Y73)</f>
        <v>6.2804168224954013</v>
      </c>
      <c r="AD73" s="2572">
        <f t="shared" ref="AD73" si="94">SUM(Y73)</f>
        <v>6.2804168224954013</v>
      </c>
      <c r="AE73" s="2572">
        <f t="shared" ref="AE73" si="95">SUM(Y73)</f>
        <v>6.2804168224954013</v>
      </c>
      <c r="AF73" s="2555">
        <f t="shared" si="66"/>
        <v>18.841250467486205</v>
      </c>
      <c r="AG73" s="2555">
        <f t="shared" si="67"/>
        <v>37.68250093497241</v>
      </c>
      <c r="AH73" s="2572">
        <f t="shared" ref="AH73" si="96">SUM(Y73)</f>
        <v>6.2804168224954013</v>
      </c>
      <c r="AI73" s="2572">
        <f t="shared" ref="AI73" si="97">SUM(Y73)</f>
        <v>6.2804168224954013</v>
      </c>
      <c r="AJ73" s="2572">
        <f t="shared" ref="AJ73" si="98">SUM(Y73)</f>
        <v>6.2804168224954013</v>
      </c>
      <c r="AK73" s="2555">
        <f t="shared" si="68"/>
        <v>18.841250467486205</v>
      </c>
      <c r="AL73" s="2555">
        <f t="shared" si="69"/>
        <v>56.523751402458615</v>
      </c>
      <c r="AM73" s="2572">
        <f t="shared" ref="AM73" si="99">SUM(Y73)</f>
        <v>6.2804168224954013</v>
      </c>
      <c r="AN73" s="2572">
        <f t="shared" ref="AN73" si="100">SUM(Y73)</f>
        <v>6.2804168224954013</v>
      </c>
      <c r="AO73" s="2572">
        <f t="shared" ref="AO73" si="101">SUM(Y73)</f>
        <v>6.2804168224954013</v>
      </c>
      <c r="AP73" s="2555">
        <f t="shared" si="70"/>
        <v>18.841250467486205</v>
      </c>
      <c r="AQ73" s="669">
        <f t="shared" si="71"/>
        <v>75.36500186994482</v>
      </c>
    </row>
    <row r="74" spans="1:43" ht="18.75">
      <c r="A74" s="2573" t="s">
        <v>564</v>
      </c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2569">
        <v>0</v>
      </c>
      <c r="V74" s="667"/>
      <c r="W74" s="2569">
        <f>SUM(U74*вода!CA52/вода!BY52)</f>
        <v>0</v>
      </c>
      <c r="X74" s="2570">
        <f t="shared" si="64"/>
        <v>0</v>
      </c>
      <c r="Y74" s="2556">
        <f t="shared" si="91"/>
        <v>0</v>
      </c>
      <c r="Z74" s="2556">
        <f t="shared" si="73"/>
        <v>0</v>
      </c>
      <c r="AA74" s="2556">
        <f t="shared" si="92"/>
        <v>0</v>
      </c>
      <c r="AB74" s="2555">
        <f t="shared" ref="AB74:AB75" si="102">SUM(Y74+Z74+AA74)</f>
        <v>0</v>
      </c>
      <c r="AC74" s="2572">
        <f t="shared" ref="AC74:AC75" si="103">SUM(Y74)</f>
        <v>0</v>
      </c>
      <c r="AD74" s="2572">
        <f t="shared" ref="AD74:AD75" si="104">SUM(Y74)</f>
        <v>0</v>
      </c>
      <c r="AE74" s="2572">
        <f t="shared" ref="AE74:AE75" si="105">SUM(Y74)</f>
        <v>0</v>
      </c>
      <c r="AF74" s="2555">
        <f t="shared" ref="AF74:AF75" si="106">SUM(AC74+AD74+AE74)</f>
        <v>0</v>
      </c>
      <c r="AG74" s="2555">
        <f t="shared" si="67"/>
        <v>0</v>
      </c>
      <c r="AH74" s="2572">
        <f t="shared" ref="AH74:AH75" si="107">SUM(Y74)</f>
        <v>0</v>
      </c>
      <c r="AI74" s="2572">
        <f t="shared" ref="AI74:AI75" si="108">SUM(Y74)</f>
        <v>0</v>
      </c>
      <c r="AJ74" s="2572">
        <f t="shared" ref="AJ74:AJ75" si="109">SUM(Y74)</f>
        <v>0</v>
      </c>
      <c r="AK74" s="2555">
        <f t="shared" ref="AK74:AK75" si="110">SUM(AH74+AI74+AJ74)</f>
        <v>0</v>
      </c>
      <c r="AL74" s="2555">
        <f t="shared" si="69"/>
        <v>0</v>
      </c>
      <c r="AM74" s="2572">
        <f t="shared" ref="AM74:AM75" si="111">SUM(Y74)</f>
        <v>0</v>
      </c>
      <c r="AN74" s="2572">
        <f t="shared" ref="AN74:AN75" si="112">SUM(Y74)</f>
        <v>0</v>
      </c>
      <c r="AO74" s="2572">
        <f t="shared" ref="AO74:AO75" si="113">SUM(Y74)</f>
        <v>0</v>
      </c>
      <c r="AP74" s="2555">
        <f t="shared" ref="AP74:AP75" si="114">SUM(AM74+AN74+AO74)</f>
        <v>0</v>
      </c>
      <c r="AQ74" s="669">
        <f t="shared" si="71"/>
        <v>0</v>
      </c>
    </row>
    <row r="75" spans="1:43" ht="18.75">
      <c r="A75" s="2573" t="s">
        <v>566</v>
      </c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2569">
        <f>SUM(U63*0.05%)</f>
        <v>0.97876625805123152</v>
      </c>
      <c r="V75" s="667"/>
      <c r="W75" s="2569">
        <f>SUM(U75*вода!CA52/вода!BY52)</f>
        <v>0.9735130052947365</v>
      </c>
      <c r="X75" s="2570">
        <f t="shared" si="64"/>
        <v>5.2532527564950193E-3</v>
      </c>
      <c r="Y75" s="2556">
        <f t="shared" si="91"/>
        <v>8.1563854837602631E-2</v>
      </c>
      <c r="Z75" s="2556">
        <f t="shared" si="73"/>
        <v>8.1563854837602631E-2</v>
      </c>
      <c r="AA75" s="2556">
        <f t="shared" si="92"/>
        <v>8.1563854837602631E-2</v>
      </c>
      <c r="AB75" s="2555">
        <f t="shared" si="102"/>
        <v>0.24469156451280788</v>
      </c>
      <c r="AC75" s="2572">
        <f t="shared" si="103"/>
        <v>8.1563854837602631E-2</v>
      </c>
      <c r="AD75" s="2572">
        <f t="shared" si="104"/>
        <v>8.1563854837602631E-2</v>
      </c>
      <c r="AE75" s="2572">
        <f t="shared" si="105"/>
        <v>8.1563854837602631E-2</v>
      </c>
      <c r="AF75" s="2555">
        <f t="shared" si="106"/>
        <v>0.24469156451280788</v>
      </c>
      <c r="AG75" s="2555">
        <f t="shared" si="67"/>
        <v>0.48938312902561576</v>
      </c>
      <c r="AH75" s="2572">
        <f t="shared" si="107"/>
        <v>8.1563854837602631E-2</v>
      </c>
      <c r="AI75" s="2572">
        <f t="shared" si="108"/>
        <v>8.1563854837602631E-2</v>
      </c>
      <c r="AJ75" s="2572">
        <f t="shared" si="109"/>
        <v>8.1563854837602631E-2</v>
      </c>
      <c r="AK75" s="2555">
        <f t="shared" si="110"/>
        <v>0.24469156451280788</v>
      </c>
      <c r="AL75" s="2555">
        <f t="shared" si="69"/>
        <v>0.73407469353842369</v>
      </c>
      <c r="AM75" s="2572">
        <f t="shared" si="111"/>
        <v>8.1563854837602631E-2</v>
      </c>
      <c r="AN75" s="2572">
        <f t="shared" si="112"/>
        <v>8.1563854837602631E-2</v>
      </c>
      <c r="AO75" s="2572">
        <f t="shared" si="113"/>
        <v>8.1563854837602631E-2</v>
      </c>
      <c r="AP75" s="2555">
        <f t="shared" si="114"/>
        <v>0.24469156451280788</v>
      </c>
      <c r="AQ75" s="669">
        <f t="shared" si="71"/>
        <v>0.97876625805123163</v>
      </c>
    </row>
    <row r="76" spans="1:43" ht="18.75">
      <c r="A76" s="2568" t="s">
        <v>610</v>
      </c>
      <c r="B76" s="386"/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2569">
        <f>SUM(U77:U78)</f>
        <v>48.546806399341079</v>
      </c>
      <c r="V76" s="667"/>
      <c r="W76" s="2569">
        <f>SUM(U76*вода!CA52/вода!BY52)</f>
        <v>48.286245062618924</v>
      </c>
      <c r="X76" s="2570">
        <f t="shared" si="64"/>
        <v>0.26056133672215509</v>
      </c>
      <c r="Y76" s="2556">
        <f>SUM(Y77:Y78)</f>
        <v>3.7751340828455349</v>
      </c>
      <c r="Z76" s="2556">
        <f t="shared" ref="Z76:AA76" si="115">SUM(Z77:Z78)</f>
        <v>3.7751340828455349</v>
      </c>
      <c r="AA76" s="2556">
        <f t="shared" si="115"/>
        <v>3.7751340828455349</v>
      </c>
      <c r="AB76" s="2555">
        <f t="shared" si="65"/>
        <v>11.325402248536605</v>
      </c>
      <c r="AC76" s="2556">
        <f t="shared" ref="AC76:AE76" si="116">SUM(AC77:AC78)</f>
        <v>3.79891810291618</v>
      </c>
      <c r="AD76" s="2556">
        <f t="shared" si="116"/>
        <v>4.1926757685301901</v>
      </c>
      <c r="AE76" s="2556">
        <f t="shared" si="116"/>
        <v>4.536222725106172</v>
      </c>
      <c r="AF76" s="2555">
        <f t="shared" si="66"/>
        <v>12.527816596552542</v>
      </c>
      <c r="AG76" s="2555">
        <f t="shared" si="67"/>
        <v>23.853218845089145</v>
      </c>
      <c r="AH76" s="2556">
        <f t="shared" ref="AH76:AJ76" si="117">SUM(AH77:AH78)</f>
        <v>4.639286812078967</v>
      </c>
      <c r="AI76" s="2556">
        <f t="shared" si="117"/>
        <v>4.536222725106172</v>
      </c>
      <c r="AJ76" s="2556">
        <f t="shared" si="117"/>
        <v>4.1926757685301901</v>
      </c>
      <c r="AK76" s="2555">
        <f t="shared" si="68"/>
        <v>13.368185305715329</v>
      </c>
      <c r="AL76" s="2555">
        <f t="shared" si="69"/>
        <v>37.221404150804474</v>
      </c>
      <c r="AM76" s="2556">
        <f t="shared" ref="AM76:AO76" si="118">SUM(AM77:AM78)</f>
        <v>3.7751340828455349</v>
      </c>
      <c r="AN76" s="2556">
        <f t="shared" si="118"/>
        <v>3.7751340828455349</v>
      </c>
      <c r="AO76" s="2556">
        <f t="shared" si="118"/>
        <v>3.7751340828455349</v>
      </c>
      <c r="AP76" s="2555">
        <f t="shared" si="70"/>
        <v>11.325402248536605</v>
      </c>
      <c r="AQ76" s="669">
        <f t="shared" si="71"/>
        <v>48.546806399341079</v>
      </c>
    </row>
    <row r="77" spans="1:43" ht="18.75">
      <c r="A77" s="2573" t="s">
        <v>552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2569">
        <f>SUM(U63*1.35%)</f>
        <v>26.426688967383253</v>
      </c>
      <c r="V77" s="667"/>
      <c r="W77" s="2569">
        <f>SUM(U77*вода!CA52/вода!BY52)</f>
        <v>26.284851142957891</v>
      </c>
      <c r="X77" s="2570">
        <f t="shared" si="64"/>
        <v>0.14183782442536241</v>
      </c>
      <c r="Y77" s="2556">
        <f>SUM(U77*7.31%)</f>
        <v>1.9317909635157158</v>
      </c>
      <c r="Z77" s="2556">
        <f>SUM(U77*7.31%)</f>
        <v>1.9317909635157158</v>
      </c>
      <c r="AA77" s="2556">
        <f>SUM(U77*7.31%)</f>
        <v>1.9317909635157158</v>
      </c>
      <c r="AB77" s="2555">
        <f t="shared" si="65"/>
        <v>5.7953728905471475</v>
      </c>
      <c r="AC77" s="2556">
        <f>SUM(U77*7.4%)</f>
        <v>1.9555749835863609</v>
      </c>
      <c r="AD77" s="2556">
        <f>SUM(U77*8.89%)</f>
        <v>2.3493326492003712</v>
      </c>
      <c r="AE77" s="2556">
        <f>SUM(U77*10.19%)</f>
        <v>2.6928796057763531</v>
      </c>
      <c r="AF77" s="2555">
        <f t="shared" si="66"/>
        <v>6.9977872385630855</v>
      </c>
      <c r="AG77" s="2555">
        <f t="shared" si="67"/>
        <v>12.793160129110234</v>
      </c>
      <c r="AH77" s="2556">
        <f>SUM(U77*10.58%)</f>
        <v>2.7959436927491481</v>
      </c>
      <c r="AI77" s="2556">
        <f>SUM(U77*10.19%)</f>
        <v>2.6928796057763531</v>
      </c>
      <c r="AJ77" s="2556">
        <f>SUM(U77*8.89%)</f>
        <v>2.3493326492003712</v>
      </c>
      <c r="AK77" s="2555">
        <f t="shared" si="68"/>
        <v>7.8381559477258724</v>
      </c>
      <c r="AL77" s="2555">
        <f t="shared" si="69"/>
        <v>20.631316076836107</v>
      </c>
      <c r="AM77" s="2556">
        <f>SUM(U77*7.31%)</f>
        <v>1.9317909635157158</v>
      </c>
      <c r="AN77" s="2556">
        <f>SUM(U77*7.31%)</f>
        <v>1.9317909635157158</v>
      </c>
      <c r="AO77" s="2556">
        <f>SUM(U77*7.31%)</f>
        <v>1.9317909635157158</v>
      </c>
      <c r="AP77" s="2555">
        <f t="shared" si="70"/>
        <v>5.7953728905471475</v>
      </c>
      <c r="AQ77" s="669">
        <f t="shared" si="71"/>
        <v>26.426688967383253</v>
      </c>
    </row>
    <row r="78" spans="1:43" ht="18.75">
      <c r="A78" s="2573" t="s">
        <v>644</v>
      </c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2569">
        <f>SUM(U63*1.13%)</f>
        <v>22.12011743195783</v>
      </c>
      <c r="V78" s="667"/>
      <c r="W78" s="2569">
        <f>SUM(U78*вода!CA52/вода!BY52)</f>
        <v>22.001393919661041</v>
      </c>
      <c r="X78" s="2570">
        <f t="shared" si="64"/>
        <v>0.11872351229678912</v>
      </c>
      <c r="Y78" s="2556">
        <f t="shared" ref="Y78" si="119">SUM(U78/12)</f>
        <v>1.8433431193298191</v>
      </c>
      <c r="Z78" s="2556">
        <f t="shared" si="73"/>
        <v>1.8433431193298191</v>
      </c>
      <c r="AA78" s="2556">
        <f t="shared" ref="AA78" si="120">SUM(Y78)</f>
        <v>1.8433431193298191</v>
      </c>
      <c r="AB78" s="2555">
        <f t="shared" si="65"/>
        <v>5.5300293579894575</v>
      </c>
      <c r="AC78" s="2572">
        <f t="shared" ref="AC78" si="121">SUM(Y78)</f>
        <v>1.8433431193298191</v>
      </c>
      <c r="AD78" s="2572">
        <f t="shared" ref="AD78" si="122">SUM(Y78)</f>
        <v>1.8433431193298191</v>
      </c>
      <c r="AE78" s="2572">
        <f t="shared" ref="AE78" si="123">SUM(Y78)</f>
        <v>1.8433431193298191</v>
      </c>
      <c r="AF78" s="2555">
        <f t="shared" si="66"/>
        <v>5.5300293579894575</v>
      </c>
      <c r="AG78" s="2555">
        <f t="shared" si="67"/>
        <v>11.060058715978915</v>
      </c>
      <c r="AH78" s="2572">
        <f t="shared" ref="AH78" si="124">SUM(Y78)</f>
        <v>1.8433431193298191</v>
      </c>
      <c r="AI78" s="2572">
        <f t="shared" ref="AI78" si="125">SUM(Y78)</f>
        <v>1.8433431193298191</v>
      </c>
      <c r="AJ78" s="2572">
        <f t="shared" ref="AJ78" si="126">SUM(Y78)</f>
        <v>1.8433431193298191</v>
      </c>
      <c r="AK78" s="2555">
        <f t="shared" si="68"/>
        <v>5.5300293579894575</v>
      </c>
      <c r="AL78" s="2555">
        <f t="shared" si="69"/>
        <v>16.590088073968374</v>
      </c>
      <c r="AM78" s="2572">
        <f t="shared" ref="AM78" si="127">SUM(Y78)</f>
        <v>1.8433431193298191</v>
      </c>
      <c r="AN78" s="2572">
        <f t="shared" ref="AN78" si="128">SUM(Y78)</f>
        <v>1.8433431193298191</v>
      </c>
      <c r="AO78" s="2572">
        <f t="shared" ref="AO78" si="129">SUM(Y78)</f>
        <v>1.8433431193298191</v>
      </c>
      <c r="AP78" s="2555">
        <f t="shared" si="70"/>
        <v>5.5300293579894575</v>
      </c>
      <c r="AQ78" s="669">
        <f t="shared" si="71"/>
        <v>22.120117431957834</v>
      </c>
    </row>
    <row r="79" spans="1:43" ht="18.75">
      <c r="A79" s="2574" t="s">
        <v>1591</v>
      </c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2564">
        <f>SUM(AQ48)</f>
        <v>10414.933175514203</v>
      </c>
      <c r="V79" s="667"/>
      <c r="W79" s="2564">
        <f>SUM(U79)</f>
        <v>10414.933175514203</v>
      </c>
      <c r="X79" s="2565">
        <v>0</v>
      </c>
      <c r="Y79" s="2566">
        <f>SUM(Y80+Y81+Y82+Y83+Y84+Y85+Y86+Y87+Y88+Y89+Y90+Y91+Y92+Y93+Y94+Y95+Y96+Y101)</f>
        <v>1195.4422808331494</v>
      </c>
      <c r="Z79" s="2566">
        <f t="shared" ref="Z79:AA79" si="130">SUM(Z80+Z81+Z82+Z83+Z84+Z85+Z86+Z87+Z88+Z89+Z90+Z91+Z92+Z93+Z94+Z95+Z96+Z101)</f>
        <v>1098.4850090233299</v>
      </c>
      <c r="AA79" s="2566">
        <f t="shared" si="130"/>
        <v>1056.4951963381877</v>
      </c>
      <c r="AB79" s="2567">
        <f t="shared" si="65"/>
        <v>3350.4224861946673</v>
      </c>
      <c r="AC79" s="2566">
        <f t="shared" ref="AC79:AE79" si="131">SUM(AC80+AC81+AC82+AC83+AC84+AC85+AC86+AC87+AC88+AC89+AC90+AC91+AC92+AC93+AC94+AC95+AC96+AC101)</f>
        <v>910.17217231424991</v>
      </c>
      <c r="AD79" s="2566">
        <f t="shared" si="131"/>
        <v>616.41189280816786</v>
      </c>
      <c r="AE79" s="2566">
        <f t="shared" si="131"/>
        <v>527.51164148036446</v>
      </c>
      <c r="AF79" s="2567">
        <f t="shared" si="66"/>
        <v>2054.0957066027822</v>
      </c>
      <c r="AG79" s="2567">
        <f t="shared" si="67"/>
        <v>5404.51819279745</v>
      </c>
      <c r="AH79" s="2566">
        <f t="shared" ref="AH79:AJ79" si="132">SUM(AH80+AH81+AH82+AH83+AH84+AH85+AH86+AH87+AH88+AH89+AH90+AH91+AH92+AH93+AH94+AH95+AH96+AH101)</f>
        <v>547.97580965727093</v>
      </c>
      <c r="AI79" s="2566">
        <f t="shared" si="132"/>
        <v>547.26905229198053</v>
      </c>
      <c r="AJ79" s="2566">
        <f t="shared" si="132"/>
        <v>712.14029584622619</v>
      </c>
      <c r="AK79" s="2567">
        <f t="shared" si="68"/>
        <v>1807.3851577954779</v>
      </c>
      <c r="AL79" s="2567">
        <f t="shared" si="69"/>
        <v>7211.9033505929274</v>
      </c>
      <c r="AM79" s="2566">
        <f t="shared" ref="AM79:AO79" si="133">SUM(AM80+AM81+AM82+AM83+AM84+AM85+AM86+AM87+AM88+AM89+AM90+AM91+AM92+AM93+AM94+AM95+AM96+AM101)</f>
        <v>953.11574672187282</v>
      </c>
      <c r="AN79" s="2566">
        <f t="shared" si="133"/>
        <v>1058.9443275949259</v>
      </c>
      <c r="AO79" s="2566">
        <f t="shared" si="133"/>
        <v>1190.9697506044781</v>
      </c>
      <c r="AP79" s="2567">
        <f t="shared" si="70"/>
        <v>3203.0298249212769</v>
      </c>
      <c r="AQ79" s="669">
        <f t="shared" si="71"/>
        <v>10414.933175514205</v>
      </c>
    </row>
    <row r="80" spans="1:43" ht="18.75">
      <c r="A80" s="2568" t="s">
        <v>72</v>
      </c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2569">
        <f>SUM(U79*29.9%)</f>
        <v>3114.0650194787468</v>
      </c>
      <c r="V80" s="667"/>
      <c r="W80" s="2569">
        <f>SUM(U80)</f>
        <v>3114.0650194787468</v>
      </c>
      <c r="X80" s="2570">
        <f t="shared" ref="X80:X105" si="134">SUM(U80-W80)</f>
        <v>0</v>
      </c>
      <c r="Y80" s="2556">
        <f>SUM(U80/2)/(1+(106.03%*100-100)/2/100)/6</f>
        <v>251.91032207920748</v>
      </c>
      <c r="Z80" s="2571">
        <f>SUM(Y80)</f>
        <v>251.91032207920748</v>
      </c>
      <c r="AA80" s="2556">
        <f>SUM(Y80)</f>
        <v>251.91032207920748</v>
      </c>
      <c r="AB80" s="2555">
        <f>SUM(Y80+Z80+AA80)</f>
        <v>755.7309662376224</v>
      </c>
      <c r="AC80" s="2572">
        <f>SUM(Y80)</f>
        <v>251.91032207920748</v>
      </c>
      <c r="AD80" s="2572">
        <f>SUM(Y80)</f>
        <v>251.91032207920748</v>
      </c>
      <c r="AE80" s="2572">
        <f>SUM(Y80)</f>
        <v>251.91032207920748</v>
      </c>
      <c r="AF80" s="2555">
        <f>SUM(AC80+AD80+AE80)</f>
        <v>755.7309662376224</v>
      </c>
      <c r="AG80" s="2555">
        <f>SUM(AB80+AF80)</f>
        <v>1511.4619324752448</v>
      </c>
      <c r="AH80" s="2572">
        <f>SUM(U80-AG80)/6</f>
        <v>267.10051450058364</v>
      </c>
      <c r="AI80" s="2572">
        <f>SUM(AH80)</f>
        <v>267.10051450058364</v>
      </c>
      <c r="AJ80" s="2572">
        <f>SUM(AH80)</f>
        <v>267.10051450058364</v>
      </c>
      <c r="AK80" s="2555">
        <f>SUM(AH80+AI80+AJ80)</f>
        <v>801.30154350175098</v>
      </c>
      <c r="AL80" s="2555">
        <f>SUM(AG80+AK80)</f>
        <v>2312.7634759769958</v>
      </c>
      <c r="AM80" s="2572">
        <f>SUM(AH80)</f>
        <v>267.10051450058364</v>
      </c>
      <c r="AN80" s="2572">
        <f>SUM(AH80)</f>
        <v>267.10051450058364</v>
      </c>
      <c r="AO80" s="2572">
        <f>SUM(AH80)</f>
        <v>267.10051450058364</v>
      </c>
      <c r="AP80" s="2555">
        <f>SUM(AM80+AN80+AO80)</f>
        <v>801.30154350175098</v>
      </c>
      <c r="AQ80" s="669">
        <f>SUM(AO80+AN80+AM80+AJ80+AI80+AH80+AE80+AD80+AC80+AA80+Z80+Y80)</f>
        <v>3114.0650194787472</v>
      </c>
    </row>
    <row r="81" spans="1:43" ht="18.75">
      <c r="A81" s="2568" t="s">
        <v>121</v>
      </c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2569">
        <f>SUM(U79*8.99%)</f>
        <v>936.30249247872689</v>
      </c>
      <c r="V81" s="667"/>
      <c r="W81" s="2569">
        <f t="shared" ref="W81:W105" si="135">SUM(U81)</f>
        <v>936.30249247872689</v>
      </c>
      <c r="X81" s="2570">
        <f t="shared" si="134"/>
        <v>0</v>
      </c>
      <c r="Y81" s="2556">
        <f>SUM(Y80*(U81/U80))</f>
        <v>75.741598511440642</v>
      </c>
      <c r="Z81" s="2556">
        <f>SUM(Y81)</f>
        <v>75.741598511440642</v>
      </c>
      <c r="AA81" s="2571">
        <f>SUM(Y81)</f>
        <v>75.741598511440642</v>
      </c>
      <c r="AB81" s="2555">
        <f t="shared" ref="AB81" si="136">SUM(Y81+Z81+AA81)</f>
        <v>227.22479553432191</v>
      </c>
      <c r="AC81" s="2572">
        <f>SUM(Y81)</f>
        <v>75.741598511440642</v>
      </c>
      <c r="AD81" s="2572">
        <f>SUM(Y81)</f>
        <v>75.741598511440642</v>
      </c>
      <c r="AE81" s="2572">
        <f>SUM(Y81)</f>
        <v>75.741598511440642</v>
      </c>
      <c r="AF81" s="2555">
        <f t="shared" ref="AF81" si="137">SUM(AC81+AD81+AE81)</f>
        <v>227.22479553432191</v>
      </c>
      <c r="AG81" s="2555">
        <f t="shared" ref="AG81:AG92" si="138">SUM(AB81+AF81)</f>
        <v>454.44959106864383</v>
      </c>
      <c r="AH81" s="2572">
        <f>SUM(U81-AG81)/6</f>
        <v>80.308816901680515</v>
      </c>
      <c r="AI81" s="2572">
        <f>SUM(AH81)</f>
        <v>80.308816901680515</v>
      </c>
      <c r="AJ81" s="2572">
        <f>SUM(AH81)</f>
        <v>80.308816901680515</v>
      </c>
      <c r="AK81" s="2555">
        <f t="shared" ref="AK81" si="139">SUM(AH81+AI81+AJ81)</f>
        <v>240.92645070504153</v>
      </c>
      <c r="AL81" s="2555">
        <f t="shared" ref="AL81:AL92" si="140">SUM(AG81+AK81)</f>
        <v>695.3760417736853</v>
      </c>
      <c r="AM81" s="2572">
        <f>SUM(AH81)</f>
        <v>80.308816901680515</v>
      </c>
      <c r="AN81" s="2572">
        <f>SUM(AH81)</f>
        <v>80.308816901680515</v>
      </c>
      <c r="AO81" s="2572">
        <f>SUM(AH81)</f>
        <v>80.308816901680515</v>
      </c>
      <c r="AP81" s="2555">
        <f t="shared" ref="AP81" si="141">SUM(AM81+AN81+AO81)</f>
        <v>240.92645070504153</v>
      </c>
      <c r="AQ81" s="669">
        <f t="shared" ref="AQ81" si="142">SUM(AO81+AN81+AM81+AJ81+AI81+AH81+AE81+AD81+AC81+AA81+Z81+Y81)</f>
        <v>936.302492478727</v>
      </c>
    </row>
    <row r="82" spans="1:43" ht="18.75">
      <c r="A82" s="2568" t="s">
        <v>52</v>
      </c>
      <c r="B82" s="386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2569">
        <f>SUM(U79*0.99%)</f>
        <v>103.1078384375906</v>
      </c>
      <c r="V82" s="667"/>
      <c r="W82" s="2569">
        <f t="shared" si="135"/>
        <v>103.1078384375906</v>
      </c>
      <c r="X82" s="2570">
        <f t="shared" si="134"/>
        <v>0</v>
      </c>
      <c r="Y82" s="2556">
        <f t="shared" ref="Y82" si="143">SUM(U82/12)</f>
        <v>8.5923198697992174</v>
      </c>
      <c r="Z82" s="2556">
        <f t="shared" ref="Z82:Z95" si="144">SUM(Y82)</f>
        <v>8.5923198697992174</v>
      </c>
      <c r="AA82" s="2556">
        <f t="shared" ref="AA82:AA95" si="145">SUM(Y82)</f>
        <v>8.5923198697992174</v>
      </c>
      <c r="AB82" s="2555">
        <f t="shared" ref="AB82:AB95" si="146">SUM(Y82+Z82+AA82)</f>
        <v>25.77695960939765</v>
      </c>
      <c r="AC82" s="2572">
        <f t="shared" ref="AC82:AC95" si="147">SUM(Y82)</f>
        <v>8.5923198697992174</v>
      </c>
      <c r="AD82" s="2572">
        <f t="shared" ref="AD82:AD95" si="148">SUM(Y82)</f>
        <v>8.5923198697992174</v>
      </c>
      <c r="AE82" s="2572">
        <f t="shared" ref="AE82:AE95" si="149">SUM(Y82)</f>
        <v>8.5923198697992174</v>
      </c>
      <c r="AF82" s="2555">
        <f t="shared" ref="AF82:AF95" si="150">SUM(AC82+AD82+AE82)</f>
        <v>25.77695960939765</v>
      </c>
      <c r="AG82" s="2555">
        <f t="shared" si="138"/>
        <v>51.553919218795301</v>
      </c>
      <c r="AH82" s="2572">
        <f t="shared" ref="AH82:AH95" si="151">SUM(Y82)</f>
        <v>8.5923198697992174</v>
      </c>
      <c r="AI82" s="2572">
        <f t="shared" ref="AI82:AI95" si="152">SUM(Y82)</f>
        <v>8.5923198697992174</v>
      </c>
      <c r="AJ82" s="2572">
        <f t="shared" ref="AJ82:AJ95" si="153">SUM(Y82)</f>
        <v>8.5923198697992174</v>
      </c>
      <c r="AK82" s="2555">
        <f t="shared" ref="AK82:AK95" si="154">SUM(AH82+AI82+AJ82)</f>
        <v>25.77695960939765</v>
      </c>
      <c r="AL82" s="2555">
        <f t="shared" si="140"/>
        <v>77.330878828192951</v>
      </c>
      <c r="AM82" s="2572">
        <f t="shared" ref="AM82:AM95" si="155">SUM(Y82)</f>
        <v>8.5923198697992174</v>
      </c>
      <c r="AN82" s="2572">
        <f t="shared" ref="AN82:AN95" si="156">SUM(Y82)</f>
        <v>8.5923198697992174</v>
      </c>
      <c r="AO82" s="2572">
        <f t="shared" ref="AO82:AO95" si="157">SUM(Y82)</f>
        <v>8.5923198697992174</v>
      </c>
      <c r="AP82" s="2555">
        <f t="shared" ref="AP82:AP95" si="158">SUM(AM82+AN82+AO82)</f>
        <v>25.77695960939765</v>
      </c>
      <c r="AQ82" s="669">
        <f t="shared" si="71"/>
        <v>103.10783843759059</v>
      </c>
    </row>
    <row r="83" spans="1:43" ht="18.75">
      <c r="A83" s="2568" t="s">
        <v>1557</v>
      </c>
      <c r="B83" s="386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2569">
        <f>SUM(U79*0.54%)</f>
        <v>56.240639147776697</v>
      </c>
      <c r="V83" s="667"/>
      <c r="W83" s="2569">
        <f t="shared" si="135"/>
        <v>56.240639147776697</v>
      </c>
      <c r="X83" s="2570">
        <f t="shared" si="134"/>
        <v>0</v>
      </c>
      <c r="Y83" s="2556">
        <f t="shared" ref="Y83:Y90" si="159">SUM(U83/12)</f>
        <v>4.6867199289813914</v>
      </c>
      <c r="Z83" s="2556">
        <f t="shared" si="144"/>
        <v>4.6867199289813914</v>
      </c>
      <c r="AA83" s="2556">
        <f t="shared" si="145"/>
        <v>4.6867199289813914</v>
      </c>
      <c r="AB83" s="2555">
        <f t="shared" si="146"/>
        <v>14.060159786944174</v>
      </c>
      <c r="AC83" s="2572">
        <f t="shared" si="147"/>
        <v>4.6867199289813914</v>
      </c>
      <c r="AD83" s="2572">
        <f t="shared" si="148"/>
        <v>4.6867199289813914</v>
      </c>
      <c r="AE83" s="2572">
        <f t="shared" si="149"/>
        <v>4.6867199289813914</v>
      </c>
      <c r="AF83" s="2555">
        <f t="shared" si="150"/>
        <v>14.060159786944174</v>
      </c>
      <c r="AG83" s="2555">
        <f t="shared" si="138"/>
        <v>28.120319573888349</v>
      </c>
      <c r="AH83" s="2572">
        <f t="shared" si="151"/>
        <v>4.6867199289813914</v>
      </c>
      <c r="AI83" s="2572">
        <f t="shared" si="152"/>
        <v>4.6867199289813914</v>
      </c>
      <c r="AJ83" s="2572">
        <f t="shared" si="153"/>
        <v>4.6867199289813914</v>
      </c>
      <c r="AK83" s="2555">
        <f t="shared" si="154"/>
        <v>14.060159786944174</v>
      </c>
      <c r="AL83" s="2555">
        <f t="shared" si="140"/>
        <v>42.180479360832521</v>
      </c>
      <c r="AM83" s="2572">
        <f t="shared" si="155"/>
        <v>4.6867199289813914</v>
      </c>
      <c r="AN83" s="2572">
        <f t="shared" si="156"/>
        <v>4.6867199289813914</v>
      </c>
      <c r="AO83" s="2572">
        <f t="shared" si="157"/>
        <v>4.6867199289813914</v>
      </c>
      <c r="AP83" s="2555">
        <f t="shared" si="158"/>
        <v>14.060159786944174</v>
      </c>
      <c r="AQ83" s="669">
        <f t="shared" si="71"/>
        <v>56.240639147776683</v>
      </c>
    </row>
    <row r="84" spans="1:43" ht="18.75">
      <c r="A84" s="2568" t="s">
        <v>606</v>
      </c>
      <c r="B84" s="386"/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2569">
        <f>SUM(U79*8.72%)</f>
        <v>908.18217290483847</v>
      </c>
      <c r="V84" s="667"/>
      <c r="W84" s="2569">
        <f t="shared" si="135"/>
        <v>908.18217290483847</v>
      </c>
      <c r="X84" s="2570">
        <f t="shared" si="134"/>
        <v>0</v>
      </c>
      <c r="Y84" s="2556">
        <f t="shared" si="159"/>
        <v>75.681847742069877</v>
      </c>
      <c r="Z84" s="2556">
        <f t="shared" si="144"/>
        <v>75.681847742069877</v>
      </c>
      <c r="AA84" s="2556">
        <f t="shared" si="145"/>
        <v>75.681847742069877</v>
      </c>
      <c r="AB84" s="2555">
        <f t="shared" si="146"/>
        <v>227.04554322620965</v>
      </c>
      <c r="AC84" s="2572">
        <f t="shared" si="147"/>
        <v>75.681847742069877</v>
      </c>
      <c r="AD84" s="2572">
        <f t="shared" si="148"/>
        <v>75.681847742069877</v>
      </c>
      <c r="AE84" s="2572">
        <f t="shared" si="149"/>
        <v>75.681847742069877</v>
      </c>
      <c r="AF84" s="2555">
        <f t="shared" si="150"/>
        <v>227.04554322620965</v>
      </c>
      <c r="AG84" s="2555">
        <f t="shared" si="138"/>
        <v>454.09108645241929</v>
      </c>
      <c r="AH84" s="2572">
        <f t="shared" si="151"/>
        <v>75.681847742069877</v>
      </c>
      <c r="AI84" s="2572">
        <f t="shared" si="152"/>
        <v>75.681847742069877</v>
      </c>
      <c r="AJ84" s="2572">
        <f t="shared" si="153"/>
        <v>75.681847742069877</v>
      </c>
      <c r="AK84" s="2555">
        <f t="shared" si="154"/>
        <v>227.04554322620965</v>
      </c>
      <c r="AL84" s="2555">
        <f t="shared" si="140"/>
        <v>681.13662967862888</v>
      </c>
      <c r="AM84" s="2572">
        <f t="shared" si="155"/>
        <v>75.681847742069877</v>
      </c>
      <c r="AN84" s="2572">
        <f t="shared" si="156"/>
        <v>75.681847742069877</v>
      </c>
      <c r="AO84" s="2572">
        <f t="shared" si="157"/>
        <v>75.681847742069877</v>
      </c>
      <c r="AP84" s="2555">
        <f t="shared" si="158"/>
        <v>227.04554322620965</v>
      </c>
      <c r="AQ84" s="669">
        <f t="shared" si="71"/>
        <v>908.18217290483847</v>
      </c>
    </row>
    <row r="85" spans="1:43" ht="18.75">
      <c r="A85" s="2568" t="s">
        <v>1558</v>
      </c>
      <c r="B85" s="386"/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2569">
        <f>SUM(U79*0.24%)</f>
        <v>24.995839621234087</v>
      </c>
      <c r="V85" s="667"/>
      <c r="W85" s="2569">
        <f t="shared" si="135"/>
        <v>24.995839621234087</v>
      </c>
      <c r="X85" s="2570">
        <f t="shared" si="134"/>
        <v>0</v>
      </c>
      <c r="Y85" s="2556">
        <f t="shared" si="159"/>
        <v>2.0829866351028405</v>
      </c>
      <c r="Z85" s="2556">
        <f t="shared" si="144"/>
        <v>2.0829866351028405</v>
      </c>
      <c r="AA85" s="2556">
        <f t="shared" si="145"/>
        <v>2.0829866351028405</v>
      </c>
      <c r="AB85" s="2555">
        <f t="shared" si="146"/>
        <v>6.2489599053085216</v>
      </c>
      <c r="AC85" s="2572">
        <f t="shared" si="147"/>
        <v>2.0829866351028405</v>
      </c>
      <c r="AD85" s="2572">
        <f t="shared" si="148"/>
        <v>2.0829866351028405</v>
      </c>
      <c r="AE85" s="2572">
        <f t="shared" si="149"/>
        <v>2.0829866351028405</v>
      </c>
      <c r="AF85" s="2555">
        <f t="shared" si="150"/>
        <v>6.2489599053085216</v>
      </c>
      <c r="AG85" s="2555">
        <f t="shared" si="138"/>
        <v>12.497919810617043</v>
      </c>
      <c r="AH85" s="2572">
        <f t="shared" si="151"/>
        <v>2.0829866351028405</v>
      </c>
      <c r="AI85" s="2572">
        <f t="shared" si="152"/>
        <v>2.0829866351028405</v>
      </c>
      <c r="AJ85" s="2572">
        <f t="shared" si="153"/>
        <v>2.0829866351028405</v>
      </c>
      <c r="AK85" s="2555">
        <f t="shared" si="154"/>
        <v>6.2489599053085216</v>
      </c>
      <c r="AL85" s="2555">
        <f t="shared" si="140"/>
        <v>18.746879715925566</v>
      </c>
      <c r="AM85" s="2572">
        <f t="shared" si="155"/>
        <v>2.0829866351028405</v>
      </c>
      <c r="AN85" s="2572">
        <f t="shared" si="156"/>
        <v>2.0829866351028405</v>
      </c>
      <c r="AO85" s="2572">
        <f t="shared" si="157"/>
        <v>2.0829866351028405</v>
      </c>
      <c r="AP85" s="2555">
        <f t="shared" si="158"/>
        <v>6.2489599053085216</v>
      </c>
      <c r="AQ85" s="669">
        <f t="shared" si="71"/>
        <v>24.995839621234094</v>
      </c>
    </row>
    <row r="86" spans="1:43" ht="18.75">
      <c r="A86" s="2568" t="s">
        <v>608</v>
      </c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2569">
        <f>SUM(U79*0.88%)</f>
        <v>91.651411944524995</v>
      </c>
      <c r="V86" s="667"/>
      <c r="W86" s="2569">
        <f t="shared" si="135"/>
        <v>91.651411944524995</v>
      </c>
      <c r="X86" s="2570">
        <f t="shared" si="134"/>
        <v>0</v>
      </c>
      <c r="Y86" s="2556">
        <f t="shared" si="159"/>
        <v>7.6376176620437493</v>
      </c>
      <c r="Z86" s="2556">
        <f t="shared" si="144"/>
        <v>7.6376176620437493</v>
      </c>
      <c r="AA86" s="2556">
        <f t="shared" si="145"/>
        <v>7.6376176620437493</v>
      </c>
      <c r="AB86" s="2555">
        <f t="shared" si="146"/>
        <v>22.912852986131249</v>
      </c>
      <c r="AC86" s="2572">
        <f t="shared" si="147"/>
        <v>7.6376176620437493</v>
      </c>
      <c r="AD86" s="2572">
        <f t="shared" si="148"/>
        <v>7.6376176620437493</v>
      </c>
      <c r="AE86" s="2572">
        <f t="shared" si="149"/>
        <v>7.6376176620437493</v>
      </c>
      <c r="AF86" s="2555">
        <f t="shared" si="150"/>
        <v>22.912852986131249</v>
      </c>
      <c r="AG86" s="2555">
        <f t="shared" si="138"/>
        <v>45.825705972262497</v>
      </c>
      <c r="AH86" s="2572">
        <f t="shared" si="151"/>
        <v>7.6376176620437493</v>
      </c>
      <c r="AI86" s="2572">
        <f t="shared" si="152"/>
        <v>7.6376176620437493</v>
      </c>
      <c r="AJ86" s="2572">
        <f t="shared" si="153"/>
        <v>7.6376176620437493</v>
      </c>
      <c r="AK86" s="2555">
        <f t="shared" si="154"/>
        <v>22.912852986131249</v>
      </c>
      <c r="AL86" s="2555">
        <f t="shared" si="140"/>
        <v>68.738558958393753</v>
      </c>
      <c r="AM86" s="2572">
        <f t="shared" si="155"/>
        <v>7.6376176620437493</v>
      </c>
      <c r="AN86" s="2572">
        <f t="shared" si="156"/>
        <v>7.6376176620437493</v>
      </c>
      <c r="AO86" s="2572">
        <f t="shared" si="157"/>
        <v>7.6376176620437493</v>
      </c>
      <c r="AP86" s="2555">
        <f t="shared" si="158"/>
        <v>22.912852986131249</v>
      </c>
      <c r="AQ86" s="669">
        <f t="shared" si="71"/>
        <v>91.651411944525009</v>
      </c>
    </row>
    <row r="87" spans="1:43" ht="18.75">
      <c r="A87" s="2568" t="s">
        <v>98</v>
      </c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2569">
        <f>SUM(U79*1.22%)</f>
        <v>127.06218474127327</v>
      </c>
      <c r="V87" s="667"/>
      <c r="W87" s="2569">
        <f t="shared" si="135"/>
        <v>127.06218474127327</v>
      </c>
      <c r="X87" s="2570">
        <f t="shared" si="134"/>
        <v>0</v>
      </c>
      <c r="Y87" s="2556">
        <f t="shared" si="159"/>
        <v>10.588515395106105</v>
      </c>
      <c r="Z87" s="2556">
        <f t="shared" si="144"/>
        <v>10.588515395106105</v>
      </c>
      <c r="AA87" s="2556">
        <f t="shared" si="145"/>
        <v>10.588515395106105</v>
      </c>
      <c r="AB87" s="2555">
        <f t="shared" si="146"/>
        <v>31.765546185318314</v>
      </c>
      <c r="AC87" s="2572">
        <f t="shared" si="147"/>
        <v>10.588515395106105</v>
      </c>
      <c r="AD87" s="2572">
        <f t="shared" si="148"/>
        <v>10.588515395106105</v>
      </c>
      <c r="AE87" s="2572">
        <f t="shared" si="149"/>
        <v>10.588515395106105</v>
      </c>
      <c r="AF87" s="2555">
        <f t="shared" si="150"/>
        <v>31.765546185318314</v>
      </c>
      <c r="AG87" s="2555">
        <f t="shared" si="138"/>
        <v>63.531092370636628</v>
      </c>
      <c r="AH87" s="2572">
        <f t="shared" si="151"/>
        <v>10.588515395106105</v>
      </c>
      <c r="AI87" s="2572">
        <f t="shared" si="152"/>
        <v>10.588515395106105</v>
      </c>
      <c r="AJ87" s="2572">
        <f t="shared" si="153"/>
        <v>10.588515395106105</v>
      </c>
      <c r="AK87" s="2555">
        <f t="shared" si="154"/>
        <v>31.765546185318314</v>
      </c>
      <c r="AL87" s="2555">
        <f t="shared" si="140"/>
        <v>95.296638555954942</v>
      </c>
      <c r="AM87" s="2572">
        <f t="shared" si="155"/>
        <v>10.588515395106105</v>
      </c>
      <c r="AN87" s="2572">
        <f t="shared" si="156"/>
        <v>10.588515395106105</v>
      </c>
      <c r="AO87" s="2572">
        <f t="shared" si="157"/>
        <v>10.588515395106105</v>
      </c>
      <c r="AP87" s="2555">
        <f t="shared" si="158"/>
        <v>31.765546185318314</v>
      </c>
      <c r="AQ87" s="669">
        <f t="shared" si="71"/>
        <v>127.06218474127324</v>
      </c>
    </row>
    <row r="88" spans="1:43" ht="18.75">
      <c r="A88" s="2568" t="s">
        <v>609</v>
      </c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2569">
        <f>SUM(U79*0.55%)</f>
        <v>57.282132465328125</v>
      </c>
      <c r="V88" s="667"/>
      <c r="W88" s="2569">
        <f t="shared" si="135"/>
        <v>57.282132465328125</v>
      </c>
      <c r="X88" s="2570">
        <f t="shared" si="134"/>
        <v>0</v>
      </c>
      <c r="Y88" s="2556">
        <f t="shared" si="159"/>
        <v>4.7735110387773441</v>
      </c>
      <c r="Z88" s="2556">
        <f t="shared" si="144"/>
        <v>4.7735110387773441</v>
      </c>
      <c r="AA88" s="2556">
        <f t="shared" si="145"/>
        <v>4.7735110387773441</v>
      </c>
      <c r="AB88" s="2555">
        <f t="shared" si="146"/>
        <v>14.320533116332033</v>
      </c>
      <c r="AC88" s="2572">
        <f t="shared" si="147"/>
        <v>4.7735110387773441</v>
      </c>
      <c r="AD88" s="2572">
        <f t="shared" si="148"/>
        <v>4.7735110387773441</v>
      </c>
      <c r="AE88" s="2572">
        <f t="shared" si="149"/>
        <v>4.7735110387773441</v>
      </c>
      <c r="AF88" s="2555">
        <f t="shared" si="150"/>
        <v>14.320533116332033</v>
      </c>
      <c r="AG88" s="2555">
        <f t="shared" si="138"/>
        <v>28.641066232664066</v>
      </c>
      <c r="AH88" s="2572">
        <f t="shared" si="151"/>
        <v>4.7735110387773441</v>
      </c>
      <c r="AI88" s="2572">
        <f t="shared" si="152"/>
        <v>4.7735110387773441</v>
      </c>
      <c r="AJ88" s="2572">
        <f t="shared" si="153"/>
        <v>4.7735110387773441</v>
      </c>
      <c r="AK88" s="2555">
        <f t="shared" si="154"/>
        <v>14.320533116332033</v>
      </c>
      <c r="AL88" s="2555">
        <f t="shared" si="140"/>
        <v>42.961599348996103</v>
      </c>
      <c r="AM88" s="2572">
        <f t="shared" si="155"/>
        <v>4.7735110387773441</v>
      </c>
      <c r="AN88" s="2572">
        <f t="shared" si="156"/>
        <v>4.7735110387773441</v>
      </c>
      <c r="AO88" s="2572">
        <f t="shared" si="157"/>
        <v>4.7735110387773441</v>
      </c>
      <c r="AP88" s="2555">
        <f t="shared" si="158"/>
        <v>14.320533116332033</v>
      </c>
      <c r="AQ88" s="669">
        <f t="shared" si="71"/>
        <v>57.282132465328125</v>
      </c>
    </row>
    <row r="89" spans="1:43" ht="18.75">
      <c r="A89" s="2568" t="s">
        <v>1559</v>
      </c>
      <c r="B89" s="386"/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2569">
        <f>SUM(U79*0.47%)</f>
        <v>48.950185924916745</v>
      </c>
      <c r="V89" s="667"/>
      <c r="W89" s="2569">
        <f t="shared" si="135"/>
        <v>48.950185924916745</v>
      </c>
      <c r="X89" s="2570">
        <f t="shared" si="134"/>
        <v>0</v>
      </c>
      <c r="Y89" s="2556">
        <f t="shared" si="159"/>
        <v>4.0791821604097285</v>
      </c>
      <c r="Z89" s="2556">
        <f t="shared" si="144"/>
        <v>4.0791821604097285</v>
      </c>
      <c r="AA89" s="2556">
        <f t="shared" si="145"/>
        <v>4.0791821604097285</v>
      </c>
      <c r="AB89" s="2555">
        <f t="shared" si="146"/>
        <v>12.237546481229185</v>
      </c>
      <c r="AC89" s="2572">
        <f t="shared" si="147"/>
        <v>4.0791821604097285</v>
      </c>
      <c r="AD89" s="2572">
        <f t="shared" si="148"/>
        <v>4.0791821604097285</v>
      </c>
      <c r="AE89" s="2572">
        <f t="shared" si="149"/>
        <v>4.0791821604097285</v>
      </c>
      <c r="AF89" s="2555">
        <f t="shared" si="150"/>
        <v>12.237546481229185</v>
      </c>
      <c r="AG89" s="2555">
        <f t="shared" si="138"/>
        <v>24.475092962458369</v>
      </c>
      <c r="AH89" s="2572">
        <f t="shared" si="151"/>
        <v>4.0791821604097285</v>
      </c>
      <c r="AI89" s="2572">
        <f t="shared" si="152"/>
        <v>4.0791821604097285</v>
      </c>
      <c r="AJ89" s="2572">
        <f t="shared" si="153"/>
        <v>4.0791821604097285</v>
      </c>
      <c r="AK89" s="2555">
        <f t="shared" si="154"/>
        <v>12.237546481229185</v>
      </c>
      <c r="AL89" s="2555">
        <f t="shared" si="140"/>
        <v>36.71263944368755</v>
      </c>
      <c r="AM89" s="2572">
        <f t="shared" si="155"/>
        <v>4.0791821604097285</v>
      </c>
      <c r="AN89" s="2572">
        <f t="shared" si="156"/>
        <v>4.0791821604097285</v>
      </c>
      <c r="AO89" s="2572">
        <f t="shared" si="157"/>
        <v>4.0791821604097285</v>
      </c>
      <c r="AP89" s="2555">
        <f t="shared" si="158"/>
        <v>12.237546481229185</v>
      </c>
      <c r="AQ89" s="669">
        <f t="shared" si="71"/>
        <v>48.950185924916745</v>
      </c>
    </row>
    <row r="90" spans="1:43" ht="18.75">
      <c r="A90" s="2568" t="s">
        <v>612</v>
      </c>
      <c r="B90" s="386"/>
      <c r="C90" s="386"/>
      <c r="D90" s="386"/>
      <c r="E90" s="386"/>
      <c r="F90" s="386"/>
      <c r="G90" s="386"/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2569">
        <f>SUM(U79*0.92%)</f>
        <v>95.817385214730663</v>
      </c>
      <c r="V90" s="667"/>
      <c r="W90" s="2569">
        <f t="shared" si="135"/>
        <v>95.817385214730663</v>
      </c>
      <c r="X90" s="2570">
        <f t="shared" si="134"/>
        <v>0</v>
      </c>
      <c r="Y90" s="2556">
        <f t="shared" si="159"/>
        <v>7.9847821012275553</v>
      </c>
      <c r="Z90" s="2556">
        <f t="shared" si="144"/>
        <v>7.9847821012275553</v>
      </c>
      <c r="AA90" s="2556">
        <f t="shared" si="145"/>
        <v>7.9847821012275553</v>
      </c>
      <c r="AB90" s="2555">
        <f t="shared" si="146"/>
        <v>23.954346303682666</v>
      </c>
      <c r="AC90" s="2572">
        <f t="shared" si="147"/>
        <v>7.9847821012275553</v>
      </c>
      <c r="AD90" s="2572">
        <f t="shared" si="148"/>
        <v>7.9847821012275553</v>
      </c>
      <c r="AE90" s="2572">
        <f t="shared" si="149"/>
        <v>7.9847821012275553</v>
      </c>
      <c r="AF90" s="2555">
        <f t="shared" si="150"/>
        <v>23.954346303682666</v>
      </c>
      <c r="AG90" s="2555">
        <f t="shared" si="138"/>
        <v>47.908692607365332</v>
      </c>
      <c r="AH90" s="2572">
        <f t="shared" si="151"/>
        <v>7.9847821012275553</v>
      </c>
      <c r="AI90" s="2572">
        <f t="shared" si="152"/>
        <v>7.9847821012275553</v>
      </c>
      <c r="AJ90" s="2572">
        <f t="shared" si="153"/>
        <v>7.9847821012275553</v>
      </c>
      <c r="AK90" s="2555">
        <f t="shared" si="154"/>
        <v>23.954346303682666</v>
      </c>
      <c r="AL90" s="2555">
        <f t="shared" si="140"/>
        <v>71.863038911047994</v>
      </c>
      <c r="AM90" s="2572">
        <f t="shared" si="155"/>
        <v>7.9847821012275553</v>
      </c>
      <c r="AN90" s="2572">
        <f t="shared" si="156"/>
        <v>7.9847821012275553</v>
      </c>
      <c r="AO90" s="2572">
        <f t="shared" si="157"/>
        <v>7.9847821012275553</v>
      </c>
      <c r="AP90" s="2555">
        <f t="shared" si="158"/>
        <v>23.954346303682666</v>
      </c>
      <c r="AQ90" s="669">
        <f t="shared" si="71"/>
        <v>95.817385214730635</v>
      </c>
    </row>
    <row r="91" spans="1:43" ht="18.75">
      <c r="A91" s="2568" t="s">
        <v>616</v>
      </c>
      <c r="B91" s="2253"/>
      <c r="C91" s="2253"/>
      <c r="D91" s="2253"/>
      <c r="E91" s="2253"/>
      <c r="F91" s="2253"/>
      <c r="G91" s="2253"/>
      <c r="H91" s="2253"/>
      <c r="I91" s="2253"/>
      <c r="J91" s="2253"/>
      <c r="K91" s="2253"/>
      <c r="L91" s="2253"/>
      <c r="M91" s="2253"/>
      <c r="N91" s="2253"/>
      <c r="O91" s="2253"/>
      <c r="P91" s="2253"/>
      <c r="Q91" s="2253"/>
      <c r="R91" s="2253"/>
      <c r="S91" s="2253"/>
      <c r="T91" s="2253"/>
      <c r="U91" s="2575">
        <v>0</v>
      </c>
      <c r="V91" s="673"/>
      <c r="W91" s="2575">
        <f t="shared" si="135"/>
        <v>0</v>
      </c>
      <c r="X91" s="2570">
        <f t="shared" si="134"/>
        <v>0</v>
      </c>
      <c r="Y91" s="2576">
        <f t="shared" ref="Y91:Y92" si="160">SUM(U91/12)</f>
        <v>0</v>
      </c>
      <c r="Z91" s="2576">
        <f t="shared" si="144"/>
        <v>0</v>
      </c>
      <c r="AA91" s="2576">
        <f t="shared" si="145"/>
        <v>0</v>
      </c>
      <c r="AB91" s="2577">
        <f t="shared" si="146"/>
        <v>0</v>
      </c>
      <c r="AC91" s="2578">
        <f t="shared" si="147"/>
        <v>0</v>
      </c>
      <c r="AD91" s="2578">
        <f t="shared" si="148"/>
        <v>0</v>
      </c>
      <c r="AE91" s="2578">
        <f t="shared" si="149"/>
        <v>0</v>
      </c>
      <c r="AF91" s="2577">
        <f t="shared" si="150"/>
        <v>0</v>
      </c>
      <c r="AG91" s="2577">
        <f t="shared" si="138"/>
        <v>0</v>
      </c>
      <c r="AH91" s="2578">
        <f t="shared" si="151"/>
        <v>0</v>
      </c>
      <c r="AI91" s="2578">
        <f t="shared" si="152"/>
        <v>0</v>
      </c>
      <c r="AJ91" s="2578">
        <f t="shared" si="153"/>
        <v>0</v>
      </c>
      <c r="AK91" s="2577">
        <f t="shared" si="154"/>
        <v>0</v>
      </c>
      <c r="AL91" s="2577">
        <f t="shared" si="140"/>
        <v>0</v>
      </c>
      <c r="AM91" s="2578">
        <f t="shared" si="155"/>
        <v>0</v>
      </c>
      <c r="AN91" s="2578">
        <f t="shared" si="156"/>
        <v>0</v>
      </c>
      <c r="AO91" s="2578">
        <f t="shared" si="157"/>
        <v>0</v>
      </c>
      <c r="AP91" s="2577">
        <f t="shared" si="158"/>
        <v>0</v>
      </c>
      <c r="AQ91" s="676">
        <f t="shared" si="71"/>
        <v>0</v>
      </c>
    </row>
    <row r="92" spans="1:43" ht="18.75">
      <c r="A92" s="2568" t="s">
        <v>613</v>
      </c>
      <c r="B92" s="2253"/>
      <c r="C92" s="2253"/>
      <c r="D92" s="2253"/>
      <c r="E92" s="2253"/>
      <c r="F92" s="2253"/>
      <c r="G92" s="2253"/>
      <c r="H92" s="2253"/>
      <c r="I92" s="2253"/>
      <c r="J92" s="2253"/>
      <c r="K92" s="2253"/>
      <c r="L92" s="2253"/>
      <c r="M92" s="2253"/>
      <c r="N92" s="2253"/>
      <c r="O92" s="2253"/>
      <c r="P92" s="2253"/>
      <c r="Q92" s="2253"/>
      <c r="R92" s="2253"/>
      <c r="S92" s="2253"/>
      <c r="T92" s="2253"/>
      <c r="U92" s="2575">
        <v>0</v>
      </c>
      <c r="V92" s="673"/>
      <c r="W92" s="2575">
        <f t="shared" si="135"/>
        <v>0</v>
      </c>
      <c r="X92" s="2570">
        <f t="shared" si="134"/>
        <v>0</v>
      </c>
      <c r="Y92" s="2576">
        <f t="shared" si="160"/>
        <v>0</v>
      </c>
      <c r="Z92" s="2576">
        <f t="shared" si="144"/>
        <v>0</v>
      </c>
      <c r="AA92" s="2576">
        <f t="shared" si="145"/>
        <v>0</v>
      </c>
      <c r="AB92" s="2577">
        <f t="shared" si="146"/>
        <v>0</v>
      </c>
      <c r="AC92" s="2578">
        <f t="shared" si="147"/>
        <v>0</v>
      </c>
      <c r="AD92" s="2578">
        <f t="shared" si="148"/>
        <v>0</v>
      </c>
      <c r="AE92" s="2578">
        <f t="shared" si="149"/>
        <v>0</v>
      </c>
      <c r="AF92" s="2577">
        <f t="shared" si="150"/>
        <v>0</v>
      </c>
      <c r="AG92" s="2577">
        <f t="shared" si="138"/>
        <v>0</v>
      </c>
      <c r="AH92" s="2578">
        <f t="shared" si="151"/>
        <v>0</v>
      </c>
      <c r="AI92" s="2578">
        <f t="shared" si="152"/>
        <v>0</v>
      </c>
      <c r="AJ92" s="2578">
        <f t="shared" si="153"/>
        <v>0</v>
      </c>
      <c r="AK92" s="2577">
        <f t="shared" si="154"/>
        <v>0</v>
      </c>
      <c r="AL92" s="2577">
        <f t="shared" si="140"/>
        <v>0</v>
      </c>
      <c r="AM92" s="2578">
        <f t="shared" si="155"/>
        <v>0</v>
      </c>
      <c r="AN92" s="2578">
        <f t="shared" si="156"/>
        <v>0</v>
      </c>
      <c r="AO92" s="2578">
        <f t="shared" si="157"/>
        <v>0</v>
      </c>
      <c r="AP92" s="2577">
        <f t="shared" si="158"/>
        <v>0</v>
      </c>
      <c r="AQ92" s="676">
        <f t="shared" si="71"/>
        <v>0</v>
      </c>
    </row>
    <row r="93" spans="1:43" ht="18.75">
      <c r="A93" s="2568" t="s">
        <v>1560</v>
      </c>
      <c r="B93" s="386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2569">
        <f>SUM(U79*1.28%)</f>
        <v>133.31114464658179</v>
      </c>
      <c r="V93" s="667"/>
      <c r="W93" s="2569">
        <f t="shared" si="135"/>
        <v>133.31114464658179</v>
      </c>
      <c r="X93" s="2570">
        <f t="shared" si="134"/>
        <v>0</v>
      </c>
      <c r="Y93" s="2556">
        <f t="shared" ref="Y93:Y95" si="161">SUM(U93/12)</f>
        <v>11.109262053881816</v>
      </c>
      <c r="Z93" s="2556">
        <f t="shared" si="144"/>
        <v>11.109262053881816</v>
      </c>
      <c r="AA93" s="2556">
        <f t="shared" si="145"/>
        <v>11.109262053881816</v>
      </c>
      <c r="AB93" s="2555">
        <f t="shared" si="146"/>
        <v>33.327786161645449</v>
      </c>
      <c r="AC93" s="2572">
        <f t="shared" si="147"/>
        <v>11.109262053881816</v>
      </c>
      <c r="AD93" s="2572">
        <f t="shared" si="148"/>
        <v>11.109262053881816</v>
      </c>
      <c r="AE93" s="2572">
        <f t="shared" si="149"/>
        <v>11.109262053881816</v>
      </c>
      <c r="AF93" s="2555">
        <f t="shared" si="150"/>
        <v>33.327786161645449</v>
      </c>
      <c r="AG93" s="2555">
        <f t="shared" si="67"/>
        <v>66.655572323290897</v>
      </c>
      <c r="AH93" s="2572">
        <f t="shared" si="151"/>
        <v>11.109262053881816</v>
      </c>
      <c r="AI93" s="2572">
        <f t="shared" si="152"/>
        <v>11.109262053881816</v>
      </c>
      <c r="AJ93" s="2572">
        <f t="shared" si="153"/>
        <v>11.109262053881816</v>
      </c>
      <c r="AK93" s="2555">
        <f t="shared" si="154"/>
        <v>33.327786161645449</v>
      </c>
      <c r="AL93" s="2555">
        <f t="shared" si="69"/>
        <v>99.983358484936346</v>
      </c>
      <c r="AM93" s="2572">
        <f t="shared" si="155"/>
        <v>11.109262053881816</v>
      </c>
      <c r="AN93" s="2572">
        <f t="shared" si="156"/>
        <v>11.109262053881816</v>
      </c>
      <c r="AO93" s="2572">
        <f t="shared" si="157"/>
        <v>11.109262053881816</v>
      </c>
      <c r="AP93" s="2555">
        <f t="shared" si="158"/>
        <v>33.327786161645449</v>
      </c>
      <c r="AQ93" s="669">
        <f t="shared" si="71"/>
        <v>133.31114464658182</v>
      </c>
    </row>
    <row r="94" spans="1:43" ht="18.75">
      <c r="A94" s="2568" t="s">
        <v>38</v>
      </c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2569">
        <f>SUM(U79*0.52%)</f>
        <v>54.157652512673856</v>
      </c>
      <c r="V94" s="667"/>
      <c r="W94" s="2569">
        <f t="shared" si="135"/>
        <v>54.157652512673856</v>
      </c>
      <c r="X94" s="2570">
        <f t="shared" si="134"/>
        <v>0</v>
      </c>
      <c r="Y94" s="2556">
        <f t="shared" si="161"/>
        <v>4.513137709389488</v>
      </c>
      <c r="Z94" s="2556">
        <f t="shared" si="144"/>
        <v>4.513137709389488</v>
      </c>
      <c r="AA94" s="2556">
        <f t="shared" si="145"/>
        <v>4.513137709389488</v>
      </c>
      <c r="AB94" s="2555">
        <f t="shared" si="146"/>
        <v>13.539413128168464</v>
      </c>
      <c r="AC94" s="2572">
        <f t="shared" si="147"/>
        <v>4.513137709389488</v>
      </c>
      <c r="AD94" s="2572">
        <f t="shared" si="148"/>
        <v>4.513137709389488</v>
      </c>
      <c r="AE94" s="2572">
        <f t="shared" si="149"/>
        <v>4.513137709389488</v>
      </c>
      <c r="AF94" s="2555">
        <f t="shared" si="150"/>
        <v>13.539413128168464</v>
      </c>
      <c r="AG94" s="2555">
        <f t="shared" si="67"/>
        <v>27.078826256336928</v>
      </c>
      <c r="AH94" s="2572">
        <f t="shared" si="151"/>
        <v>4.513137709389488</v>
      </c>
      <c r="AI94" s="2572">
        <f t="shared" si="152"/>
        <v>4.513137709389488</v>
      </c>
      <c r="AJ94" s="2572">
        <f t="shared" si="153"/>
        <v>4.513137709389488</v>
      </c>
      <c r="AK94" s="2555">
        <f t="shared" si="154"/>
        <v>13.539413128168464</v>
      </c>
      <c r="AL94" s="2555">
        <f t="shared" si="69"/>
        <v>40.618239384505394</v>
      </c>
      <c r="AM94" s="2572">
        <f t="shared" si="155"/>
        <v>4.513137709389488</v>
      </c>
      <c r="AN94" s="2572">
        <f t="shared" si="156"/>
        <v>4.513137709389488</v>
      </c>
      <c r="AO94" s="2572">
        <f t="shared" si="157"/>
        <v>4.513137709389488</v>
      </c>
      <c r="AP94" s="2555">
        <f t="shared" si="158"/>
        <v>13.539413128168464</v>
      </c>
      <c r="AQ94" s="669">
        <f t="shared" si="71"/>
        <v>54.15765251267387</v>
      </c>
    </row>
    <row r="95" spans="1:43" ht="18.75">
      <c r="A95" s="2568" t="s">
        <v>32</v>
      </c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2569">
        <f>SUM(U79*0.23%)</f>
        <v>23.954346303682666</v>
      </c>
      <c r="V95" s="667"/>
      <c r="W95" s="2569">
        <f t="shared" si="135"/>
        <v>23.954346303682666</v>
      </c>
      <c r="X95" s="2570">
        <f t="shared" si="134"/>
        <v>0</v>
      </c>
      <c r="Y95" s="2556">
        <f t="shared" si="161"/>
        <v>1.9961955253068888</v>
      </c>
      <c r="Z95" s="2556">
        <f t="shared" si="144"/>
        <v>1.9961955253068888</v>
      </c>
      <c r="AA95" s="2556">
        <f t="shared" si="145"/>
        <v>1.9961955253068888</v>
      </c>
      <c r="AB95" s="2555">
        <f t="shared" si="146"/>
        <v>5.9885865759206665</v>
      </c>
      <c r="AC95" s="2572">
        <f t="shared" si="147"/>
        <v>1.9961955253068888</v>
      </c>
      <c r="AD95" s="2572">
        <f t="shared" si="148"/>
        <v>1.9961955253068888</v>
      </c>
      <c r="AE95" s="2572">
        <f t="shared" si="149"/>
        <v>1.9961955253068888</v>
      </c>
      <c r="AF95" s="2555">
        <f t="shared" si="150"/>
        <v>5.9885865759206665</v>
      </c>
      <c r="AG95" s="2555">
        <f t="shared" si="67"/>
        <v>11.977173151841333</v>
      </c>
      <c r="AH95" s="2572">
        <f t="shared" si="151"/>
        <v>1.9961955253068888</v>
      </c>
      <c r="AI95" s="2572">
        <f t="shared" si="152"/>
        <v>1.9961955253068888</v>
      </c>
      <c r="AJ95" s="2572">
        <f t="shared" si="153"/>
        <v>1.9961955253068888</v>
      </c>
      <c r="AK95" s="2555">
        <f t="shared" si="154"/>
        <v>5.9885865759206665</v>
      </c>
      <c r="AL95" s="2555">
        <f t="shared" si="69"/>
        <v>17.965759727761998</v>
      </c>
      <c r="AM95" s="2572">
        <f t="shared" si="155"/>
        <v>1.9961955253068888</v>
      </c>
      <c r="AN95" s="2572">
        <f t="shared" si="156"/>
        <v>1.9961955253068888</v>
      </c>
      <c r="AO95" s="2572">
        <f t="shared" si="157"/>
        <v>1.9961955253068888</v>
      </c>
      <c r="AP95" s="2555">
        <f t="shared" si="158"/>
        <v>5.9885865759206665</v>
      </c>
      <c r="AQ95" s="669">
        <f t="shared" si="71"/>
        <v>23.954346303682659</v>
      </c>
    </row>
    <row r="96" spans="1:43" ht="18.75">
      <c r="A96" s="2568" t="s">
        <v>607</v>
      </c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2569">
        <f>SUM(U97:U100)</f>
        <v>4388.852840161685</v>
      </c>
      <c r="V96" s="667"/>
      <c r="W96" s="2569">
        <f>SUM(W97:W100)</f>
        <v>4388.852840161685</v>
      </c>
      <c r="X96" s="2569">
        <f>SUM(X97:X100)</f>
        <v>0</v>
      </c>
      <c r="Y96" s="2571">
        <f t="shared" ref="Y96:AA96" si="162">SUM(Y97:Y100)</f>
        <v>705.00210796081296</v>
      </c>
      <c r="Z96" s="2571">
        <f t="shared" si="162"/>
        <v>608.04483615099343</v>
      </c>
      <c r="AA96" s="2571">
        <f t="shared" si="162"/>
        <v>566.05502346585115</v>
      </c>
      <c r="AB96" s="2555">
        <f t="shared" si="65"/>
        <v>1879.1019675776574</v>
      </c>
      <c r="AC96" s="2571">
        <f t="shared" ref="AC96:AE96" si="163">SUM(AC97:AC100)</f>
        <v>419.56890158838496</v>
      </c>
      <c r="AD96" s="2571">
        <f t="shared" si="163"/>
        <v>123.10844650721907</v>
      </c>
      <c r="AE96" s="2571">
        <f t="shared" si="163"/>
        <v>31.852337295114271</v>
      </c>
      <c r="AF96" s="2555">
        <f t="shared" si="66"/>
        <v>574.52968539071821</v>
      </c>
      <c r="AG96" s="2555">
        <f t="shared" si="67"/>
        <v>2453.6316529683754</v>
      </c>
      <c r="AH96" s="2571">
        <f t="shared" ref="AH96:AJ96" si="164">SUM(AH97:AH100)</f>
        <v>31.852337295114271</v>
      </c>
      <c r="AI96" s="2571">
        <f t="shared" si="164"/>
        <v>31.852337295114271</v>
      </c>
      <c r="AJ96" s="2571">
        <f t="shared" si="164"/>
        <v>199.07943873366136</v>
      </c>
      <c r="AK96" s="2555">
        <f t="shared" si="68"/>
        <v>262.78411332388993</v>
      </c>
      <c r="AL96" s="2555">
        <f t="shared" si="69"/>
        <v>2716.4157662922653</v>
      </c>
      <c r="AM96" s="2571">
        <f t="shared" ref="AM96:AO96" si="165">SUM(AM97:AM100)</f>
        <v>442.91816303792029</v>
      </c>
      <c r="AN96" s="2571">
        <f t="shared" si="165"/>
        <v>548.74674391097324</v>
      </c>
      <c r="AO96" s="2571">
        <f t="shared" si="165"/>
        <v>680.77216692052548</v>
      </c>
      <c r="AP96" s="2555">
        <f t="shared" si="70"/>
        <v>1672.437073869419</v>
      </c>
      <c r="AQ96" s="669">
        <f t="shared" si="71"/>
        <v>4388.852840161685</v>
      </c>
    </row>
    <row r="97" spans="1:43" ht="18.75">
      <c r="A97" s="2573" t="s">
        <v>563</v>
      </c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2569">
        <f>SUM(U79*38.47%)</f>
        <v>4006.6247926203137</v>
      </c>
      <c r="V97" s="667"/>
      <c r="W97" s="2569">
        <f t="shared" si="135"/>
        <v>4006.6247926203137</v>
      </c>
      <c r="X97" s="2570">
        <f t="shared" si="134"/>
        <v>0</v>
      </c>
      <c r="Y97" s="2556">
        <f>SUM(U97/2094.54)/(1+(104%*100-100)/2/100)*358.94</f>
        <v>673.14977066569872</v>
      </c>
      <c r="Z97" s="2556">
        <f>SUM(U97/2094.54)/(1+(104%*100-100)/2/100)*307.24</f>
        <v>576.19249885587919</v>
      </c>
      <c r="AA97" s="2556">
        <f>SUM(U97/2094.54)/(1+(104%*100-100)/2/100)*284.85</f>
        <v>534.20268617073691</v>
      </c>
      <c r="AB97" s="2555">
        <f t="shared" si="65"/>
        <v>1783.5449556923149</v>
      </c>
      <c r="AC97" s="2556">
        <f>SUM(U97/2094.54)/(1+(104%*100-100)/2/100)*206.74</f>
        <v>387.71656429327066</v>
      </c>
      <c r="AD97" s="2556">
        <f>SUM(U97/2094.54)/(1+(104%*100-100)/2/100)*48.66</f>
        <v>91.256109212104803</v>
      </c>
      <c r="AE97" s="2556">
        <v>0</v>
      </c>
      <c r="AF97" s="2555">
        <f t="shared" si="66"/>
        <v>478.9726735053755</v>
      </c>
      <c r="AG97" s="2555">
        <f t="shared" si="67"/>
        <v>2262.5176291976904</v>
      </c>
      <c r="AH97" s="2556">
        <v>0</v>
      </c>
      <c r="AI97" s="2556">
        <v>0</v>
      </c>
      <c r="AJ97" s="2556">
        <f>SUM(U97/2094.54)/(1+(104%*100-100)/2/100)*104%*85.74</f>
        <v>167.22710143854709</v>
      </c>
      <c r="AK97" s="2555">
        <f t="shared" si="68"/>
        <v>167.22710143854709</v>
      </c>
      <c r="AL97" s="2555">
        <f t="shared" si="69"/>
        <v>2429.7447306362374</v>
      </c>
      <c r="AM97" s="2556">
        <f>SUM(U97/2094.54)/(1+(104%*100-100)/2/100)*104%*210.76</f>
        <v>411.065825742806</v>
      </c>
      <c r="AN97" s="2556">
        <f>SUM(U97/2094.54)/(1+(104%*100-100)/2/100)*104%*265.02</f>
        <v>516.894406615859</v>
      </c>
      <c r="AO97" s="2556">
        <f>SUM(U97-AL97-AM97-AN97)</f>
        <v>648.91982962541124</v>
      </c>
      <c r="AP97" s="2555">
        <f t="shared" si="70"/>
        <v>1576.8800619840763</v>
      </c>
      <c r="AQ97" s="669">
        <f t="shared" si="71"/>
        <v>4006.6247926203137</v>
      </c>
    </row>
    <row r="98" spans="1:43" ht="18.75">
      <c r="A98" s="2573" t="s">
        <v>565</v>
      </c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2569">
        <f>SUM(U79*3.12%)</f>
        <v>324.94591507604315</v>
      </c>
      <c r="V98" s="667"/>
      <c r="W98" s="2569">
        <f t="shared" si="135"/>
        <v>324.94591507604315</v>
      </c>
      <c r="X98" s="2570">
        <f t="shared" si="134"/>
        <v>0</v>
      </c>
      <c r="Y98" s="2556">
        <f t="shared" ref="Y98:Y100" si="166">SUM(U98/12)</f>
        <v>27.078826256336928</v>
      </c>
      <c r="Z98" s="2556">
        <f t="shared" ref="Z98:Z100" si="167">SUM(Y98)</f>
        <v>27.078826256336928</v>
      </c>
      <c r="AA98" s="2556">
        <f t="shared" ref="AA98:AA100" si="168">SUM(Y98)</f>
        <v>27.078826256336928</v>
      </c>
      <c r="AB98" s="2555">
        <f t="shared" ref="AB98:AB100" si="169">SUM(Y98+Z98+AA98)</f>
        <v>81.236478769010787</v>
      </c>
      <c r="AC98" s="2572">
        <f t="shared" ref="AC98:AC100" si="170">SUM(Y98)</f>
        <v>27.078826256336928</v>
      </c>
      <c r="AD98" s="2572">
        <f t="shared" ref="AD98:AD100" si="171">SUM(Y98)</f>
        <v>27.078826256336928</v>
      </c>
      <c r="AE98" s="2572">
        <f t="shared" ref="AE98:AE100" si="172">SUM(Y98)</f>
        <v>27.078826256336928</v>
      </c>
      <c r="AF98" s="2555">
        <f t="shared" ref="AF98:AF100" si="173">SUM(AC98+AD98+AE98)</f>
        <v>81.236478769010787</v>
      </c>
      <c r="AG98" s="2555">
        <f t="shared" si="67"/>
        <v>162.47295753802157</v>
      </c>
      <c r="AH98" s="2572">
        <f t="shared" ref="AH98:AH100" si="174">SUM(Y98)</f>
        <v>27.078826256336928</v>
      </c>
      <c r="AI98" s="2572">
        <f t="shared" ref="AI98:AI100" si="175">SUM(Y98)</f>
        <v>27.078826256336928</v>
      </c>
      <c r="AJ98" s="2572">
        <f t="shared" ref="AJ98:AJ100" si="176">SUM(Y98)</f>
        <v>27.078826256336928</v>
      </c>
      <c r="AK98" s="2555">
        <f t="shared" ref="AK98:AK100" si="177">SUM(AH98+AI98+AJ98)</f>
        <v>81.236478769010787</v>
      </c>
      <c r="AL98" s="2555">
        <f t="shared" si="69"/>
        <v>243.70943630703238</v>
      </c>
      <c r="AM98" s="2572">
        <f t="shared" ref="AM98:AM100" si="178">SUM(Y98)</f>
        <v>27.078826256336928</v>
      </c>
      <c r="AN98" s="2572">
        <f t="shared" ref="AN98:AN100" si="179">SUM(Y98)</f>
        <v>27.078826256336928</v>
      </c>
      <c r="AO98" s="2572">
        <f t="shared" ref="AO98:AO100" si="180">SUM(Y98)</f>
        <v>27.078826256336928</v>
      </c>
      <c r="AP98" s="2555">
        <f t="shared" ref="AP98:AP100" si="181">SUM(AM98+AN98+AO98)</f>
        <v>81.236478769010787</v>
      </c>
      <c r="AQ98" s="669">
        <f t="shared" si="71"/>
        <v>324.94591507604315</v>
      </c>
    </row>
    <row r="99" spans="1:43" ht="18.75">
      <c r="A99" s="2573" t="s">
        <v>564</v>
      </c>
      <c r="B99" s="386"/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2569">
        <f>SUM(U79*0.22%)</f>
        <v>22.912852986131249</v>
      </c>
      <c r="V99" s="667"/>
      <c r="W99" s="2569">
        <f t="shared" si="135"/>
        <v>22.912852986131249</v>
      </c>
      <c r="X99" s="2570">
        <f t="shared" si="134"/>
        <v>0</v>
      </c>
      <c r="Y99" s="2556">
        <f t="shared" si="166"/>
        <v>1.9094044155109373</v>
      </c>
      <c r="Z99" s="2556">
        <f t="shared" si="167"/>
        <v>1.9094044155109373</v>
      </c>
      <c r="AA99" s="2556">
        <f t="shared" si="168"/>
        <v>1.9094044155109373</v>
      </c>
      <c r="AB99" s="2555">
        <f t="shared" si="169"/>
        <v>5.7282132465328122</v>
      </c>
      <c r="AC99" s="2572">
        <f t="shared" si="170"/>
        <v>1.9094044155109373</v>
      </c>
      <c r="AD99" s="2572">
        <f t="shared" si="171"/>
        <v>1.9094044155109373</v>
      </c>
      <c r="AE99" s="2572">
        <f t="shared" si="172"/>
        <v>1.9094044155109373</v>
      </c>
      <c r="AF99" s="2555">
        <f t="shared" si="173"/>
        <v>5.7282132465328122</v>
      </c>
      <c r="AG99" s="2555">
        <f t="shared" si="67"/>
        <v>11.456426493065624</v>
      </c>
      <c r="AH99" s="2572">
        <f t="shared" si="174"/>
        <v>1.9094044155109373</v>
      </c>
      <c r="AI99" s="2572">
        <f t="shared" si="175"/>
        <v>1.9094044155109373</v>
      </c>
      <c r="AJ99" s="2572">
        <f t="shared" si="176"/>
        <v>1.9094044155109373</v>
      </c>
      <c r="AK99" s="2555">
        <f t="shared" si="177"/>
        <v>5.7282132465328122</v>
      </c>
      <c r="AL99" s="2555">
        <f t="shared" si="69"/>
        <v>17.184639739598438</v>
      </c>
      <c r="AM99" s="2572">
        <f t="shared" si="178"/>
        <v>1.9094044155109373</v>
      </c>
      <c r="AN99" s="2572">
        <f t="shared" si="179"/>
        <v>1.9094044155109373</v>
      </c>
      <c r="AO99" s="2572">
        <f t="shared" si="180"/>
        <v>1.9094044155109373</v>
      </c>
      <c r="AP99" s="2555">
        <f t="shared" si="181"/>
        <v>5.7282132465328122</v>
      </c>
      <c r="AQ99" s="669">
        <f t="shared" si="71"/>
        <v>22.912852986131252</v>
      </c>
    </row>
    <row r="100" spans="1:43" ht="18.75">
      <c r="A100" s="2573" t="s">
        <v>566</v>
      </c>
      <c r="B100" s="386"/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2569">
        <f>SUM(U79*0.33%)</f>
        <v>34.369279479196869</v>
      </c>
      <c r="V100" s="667"/>
      <c r="W100" s="2569">
        <f t="shared" si="135"/>
        <v>34.369279479196869</v>
      </c>
      <c r="X100" s="2570">
        <f t="shared" si="134"/>
        <v>0</v>
      </c>
      <c r="Y100" s="2556">
        <f t="shared" si="166"/>
        <v>2.8641066232664056</v>
      </c>
      <c r="Z100" s="2556">
        <f t="shared" si="167"/>
        <v>2.8641066232664056</v>
      </c>
      <c r="AA100" s="2556">
        <f t="shared" si="168"/>
        <v>2.8641066232664056</v>
      </c>
      <c r="AB100" s="2555">
        <f t="shared" si="169"/>
        <v>8.5923198697992174</v>
      </c>
      <c r="AC100" s="2572">
        <f t="shared" si="170"/>
        <v>2.8641066232664056</v>
      </c>
      <c r="AD100" s="2572">
        <f t="shared" si="171"/>
        <v>2.8641066232664056</v>
      </c>
      <c r="AE100" s="2572">
        <f t="shared" si="172"/>
        <v>2.8641066232664056</v>
      </c>
      <c r="AF100" s="2555">
        <f t="shared" si="173"/>
        <v>8.5923198697992174</v>
      </c>
      <c r="AG100" s="2555">
        <f t="shared" si="67"/>
        <v>17.184639739598435</v>
      </c>
      <c r="AH100" s="2572">
        <f t="shared" si="174"/>
        <v>2.8641066232664056</v>
      </c>
      <c r="AI100" s="2572">
        <f t="shared" si="175"/>
        <v>2.8641066232664056</v>
      </c>
      <c r="AJ100" s="2572">
        <f t="shared" si="176"/>
        <v>2.8641066232664056</v>
      </c>
      <c r="AK100" s="2555">
        <f t="shared" si="177"/>
        <v>8.5923198697992174</v>
      </c>
      <c r="AL100" s="2555">
        <f t="shared" si="69"/>
        <v>25.77695960939765</v>
      </c>
      <c r="AM100" s="2572">
        <f t="shared" si="178"/>
        <v>2.8641066232664056</v>
      </c>
      <c r="AN100" s="2572">
        <f t="shared" si="179"/>
        <v>2.8641066232664056</v>
      </c>
      <c r="AO100" s="2572">
        <f t="shared" si="180"/>
        <v>2.8641066232664056</v>
      </c>
      <c r="AP100" s="2555">
        <f t="shared" si="181"/>
        <v>8.5923198697992174</v>
      </c>
      <c r="AQ100" s="669">
        <f t="shared" si="71"/>
        <v>34.369279479196869</v>
      </c>
    </row>
    <row r="101" spans="1:43" ht="18.75">
      <c r="A101" s="2568" t="s">
        <v>610</v>
      </c>
      <c r="B101" s="386"/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2569">
        <f>SUM(U102:U105)</f>
        <v>250.99988952989227</v>
      </c>
      <c r="V101" s="667"/>
      <c r="W101" s="2569">
        <f>SUM(W102:W105)</f>
        <v>250.99988952989227</v>
      </c>
      <c r="X101" s="2569">
        <f>SUM(X102:X105)</f>
        <v>0</v>
      </c>
      <c r="Y101" s="2571">
        <f t="shared" ref="Y101:AA101" si="182">SUM(Y102:Y105)</f>
        <v>19.062174459592296</v>
      </c>
      <c r="Z101" s="2571">
        <f t="shared" si="182"/>
        <v>19.062174459592296</v>
      </c>
      <c r="AA101" s="2571">
        <f t="shared" si="182"/>
        <v>19.062174459592296</v>
      </c>
      <c r="AB101" s="2555">
        <f t="shared" si="65"/>
        <v>57.186523378776883</v>
      </c>
      <c r="AC101" s="2571">
        <f t="shared" ref="AC101:AE101" si="183">SUM(AC102:AC105)</f>
        <v>19.22527231312085</v>
      </c>
      <c r="AD101" s="2571">
        <f t="shared" si="183"/>
        <v>21.925447888204658</v>
      </c>
      <c r="AE101" s="2571">
        <f t="shared" si="183"/>
        <v>24.28130577250597</v>
      </c>
      <c r="AF101" s="2555">
        <f t="shared" si="66"/>
        <v>65.432025973831486</v>
      </c>
      <c r="AG101" s="2555">
        <f t="shared" si="67"/>
        <v>122.61854935260837</v>
      </c>
      <c r="AH101" s="2571">
        <f t="shared" ref="AH101:AJ101" si="184">SUM(AH102:AH105)</f>
        <v>24.988063137796367</v>
      </c>
      <c r="AI101" s="2571">
        <f t="shared" si="184"/>
        <v>24.28130577250597</v>
      </c>
      <c r="AJ101" s="2571">
        <f t="shared" si="184"/>
        <v>21.925447888204658</v>
      </c>
      <c r="AK101" s="2555">
        <f t="shared" si="68"/>
        <v>71.194816798506992</v>
      </c>
      <c r="AL101" s="2555">
        <f t="shared" si="69"/>
        <v>193.81336615111536</v>
      </c>
      <c r="AM101" s="2571">
        <f t="shared" ref="AM101:AO101" si="185">SUM(AM102:AM105)</f>
        <v>19.062174459592296</v>
      </c>
      <c r="AN101" s="2571">
        <f t="shared" si="185"/>
        <v>19.062174459592296</v>
      </c>
      <c r="AO101" s="2571">
        <f t="shared" si="185"/>
        <v>19.062174459592296</v>
      </c>
      <c r="AP101" s="2555">
        <f t="shared" si="70"/>
        <v>57.186523378776883</v>
      </c>
      <c r="AQ101" s="669">
        <f t="shared" si="71"/>
        <v>250.99988952989222</v>
      </c>
    </row>
    <row r="102" spans="1:43" ht="18.75">
      <c r="A102" s="2573" t="s">
        <v>552</v>
      </c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2569">
        <f>SUM(U79*1.74%)</f>
        <v>181.21983725394711</v>
      </c>
      <c r="V102" s="667"/>
      <c r="W102" s="2569">
        <f t="shared" si="135"/>
        <v>181.21983725394711</v>
      </c>
      <c r="X102" s="2570">
        <f t="shared" si="134"/>
        <v>0</v>
      </c>
      <c r="Y102" s="2556">
        <f>SUM(U102*7.31%)</f>
        <v>13.247170103263533</v>
      </c>
      <c r="Z102" s="2556">
        <f>SUM(U102*7.31%)</f>
        <v>13.247170103263533</v>
      </c>
      <c r="AA102" s="2556">
        <f>SUM(U102*7.31%)</f>
        <v>13.247170103263533</v>
      </c>
      <c r="AB102" s="2555">
        <f t="shared" ref="AB102:AB105" si="186">SUM(Y102+Z102+AA102)</f>
        <v>39.741510309790598</v>
      </c>
      <c r="AC102" s="2556">
        <f>SUM(U102*7.4%)</f>
        <v>13.410267956792088</v>
      </c>
      <c r="AD102" s="2556">
        <f>SUM(U102*8.89%)</f>
        <v>16.110443531875898</v>
      </c>
      <c r="AE102" s="2556">
        <f>SUM(U102*10.19%)</f>
        <v>18.46630141617721</v>
      </c>
      <c r="AF102" s="2555">
        <f t="shared" ref="AF102:AF105" si="187">SUM(AC102+AD102+AE102)</f>
        <v>47.987012904845194</v>
      </c>
      <c r="AG102" s="2555">
        <f t="shared" si="67"/>
        <v>87.7285232146358</v>
      </c>
      <c r="AH102" s="2556">
        <f>SUM(U102*10.58%)</f>
        <v>19.173058781467606</v>
      </c>
      <c r="AI102" s="2556">
        <f>SUM(U102*10.19%)</f>
        <v>18.46630141617721</v>
      </c>
      <c r="AJ102" s="2556">
        <f>SUM(U102*8.89%)</f>
        <v>16.110443531875898</v>
      </c>
      <c r="AK102" s="2555">
        <f t="shared" ref="AK102:AK105" si="188">SUM(AH102+AI102+AJ102)</f>
        <v>53.749803729520721</v>
      </c>
      <c r="AL102" s="2555">
        <f t="shared" si="69"/>
        <v>141.47832694415652</v>
      </c>
      <c r="AM102" s="2556">
        <f>SUM(U102*7.31%)</f>
        <v>13.247170103263533</v>
      </c>
      <c r="AN102" s="2556">
        <f>SUM(U102*7.31%)</f>
        <v>13.247170103263533</v>
      </c>
      <c r="AO102" s="2556">
        <f>SUM(U102*7.31%)</f>
        <v>13.247170103263533</v>
      </c>
      <c r="AP102" s="2555">
        <f t="shared" ref="AP102:AP105" si="189">SUM(AM102+AN102+AO102)</f>
        <v>39.741510309790598</v>
      </c>
      <c r="AQ102" s="669">
        <f t="shared" si="71"/>
        <v>181.21983725394708</v>
      </c>
    </row>
    <row r="103" spans="1:43" ht="18.75">
      <c r="A103" s="2573" t="s">
        <v>644</v>
      </c>
      <c r="B103" s="386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2569">
        <f>SUM(U79*0.29%)</f>
        <v>30.203306208991187</v>
      </c>
      <c r="V103" s="667"/>
      <c r="W103" s="2569">
        <f t="shared" si="135"/>
        <v>30.203306208991187</v>
      </c>
      <c r="X103" s="2570">
        <f t="shared" si="134"/>
        <v>0</v>
      </c>
      <c r="Y103" s="2556">
        <f t="shared" ref="Y103:Y105" si="190">SUM(U103/12)</f>
        <v>2.5169421840825987</v>
      </c>
      <c r="Z103" s="2556">
        <f t="shared" ref="Z103:Z105" si="191">SUM(Y103)</f>
        <v>2.5169421840825987</v>
      </c>
      <c r="AA103" s="2556">
        <f t="shared" ref="AA103:AA105" si="192">SUM(Y103)</f>
        <v>2.5169421840825987</v>
      </c>
      <c r="AB103" s="2555">
        <f t="shared" si="186"/>
        <v>7.5508265522477966</v>
      </c>
      <c r="AC103" s="2572">
        <f t="shared" ref="AC103:AC105" si="193">SUM(Y103)</f>
        <v>2.5169421840825987</v>
      </c>
      <c r="AD103" s="2572">
        <f t="shared" ref="AD103:AD105" si="194">SUM(Y103)</f>
        <v>2.5169421840825987</v>
      </c>
      <c r="AE103" s="2572">
        <f t="shared" ref="AE103:AE105" si="195">SUM(Y103)</f>
        <v>2.5169421840825987</v>
      </c>
      <c r="AF103" s="2555">
        <f t="shared" si="187"/>
        <v>7.5508265522477966</v>
      </c>
      <c r="AG103" s="2555">
        <f t="shared" si="67"/>
        <v>15.101653104495593</v>
      </c>
      <c r="AH103" s="2572">
        <f t="shared" ref="AH103:AH105" si="196">SUM(Y103)</f>
        <v>2.5169421840825987</v>
      </c>
      <c r="AI103" s="2572">
        <f t="shared" ref="AI103:AI105" si="197">SUM(Y103)</f>
        <v>2.5169421840825987</v>
      </c>
      <c r="AJ103" s="2572">
        <f t="shared" ref="AJ103:AJ105" si="198">SUM(Y103)</f>
        <v>2.5169421840825987</v>
      </c>
      <c r="AK103" s="2555">
        <f t="shared" si="188"/>
        <v>7.5508265522477966</v>
      </c>
      <c r="AL103" s="2555">
        <f t="shared" si="69"/>
        <v>22.652479656743388</v>
      </c>
      <c r="AM103" s="2572">
        <f t="shared" ref="AM103:AM105" si="199">SUM(Y103)</f>
        <v>2.5169421840825987</v>
      </c>
      <c r="AN103" s="2572">
        <f t="shared" ref="AN103:AN105" si="200">SUM(Y103)</f>
        <v>2.5169421840825987</v>
      </c>
      <c r="AO103" s="2572">
        <f t="shared" ref="AO103:AO105" si="201">SUM(Y103)</f>
        <v>2.5169421840825987</v>
      </c>
      <c r="AP103" s="2555">
        <f t="shared" si="189"/>
        <v>7.5508265522477966</v>
      </c>
      <c r="AQ103" s="669">
        <f t="shared" si="71"/>
        <v>30.203306208991183</v>
      </c>
    </row>
    <row r="104" spans="1:43" ht="18.75">
      <c r="A104" s="2573" t="s">
        <v>560</v>
      </c>
      <c r="B104" s="386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2569">
        <f>SUM(U79*0.31%)</f>
        <v>32.286292844094028</v>
      </c>
      <c r="V104" s="667"/>
      <c r="W104" s="2569">
        <f t="shared" si="135"/>
        <v>32.286292844094028</v>
      </c>
      <c r="X104" s="2570">
        <f t="shared" si="134"/>
        <v>0</v>
      </c>
      <c r="Y104" s="2556">
        <f t="shared" si="190"/>
        <v>2.6905244036745022</v>
      </c>
      <c r="Z104" s="2556">
        <f t="shared" si="191"/>
        <v>2.6905244036745022</v>
      </c>
      <c r="AA104" s="2556">
        <f t="shared" si="192"/>
        <v>2.6905244036745022</v>
      </c>
      <c r="AB104" s="2555">
        <f t="shared" si="186"/>
        <v>8.071573211023507</v>
      </c>
      <c r="AC104" s="2572">
        <f t="shared" si="193"/>
        <v>2.6905244036745022</v>
      </c>
      <c r="AD104" s="2572">
        <f t="shared" si="194"/>
        <v>2.6905244036745022</v>
      </c>
      <c r="AE104" s="2572">
        <f t="shared" si="195"/>
        <v>2.6905244036745022</v>
      </c>
      <c r="AF104" s="2555">
        <f t="shared" si="187"/>
        <v>8.071573211023507</v>
      </c>
      <c r="AG104" s="2555">
        <f t="shared" si="67"/>
        <v>16.143146422047014</v>
      </c>
      <c r="AH104" s="2572">
        <f t="shared" si="196"/>
        <v>2.6905244036745022</v>
      </c>
      <c r="AI104" s="2572">
        <f t="shared" si="197"/>
        <v>2.6905244036745022</v>
      </c>
      <c r="AJ104" s="2572">
        <f t="shared" si="198"/>
        <v>2.6905244036745022</v>
      </c>
      <c r="AK104" s="2555">
        <f t="shared" si="188"/>
        <v>8.071573211023507</v>
      </c>
      <c r="AL104" s="2555">
        <f t="shared" si="69"/>
        <v>24.214719633070523</v>
      </c>
      <c r="AM104" s="2572">
        <f t="shared" si="199"/>
        <v>2.6905244036745022</v>
      </c>
      <c r="AN104" s="2572">
        <f t="shared" si="200"/>
        <v>2.6905244036745022</v>
      </c>
      <c r="AO104" s="2572">
        <f t="shared" si="201"/>
        <v>2.6905244036745022</v>
      </c>
      <c r="AP104" s="2555">
        <f t="shared" si="189"/>
        <v>8.071573211023507</v>
      </c>
      <c r="AQ104" s="669">
        <f t="shared" si="71"/>
        <v>32.286292844094028</v>
      </c>
    </row>
    <row r="105" spans="1:43" ht="18.75">
      <c r="A105" s="2573" t="s">
        <v>614</v>
      </c>
      <c r="B105" s="386"/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2569">
        <f>SUM(U79*0.07%)</f>
        <v>7.2904532228599432</v>
      </c>
      <c r="V105" s="667"/>
      <c r="W105" s="2569">
        <f t="shared" si="135"/>
        <v>7.2904532228599432</v>
      </c>
      <c r="X105" s="2570">
        <f t="shared" si="134"/>
        <v>0</v>
      </c>
      <c r="Y105" s="2556">
        <f t="shared" si="190"/>
        <v>0.60753776857166197</v>
      </c>
      <c r="Z105" s="2556">
        <f t="shared" si="191"/>
        <v>0.60753776857166197</v>
      </c>
      <c r="AA105" s="2556">
        <f t="shared" si="192"/>
        <v>0.60753776857166197</v>
      </c>
      <c r="AB105" s="2555">
        <f t="shared" si="186"/>
        <v>1.8226133057149858</v>
      </c>
      <c r="AC105" s="2572">
        <f t="shared" si="193"/>
        <v>0.60753776857166197</v>
      </c>
      <c r="AD105" s="2572">
        <f t="shared" si="194"/>
        <v>0.60753776857166197</v>
      </c>
      <c r="AE105" s="2572">
        <f t="shared" si="195"/>
        <v>0.60753776857166197</v>
      </c>
      <c r="AF105" s="2555">
        <f t="shared" si="187"/>
        <v>1.8226133057149858</v>
      </c>
      <c r="AG105" s="2555">
        <f t="shared" si="67"/>
        <v>3.6452266114299716</v>
      </c>
      <c r="AH105" s="2572">
        <f t="shared" si="196"/>
        <v>0.60753776857166197</v>
      </c>
      <c r="AI105" s="2572">
        <f t="shared" si="197"/>
        <v>0.60753776857166197</v>
      </c>
      <c r="AJ105" s="2572">
        <f t="shared" si="198"/>
        <v>0.60753776857166197</v>
      </c>
      <c r="AK105" s="2555">
        <f t="shared" si="188"/>
        <v>1.8226133057149858</v>
      </c>
      <c r="AL105" s="2555">
        <f t="shared" si="69"/>
        <v>5.467839917144957</v>
      </c>
      <c r="AM105" s="2572">
        <f t="shared" si="199"/>
        <v>0.60753776857166197</v>
      </c>
      <c r="AN105" s="2572">
        <f t="shared" si="200"/>
        <v>0.60753776857166197</v>
      </c>
      <c r="AO105" s="2572">
        <f t="shared" si="201"/>
        <v>0.60753776857166197</v>
      </c>
      <c r="AP105" s="2555">
        <f t="shared" si="189"/>
        <v>1.8226133057149858</v>
      </c>
      <c r="AQ105" s="669">
        <f t="shared" si="71"/>
        <v>7.2904532228599441</v>
      </c>
    </row>
    <row r="106" spans="1:43" ht="18.75">
      <c r="A106" s="2574" t="s">
        <v>1592</v>
      </c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2564">
        <f>SUM(AQ49)</f>
        <v>4643.5602841769951</v>
      </c>
      <c r="V106" s="667"/>
      <c r="W106" s="2564">
        <f>SUM(U106*вода!CA52/вода!BY52)</f>
        <v>4618.6372796678561</v>
      </c>
      <c r="X106" s="2565">
        <f>SUM(U106-W106)</f>
        <v>24.923004509138991</v>
      </c>
      <c r="Y106" s="2566">
        <f>SUM(Y107+Y108+Y109+Y110+Y111+Y112+Y113+Y114+Y115+Y116+Y117+Y119)</f>
        <v>380.60720267326906</v>
      </c>
      <c r="Z106" s="2566">
        <f t="shared" ref="Z106:AA106" si="202">SUM(Z107+Z108+Z109+Z110+Z111+Z112+Z113+Z114+Z115+Z116+Z117+Z119)</f>
        <v>380.60720267326906</v>
      </c>
      <c r="AA106" s="2566">
        <f t="shared" si="202"/>
        <v>380.60720267326906</v>
      </c>
      <c r="AB106" s="2567">
        <f t="shared" si="65"/>
        <v>1141.8216080198072</v>
      </c>
      <c r="AC106" s="2566">
        <f t="shared" ref="AC106:AE106" si="203">SUM(AC107+AC108+AC109+AC110+AC111+AC112+AC113+AC114+AC115+AC116+AC117+AC119)</f>
        <v>380.68033874774483</v>
      </c>
      <c r="AD106" s="2566">
        <f t="shared" si="203"/>
        <v>381.891147091844</v>
      </c>
      <c r="AE106" s="2566">
        <f t="shared" si="203"/>
        <v>382.94755705649425</v>
      </c>
      <c r="AF106" s="2567">
        <f t="shared" si="66"/>
        <v>1145.5190428960832</v>
      </c>
      <c r="AG106" s="2567">
        <f t="shared" si="67"/>
        <v>2287.3406509158904</v>
      </c>
      <c r="AH106" s="2566">
        <f t="shared" ref="AH106:AJ106" si="204">SUM(AH107+AH108+AH109+AH110+AH111+AH112+AH113+AH114+AH115+AH116+AH117+AH119)</f>
        <v>394.31362022040099</v>
      </c>
      <c r="AI106" s="2566">
        <f t="shared" si="204"/>
        <v>393.9966972310059</v>
      </c>
      <c r="AJ106" s="2566">
        <f t="shared" si="204"/>
        <v>392.94028726635565</v>
      </c>
      <c r="AK106" s="2567">
        <f t="shared" si="68"/>
        <v>1181.2506047177626</v>
      </c>
      <c r="AL106" s="2567">
        <f t="shared" si="69"/>
        <v>3468.591255633653</v>
      </c>
      <c r="AM106" s="2566">
        <f t="shared" ref="AM106:AO106" si="205">SUM(AM107+AM108+AM109+AM110+AM111+AM112+AM113+AM114+AM115+AM116+AM117+AM119)</f>
        <v>391.65634284778071</v>
      </c>
      <c r="AN106" s="2566">
        <f t="shared" si="205"/>
        <v>391.65634284778071</v>
      </c>
      <c r="AO106" s="2566">
        <f t="shared" si="205"/>
        <v>391.65634284778071</v>
      </c>
      <c r="AP106" s="2567">
        <f t="shared" si="70"/>
        <v>1174.9690285433421</v>
      </c>
      <c r="AQ106" s="669">
        <f t="shared" si="71"/>
        <v>4643.5602841769951</v>
      </c>
    </row>
    <row r="107" spans="1:43" ht="18.75">
      <c r="A107" s="2568" t="s">
        <v>72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2569">
        <f>SUM(U106*37.5%)</f>
        <v>1741.3351065663733</v>
      </c>
      <c r="V107" s="667"/>
      <c r="W107" s="2569">
        <f>SUM(U107*вода!CA52/вода!BY52)</f>
        <v>1731.9889798754461</v>
      </c>
      <c r="X107" s="2570">
        <f t="shared" ref="X107:X116" si="206">SUM(U107-W107)</f>
        <v>9.3461266909271217</v>
      </c>
      <c r="Y107" s="2556">
        <f>SUM(U107/2)/(1+(106.03%*100-100)/2/100)/6</f>
        <v>140.86420315539593</v>
      </c>
      <c r="Z107" s="2571">
        <f>SUM(Y107)</f>
        <v>140.86420315539593</v>
      </c>
      <c r="AA107" s="2556">
        <f>SUM(Y107)</f>
        <v>140.86420315539593</v>
      </c>
      <c r="AB107" s="2555">
        <f>SUM(Y107+Z107+AA107)</f>
        <v>422.59260946618781</v>
      </c>
      <c r="AC107" s="2572">
        <f>SUM(Y107)</f>
        <v>140.86420315539593</v>
      </c>
      <c r="AD107" s="2572">
        <f>SUM(Y107)</f>
        <v>140.86420315539593</v>
      </c>
      <c r="AE107" s="2572">
        <f>SUM(Y107)</f>
        <v>140.86420315539593</v>
      </c>
      <c r="AF107" s="2555">
        <f>SUM(AC107+AD107+AE107)</f>
        <v>422.59260946618781</v>
      </c>
      <c r="AG107" s="2555">
        <f>SUM(AB107+AF107)</f>
        <v>845.18521893237562</v>
      </c>
      <c r="AH107" s="2572">
        <f>SUM(U107-AG107)/6</f>
        <v>149.35831460566627</v>
      </c>
      <c r="AI107" s="2572">
        <f>SUM(AH107)</f>
        <v>149.35831460566627</v>
      </c>
      <c r="AJ107" s="2572">
        <f>SUM(AH107)</f>
        <v>149.35831460566627</v>
      </c>
      <c r="AK107" s="2555">
        <f>SUM(AH107+AI107+AJ107)</f>
        <v>448.07494381699883</v>
      </c>
      <c r="AL107" s="2555">
        <f>SUM(AG107+AK107)</f>
        <v>1293.2601627493746</v>
      </c>
      <c r="AM107" s="2572">
        <f>SUM(AH107)</f>
        <v>149.35831460566627</v>
      </c>
      <c r="AN107" s="2572">
        <f>SUM(AH107)</f>
        <v>149.35831460566627</v>
      </c>
      <c r="AO107" s="2572">
        <f>SUM(AH107)</f>
        <v>149.35831460566627</v>
      </c>
      <c r="AP107" s="2555">
        <f>SUM(AM107+AN107+AO107)</f>
        <v>448.07494381699883</v>
      </c>
      <c r="AQ107" s="669">
        <f>SUM(AO107+AN107+AM107+AJ107+AI107+AH107+AE107+AD107+AC107+AA107+Z107+Y107)</f>
        <v>1741.335106566373</v>
      </c>
    </row>
    <row r="108" spans="1:43" ht="18.75">
      <c r="A108" s="2568" t="s">
        <v>121</v>
      </c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2569">
        <f>SUM(U106*11.28%)</f>
        <v>523.79360005516503</v>
      </c>
      <c r="V108" s="667"/>
      <c r="W108" s="2569">
        <f>SUM(U108*вода!CA52/вода!BY52)</f>
        <v>520.9822851465342</v>
      </c>
      <c r="X108" s="2570">
        <f t="shared" si="206"/>
        <v>2.811314908630834</v>
      </c>
      <c r="Y108" s="2556">
        <f>SUM(Y107*(U108/U107))</f>
        <v>42.37195230914309</v>
      </c>
      <c r="Z108" s="2556">
        <f>SUM(Y108)</f>
        <v>42.37195230914309</v>
      </c>
      <c r="AA108" s="2571">
        <f>SUM(Y108)</f>
        <v>42.37195230914309</v>
      </c>
      <c r="AB108" s="2555">
        <f t="shared" ref="AB108" si="207">SUM(Y108+Z108+AA108)</f>
        <v>127.11585692742926</v>
      </c>
      <c r="AC108" s="2572">
        <f>SUM(Y108)</f>
        <v>42.37195230914309</v>
      </c>
      <c r="AD108" s="2572">
        <f>SUM(Y108)</f>
        <v>42.37195230914309</v>
      </c>
      <c r="AE108" s="2572">
        <f>SUM(Y108)</f>
        <v>42.37195230914309</v>
      </c>
      <c r="AF108" s="2555">
        <f t="shared" ref="AF108" si="208">SUM(AC108+AD108+AE108)</f>
        <v>127.11585692742926</v>
      </c>
      <c r="AG108" s="2555">
        <f t="shared" ref="AG108:AG116" si="209">SUM(AB108+AF108)</f>
        <v>254.23171385485853</v>
      </c>
      <c r="AH108" s="2572">
        <f>SUM(U108-AG108)/6</f>
        <v>44.926981033384415</v>
      </c>
      <c r="AI108" s="2572">
        <f>SUM(AH108)</f>
        <v>44.926981033384415</v>
      </c>
      <c r="AJ108" s="2572">
        <f>SUM(AH108)</f>
        <v>44.926981033384415</v>
      </c>
      <c r="AK108" s="2555">
        <f t="shared" ref="AK108" si="210">SUM(AH108+AI108+AJ108)</f>
        <v>134.78094310015325</v>
      </c>
      <c r="AL108" s="2555">
        <f t="shared" ref="AL108:AL116" si="211">SUM(AG108+AK108)</f>
        <v>389.01265695501178</v>
      </c>
      <c r="AM108" s="2572">
        <f>SUM(AH108)</f>
        <v>44.926981033384415</v>
      </c>
      <c r="AN108" s="2572">
        <f>SUM(AH108)</f>
        <v>44.926981033384415</v>
      </c>
      <c r="AO108" s="2572">
        <f>SUM(AH108)</f>
        <v>44.926981033384415</v>
      </c>
      <c r="AP108" s="2555">
        <f t="shared" ref="AP108" si="212">SUM(AM108+AN108+AO108)</f>
        <v>134.78094310015325</v>
      </c>
      <c r="AQ108" s="669">
        <f t="shared" ref="AQ108" si="213">SUM(AO108+AN108+AM108+AJ108+AI108+AH108+AE108+AD108+AC108+AA108+Z108+Y108)</f>
        <v>523.79360005516492</v>
      </c>
    </row>
    <row r="109" spans="1:43" ht="18.75">
      <c r="A109" s="2568" t="s">
        <v>52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2569">
        <f>SUM(U106*0.16%)</f>
        <v>7.4296964546831923</v>
      </c>
      <c r="V109" s="667"/>
      <c r="W109" s="2569">
        <f>SUM(U109*вода!CA52/вода!BY52)</f>
        <v>7.3898196474685705</v>
      </c>
      <c r="X109" s="2570">
        <f t="shared" si="206"/>
        <v>3.9876807214621834E-2</v>
      </c>
      <c r="Y109" s="2556">
        <f t="shared" ref="Y109:Y116" si="214">SUM(U109/12)</f>
        <v>0.61914137122359936</v>
      </c>
      <c r="Z109" s="2556">
        <f t="shared" ref="Z109:Z116" si="215">SUM(Y109)</f>
        <v>0.61914137122359936</v>
      </c>
      <c r="AA109" s="2556">
        <f t="shared" ref="AA109:AA116" si="216">SUM(Y109)</f>
        <v>0.61914137122359936</v>
      </c>
      <c r="AB109" s="2555">
        <f t="shared" ref="AB109:AB116" si="217">SUM(Y109+Z109+AA109)</f>
        <v>1.8574241136707981</v>
      </c>
      <c r="AC109" s="2572">
        <f t="shared" ref="AC109:AC116" si="218">SUM(Y109)</f>
        <v>0.61914137122359936</v>
      </c>
      <c r="AD109" s="2572">
        <f t="shared" ref="AD109:AD116" si="219">SUM(Y109)</f>
        <v>0.61914137122359936</v>
      </c>
      <c r="AE109" s="2572">
        <f t="shared" ref="AE109:AE116" si="220">SUM(Y109)</f>
        <v>0.61914137122359936</v>
      </c>
      <c r="AF109" s="2555">
        <f t="shared" ref="AF109:AF116" si="221">SUM(AC109+AD109+AE109)</f>
        <v>1.8574241136707981</v>
      </c>
      <c r="AG109" s="2555">
        <f t="shared" si="209"/>
        <v>3.7148482273415961</v>
      </c>
      <c r="AH109" s="2572">
        <f t="shared" ref="AH109:AH116" si="222">SUM(Y109)</f>
        <v>0.61914137122359936</v>
      </c>
      <c r="AI109" s="2572">
        <f t="shared" ref="AI109:AI116" si="223">SUM(Y109)</f>
        <v>0.61914137122359936</v>
      </c>
      <c r="AJ109" s="2572">
        <f t="shared" ref="AJ109:AJ116" si="224">SUM(Y109)</f>
        <v>0.61914137122359936</v>
      </c>
      <c r="AK109" s="2555">
        <f t="shared" ref="AK109:AK116" si="225">SUM(AH109+AI109+AJ109)</f>
        <v>1.8574241136707981</v>
      </c>
      <c r="AL109" s="2555">
        <f t="shared" si="211"/>
        <v>5.5722723410123942</v>
      </c>
      <c r="AM109" s="2572">
        <f t="shared" ref="AM109:AM116" si="226">SUM(Y109)</f>
        <v>0.61914137122359936</v>
      </c>
      <c r="AN109" s="2572">
        <f t="shared" ref="AN109:AN116" si="227">SUM(Y109)</f>
        <v>0.61914137122359936</v>
      </c>
      <c r="AO109" s="2572">
        <f t="shared" ref="AO109:AO116" si="228">SUM(Y109)</f>
        <v>0.61914137122359936</v>
      </c>
      <c r="AP109" s="2555">
        <f t="shared" ref="AP109:AP116" si="229">SUM(AM109+AN109+AO109)</f>
        <v>1.8574241136707981</v>
      </c>
      <c r="AQ109" s="669">
        <f t="shared" si="71"/>
        <v>7.4296964546831923</v>
      </c>
    </row>
    <row r="110" spans="1:43" ht="18.75">
      <c r="A110" s="2568" t="s">
        <v>604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2569">
        <f>SUM(U106*44.05%)</f>
        <v>2045.4883051799661</v>
      </c>
      <c r="V110" s="667"/>
      <c r="W110" s="2569">
        <f>SUM(U110*вода!CA52/вода!BY52)</f>
        <v>2034.5097216936904</v>
      </c>
      <c r="X110" s="2570">
        <f t="shared" si="206"/>
        <v>10.978583486275738</v>
      </c>
      <c r="Y110" s="2556">
        <f t="shared" si="214"/>
        <v>170.45735876499717</v>
      </c>
      <c r="Z110" s="2556">
        <f t="shared" si="215"/>
        <v>170.45735876499717</v>
      </c>
      <c r="AA110" s="2556">
        <f t="shared" si="216"/>
        <v>170.45735876499717</v>
      </c>
      <c r="AB110" s="2555">
        <f t="shared" si="217"/>
        <v>511.37207629499153</v>
      </c>
      <c r="AC110" s="2572">
        <f t="shared" si="218"/>
        <v>170.45735876499717</v>
      </c>
      <c r="AD110" s="2572">
        <f t="shared" si="219"/>
        <v>170.45735876499717</v>
      </c>
      <c r="AE110" s="2572">
        <f t="shared" si="220"/>
        <v>170.45735876499717</v>
      </c>
      <c r="AF110" s="2555">
        <f t="shared" si="221"/>
        <v>511.37207629499153</v>
      </c>
      <c r="AG110" s="2555">
        <f t="shared" si="209"/>
        <v>1022.7441525899831</v>
      </c>
      <c r="AH110" s="2572">
        <f t="shared" si="222"/>
        <v>170.45735876499717</v>
      </c>
      <c r="AI110" s="2572">
        <f t="shared" si="223"/>
        <v>170.45735876499717</v>
      </c>
      <c r="AJ110" s="2572">
        <f t="shared" si="224"/>
        <v>170.45735876499717</v>
      </c>
      <c r="AK110" s="2555">
        <f t="shared" si="225"/>
        <v>511.37207629499153</v>
      </c>
      <c r="AL110" s="2555">
        <f t="shared" si="211"/>
        <v>1534.1162288849746</v>
      </c>
      <c r="AM110" s="2572">
        <f t="shared" si="226"/>
        <v>170.45735876499717</v>
      </c>
      <c r="AN110" s="2572">
        <f t="shared" si="227"/>
        <v>170.45735876499717</v>
      </c>
      <c r="AO110" s="2572">
        <f t="shared" si="228"/>
        <v>170.45735876499717</v>
      </c>
      <c r="AP110" s="2555">
        <f t="shared" si="229"/>
        <v>511.37207629499153</v>
      </c>
      <c r="AQ110" s="669">
        <f t="shared" si="71"/>
        <v>2045.4883051799663</v>
      </c>
    </row>
    <row r="111" spans="1:43" ht="18.75">
      <c r="A111" s="2568" t="s">
        <v>606</v>
      </c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2569">
        <f>SUM(U106*2.32%)</f>
        <v>107.73059859290628</v>
      </c>
      <c r="V111" s="667"/>
      <c r="W111" s="2569">
        <f>SUM(U111*вода!CA52/вода!BY52)</f>
        <v>107.15238488829425</v>
      </c>
      <c r="X111" s="2570">
        <f t="shared" si="206"/>
        <v>0.57821370461202548</v>
      </c>
      <c r="Y111" s="2556">
        <f t="shared" si="214"/>
        <v>8.9775498827421902</v>
      </c>
      <c r="Z111" s="2556">
        <f t="shared" si="215"/>
        <v>8.9775498827421902</v>
      </c>
      <c r="AA111" s="2556">
        <f t="shared" si="216"/>
        <v>8.9775498827421902</v>
      </c>
      <c r="AB111" s="2555">
        <f t="shared" si="217"/>
        <v>26.932649648226572</v>
      </c>
      <c r="AC111" s="2572">
        <f t="shared" si="218"/>
        <v>8.9775498827421902</v>
      </c>
      <c r="AD111" s="2572">
        <f t="shared" si="219"/>
        <v>8.9775498827421902</v>
      </c>
      <c r="AE111" s="2572">
        <f t="shared" si="220"/>
        <v>8.9775498827421902</v>
      </c>
      <c r="AF111" s="2555">
        <f t="shared" si="221"/>
        <v>26.932649648226572</v>
      </c>
      <c r="AG111" s="2555">
        <f t="shared" si="209"/>
        <v>53.865299296453145</v>
      </c>
      <c r="AH111" s="2572">
        <f t="shared" si="222"/>
        <v>8.9775498827421902</v>
      </c>
      <c r="AI111" s="2572">
        <f t="shared" si="223"/>
        <v>8.9775498827421902</v>
      </c>
      <c r="AJ111" s="2572">
        <f t="shared" si="224"/>
        <v>8.9775498827421902</v>
      </c>
      <c r="AK111" s="2555">
        <f t="shared" si="225"/>
        <v>26.932649648226572</v>
      </c>
      <c r="AL111" s="2555">
        <f t="shared" si="211"/>
        <v>80.797948944679717</v>
      </c>
      <c r="AM111" s="2572">
        <f t="shared" si="226"/>
        <v>8.9775498827421902</v>
      </c>
      <c r="AN111" s="2572">
        <f t="shared" si="227"/>
        <v>8.9775498827421902</v>
      </c>
      <c r="AO111" s="2572">
        <f t="shared" si="228"/>
        <v>8.9775498827421902</v>
      </c>
      <c r="AP111" s="2555">
        <f t="shared" si="229"/>
        <v>26.932649648226572</v>
      </c>
      <c r="AQ111" s="669">
        <f t="shared" si="71"/>
        <v>107.7305985929063</v>
      </c>
    </row>
    <row r="112" spans="1:43" ht="18.75">
      <c r="A112" s="2568" t="s">
        <v>605</v>
      </c>
      <c r="B112" s="386"/>
      <c r="C112" s="386"/>
      <c r="D112" s="386"/>
      <c r="E112" s="386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2569">
        <f>SUM(U106*1.61%)</f>
        <v>74.761320575249613</v>
      </c>
      <c r="V112" s="667"/>
      <c r="W112" s="2569">
        <f>SUM(U112*вода!CA52/вода!BY52)</f>
        <v>74.360060202652477</v>
      </c>
      <c r="X112" s="2570">
        <f t="shared" si="206"/>
        <v>0.40126037259713598</v>
      </c>
      <c r="Y112" s="2556">
        <f t="shared" si="214"/>
        <v>6.230110047937468</v>
      </c>
      <c r="Z112" s="2556">
        <f t="shared" si="215"/>
        <v>6.230110047937468</v>
      </c>
      <c r="AA112" s="2556">
        <f t="shared" si="216"/>
        <v>6.230110047937468</v>
      </c>
      <c r="AB112" s="2555">
        <f t="shared" si="217"/>
        <v>18.690330143812403</v>
      </c>
      <c r="AC112" s="2572">
        <f t="shared" si="218"/>
        <v>6.230110047937468</v>
      </c>
      <c r="AD112" s="2572">
        <f t="shared" si="219"/>
        <v>6.230110047937468</v>
      </c>
      <c r="AE112" s="2572">
        <f t="shared" si="220"/>
        <v>6.230110047937468</v>
      </c>
      <c r="AF112" s="2555">
        <f t="shared" si="221"/>
        <v>18.690330143812403</v>
      </c>
      <c r="AG112" s="2555">
        <f t="shared" si="209"/>
        <v>37.380660287624806</v>
      </c>
      <c r="AH112" s="2572">
        <f t="shared" si="222"/>
        <v>6.230110047937468</v>
      </c>
      <c r="AI112" s="2572">
        <f t="shared" si="223"/>
        <v>6.230110047937468</v>
      </c>
      <c r="AJ112" s="2572">
        <f t="shared" si="224"/>
        <v>6.230110047937468</v>
      </c>
      <c r="AK112" s="2555">
        <f t="shared" si="225"/>
        <v>18.690330143812403</v>
      </c>
      <c r="AL112" s="2555">
        <f t="shared" si="211"/>
        <v>56.07099043143721</v>
      </c>
      <c r="AM112" s="2572">
        <f t="shared" si="226"/>
        <v>6.230110047937468</v>
      </c>
      <c r="AN112" s="2572">
        <f t="shared" si="227"/>
        <v>6.230110047937468</v>
      </c>
      <c r="AO112" s="2572">
        <f t="shared" si="228"/>
        <v>6.230110047937468</v>
      </c>
      <c r="AP112" s="2555">
        <f t="shared" si="229"/>
        <v>18.690330143812403</v>
      </c>
      <c r="AQ112" s="669">
        <f t="shared" si="71"/>
        <v>74.761320575249613</v>
      </c>
    </row>
    <row r="113" spans="1:43" ht="18.75">
      <c r="A113" s="2568" t="s">
        <v>615</v>
      </c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2569">
        <f>SUM(U106*0.29%)</f>
        <v>13.466324824113284</v>
      </c>
      <c r="V113" s="667"/>
      <c r="W113" s="2569">
        <f>SUM(U113*вода!CA52/вода!BY52)</f>
        <v>13.394048111036781</v>
      </c>
      <c r="X113" s="2570">
        <f t="shared" si="206"/>
        <v>7.2276713076503185E-2</v>
      </c>
      <c r="Y113" s="2556">
        <f t="shared" si="214"/>
        <v>1.1221937353427738</v>
      </c>
      <c r="Z113" s="2556">
        <f t="shared" si="215"/>
        <v>1.1221937353427738</v>
      </c>
      <c r="AA113" s="2556">
        <f t="shared" si="216"/>
        <v>1.1221937353427738</v>
      </c>
      <c r="AB113" s="2555">
        <f t="shared" si="217"/>
        <v>3.3665812060283216</v>
      </c>
      <c r="AC113" s="2572">
        <f t="shared" si="218"/>
        <v>1.1221937353427738</v>
      </c>
      <c r="AD113" s="2572">
        <f t="shared" si="219"/>
        <v>1.1221937353427738</v>
      </c>
      <c r="AE113" s="2572">
        <f t="shared" si="220"/>
        <v>1.1221937353427738</v>
      </c>
      <c r="AF113" s="2555">
        <f t="shared" si="221"/>
        <v>3.3665812060283216</v>
      </c>
      <c r="AG113" s="2555">
        <f t="shared" si="209"/>
        <v>6.7331624120566431</v>
      </c>
      <c r="AH113" s="2572">
        <f t="shared" si="222"/>
        <v>1.1221937353427738</v>
      </c>
      <c r="AI113" s="2572">
        <f t="shared" si="223"/>
        <v>1.1221937353427738</v>
      </c>
      <c r="AJ113" s="2572">
        <f t="shared" si="224"/>
        <v>1.1221937353427738</v>
      </c>
      <c r="AK113" s="2555">
        <f t="shared" si="225"/>
        <v>3.3665812060283216</v>
      </c>
      <c r="AL113" s="2555">
        <f t="shared" si="211"/>
        <v>10.099743618084965</v>
      </c>
      <c r="AM113" s="2572">
        <f t="shared" si="226"/>
        <v>1.1221937353427738</v>
      </c>
      <c r="AN113" s="2572">
        <f t="shared" si="227"/>
        <v>1.1221937353427738</v>
      </c>
      <c r="AO113" s="2572">
        <f t="shared" si="228"/>
        <v>1.1221937353427738</v>
      </c>
      <c r="AP113" s="2555">
        <f t="shared" si="229"/>
        <v>3.3665812060283216</v>
      </c>
      <c r="AQ113" s="669">
        <f t="shared" si="71"/>
        <v>13.466324824113288</v>
      </c>
    </row>
    <row r="114" spans="1:43" ht="18.75">
      <c r="A114" s="2568" t="s">
        <v>41</v>
      </c>
      <c r="B114" s="386"/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2569">
        <v>0</v>
      </c>
      <c r="V114" s="667"/>
      <c r="W114" s="2569">
        <f>SUM(U114*вода!CA52/вода!BY52)</f>
        <v>0</v>
      </c>
      <c r="X114" s="2570">
        <f t="shared" si="206"/>
        <v>0</v>
      </c>
      <c r="Y114" s="2556">
        <f t="shared" si="214"/>
        <v>0</v>
      </c>
      <c r="Z114" s="2556">
        <f t="shared" si="215"/>
        <v>0</v>
      </c>
      <c r="AA114" s="2556">
        <f t="shared" si="216"/>
        <v>0</v>
      </c>
      <c r="AB114" s="2555">
        <f t="shared" si="217"/>
        <v>0</v>
      </c>
      <c r="AC114" s="2572">
        <f t="shared" si="218"/>
        <v>0</v>
      </c>
      <c r="AD114" s="2572">
        <f t="shared" si="219"/>
        <v>0</v>
      </c>
      <c r="AE114" s="2572">
        <f t="shared" si="220"/>
        <v>0</v>
      </c>
      <c r="AF114" s="2555">
        <f t="shared" si="221"/>
        <v>0</v>
      </c>
      <c r="AG114" s="2555">
        <f t="shared" si="209"/>
        <v>0</v>
      </c>
      <c r="AH114" s="2572">
        <f t="shared" si="222"/>
        <v>0</v>
      </c>
      <c r="AI114" s="2572">
        <f t="shared" si="223"/>
        <v>0</v>
      </c>
      <c r="AJ114" s="2572">
        <f t="shared" si="224"/>
        <v>0</v>
      </c>
      <c r="AK114" s="2555">
        <f t="shared" si="225"/>
        <v>0</v>
      </c>
      <c r="AL114" s="2555">
        <f t="shared" si="211"/>
        <v>0</v>
      </c>
      <c r="AM114" s="2572">
        <f t="shared" si="226"/>
        <v>0</v>
      </c>
      <c r="AN114" s="2572">
        <f t="shared" si="227"/>
        <v>0</v>
      </c>
      <c r="AO114" s="2572">
        <f t="shared" si="228"/>
        <v>0</v>
      </c>
      <c r="AP114" s="2555">
        <f t="shared" si="229"/>
        <v>0</v>
      </c>
      <c r="AQ114" s="669">
        <f t="shared" si="71"/>
        <v>0</v>
      </c>
    </row>
    <row r="115" spans="1:43" ht="18.75">
      <c r="A115" s="2568" t="s">
        <v>38</v>
      </c>
      <c r="B115" s="386"/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2569">
        <v>0</v>
      </c>
      <c r="V115" s="667"/>
      <c r="W115" s="2569">
        <f>SUM(U115*вода!CA52/вода!BY52)</f>
        <v>0</v>
      </c>
      <c r="X115" s="2570">
        <f t="shared" si="206"/>
        <v>0</v>
      </c>
      <c r="Y115" s="2556">
        <f t="shared" si="214"/>
        <v>0</v>
      </c>
      <c r="Z115" s="2556">
        <f t="shared" si="215"/>
        <v>0</v>
      </c>
      <c r="AA115" s="2556">
        <f t="shared" si="216"/>
        <v>0</v>
      </c>
      <c r="AB115" s="2555">
        <f t="shared" si="217"/>
        <v>0</v>
      </c>
      <c r="AC115" s="2572">
        <f t="shared" si="218"/>
        <v>0</v>
      </c>
      <c r="AD115" s="2572">
        <f t="shared" si="219"/>
        <v>0</v>
      </c>
      <c r="AE115" s="2572">
        <f t="shared" si="220"/>
        <v>0</v>
      </c>
      <c r="AF115" s="2555">
        <f t="shared" si="221"/>
        <v>0</v>
      </c>
      <c r="AG115" s="2555">
        <f t="shared" si="209"/>
        <v>0</v>
      </c>
      <c r="AH115" s="2572">
        <f t="shared" si="222"/>
        <v>0</v>
      </c>
      <c r="AI115" s="2572">
        <f t="shared" si="223"/>
        <v>0</v>
      </c>
      <c r="AJ115" s="2572">
        <f t="shared" si="224"/>
        <v>0</v>
      </c>
      <c r="AK115" s="2555">
        <f t="shared" si="225"/>
        <v>0</v>
      </c>
      <c r="AL115" s="2555">
        <f t="shared" si="211"/>
        <v>0</v>
      </c>
      <c r="AM115" s="2572">
        <f t="shared" si="226"/>
        <v>0</v>
      </c>
      <c r="AN115" s="2572">
        <f t="shared" si="227"/>
        <v>0</v>
      </c>
      <c r="AO115" s="2572">
        <f t="shared" si="228"/>
        <v>0</v>
      </c>
      <c r="AP115" s="2555">
        <f t="shared" si="229"/>
        <v>0</v>
      </c>
      <c r="AQ115" s="669">
        <f t="shared" si="71"/>
        <v>0</v>
      </c>
    </row>
    <row r="116" spans="1:43" ht="18.75">
      <c r="A116" s="2568" t="s">
        <v>32</v>
      </c>
      <c r="B116" s="386"/>
      <c r="C116" s="386"/>
      <c r="D116" s="386"/>
      <c r="E116" s="386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2569">
        <f>SUM(U106*0.11%)</f>
        <v>5.1079163125946945</v>
      </c>
      <c r="V116" s="667"/>
      <c r="W116" s="2569">
        <f>SUM(U116*вода!CA52/вода!BY52)</f>
        <v>5.0805010076346422</v>
      </c>
      <c r="X116" s="2570">
        <f t="shared" si="206"/>
        <v>2.7415304960052289E-2</v>
      </c>
      <c r="Y116" s="2556">
        <f t="shared" si="214"/>
        <v>0.42565969271622456</v>
      </c>
      <c r="Z116" s="2556">
        <f t="shared" si="215"/>
        <v>0.42565969271622456</v>
      </c>
      <c r="AA116" s="2556">
        <f t="shared" si="216"/>
        <v>0.42565969271622456</v>
      </c>
      <c r="AB116" s="2555">
        <f t="shared" si="217"/>
        <v>1.2769790781486736</v>
      </c>
      <c r="AC116" s="2572">
        <f t="shared" si="218"/>
        <v>0.42565969271622456</v>
      </c>
      <c r="AD116" s="2572">
        <f t="shared" si="219"/>
        <v>0.42565969271622456</v>
      </c>
      <c r="AE116" s="2572">
        <f t="shared" si="220"/>
        <v>0.42565969271622456</v>
      </c>
      <c r="AF116" s="2555">
        <f t="shared" si="221"/>
        <v>1.2769790781486736</v>
      </c>
      <c r="AG116" s="2555">
        <f t="shared" si="209"/>
        <v>2.5539581562973472</v>
      </c>
      <c r="AH116" s="2572">
        <f t="shared" si="222"/>
        <v>0.42565969271622456</v>
      </c>
      <c r="AI116" s="2572">
        <f t="shared" si="223"/>
        <v>0.42565969271622456</v>
      </c>
      <c r="AJ116" s="2572">
        <f t="shared" si="224"/>
        <v>0.42565969271622456</v>
      </c>
      <c r="AK116" s="2555">
        <f t="shared" si="225"/>
        <v>1.2769790781486736</v>
      </c>
      <c r="AL116" s="2555">
        <f t="shared" si="211"/>
        <v>3.8309372344460209</v>
      </c>
      <c r="AM116" s="2572">
        <f t="shared" si="226"/>
        <v>0.42565969271622456</v>
      </c>
      <c r="AN116" s="2572">
        <f t="shared" si="227"/>
        <v>0.42565969271622456</v>
      </c>
      <c r="AO116" s="2572">
        <f t="shared" si="228"/>
        <v>0.42565969271622456</v>
      </c>
      <c r="AP116" s="2555">
        <f t="shared" si="229"/>
        <v>1.2769790781486736</v>
      </c>
      <c r="AQ116" s="669">
        <f t="shared" si="71"/>
        <v>5.1079163125946936</v>
      </c>
    </row>
    <row r="117" spans="1:43" ht="18.75">
      <c r="A117" s="2568" t="s">
        <v>607</v>
      </c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2569">
        <f>SUM(U118)</f>
        <v>19.502953193543377</v>
      </c>
      <c r="V117" s="667"/>
      <c r="W117" s="2569">
        <f>SUM(U117*вода!CA52/вода!BY52)</f>
        <v>19.398276574604996</v>
      </c>
      <c r="X117" s="2569">
        <f t="shared" ref="X117:AE117" si="230">SUM(X118)</f>
        <v>0.10467661893838098</v>
      </c>
      <c r="Y117" s="2571">
        <f t="shared" si="230"/>
        <v>1.625246099461948</v>
      </c>
      <c r="Z117" s="2571">
        <f t="shared" si="230"/>
        <v>1.625246099461948</v>
      </c>
      <c r="AA117" s="2571">
        <f t="shared" si="230"/>
        <v>1.625246099461948</v>
      </c>
      <c r="AB117" s="2555">
        <f t="shared" si="65"/>
        <v>4.8757382983858442</v>
      </c>
      <c r="AC117" s="2571">
        <f t="shared" si="230"/>
        <v>1.625246099461948</v>
      </c>
      <c r="AD117" s="2571">
        <f t="shared" si="230"/>
        <v>1.625246099461948</v>
      </c>
      <c r="AE117" s="2571">
        <f t="shared" si="230"/>
        <v>1.625246099461948</v>
      </c>
      <c r="AF117" s="2555">
        <f t="shared" si="66"/>
        <v>4.8757382983858442</v>
      </c>
      <c r="AG117" s="2555">
        <f t="shared" si="67"/>
        <v>9.7514765967716883</v>
      </c>
      <c r="AH117" s="2571">
        <f t="shared" ref="AH117:AJ117" si="231">SUM(AH118)</f>
        <v>1.625246099461948</v>
      </c>
      <c r="AI117" s="2571">
        <f t="shared" si="231"/>
        <v>1.625246099461948</v>
      </c>
      <c r="AJ117" s="2571">
        <f t="shared" si="231"/>
        <v>1.625246099461948</v>
      </c>
      <c r="AK117" s="2555">
        <f t="shared" si="68"/>
        <v>4.8757382983858442</v>
      </c>
      <c r="AL117" s="2555">
        <f t="shared" si="69"/>
        <v>14.627214895157532</v>
      </c>
      <c r="AM117" s="2571">
        <f t="shared" ref="AM117:AO117" si="232">SUM(AM118)</f>
        <v>1.625246099461948</v>
      </c>
      <c r="AN117" s="2571">
        <f t="shared" si="232"/>
        <v>1.625246099461948</v>
      </c>
      <c r="AO117" s="2571">
        <f t="shared" si="232"/>
        <v>1.625246099461948</v>
      </c>
      <c r="AP117" s="2555">
        <f t="shared" si="70"/>
        <v>4.8757382983858442</v>
      </c>
      <c r="AQ117" s="669">
        <f t="shared" si="71"/>
        <v>19.502953193543377</v>
      </c>
    </row>
    <row r="118" spans="1:43" ht="18.75">
      <c r="A118" s="2573" t="s">
        <v>565</v>
      </c>
      <c r="B118" s="386"/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2569">
        <f>SUM(U106*0.42%)</f>
        <v>19.502953193543377</v>
      </c>
      <c r="V118" s="667"/>
      <c r="W118" s="2569">
        <f>SUM(U118*вода!CA52/вода!BY52)</f>
        <v>19.398276574604996</v>
      </c>
      <c r="X118" s="2570">
        <f t="shared" ref="X118" si="233">SUM(U118-W118)</f>
        <v>0.10467661893838098</v>
      </c>
      <c r="Y118" s="2556">
        <f t="shared" ref="Y118" si="234">SUM(U118/12)</f>
        <v>1.625246099461948</v>
      </c>
      <c r="Z118" s="2556">
        <f t="shared" ref="Z118" si="235">SUM(Y118)</f>
        <v>1.625246099461948</v>
      </c>
      <c r="AA118" s="2556">
        <f t="shared" ref="AA118" si="236">SUM(Y118)</f>
        <v>1.625246099461948</v>
      </c>
      <c r="AB118" s="2555">
        <f t="shared" ref="AB118" si="237">SUM(Y118+Z118+AA118)</f>
        <v>4.8757382983858442</v>
      </c>
      <c r="AC118" s="2556">
        <f t="shared" ref="AC118" si="238">SUM(Y118)</f>
        <v>1.625246099461948</v>
      </c>
      <c r="AD118" s="2556">
        <f t="shared" ref="AD118" si="239">SUM(Y118)</f>
        <v>1.625246099461948</v>
      </c>
      <c r="AE118" s="2556">
        <f t="shared" ref="AE118" si="240">SUM(Y118)</f>
        <v>1.625246099461948</v>
      </c>
      <c r="AF118" s="2555">
        <f t="shared" ref="AF118" si="241">SUM(AC118+AD118+AE118)</f>
        <v>4.8757382983858442</v>
      </c>
      <c r="AG118" s="2555">
        <f t="shared" si="67"/>
        <v>9.7514765967716883</v>
      </c>
      <c r="AH118" s="2556">
        <f t="shared" ref="AH118" si="242">SUM(Y118)</f>
        <v>1.625246099461948</v>
      </c>
      <c r="AI118" s="2556">
        <f t="shared" ref="AI118" si="243">SUM(Y118)</f>
        <v>1.625246099461948</v>
      </c>
      <c r="AJ118" s="2556">
        <f t="shared" ref="AJ118" si="244">SUM(Y118)</f>
        <v>1.625246099461948</v>
      </c>
      <c r="AK118" s="2555">
        <f t="shared" ref="AK118" si="245">SUM(AH118+AI118+AJ118)</f>
        <v>4.8757382983858442</v>
      </c>
      <c r="AL118" s="2555">
        <f t="shared" si="69"/>
        <v>14.627214895157532</v>
      </c>
      <c r="AM118" s="2556">
        <f t="shared" ref="AM118" si="246">SUM(Y118)</f>
        <v>1.625246099461948</v>
      </c>
      <c r="AN118" s="2556">
        <f t="shared" ref="AN118" si="247">SUM(Y118)</f>
        <v>1.625246099461948</v>
      </c>
      <c r="AO118" s="2556">
        <f t="shared" ref="AO118" si="248">SUM(Y118)</f>
        <v>1.625246099461948</v>
      </c>
      <c r="AP118" s="2555">
        <f t="shared" ref="AP118" si="249">SUM(AM118+AN118+AO118)</f>
        <v>4.8757382983858442</v>
      </c>
      <c r="AQ118" s="669">
        <f t="shared" si="71"/>
        <v>19.502953193543377</v>
      </c>
    </row>
    <row r="119" spans="1:43" ht="18.75">
      <c r="A119" s="2568" t="s">
        <v>610</v>
      </c>
      <c r="B119" s="386"/>
      <c r="C119" s="386"/>
      <c r="D119" s="386"/>
      <c r="E119" s="386"/>
      <c r="F119" s="386"/>
      <c r="G119" s="386"/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2569">
        <f>SUM(U120:U122)</f>
        <v>104.94446242240011</v>
      </c>
      <c r="V119" s="667"/>
      <c r="W119" s="2569">
        <f>SUM(U119*вода!CA52/вода!BY52)</f>
        <v>104.38120252049357</v>
      </c>
      <c r="X119" s="2569">
        <f t="shared" ref="X119:AE119" si="250">SUM(X120:X122)</f>
        <v>0.5632599019065303</v>
      </c>
      <c r="Y119" s="2571">
        <f t="shared" si="250"/>
        <v>7.913787614308645</v>
      </c>
      <c r="Z119" s="2571">
        <f t="shared" si="250"/>
        <v>7.913787614308645</v>
      </c>
      <c r="AA119" s="2571">
        <f t="shared" si="250"/>
        <v>7.913787614308645</v>
      </c>
      <c r="AB119" s="2555">
        <f t="shared" si="65"/>
        <v>23.741362842925934</v>
      </c>
      <c r="AC119" s="2571">
        <f t="shared" si="250"/>
        <v>7.9869236887844339</v>
      </c>
      <c r="AD119" s="2571">
        <f t="shared" si="250"/>
        <v>9.1977320328835841</v>
      </c>
      <c r="AE119" s="2571">
        <f t="shared" si="250"/>
        <v>10.25414199753385</v>
      </c>
      <c r="AF119" s="2555">
        <f t="shared" si="66"/>
        <v>27.438797719201869</v>
      </c>
      <c r="AG119" s="2555">
        <f t="shared" si="67"/>
        <v>51.180160562127803</v>
      </c>
      <c r="AH119" s="2571">
        <f t="shared" ref="AH119:AJ119" si="251">SUM(AH120:AH122)</f>
        <v>10.571064986928931</v>
      </c>
      <c r="AI119" s="2571">
        <f t="shared" si="251"/>
        <v>10.25414199753385</v>
      </c>
      <c r="AJ119" s="2571">
        <f t="shared" si="251"/>
        <v>9.1977320328835841</v>
      </c>
      <c r="AK119" s="2555">
        <f t="shared" si="68"/>
        <v>30.022939017346367</v>
      </c>
      <c r="AL119" s="2555">
        <f t="shared" si="69"/>
        <v>81.20309957947417</v>
      </c>
      <c r="AM119" s="2571">
        <f t="shared" ref="AM119:AO119" si="252">SUM(AM120:AM122)</f>
        <v>7.913787614308645</v>
      </c>
      <c r="AN119" s="2571">
        <f t="shared" si="252"/>
        <v>7.913787614308645</v>
      </c>
      <c r="AO119" s="2571">
        <f t="shared" si="252"/>
        <v>7.913787614308645</v>
      </c>
      <c r="AP119" s="2555">
        <f t="shared" si="70"/>
        <v>23.741362842925934</v>
      </c>
      <c r="AQ119" s="669">
        <f t="shared" si="71"/>
        <v>104.94446242240009</v>
      </c>
    </row>
    <row r="120" spans="1:43" ht="18.75">
      <c r="A120" s="2573" t="s">
        <v>552</v>
      </c>
      <c r="B120" s="386"/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2569">
        <f>SUM(U106*1.75%)</f>
        <v>81.262304973097429</v>
      </c>
      <c r="V120" s="667"/>
      <c r="W120" s="2569">
        <f>SUM(U120*вода!CA52/вода!BY52)</f>
        <v>80.826152394187503</v>
      </c>
      <c r="X120" s="2570">
        <f t="shared" ref="X120:X122" si="253">SUM(U120-W120)</f>
        <v>0.43615257890992609</v>
      </c>
      <c r="Y120" s="2556">
        <f>SUM(U120*7.31%)</f>
        <v>5.9402744935334217</v>
      </c>
      <c r="Z120" s="2556">
        <f>SUM(U120*7.31%)</f>
        <v>5.9402744935334217</v>
      </c>
      <c r="AA120" s="2556">
        <f>SUM(U120*7.31%)</f>
        <v>5.9402744935334217</v>
      </c>
      <c r="AB120" s="2555">
        <f t="shared" ref="AB120:AB122" si="254">SUM(Y120+Z120+AA120)</f>
        <v>17.820823480600264</v>
      </c>
      <c r="AC120" s="2556">
        <f>SUM(U120*7.4%)</f>
        <v>6.0134105680092107</v>
      </c>
      <c r="AD120" s="2556">
        <f>SUM(U120*8.89%)</f>
        <v>7.2242189121083618</v>
      </c>
      <c r="AE120" s="2556">
        <f>SUM(U120*10.19%)</f>
        <v>8.2806288767586267</v>
      </c>
      <c r="AF120" s="2555">
        <f t="shared" ref="AF120:AF122" si="255">SUM(AC120+AD120+AE120)</f>
        <v>21.518258356876199</v>
      </c>
      <c r="AG120" s="2555">
        <f t="shared" si="67"/>
        <v>39.339081837476463</v>
      </c>
      <c r="AH120" s="2556">
        <f>SUM(U120*10.58%)</f>
        <v>8.597551866153708</v>
      </c>
      <c r="AI120" s="2556">
        <f>SUM(U120*10.19%)</f>
        <v>8.2806288767586267</v>
      </c>
      <c r="AJ120" s="2556">
        <f>SUM(U120*8.89%)</f>
        <v>7.2242189121083618</v>
      </c>
      <c r="AK120" s="2555">
        <f t="shared" ref="AK120:AK122" si="256">SUM(AH120+AI120+AJ120)</f>
        <v>24.102399655020697</v>
      </c>
      <c r="AL120" s="2555">
        <f t="shared" si="69"/>
        <v>63.441481492497161</v>
      </c>
      <c r="AM120" s="2556">
        <f>SUM(U120*7.31%)</f>
        <v>5.9402744935334217</v>
      </c>
      <c r="AN120" s="2556">
        <f>SUM(U120*7.31%)</f>
        <v>5.9402744935334217</v>
      </c>
      <c r="AO120" s="2556">
        <f>SUM(U120*7.31%)</f>
        <v>5.9402744935334217</v>
      </c>
      <c r="AP120" s="2555">
        <f t="shared" ref="AP120:AP122" si="257">SUM(AM120+AN120+AO120)</f>
        <v>17.820823480600264</v>
      </c>
      <c r="AQ120" s="669">
        <f t="shared" si="71"/>
        <v>81.262304973097429</v>
      </c>
    </row>
    <row r="121" spans="1:43" ht="18.75">
      <c r="A121" s="2573" t="s">
        <v>560</v>
      </c>
      <c r="B121" s="386"/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2569">
        <f>SUM(U106*0.51%)</f>
        <v>23.682157449302675</v>
      </c>
      <c r="V121" s="667"/>
      <c r="W121" s="2569">
        <f>SUM(U121*вода!CA52/вода!BY52)</f>
        <v>23.555050126306071</v>
      </c>
      <c r="X121" s="2570">
        <f t="shared" si="253"/>
        <v>0.12710732299660421</v>
      </c>
      <c r="Y121" s="2556">
        <f t="shared" ref="Y121:Y122" si="258">SUM(U121/12)</f>
        <v>1.973513120775223</v>
      </c>
      <c r="Z121" s="2556">
        <f t="shared" ref="Z121:Z122" si="259">SUM(Y121)</f>
        <v>1.973513120775223</v>
      </c>
      <c r="AA121" s="2556">
        <f t="shared" ref="AA121:AA122" si="260">SUM(Y121)</f>
        <v>1.973513120775223</v>
      </c>
      <c r="AB121" s="2555">
        <f t="shared" si="254"/>
        <v>5.9205393623256688</v>
      </c>
      <c r="AC121" s="2572">
        <f t="shared" ref="AC121:AC122" si="261">SUM(Y121)</f>
        <v>1.973513120775223</v>
      </c>
      <c r="AD121" s="2572">
        <f t="shared" ref="AD121:AD122" si="262">SUM(Y121)</f>
        <v>1.973513120775223</v>
      </c>
      <c r="AE121" s="2572">
        <f t="shared" ref="AE121:AE122" si="263">SUM(Y121)</f>
        <v>1.973513120775223</v>
      </c>
      <c r="AF121" s="2555">
        <f t="shared" si="255"/>
        <v>5.9205393623256688</v>
      </c>
      <c r="AG121" s="2555">
        <f t="shared" si="67"/>
        <v>11.841078724651338</v>
      </c>
      <c r="AH121" s="2572">
        <f t="shared" ref="AH121:AH122" si="264">SUM(Y121)</f>
        <v>1.973513120775223</v>
      </c>
      <c r="AI121" s="2572">
        <f t="shared" ref="AI121:AI122" si="265">SUM(Y121)</f>
        <v>1.973513120775223</v>
      </c>
      <c r="AJ121" s="2572">
        <f t="shared" ref="AJ121:AJ122" si="266">SUM(Y121)</f>
        <v>1.973513120775223</v>
      </c>
      <c r="AK121" s="2555">
        <f t="shared" si="256"/>
        <v>5.9205393623256688</v>
      </c>
      <c r="AL121" s="2555">
        <f t="shared" si="69"/>
        <v>17.761618086977006</v>
      </c>
      <c r="AM121" s="2572">
        <f t="shared" ref="AM121:AM122" si="267">SUM(Y121)</f>
        <v>1.973513120775223</v>
      </c>
      <c r="AN121" s="2572">
        <f t="shared" ref="AN121:AN122" si="268">SUM(Y121)</f>
        <v>1.973513120775223</v>
      </c>
      <c r="AO121" s="2572">
        <f t="shared" ref="AO121:AO122" si="269">SUM(Y121)</f>
        <v>1.973513120775223</v>
      </c>
      <c r="AP121" s="2555">
        <f t="shared" si="257"/>
        <v>5.9205393623256688</v>
      </c>
      <c r="AQ121" s="669">
        <f t="shared" si="71"/>
        <v>23.682157449302675</v>
      </c>
    </row>
    <row r="122" spans="1:43" ht="18.75">
      <c r="A122" s="2573" t="s">
        <v>614</v>
      </c>
      <c r="B122" s="386"/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2569">
        <v>0</v>
      </c>
      <c r="V122" s="667"/>
      <c r="W122" s="2569">
        <f>SUM(U122*вода!CA52/вода!BY52)</f>
        <v>0</v>
      </c>
      <c r="X122" s="2570">
        <f t="shared" si="253"/>
        <v>0</v>
      </c>
      <c r="Y122" s="2556">
        <f t="shared" si="258"/>
        <v>0</v>
      </c>
      <c r="Z122" s="2556">
        <f t="shared" si="259"/>
        <v>0</v>
      </c>
      <c r="AA122" s="2556">
        <f t="shared" si="260"/>
        <v>0</v>
      </c>
      <c r="AB122" s="2555">
        <f t="shared" si="254"/>
        <v>0</v>
      </c>
      <c r="AC122" s="2572">
        <f t="shared" si="261"/>
        <v>0</v>
      </c>
      <c r="AD122" s="2572">
        <f t="shared" si="262"/>
        <v>0</v>
      </c>
      <c r="AE122" s="2572">
        <f t="shared" si="263"/>
        <v>0</v>
      </c>
      <c r="AF122" s="2555">
        <f t="shared" si="255"/>
        <v>0</v>
      </c>
      <c r="AG122" s="2555">
        <f t="shared" si="67"/>
        <v>0</v>
      </c>
      <c r="AH122" s="2572">
        <f t="shared" si="264"/>
        <v>0</v>
      </c>
      <c r="AI122" s="2572">
        <f t="shared" si="265"/>
        <v>0</v>
      </c>
      <c r="AJ122" s="2572">
        <f t="shared" si="266"/>
        <v>0</v>
      </c>
      <c r="AK122" s="2555">
        <f t="shared" si="256"/>
        <v>0</v>
      </c>
      <c r="AL122" s="2555">
        <f t="shared" si="69"/>
        <v>0</v>
      </c>
      <c r="AM122" s="2572">
        <f t="shared" si="267"/>
        <v>0</v>
      </c>
      <c r="AN122" s="2572">
        <f t="shared" si="268"/>
        <v>0</v>
      </c>
      <c r="AO122" s="2572">
        <f t="shared" si="269"/>
        <v>0</v>
      </c>
      <c r="AP122" s="2555">
        <f t="shared" si="257"/>
        <v>0</v>
      </c>
      <c r="AQ122" s="669">
        <f t="shared" si="71"/>
        <v>0</v>
      </c>
    </row>
    <row r="123" spans="1:43" ht="18.75">
      <c r="A123" s="2579" t="s">
        <v>1593</v>
      </c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2564">
        <f>SUM(AQ50)</f>
        <v>2736.0248381525657</v>
      </c>
      <c r="V123" s="667"/>
      <c r="W123" s="2564">
        <f>SUM(U123*вода!CA52/вода!BY52)</f>
        <v>2721.339993937072</v>
      </c>
      <c r="X123" s="2565">
        <f>SUM(U123-W123)</f>
        <v>14.68484421549374</v>
      </c>
      <c r="Y123" s="2566">
        <f>SUM(Y124+Y125+Y126+Y127+Y128+Y129+Y130+Y132)</f>
        <v>220.13663647277755</v>
      </c>
      <c r="Z123" s="2566">
        <f t="shared" ref="Z123:AA123" si="270">SUM(Z124+Z125+Z126+Z127+Z128+Z129+Z130+Z132)</f>
        <v>220.13663647277755</v>
      </c>
      <c r="AA123" s="2566">
        <f t="shared" si="270"/>
        <v>220.13663647277755</v>
      </c>
      <c r="AB123" s="2567">
        <f t="shared" si="65"/>
        <v>660.40990941833263</v>
      </c>
      <c r="AC123" s="2566">
        <f t="shared" ref="AC123:AE123" si="271">SUM(AC124+AC125+AC126+AC127+AC128+AC129+AC130+AC132)</f>
        <v>220.16815547891306</v>
      </c>
      <c r="AD123" s="2566">
        <f t="shared" si="271"/>
        <v>220.68997013604553</v>
      </c>
      <c r="AE123" s="2566">
        <f t="shared" si="271"/>
        <v>221.14524466911411</v>
      </c>
      <c r="AF123" s="2567">
        <f t="shared" si="66"/>
        <v>662.00337028407262</v>
      </c>
      <c r="AG123" s="2567">
        <f t="shared" si="67"/>
        <v>1322.4132797024054</v>
      </c>
      <c r="AH123" s="2566">
        <f t="shared" ref="AH123:AJ123" si="272">SUM(AH124+AH125+AH126+AH127+AH128+AH129+AH130+AH132)</f>
        <v>236.29592822864029</v>
      </c>
      <c r="AI123" s="2566">
        <f t="shared" si="272"/>
        <v>236.1593458687197</v>
      </c>
      <c r="AJ123" s="2566">
        <f t="shared" si="272"/>
        <v>235.70407133565112</v>
      </c>
      <c r="AK123" s="2567">
        <f t="shared" si="68"/>
        <v>708.15934543301114</v>
      </c>
      <c r="AL123" s="2567">
        <f t="shared" si="69"/>
        <v>2030.5726251354165</v>
      </c>
      <c r="AM123" s="2566">
        <f t="shared" ref="AM123:AO123" si="273">SUM(AM124+AM125+AM126+AM127+AM128+AM129+AM130+AM132)</f>
        <v>235.15073767238314</v>
      </c>
      <c r="AN123" s="2566">
        <f t="shared" si="273"/>
        <v>235.15073767238314</v>
      </c>
      <c r="AO123" s="2566">
        <f t="shared" si="273"/>
        <v>235.15073767238314</v>
      </c>
      <c r="AP123" s="2567">
        <f t="shared" si="70"/>
        <v>705.45221301714946</v>
      </c>
      <c r="AQ123" s="669">
        <f t="shared" si="71"/>
        <v>2736.0248381525653</v>
      </c>
    </row>
    <row r="124" spans="1:43" ht="18.75">
      <c r="A124" s="2568" t="s">
        <v>72</v>
      </c>
      <c r="B124" s="386"/>
      <c r="C124" s="386"/>
      <c r="D124" s="386"/>
      <c r="E124" s="386"/>
      <c r="F124" s="386"/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2569">
        <f>SUM(U123*70.95%)</f>
        <v>1941.2096226692454</v>
      </c>
      <c r="V124" s="667"/>
      <c r="W124" s="2569">
        <f>SUM(U124*вода!CA52/вода!BY52)</f>
        <v>1930.7907256983528</v>
      </c>
      <c r="X124" s="2570">
        <f t="shared" ref="X124:X129" si="274">SUM(U124-W124)</f>
        <v>10.418896970892547</v>
      </c>
      <c r="Y124" s="2556">
        <f>SUM(U124/2)/(1+(107.4%*100-100)/2/100)/6</f>
        <v>155.99563023700139</v>
      </c>
      <c r="Z124" s="2571">
        <f>SUM(Y124)</f>
        <v>155.99563023700139</v>
      </c>
      <c r="AA124" s="2556">
        <f>SUM(Y124)</f>
        <v>155.99563023700139</v>
      </c>
      <c r="AB124" s="2555">
        <f>SUM(Y124+Z124+AA124)</f>
        <v>467.98689071100421</v>
      </c>
      <c r="AC124" s="2572">
        <f>SUM(Y124)</f>
        <v>155.99563023700139</v>
      </c>
      <c r="AD124" s="2572">
        <f>SUM(Y124)</f>
        <v>155.99563023700139</v>
      </c>
      <c r="AE124" s="2572">
        <f>SUM(Y124)</f>
        <v>155.99563023700139</v>
      </c>
      <c r="AF124" s="2555">
        <f>SUM(AC124+AD124+AE124)</f>
        <v>467.98689071100421</v>
      </c>
      <c r="AG124" s="2555">
        <f>SUM(AB124+AF124)</f>
        <v>935.97378142200841</v>
      </c>
      <c r="AH124" s="2572">
        <f>SUM(U124-AG124)/6</f>
        <v>167.53930687453951</v>
      </c>
      <c r="AI124" s="2572">
        <f>SUM(AH124)</f>
        <v>167.53930687453951</v>
      </c>
      <c r="AJ124" s="2572">
        <f>SUM(AH124)</f>
        <v>167.53930687453951</v>
      </c>
      <c r="AK124" s="2555">
        <f>SUM(AH124+AI124+AJ124)</f>
        <v>502.61792062361849</v>
      </c>
      <c r="AL124" s="2555">
        <f>SUM(AG124+AK124)</f>
        <v>1438.5917020456268</v>
      </c>
      <c r="AM124" s="2572">
        <f>SUM(AH124)</f>
        <v>167.53930687453951</v>
      </c>
      <c r="AN124" s="2572">
        <f>SUM(AH124)</f>
        <v>167.53930687453951</v>
      </c>
      <c r="AO124" s="2572">
        <f>SUM(AH124)</f>
        <v>167.53930687453951</v>
      </c>
      <c r="AP124" s="2555">
        <f>SUM(AM124+AN124+AO124)</f>
        <v>502.61792062361849</v>
      </c>
      <c r="AQ124" s="669">
        <f>SUM(AO124+AN124+AM124+AJ124+AI124+AH124+AE124+AD124+AC124+AA124+Z124+Y124)</f>
        <v>1941.2096226692458</v>
      </c>
    </row>
    <row r="125" spans="1:43" ht="18.75">
      <c r="A125" s="2568" t="s">
        <v>121</v>
      </c>
      <c r="B125" s="386"/>
      <c r="C125" s="386"/>
      <c r="D125" s="386"/>
      <c r="E125" s="386"/>
      <c r="F125" s="386"/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2569">
        <f>SUM(U123*21.33%)</f>
        <v>583.59409797794228</v>
      </c>
      <c r="V125" s="667"/>
      <c r="W125" s="2569">
        <f>SUM(U125*вода!CA52/вода!BY52)</f>
        <v>580.46182070677753</v>
      </c>
      <c r="X125" s="2570">
        <f t="shared" si="274"/>
        <v>3.1322772711647531</v>
      </c>
      <c r="Y125" s="2556">
        <f>SUM(Y124*(U125/U124))</f>
        <v>46.897629217128113</v>
      </c>
      <c r="Z125" s="2556">
        <f>SUM(Y125)</f>
        <v>46.897629217128113</v>
      </c>
      <c r="AA125" s="2571">
        <f>SUM(Y125)</f>
        <v>46.897629217128113</v>
      </c>
      <c r="AB125" s="2555">
        <f t="shared" ref="AB125" si="275">SUM(Y125+Z125+AA125)</f>
        <v>140.69288765138435</v>
      </c>
      <c r="AC125" s="2572">
        <f>SUM(Y125)</f>
        <v>46.897629217128113</v>
      </c>
      <c r="AD125" s="2572">
        <f>SUM(Y125)</f>
        <v>46.897629217128113</v>
      </c>
      <c r="AE125" s="2572">
        <f>SUM(Y125)</f>
        <v>46.897629217128113</v>
      </c>
      <c r="AF125" s="2555">
        <f t="shared" ref="AF125" si="276">SUM(AC125+AD125+AE125)</f>
        <v>140.69288765138435</v>
      </c>
      <c r="AG125" s="2555">
        <f t="shared" ref="AG125:AG137" si="277">SUM(AB125+AF125)</f>
        <v>281.38577530276871</v>
      </c>
      <c r="AH125" s="2572">
        <f>SUM(U125-AG125)/6</f>
        <v>50.368053779195598</v>
      </c>
      <c r="AI125" s="2572">
        <f>SUM(AH125)</f>
        <v>50.368053779195598</v>
      </c>
      <c r="AJ125" s="2572">
        <f>SUM(AH125)</f>
        <v>50.368053779195598</v>
      </c>
      <c r="AK125" s="2555">
        <f t="shared" ref="AK125" si="278">SUM(AH125+AI125+AJ125)</f>
        <v>151.10416133758679</v>
      </c>
      <c r="AL125" s="2555">
        <f t="shared" ref="AL125:AL137" si="279">SUM(AG125+AK125)</f>
        <v>432.4899366403555</v>
      </c>
      <c r="AM125" s="2572">
        <f>SUM(AH125)</f>
        <v>50.368053779195598</v>
      </c>
      <c r="AN125" s="2572">
        <f>SUM(AH125)</f>
        <v>50.368053779195598</v>
      </c>
      <c r="AO125" s="2572">
        <f>SUM(AH125)</f>
        <v>50.368053779195598</v>
      </c>
      <c r="AP125" s="2555">
        <f t="shared" ref="AP125" si="280">SUM(AM125+AN125+AO125)</f>
        <v>151.10416133758679</v>
      </c>
      <c r="AQ125" s="669">
        <f t="shared" ref="AQ125" si="281">SUM(AO125+AN125+AM125+AJ125+AI125+AH125+AE125+AD125+AC125+AA125+Z125+Y125)</f>
        <v>583.59409797794228</v>
      </c>
    </row>
    <row r="126" spans="1:43" ht="18.75">
      <c r="A126" s="2568" t="s">
        <v>52</v>
      </c>
      <c r="B126" s="386"/>
      <c r="C126" s="386"/>
      <c r="D126" s="386"/>
      <c r="E126" s="386"/>
      <c r="F126" s="386"/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2569">
        <f>SUM(U123*0.5%)</f>
        <v>13.680124190762829</v>
      </c>
      <c r="V126" s="667"/>
      <c r="W126" s="2569">
        <f>SUM(U126*вода!CA52/вода!BY52)</f>
        <v>13.606699969685362</v>
      </c>
      <c r="X126" s="2570">
        <f t="shared" si="274"/>
        <v>7.3424221077466711E-2</v>
      </c>
      <c r="Y126" s="2556">
        <f t="shared" ref="Y126:Y129" si="282">SUM(U126/12)</f>
        <v>1.1400103492302358</v>
      </c>
      <c r="Z126" s="2556">
        <f t="shared" ref="Z126:Z129" si="283">SUM(Y126)</f>
        <v>1.1400103492302358</v>
      </c>
      <c r="AA126" s="2556">
        <f t="shared" ref="AA126:AA129" si="284">SUM(Y126)</f>
        <v>1.1400103492302358</v>
      </c>
      <c r="AB126" s="2555">
        <f t="shared" ref="AB126:AB129" si="285">SUM(Y126+Z126+AA126)</f>
        <v>3.4200310476907072</v>
      </c>
      <c r="AC126" s="2572">
        <f t="shared" ref="AC126:AC129" si="286">SUM(Y126)</f>
        <v>1.1400103492302358</v>
      </c>
      <c r="AD126" s="2572">
        <f t="shared" ref="AD126:AD129" si="287">SUM(Y126)</f>
        <v>1.1400103492302358</v>
      </c>
      <c r="AE126" s="2572">
        <f t="shared" ref="AE126:AE129" si="288">SUM(Y126)</f>
        <v>1.1400103492302358</v>
      </c>
      <c r="AF126" s="2555">
        <f t="shared" ref="AF126:AF129" si="289">SUM(AC126+AD126+AE126)</f>
        <v>3.4200310476907072</v>
      </c>
      <c r="AG126" s="2555">
        <f t="shared" si="277"/>
        <v>6.8400620953814144</v>
      </c>
      <c r="AH126" s="2572">
        <f t="shared" ref="AH126:AH129" si="290">SUM(Y126)</f>
        <v>1.1400103492302358</v>
      </c>
      <c r="AI126" s="2572">
        <f t="shared" ref="AI126:AI129" si="291">SUM(Y126)</f>
        <v>1.1400103492302358</v>
      </c>
      <c r="AJ126" s="2572">
        <f t="shared" ref="AJ126:AJ129" si="292">SUM(Y126)</f>
        <v>1.1400103492302358</v>
      </c>
      <c r="AK126" s="2555">
        <f t="shared" ref="AK126:AK129" si="293">SUM(AH126+AI126+AJ126)</f>
        <v>3.4200310476907072</v>
      </c>
      <c r="AL126" s="2555">
        <f t="shared" si="279"/>
        <v>10.260093143072123</v>
      </c>
      <c r="AM126" s="2572">
        <f t="shared" ref="AM126:AM129" si="294">SUM(Y126)</f>
        <v>1.1400103492302358</v>
      </c>
      <c r="AN126" s="2572">
        <f t="shared" ref="AN126:AN129" si="295">SUM(Y126)</f>
        <v>1.1400103492302358</v>
      </c>
      <c r="AO126" s="2572">
        <f t="shared" ref="AO126:AO129" si="296">SUM(Y126)</f>
        <v>1.1400103492302358</v>
      </c>
      <c r="AP126" s="2555">
        <f t="shared" ref="AP126:AP129" si="297">SUM(AM126+AN126+AO126)</f>
        <v>3.4200310476907072</v>
      </c>
      <c r="AQ126" s="669">
        <f t="shared" si="71"/>
        <v>13.680124190762831</v>
      </c>
    </row>
    <row r="127" spans="1:43" ht="18.75">
      <c r="A127" s="2568" t="s">
        <v>606</v>
      </c>
      <c r="B127" s="386"/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2569">
        <f>SUM(U123*3.88%)</f>
        <v>106.15776372031955</v>
      </c>
      <c r="V127" s="667"/>
      <c r="W127" s="2569">
        <f>SUM(U127*вода!CA52/вода!BY52)</f>
        <v>105.5879917647584</v>
      </c>
      <c r="X127" s="2570">
        <f t="shared" si="274"/>
        <v>0.56977195556115134</v>
      </c>
      <c r="Y127" s="2556">
        <f t="shared" si="282"/>
        <v>8.8464803100266298</v>
      </c>
      <c r="Z127" s="2556">
        <f t="shared" si="283"/>
        <v>8.8464803100266298</v>
      </c>
      <c r="AA127" s="2556">
        <f t="shared" si="284"/>
        <v>8.8464803100266298</v>
      </c>
      <c r="AB127" s="2555">
        <f t="shared" si="285"/>
        <v>26.539440930079891</v>
      </c>
      <c r="AC127" s="2572">
        <f t="shared" si="286"/>
        <v>8.8464803100266298</v>
      </c>
      <c r="AD127" s="2572">
        <f t="shared" si="287"/>
        <v>8.8464803100266298</v>
      </c>
      <c r="AE127" s="2572">
        <f t="shared" si="288"/>
        <v>8.8464803100266298</v>
      </c>
      <c r="AF127" s="2555">
        <f t="shared" si="289"/>
        <v>26.539440930079891</v>
      </c>
      <c r="AG127" s="2555">
        <f t="shared" si="277"/>
        <v>53.078881860159782</v>
      </c>
      <c r="AH127" s="2572">
        <f t="shared" si="290"/>
        <v>8.8464803100266298</v>
      </c>
      <c r="AI127" s="2572">
        <f t="shared" si="291"/>
        <v>8.8464803100266298</v>
      </c>
      <c r="AJ127" s="2572">
        <f t="shared" si="292"/>
        <v>8.8464803100266298</v>
      </c>
      <c r="AK127" s="2555">
        <f t="shared" si="293"/>
        <v>26.539440930079891</v>
      </c>
      <c r="AL127" s="2555">
        <f t="shared" si="279"/>
        <v>79.618322790239674</v>
      </c>
      <c r="AM127" s="2572">
        <f t="shared" si="294"/>
        <v>8.8464803100266298</v>
      </c>
      <c r="AN127" s="2572">
        <f t="shared" si="295"/>
        <v>8.8464803100266298</v>
      </c>
      <c r="AO127" s="2572">
        <f t="shared" si="296"/>
        <v>8.8464803100266298</v>
      </c>
      <c r="AP127" s="2555">
        <f t="shared" si="297"/>
        <v>26.539440930079891</v>
      </c>
      <c r="AQ127" s="669">
        <f t="shared" si="71"/>
        <v>106.15776372031958</v>
      </c>
    </row>
    <row r="128" spans="1:43" ht="18.75">
      <c r="A128" s="2568" t="s">
        <v>38</v>
      </c>
      <c r="B128" s="386"/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2569">
        <v>0</v>
      </c>
      <c r="V128" s="667"/>
      <c r="W128" s="2569">
        <f>SUM(U128*вода!CA52/вода!BY52)</f>
        <v>0</v>
      </c>
      <c r="X128" s="2570">
        <f t="shared" si="274"/>
        <v>0</v>
      </c>
      <c r="Y128" s="2556">
        <f t="shared" si="282"/>
        <v>0</v>
      </c>
      <c r="Z128" s="2556">
        <f t="shared" si="283"/>
        <v>0</v>
      </c>
      <c r="AA128" s="2556">
        <f t="shared" si="284"/>
        <v>0</v>
      </c>
      <c r="AB128" s="2555">
        <f t="shared" si="285"/>
        <v>0</v>
      </c>
      <c r="AC128" s="2572">
        <f t="shared" si="286"/>
        <v>0</v>
      </c>
      <c r="AD128" s="2572">
        <f t="shared" si="287"/>
        <v>0</v>
      </c>
      <c r="AE128" s="2572">
        <f t="shared" si="288"/>
        <v>0</v>
      </c>
      <c r="AF128" s="2555">
        <f t="shared" si="289"/>
        <v>0</v>
      </c>
      <c r="AG128" s="2555">
        <f t="shared" si="277"/>
        <v>0</v>
      </c>
      <c r="AH128" s="2572">
        <f t="shared" si="290"/>
        <v>0</v>
      </c>
      <c r="AI128" s="2572">
        <f t="shared" si="291"/>
        <v>0</v>
      </c>
      <c r="AJ128" s="2572">
        <f t="shared" si="292"/>
        <v>0</v>
      </c>
      <c r="AK128" s="2555">
        <f t="shared" si="293"/>
        <v>0</v>
      </c>
      <c r="AL128" s="2555">
        <f t="shared" si="279"/>
        <v>0</v>
      </c>
      <c r="AM128" s="2572">
        <f t="shared" si="294"/>
        <v>0</v>
      </c>
      <c r="AN128" s="2572">
        <f t="shared" si="295"/>
        <v>0</v>
      </c>
      <c r="AO128" s="2572">
        <f t="shared" si="296"/>
        <v>0</v>
      </c>
      <c r="AP128" s="2555">
        <f t="shared" si="297"/>
        <v>0</v>
      </c>
      <c r="AQ128" s="669">
        <f t="shared" si="71"/>
        <v>0</v>
      </c>
    </row>
    <row r="129" spans="1:43" ht="18.75">
      <c r="A129" s="2568" t="s">
        <v>32</v>
      </c>
      <c r="B129" s="386"/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2569">
        <f>SUM(U123*0.21%)</f>
        <v>5.7456521601203878</v>
      </c>
      <c r="V129" s="667"/>
      <c r="W129" s="2569">
        <f>SUM(U129*вода!CA52/вода!BY52)</f>
        <v>5.7148139872678518</v>
      </c>
      <c r="X129" s="2570">
        <f t="shared" si="274"/>
        <v>3.0838172852535983E-2</v>
      </c>
      <c r="Y129" s="2556">
        <f t="shared" si="282"/>
        <v>0.47880434667669897</v>
      </c>
      <c r="Z129" s="2556">
        <f t="shared" si="283"/>
        <v>0.47880434667669897</v>
      </c>
      <c r="AA129" s="2556">
        <f t="shared" si="284"/>
        <v>0.47880434667669897</v>
      </c>
      <c r="AB129" s="2555">
        <f t="shared" si="285"/>
        <v>1.436413040030097</v>
      </c>
      <c r="AC129" s="2556">
        <f t="shared" si="286"/>
        <v>0.47880434667669897</v>
      </c>
      <c r="AD129" s="2556">
        <f t="shared" si="287"/>
        <v>0.47880434667669897</v>
      </c>
      <c r="AE129" s="2556">
        <f t="shared" si="288"/>
        <v>0.47880434667669897</v>
      </c>
      <c r="AF129" s="2555">
        <f t="shared" si="289"/>
        <v>1.436413040030097</v>
      </c>
      <c r="AG129" s="2555">
        <f t="shared" si="277"/>
        <v>2.8728260800601939</v>
      </c>
      <c r="AH129" s="2572">
        <f t="shared" si="290"/>
        <v>0.47880434667669897</v>
      </c>
      <c r="AI129" s="2572">
        <f t="shared" si="291"/>
        <v>0.47880434667669897</v>
      </c>
      <c r="AJ129" s="2572">
        <f t="shared" si="292"/>
        <v>0.47880434667669897</v>
      </c>
      <c r="AK129" s="2555">
        <f t="shared" si="293"/>
        <v>1.436413040030097</v>
      </c>
      <c r="AL129" s="2555">
        <f t="shared" si="279"/>
        <v>4.3092391200902913</v>
      </c>
      <c r="AM129" s="2572">
        <f t="shared" si="294"/>
        <v>0.47880434667669897</v>
      </c>
      <c r="AN129" s="2572">
        <f t="shared" si="295"/>
        <v>0.47880434667669897</v>
      </c>
      <c r="AO129" s="2572">
        <f t="shared" si="296"/>
        <v>0.47880434667669897</v>
      </c>
      <c r="AP129" s="2555">
        <f t="shared" si="297"/>
        <v>1.436413040030097</v>
      </c>
      <c r="AQ129" s="669">
        <f t="shared" ref="AQ129:AQ137" si="298">SUM(AO129+AN129+AM129+AJ129+AI129+AH129+AE129+AD129+AC129+AA129+Z129+Y129)</f>
        <v>5.7456521601203887</v>
      </c>
    </row>
    <row r="130" spans="1:43" ht="18.75">
      <c r="A130" s="2568" t="s">
        <v>607</v>
      </c>
      <c r="B130" s="386"/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2569">
        <f>SUM(U131)</f>
        <v>48.701242119115669</v>
      </c>
      <c r="V130" s="667"/>
      <c r="W130" s="2569">
        <f>SUM(U130*вода!CA52/вода!BY52)</f>
        <v>48.439851892079886</v>
      </c>
      <c r="X130" s="2569">
        <f t="shared" ref="X130:AE130" si="299">SUM(X131)</f>
        <v>0.26139022703578263</v>
      </c>
      <c r="Y130" s="2571">
        <f t="shared" si="299"/>
        <v>4.0584368432596394</v>
      </c>
      <c r="Z130" s="2571">
        <f t="shared" si="299"/>
        <v>4.0584368432596394</v>
      </c>
      <c r="AA130" s="2571">
        <f t="shared" si="299"/>
        <v>4.0584368432596394</v>
      </c>
      <c r="AB130" s="2555">
        <f t="shared" ref="AB130:AB137" si="300">SUM(Y130+Z130+AA130)</f>
        <v>12.175310529778919</v>
      </c>
      <c r="AC130" s="2571">
        <f t="shared" si="299"/>
        <v>4.0584368432596394</v>
      </c>
      <c r="AD130" s="2571">
        <f t="shared" si="299"/>
        <v>4.0584368432596394</v>
      </c>
      <c r="AE130" s="2571">
        <f t="shared" si="299"/>
        <v>4.0584368432596394</v>
      </c>
      <c r="AF130" s="2555">
        <f t="shared" ref="AF130:AF137" si="301">SUM(AC130+AD130+AE130)</f>
        <v>12.175310529778919</v>
      </c>
      <c r="AG130" s="2555">
        <f t="shared" si="277"/>
        <v>24.350621059557838</v>
      </c>
      <c r="AH130" s="2571">
        <f t="shared" ref="AH130:AJ130" si="302">SUM(AH131)</f>
        <v>4.0584368432596394</v>
      </c>
      <c r="AI130" s="2571">
        <f t="shared" si="302"/>
        <v>4.0584368432596394</v>
      </c>
      <c r="AJ130" s="2571">
        <f t="shared" si="302"/>
        <v>4.0584368432596394</v>
      </c>
      <c r="AK130" s="2555">
        <f t="shared" ref="AK130:AK137" si="303">SUM(AH130+AI130+AJ130)</f>
        <v>12.175310529778919</v>
      </c>
      <c r="AL130" s="2555">
        <f t="shared" si="279"/>
        <v>36.525931589336757</v>
      </c>
      <c r="AM130" s="2571">
        <f t="shared" ref="AM130:AO130" si="304">SUM(AM131)</f>
        <v>4.0584368432596394</v>
      </c>
      <c r="AN130" s="2571">
        <f t="shared" si="304"/>
        <v>4.0584368432596394</v>
      </c>
      <c r="AO130" s="2571">
        <f t="shared" si="304"/>
        <v>4.0584368432596394</v>
      </c>
      <c r="AP130" s="2555">
        <f t="shared" ref="AP130:AP137" si="305">SUM(AM130+AN130+AO130)</f>
        <v>12.175310529778919</v>
      </c>
      <c r="AQ130" s="669">
        <f t="shared" si="298"/>
        <v>48.701242119115683</v>
      </c>
    </row>
    <row r="131" spans="1:43" ht="18.75">
      <c r="A131" s="2573" t="s">
        <v>565</v>
      </c>
      <c r="B131" s="386"/>
      <c r="C131" s="386"/>
      <c r="D131" s="386"/>
      <c r="E131" s="386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2569">
        <f>SUM(U123*1.78%)</f>
        <v>48.701242119115669</v>
      </c>
      <c r="V131" s="667"/>
      <c r="W131" s="2569">
        <f>SUM(U131*вода!CA52/вода!BY52)</f>
        <v>48.439851892079886</v>
      </c>
      <c r="X131" s="2570">
        <f t="shared" ref="X131" si="306">SUM(U131-W131)</f>
        <v>0.26139022703578263</v>
      </c>
      <c r="Y131" s="2556">
        <f t="shared" ref="Y131" si="307">SUM(U131/12)</f>
        <v>4.0584368432596394</v>
      </c>
      <c r="Z131" s="2556">
        <f t="shared" ref="Z131" si="308">SUM(Y131)</f>
        <v>4.0584368432596394</v>
      </c>
      <c r="AA131" s="2556">
        <f t="shared" ref="AA131" si="309">SUM(Y131)</f>
        <v>4.0584368432596394</v>
      </c>
      <c r="AB131" s="2555">
        <f t="shared" si="300"/>
        <v>12.175310529778919</v>
      </c>
      <c r="AC131" s="2556">
        <f t="shared" ref="AC131" si="310">SUM(Y131)</f>
        <v>4.0584368432596394</v>
      </c>
      <c r="AD131" s="2556">
        <f t="shared" ref="AD131" si="311">SUM(Y131)</f>
        <v>4.0584368432596394</v>
      </c>
      <c r="AE131" s="2556">
        <f t="shared" ref="AE131" si="312">SUM(Y131)</f>
        <v>4.0584368432596394</v>
      </c>
      <c r="AF131" s="2555">
        <f t="shared" si="301"/>
        <v>12.175310529778919</v>
      </c>
      <c r="AG131" s="2555">
        <f t="shared" si="277"/>
        <v>24.350621059557838</v>
      </c>
      <c r="AH131" s="2556">
        <f t="shared" ref="AH131" si="313">SUM(Y131)</f>
        <v>4.0584368432596394</v>
      </c>
      <c r="AI131" s="2556">
        <f t="shared" ref="AI131" si="314">SUM(Y131)</f>
        <v>4.0584368432596394</v>
      </c>
      <c r="AJ131" s="2556">
        <f t="shared" ref="AJ131" si="315">SUM(Y131)</f>
        <v>4.0584368432596394</v>
      </c>
      <c r="AK131" s="2555">
        <f t="shared" si="303"/>
        <v>12.175310529778919</v>
      </c>
      <c r="AL131" s="2555">
        <f t="shared" si="279"/>
        <v>36.525931589336757</v>
      </c>
      <c r="AM131" s="2556">
        <f t="shared" ref="AM131" si="316">SUM(Y131)</f>
        <v>4.0584368432596394</v>
      </c>
      <c r="AN131" s="2556">
        <f t="shared" ref="AN131" si="317">SUM(Y131)</f>
        <v>4.0584368432596394</v>
      </c>
      <c r="AO131" s="2556">
        <f t="shared" ref="AO131" si="318">SUM(Y131)</f>
        <v>4.0584368432596394</v>
      </c>
      <c r="AP131" s="2555">
        <f t="shared" si="305"/>
        <v>12.175310529778919</v>
      </c>
      <c r="AQ131" s="669">
        <f t="shared" si="298"/>
        <v>48.701242119115683</v>
      </c>
    </row>
    <row r="132" spans="1:43" ht="18.75">
      <c r="A132" s="2568" t="s">
        <v>610</v>
      </c>
      <c r="B132" s="386"/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2569">
        <f>SUM(U133:U135)</f>
        <v>36.936335315059637</v>
      </c>
      <c r="V132" s="667"/>
      <c r="W132" s="2569">
        <f>SUM(U132*вода!CA52/вода!BY52)</f>
        <v>36.738089918150472</v>
      </c>
      <c r="X132" s="2569">
        <f t="shared" ref="X132:AE132" si="319">SUM(X133:X135)</f>
        <v>0.19824539690916132</v>
      </c>
      <c r="Y132" s="2571">
        <f t="shared" si="319"/>
        <v>2.719645169454826</v>
      </c>
      <c r="Z132" s="2571">
        <f t="shared" si="319"/>
        <v>2.719645169454826</v>
      </c>
      <c r="AA132" s="2571">
        <f t="shared" si="319"/>
        <v>2.719645169454826</v>
      </c>
      <c r="AB132" s="2555">
        <f t="shared" si="300"/>
        <v>8.158935508364479</v>
      </c>
      <c r="AC132" s="2571">
        <f t="shared" si="319"/>
        <v>2.7511641755903438</v>
      </c>
      <c r="AD132" s="2571">
        <f t="shared" si="319"/>
        <v>3.2729788327228011</v>
      </c>
      <c r="AE132" s="2571">
        <f t="shared" si="319"/>
        <v>3.7282533657913874</v>
      </c>
      <c r="AF132" s="2555">
        <f t="shared" si="301"/>
        <v>9.7523963741045314</v>
      </c>
      <c r="AG132" s="2555">
        <f t="shared" si="277"/>
        <v>17.91133188246901</v>
      </c>
      <c r="AH132" s="2571">
        <f t="shared" ref="AH132:AJ132" si="320">SUM(AH133:AH135)</f>
        <v>3.8648357257119641</v>
      </c>
      <c r="AI132" s="2571">
        <f t="shared" si="320"/>
        <v>3.7282533657913874</v>
      </c>
      <c r="AJ132" s="2571">
        <f t="shared" si="320"/>
        <v>3.2729788327228011</v>
      </c>
      <c r="AK132" s="2555">
        <f t="shared" si="303"/>
        <v>10.866067924226153</v>
      </c>
      <c r="AL132" s="2555">
        <f t="shared" si="279"/>
        <v>28.777399806695165</v>
      </c>
      <c r="AM132" s="2571">
        <f t="shared" ref="AM132:AO132" si="321">SUM(AM133:AM135)</f>
        <v>2.719645169454826</v>
      </c>
      <c r="AN132" s="2571">
        <f t="shared" si="321"/>
        <v>2.719645169454826</v>
      </c>
      <c r="AO132" s="2571">
        <f t="shared" si="321"/>
        <v>2.719645169454826</v>
      </c>
      <c r="AP132" s="2555">
        <f t="shared" si="305"/>
        <v>8.158935508364479</v>
      </c>
      <c r="AQ132" s="669">
        <f t="shared" si="298"/>
        <v>36.936335315059644</v>
      </c>
    </row>
    <row r="133" spans="1:43" ht="18.75">
      <c r="A133" s="2573" t="s">
        <v>552</v>
      </c>
      <c r="B133" s="386"/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2569">
        <f>SUM(U123*1.28%)</f>
        <v>35.021117928352844</v>
      </c>
      <c r="V133" s="667"/>
      <c r="W133" s="2569">
        <f>SUM(U133*вода!CA52/вода!BY52)</f>
        <v>34.833151922394528</v>
      </c>
      <c r="X133" s="2570">
        <f t="shared" ref="X133:X135" si="322">SUM(U133-W133)</f>
        <v>0.18796600595831592</v>
      </c>
      <c r="Y133" s="2556">
        <f>SUM(U133*7.31%)</f>
        <v>2.560043720562593</v>
      </c>
      <c r="Z133" s="2556">
        <f>SUM(U133*7.31%)</f>
        <v>2.560043720562593</v>
      </c>
      <c r="AA133" s="2556">
        <f>SUM(U133*7.31%)</f>
        <v>2.560043720562593</v>
      </c>
      <c r="AB133" s="2555">
        <f t="shared" ref="AB133:AB135" si="323">SUM(Y133+Z133+AA133)</f>
        <v>7.680131161687779</v>
      </c>
      <c r="AC133" s="2556">
        <f>SUM(U133*7.4%)</f>
        <v>2.5915627266981107</v>
      </c>
      <c r="AD133" s="2556">
        <f>SUM(U133*8.89%)</f>
        <v>3.1133773838305681</v>
      </c>
      <c r="AE133" s="2556">
        <f>SUM(U133*10.19%)</f>
        <v>3.5686519168991544</v>
      </c>
      <c r="AF133" s="2555">
        <f t="shared" ref="AF133:AF135" si="324">SUM(AC133+AD133+AE133)</f>
        <v>9.2735920274278332</v>
      </c>
      <c r="AG133" s="2555">
        <f t="shared" si="277"/>
        <v>16.953723189115614</v>
      </c>
      <c r="AH133" s="2556">
        <f>SUM(U133*10.58%)</f>
        <v>3.7052342768197311</v>
      </c>
      <c r="AI133" s="2556">
        <f>SUM(U133*10.19%)</f>
        <v>3.5686519168991544</v>
      </c>
      <c r="AJ133" s="2556">
        <f>SUM(U133*8.89%)</f>
        <v>3.1133773838305681</v>
      </c>
      <c r="AK133" s="2555">
        <f t="shared" ref="AK133:AK135" si="325">SUM(AH133+AI133+AJ133)</f>
        <v>10.387263577549454</v>
      </c>
      <c r="AL133" s="2555">
        <f t="shared" si="279"/>
        <v>27.340986766665068</v>
      </c>
      <c r="AM133" s="2556">
        <f>SUM(U133*7.31%)</f>
        <v>2.560043720562593</v>
      </c>
      <c r="AN133" s="2556">
        <f>SUM(U133*7.31%)</f>
        <v>2.560043720562593</v>
      </c>
      <c r="AO133" s="2556">
        <f>SUM(U133*7.31%)</f>
        <v>2.560043720562593</v>
      </c>
      <c r="AP133" s="2555">
        <f t="shared" ref="AP133:AP135" si="326">SUM(AM133+AN133+AO133)</f>
        <v>7.680131161687779</v>
      </c>
      <c r="AQ133" s="669">
        <f t="shared" si="298"/>
        <v>35.021117928352837</v>
      </c>
    </row>
    <row r="134" spans="1:43" ht="18.75">
      <c r="A134" s="2573" t="s">
        <v>644</v>
      </c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2569">
        <f>SUM(U123*0.07%)</f>
        <v>1.9152173867067963</v>
      </c>
      <c r="V134" s="667"/>
      <c r="W134" s="2569">
        <f>SUM(U134*вода!CA52/вода!BY52)</f>
        <v>1.9049379957559509</v>
      </c>
      <c r="X134" s="2570">
        <f t="shared" si="322"/>
        <v>1.0279390950845402E-2</v>
      </c>
      <c r="Y134" s="2556">
        <f t="shared" ref="Y134:Y135" si="327">SUM(U134/12)</f>
        <v>0.15960144889223302</v>
      </c>
      <c r="Z134" s="2556">
        <f t="shared" ref="Z134:Z135" si="328">SUM(Y134)</f>
        <v>0.15960144889223302</v>
      </c>
      <c r="AA134" s="2556">
        <f t="shared" ref="AA134:AA135" si="329">SUM(Y134)</f>
        <v>0.15960144889223302</v>
      </c>
      <c r="AB134" s="2555">
        <f t="shared" si="323"/>
        <v>0.47880434667669902</v>
      </c>
      <c r="AC134" s="2572">
        <f t="shared" ref="AC134:AC135" si="330">SUM(Y134)</f>
        <v>0.15960144889223302</v>
      </c>
      <c r="AD134" s="2572">
        <f t="shared" ref="AD134:AD135" si="331">SUM(Y134)</f>
        <v>0.15960144889223302</v>
      </c>
      <c r="AE134" s="2572">
        <f t="shared" ref="AE134:AE135" si="332">SUM(Y134)</f>
        <v>0.15960144889223302</v>
      </c>
      <c r="AF134" s="2555">
        <f t="shared" si="324"/>
        <v>0.47880434667669902</v>
      </c>
      <c r="AG134" s="2555">
        <f t="shared" si="277"/>
        <v>0.95760869335339804</v>
      </c>
      <c r="AH134" s="2572">
        <f t="shared" ref="AH134:AH135" si="333">SUM(Y134)</f>
        <v>0.15960144889223302</v>
      </c>
      <c r="AI134" s="2572">
        <f t="shared" ref="AI134:AI135" si="334">SUM(Y134)</f>
        <v>0.15960144889223302</v>
      </c>
      <c r="AJ134" s="2572">
        <f t="shared" ref="AJ134:AJ135" si="335">SUM(Y134)</f>
        <v>0.15960144889223302</v>
      </c>
      <c r="AK134" s="2555">
        <f t="shared" si="325"/>
        <v>0.47880434667669902</v>
      </c>
      <c r="AL134" s="2555">
        <f t="shared" si="279"/>
        <v>1.436413040030097</v>
      </c>
      <c r="AM134" s="2572">
        <f t="shared" ref="AM134:AM135" si="336">SUM(Y134)</f>
        <v>0.15960144889223302</v>
      </c>
      <c r="AN134" s="2572">
        <f t="shared" ref="AN134:AN135" si="337">SUM(Y134)</f>
        <v>0.15960144889223302</v>
      </c>
      <c r="AO134" s="2572">
        <f t="shared" ref="AO134:AO135" si="338">SUM(Y134)</f>
        <v>0.15960144889223302</v>
      </c>
      <c r="AP134" s="2555">
        <f t="shared" si="326"/>
        <v>0.47880434667669902</v>
      </c>
      <c r="AQ134" s="669">
        <f t="shared" si="298"/>
        <v>1.9152173867067963</v>
      </c>
    </row>
    <row r="135" spans="1:43" ht="18.75">
      <c r="A135" s="2580" t="s">
        <v>614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2581">
        <v>0</v>
      </c>
      <c r="V135" s="667"/>
      <c r="W135" s="2569">
        <f>SUM(U135*вода!CA52/вода!BY52)</f>
        <v>0</v>
      </c>
      <c r="X135" s="2582">
        <f t="shared" si="322"/>
        <v>0</v>
      </c>
      <c r="Y135" s="2583">
        <f t="shared" si="327"/>
        <v>0</v>
      </c>
      <c r="Z135" s="2583">
        <f t="shared" si="328"/>
        <v>0</v>
      </c>
      <c r="AA135" s="2583">
        <f t="shared" si="329"/>
        <v>0</v>
      </c>
      <c r="AB135" s="2557">
        <f t="shared" si="323"/>
        <v>0</v>
      </c>
      <c r="AC135" s="2584">
        <f t="shared" si="330"/>
        <v>0</v>
      </c>
      <c r="AD135" s="2584">
        <f t="shared" si="331"/>
        <v>0</v>
      </c>
      <c r="AE135" s="2584">
        <f t="shared" si="332"/>
        <v>0</v>
      </c>
      <c r="AF135" s="2557">
        <f t="shared" si="324"/>
        <v>0</v>
      </c>
      <c r="AG135" s="2557">
        <f t="shared" si="277"/>
        <v>0</v>
      </c>
      <c r="AH135" s="2584">
        <f t="shared" si="333"/>
        <v>0</v>
      </c>
      <c r="AI135" s="2584">
        <f t="shared" si="334"/>
        <v>0</v>
      </c>
      <c r="AJ135" s="2584">
        <f t="shared" si="335"/>
        <v>0</v>
      </c>
      <c r="AK135" s="2557">
        <f t="shared" si="325"/>
        <v>0</v>
      </c>
      <c r="AL135" s="2557">
        <f t="shared" si="279"/>
        <v>0</v>
      </c>
      <c r="AM135" s="2584">
        <f t="shared" si="336"/>
        <v>0</v>
      </c>
      <c r="AN135" s="2584">
        <f t="shared" si="337"/>
        <v>0</v>
      </c>
      <c r="AO135" s="2584">
        <f t="shared" si="338"/>
        <v>0</v>
      </c>
      <c r="AP135" s="2557">
        <f t="shared" si="326"/>
        <v>0</v>
      </c>
      <c r="AQ135" s="669">
        <f t="shared" si="298"/>
        <v>0</v>
      </c>
    </row>
    <row r="136" spans="1:43" ht="19.5">
      <c r="A136" s="2585" t="s">
        <v>54</v>
      </c>
      <c r="B136" s="2586"/>
      <c r="C136" s="2586"/>
      <c r="D136" s="2586"/>
      <c r="E136" s="2586"/>
      <c r="F136" s="2586"/>
      <c r="G136" s="2586"/>
      <c r="H136" s="2586"/>
      <c r="I136" s="2586"/>
      <c r="J136" s="2586"/>
      <c r="K136" s="2586"/>
      <c r="L136" s="2586"/>
      <c r="M136" s="2586"/>
      <c r="N136" s="2586"/>
      <c r="O136" s="2586"/>
      <c r="P136" s="2586"/>
      <c r="Q136" s="2586"/>
      <c r="R136" s="2586"/>
      <c r="S136" s="2586"/>
      <c r="T136" s="2586"/>
      <c r="U136" s="2564">
        <f>SUM(U63+U79+U106+U123)</f>
        <v>19752.050813946229</v>
      </c>
      <c r="V136" s="2587"/>
      <c r="W136" s="2564">
        <f>SUM(W63+W79+W106+W123)</f>
        <v>19701.936459708602</v>
      </c>
      <c r="X136" s="2564">
        <f>SUM(X63+X79+X106+X123)</f>
        <v>50.11435423762282</v>
      </c>
      <c r="Y136" s="2566">
        <f>SUM(Y63+Y79+Y106+Y123)</f>
        <v>1956.1587320419364</v>
      </c>
      <c r="Z136" s="2566">
        <f t="shared" ref="Z136:AA136" si="339">SUM(Z63+Z79+Z106+Z123)</f>
        <v>1859.2014602321169</v>
      </c>
      <c r="AA136" s="2566">
        <f t="shared" si="339"/>
        <v>1817.2116475469747</v>
      </c>
      <c r="AB136" s="2567">
        <f t="shared" si="300"/>
        <v>5632.5718398210283</v>
      </c>
      <c r="AC136" s="2566">
        <f>SUM(AC63+AC79+AC106+AC123)</f>
        <v>1671.0170626237189</v>
      </c>
      <c r="AD136" s="2566">
        <f t="shared" ref="AD136:AE136" si="340">SUM(AD63+AD79+AD106+AD123)</f>
        <v>1379.3831637844823</v>
      </c>
      <c r="AE136" s="2566">
        <f t="shared" si="340"/>
        <v>1292.3381439109739</v>
      </c>
      <c r="AF136" s="2567">
        <f t="shared" si="301"/>
        <v>4342.7383703191754</v>
      </c>
      <c r="AG136" s="2567">
        <f t="shared" si="277"/>
        <v>9975.3102101402037</v>
      </c>
      <c r="AH136" s="2566">
        <f>SUM(AH63+AH79+AH106+AH123)</f>
        <v>1345.1914518890169</v>
      </c>
      <c r="AI136" s="2566">
        <f t="shared" ref="AI136:AJ136" si="341">SUM(AI63+AI79+AI106+AI123)</f>
        <v>1343.9281250874378</v>
      </c>
      <c r="AJ136" s="2566">
        <f t="shared" si="341"/>
        <v>1506.9441371873888</v>
      </c>
      <c r="AK136" s="2567">
        <f t="shared" si="303"/>
        <v>4196.0637141638435</v>
      </c>
      <c r="AL136" s="2567">
        <f t="shared" si="279"/>
        <v>14171.373924304047</v>
      </c>
      <c r="AM136" s="2566">
        <f>SUM(AM63+AM79+AM106+AM123)</f>
        <v>1745.6647682955079</v>
      </c>
      <c r="AN136" s="2566">
        <f t="shared" ref="AN136:AO136" si="342">SUM(AN63+AN79+AN106+AN123)</f>
        <v>1851.4933491685608</v>
      </c>
      <c r="AO136" s="2566">
        <f t="shared" si="342"/>
        <v>1983.5187721781131</v>
      </c>
      <c r="AP136" s="2567">
        <f t="shared" si="305"/>
        <v>5580.6768896421818</v>
      </c>
      <c r="AQ136" s="669">
        <f t="shared" si="298"/>
        <v>19752.050813946229</v>
      </c>
    </row>
    <row r="137" spans="1:43" ht="19.5">
      <c r="A137" s="2585" t="s">
        <v>611</v>
      </c>
      <c r="B137" s="2585" t="s">
        <v>54</v>
      </c>
      <c r="C137" s="2585" t="s">
        <v>54</v>
      </c>
      <c r="D137" s="2585" t="s">
        <v>54</v>
      </c>
      <c r="E137" s="2585" t="s">
        <v>54</v>
      </c>
      <c r="F137" s="2585" t="s">
        <v>54</v>
      </c>
      <c r="G137" s="2585" t="s">
        <v>54</v>
      </c>
      <c r="H137" s="2585" t="s">
        <v>54</v>
      </c>
      <c r="I137" s="2585" t="s">
        <v>54</v>
      </c>
      <c r="J137" s="2585" t="s">
        <v>54</v>
      </c>
      <c r="K137" s="2585" t="s">
        <v>54</v>
      </c>
      <c r="L137" s="2585" t="s">
        <v>54</v>
      </c>
      <c r="M137" s="2585" t="s">
        <v>54</v>
      </c>
      <c r="N137" s="2585" t="s">
        <v>54</v>
      </c>
      <c r="O137" s="2585" t="s">
        <v>54</v>
      </c>
      <c r="P137" s="2585" t="s">
        <v>54</v>
      </c>
      <c r="Q137" s="2585" t="s">
        <v>54</v>
      </c>
      <c r="R137" s="2585" t="s">
        <v>54</v>
      </c>
      <c r="S137" s="2585" t="s">
        <v>54</v>
      </c>
      <c r="T137" s="2585" t="s">
        <v>54</v>
      </c>
      <c r="U137" s="2588">
        <f>SUM(U136-U91-U92)</f>
        <v>19752.050813946229</v>
      </c>
      <c r="V137" s="2587"/>
      <c r="W137" s="2588">
        <f>SUM(W136-W91-W92)</f>
        <v>19701.936459708602</v>
      </c>
      <c r="X137" s="2588">
        <f>SUM(X136-X91-X92)</f>
        <v>50.11435423762282</v>
      </c>
      <c r="Y137" s="2589">
        <f>SUM(Y136-Y91-Y92)</f>
        <v>1956.1587320419364</v>
      </c>
      <c r="Z137" s="2589">
        <f t="shared" ref="Z137:AA137" si="343">SUM(Z136-Z91-Z92)</f>
        <v>1859.2014602321169</v>
      </c>
      <c r="AA137" s="2589">
        <f t="shared" si="343"/>
        <v>1817.2116475469747</v>
      </c>
      <c r="AB137" s="2567">
        <f t="shared" si="300"/>
        <v>5632.5718398210283</v>
      </c>
      <c r="AC137" s="2589">
        <f>SUM(AC136-AC91-AC92)</f>
        <v>1671.0170626237189</v>
      </c>
      <c r="AD137" s="2589">
        <f t="shared" ref="AD137:AE137" si="344">SUM(AD136-AD91-AD92)</f>
        <v>1379.3831637844823</v>
      </c>
      <c r="AE137" s="2589">
        <f t="shared" si="344"/>
        <v>1292.3381439109739</v>
      </c>
      <c r="AF137" s="2567">
        <f t="shared" si="301"/>
        <v>4342.7383703191754</v>
      </c>
      <c r="AG137" s="2567">
        <f t="shared" si="277"/>
        <v>9975.3102101402037</v>
      </c>
      <c r="AH137" s="2589">
        <f>SUM(AH136-AH91-AH92)</f>
        <v>1345.1914518890169</v>
      </c>
      <c r="AI137" s="2589">
        <f t="shared" ref="AI137:AJ137" si="345">SUM(AI136-AI91-AI92)</f>
        <v>1343.9281250874378</v>
      </c>
      <c r="AJ137" s="2589">
        <f t="shared" si="345"/>
        <v>1506.9441371873888</v>
      </c>
      <c r="AK137" s="2567">
        <f t="shared" si="303"/>
        <v>4196.0637141638435</v>
      </c>
      <c r="AL137" s="2567">
        <f t="shared" si="279"/>
        <v>14171.373924304047</v>
      </c>
      <c r="AM137" s="2589">
        <f>SUM(AM136-AM91-AM92)</f>
        <v>1745.6647682955079</v>
      </c>
      <c r="AN137" s="2589">
        <f t="shared" ref="AN137:AO137" si="346">SUM(AN136-AN91-AN92)</f>
        <v>1851.4933491685608</v>
      </c>
      <c r="AO137" s="2589">
        <f t="shared" si="346"/>
        <v>1983.5187721781131</v>
      </c>
      <c r="AP137" s="2567">
        <f t="shared" si="305"/>
        <v>5580.6768896421818</v>
      </c>
      <c r="AQ137" s="669">
        <f t="shared" si="298"/>
        <v>19752.050813946229</v>
      </c>
    </row>
    <row r="144" spans="1:43">
      <c r="U144" s="386">
        <v>1</v>
      </c>
      <c r="W144" s="386">
        <v>2</v>
      </c>
      <c r="X144" s="386">
        <v>3</v>
      </c>
      <c r="Y144" s="386">
        <v>4</v>
      </c>
      <c r="Z144" s="386">
        <v>5</v>
      </c>
      <c r="AA144" s="386">
        <v>6</v>
      </c>
      <c r="AB144" s="386">
        <v>7</v>
      </c>
      <c r="AC144" s="386">
        <v>8</v>
      </c>
      <c r="AD144" s="386">
        <v>9</v>
      </c>
      <c r="AE144" s="386">
        <v>10</v>
      </c>
      <c r="AF144" s="386">
        <v>11</v>
      </c>
      <c r="AG144" s="386">
        <v>12</v>
      </c>
      <c r="AH144" t="s">
        <v>301</v>
      </c>
      <c r="AI144"/>
    </row>
    <row r="145" spans="1:35">
      <c r="A145" t="s">
        <v>37</v>
      </c>
      <c r="U145" s="2597">
        <v>3800</v>
      </c>
      <c r="W145" s="2597">
        <f>SUM(U145)</f>
        <v>3800</v>
      </c>
      <c r="X145" s="2597">
        <f>SUM(U145)</f>
        <v>3800</v>
      </c>
      <c r="Y145" s="2597">
        <v>3850</v>
      </c>
      <c r="Z145" s="2597">
        <v>4625</v>
      </c>
      <c r="AA145" s="2597">
        <v>5300</v>
      </c>
      <c r="AB145" s="128">
        <v>5500</v>
      </c>
      <c r="AC145" s="128">
        <v>5300</v>
      </c>
      <c r="AD145" s="128">
        <v>4625</v>
      </c>
      <c r="AE145" s="128">
        <f>SUM(U145)</f>
        <v>3800</v>
      </c>
      <c r="AF145" s="128">
        <f>SUM(U145)</f>
        <v>3800</v>
      </c>
      <c r="AG145" s="128">
        <f>SUM(U145)</f>
        <v>3800</v>
      </c>
      <c r="AH145">
        <v>52000</v>
      </c>
      <c r="AI145" s="128">
        <f>SUM(U145:AG145)</f>
        <v>52000</v>
      </c>
    </row>
    <row r="146" spans="1:35">
      <c r="U146" s="2597">
        <f>SUM(U145/AH145*100)</f>
        <v>7.3076923076923084</v>
      </c>
      <c r="W146" s="2597">
        <f>SUM(W145/AH145*100)</f>
        <v>7.3076923076923084</v>
      </c>
      <c r="X146" s="2597">
        <f>SUM(X145/AH145*100)</f>
        <v>7.3076923076923084</v>
      </c>
      <c r="Y146" s="2597">
        <f>SUM(Y145/AH145*100)</f>
        <v>7.4038461538461542</v>
      </c>
      <c r="Z146" s="2597">
        <f>SUM(Z145/AH145*100)</f>
        <v>8.8942307692307701</v>
      </c>
      <c r="AA146" s="2597">
        <f>SUM(AA145/AH145*100)</f>
        <v>10.192307692307692</v>
      </c>
      <c r="AB146" s="2597">
        <f>SUM(AB145/AH145*100)</f>
        <v>10.576923076923077</v>
      </c>
      <c r="AC146" s="2597">
        <f>SUM(AC145/AH145*100)</f>
        <v>10.192307692307692</v>
      </c>
      <c r="AD146" s="2597">
        <f>SUM(AD145/AH145*100)</f>
        <v>8.8942307692307701</v>
      </c>
      <c r="AE146" s="2597">
        <f>SUM(AE145/AH145*100)</f>
        <v>7.3076923076923084</v>
      </c>
      <c r="AF146" s="2597">
        <f>SUM(AF145/AH145*100)</f>
        <v>7.3076923076923084</v>
      </c>
      <c r="AG146" s="2597">
        <f>SUM(AG145/AH145*100)</f>
        <v>7.3076923076923084</v>
      </c>
      <c r="AH146" s="128">
        <f>SUM(U146:AG146)</f>
        <v>100.00000000000001</v>
      </c>
      <c r="AI146"/>
    </row>
  </sheetData>
  <mergeCells count="180">
    <mergeCell ref="AS54:AU54"/>
    <mergeCell ref="A1:AU1"/>
    <mergeCell ref="A2:AU2"/>
    <mergeCell ref="AM4:AO4"/>
    <mergeCell ref="AS45:AU45"/>
    <mergeCell ref="AS46:AU46"/>
    <mergeCell ref="AS47:AU47"/>
    <mergeCell ref="AS48:AU48"/>
    <mergeCell ref="AS49:AU49"/>
    <mergeCell ref="AS50:AU50"/>
    <mergeCell ref="AS51:AU51"/>
    <mergeCell ref="AS52:AU52"/>
    <mergeCell ref="AS53:AU53"/>
    <mergeCell ref="AS36:AU36"/>
    <mergeCell ref="AS37:AU37"/>
    <mergeCell ref="AS38:AU38"/>
    <mergeCell ref="AS39:AU39"/>
    <mergeCell ref="AS40:AU40"/>
    <mergeCell ref="AS41:AU41"/>
    <mergeCell ref="AS42:AU42"/>
    <mergeCell ref="AS43:AU43"/>
    <mergeCell ref="AS44:AU44"/>
    <mergeCell ref="AS27:AU27"/>
    <mergeCell ref="AS28:AU28"/>
    <mergeCell ref="AS29:AU29"/>
    <mergeCell ref="AS30:AU30"/>
    <mergeCell ref="AS31:AU31"/>
    <mergeCell ref="AS32:AU32"/>
    <mergeCell ref="AS33:AU33"/>
    <mergeCell ref="AS34:AU34"/>
    <mergeCell ref="AS35:AU35"/>
    <mergeCell ref="AS18:AU18"/>
    <mergeCell ref="AS19:AU19"/>
    <mergeCell ref="AS20:AU20"/>
    <mergeCell ref="AS21:AU21"/>
    <mergeCell ref="AS22:AU22"/>
    <mergeCell ref="AS23:AU23"/>
    <mergeCell ref="AS24:AU24"/>
    <mergeCell ref="AS25:AU25"/>
    <mergeCell ref="AS26:AU26"/>
    <mergeCell ref="AS9:AU9"/>
    <mergeCell ref="AS10:AU10"/>
    <mergeCell ref="AS11:AU11"/>
    <mergeCell ref="AS12:AU12"/>
    <mergeCell ref="AS13:AU13"/>
    <mergeCell ref="AS14:AU14"/>
    <mergeCell ref="AS15:AU15"/>
    <mergeCell ref="AS16:AU16"/>
    <mergeCell ref="AS17:AU17"/>
    <mergeCell ref="AM5:AM7"/>
    <mergeCell ref="AN5:AN7"/>
    <mergeCell ref="AO5:AO7"/>
    <mergeCell ref="AP4:AR4"/>
    <mergeCell ref="AS4:AU7"/>
    <mergeCell ref="AP5:AP7"/>
    <mergeCell ref="AQ5:AQ7"/>
    <mergeCell ref="AR5:AR7"/>
    <mergeCell ref="AS8:AU8"/>
    <mergeCell ref="AL4:AL7"/>
    <mergeCell ref="AI21:AK21"/>
    <mergeCell ref="AI22:AK22"/>
    <mergeCell ref="AB5:AB7"/>
    <mergeCell ref="AC5:AC7"/>
    <mergeCell ref="AI14:AK14"/>
    <mergeCell ref="AI15:AK15"/>
    <mergeCell ref="AI16:AK16"/>
    <mergeCell ref="AI17:AK17"/>
    <mergeCell ref="AI18:AK18"/>
    <mergeCell ref="AI4:AK7"/>
    <mergeCell ref="AI8:AK8"/>
    <mergeCell ref="AI11:AK11"/>
    <mergeCell ref="AI12:AK12"/>
    <mergeCell ref="AI13:AK13"/>
    <mergeCell ref="AI9:AK9"/>
    <mergeCell ref="AI10:AK10"/>
    <mergeCell ref="AI19:AK19"/>
    <mergeCell ref="AI20:AK20"/>
    <mergeCell ref="AA4:AE4"/>
    <mergeCell ref="AF4:AH4"/>
    <mergeCell ref="Z5:Z7"/>
    <mergeCell ref="AD5:AD7"/>
    <mergeCell ref="AE5:AE7"/>
    <mergeCell ref="AF5:AF7"/>
    <mergeCell ref="AG5:AG7"/>
    <mergeCell ref="AH5:AH7"/>
    <mergeCell ref="AA5:AA7"/>
    <mergeCell ref="G5:G7"/>
    <mergeCell ref="U5:U7"/>
    <mergeCell ref="V5:V7"/>
    <mergeCell ref="S5:S7"/>
    <mergeCell ref="W5:W7"/>
    <mergeCell ref="X5:X7"/>
    <mergeCell ref="Y5:Y7"/>
    <mergeCell ref="F5:F7"/>
    <mergeCell ref="U4:Z4"/>
    <mergeCell ref="A49:C49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D5:D7"/>
    <mergeCell ref="Q5:Q7"/>
    <mergeCell ref="AI23:AK23"/>
    <mergeCell ref="AI24:AK24"/>
    <mergeCell ref="AI25:AK25"/>
    <mergeCell ref="AI26:AK26"/>
    <mergeCell ref="AI27:AK27"/>
    <mergeCell ref="A53:C53"/>
    <mergeCell ref="A54:C54"/>
    <mergeCell ref="AI37:AK37"/>
    <mergeCell ref="AI43:AK43"/>
    <mergeCell ref="AI44:AK44"/>
    <mergeCell ref="AI51:AK51"/>
    <mergeCell ref="AI52:AK52"/>
    <mergeCell ref="AI53:AK53"/>
    <mergeCell ref="AI54:AK54"/>
    <mergeCell ref="AI50:AK50"/>
    <mergeCell ref="AI45:AK45"/>
    <mergeCell ref="AI46:AK46"/>
    <mergeCell ref="AI47:AK47"/>
    <mergeCell ref="A48:C48"/>
    <mergeCell ref="A51:C51"/>
    <mergeCell ref="A52:C52"/>
    <mergeCell ref="A47:C47"/>
    <mergeCell ref="AI28:AK28"/>
    <mergeCell ref="AI29:AK29"/>
    <mergeCell ref="AI48:AK48"/>
    <mergeCell ref="AI49:AK49"/>
    <mergeCell ref="AI38:AK38"/>
    <mergeCell ref="AI39:AK39"/>
    <mergeCell ref="AI40:AK40"/>
    <mergeCell ref="AI41:AK41"/>
    <mergeCell ref="AI32:AK32"/>
    <mergeCell ref="AI33:AK33"/>
    <mergeCell ref="AI30:AK30"/>
    <mergeCell ref="AI31:AK31"/>
    <mergeCell ref="AI34:AK34"/>
    <mergeCell ref="AI35:AK35"/>
    <mergeCell ref="AI36:AK36"/>
    <mergeCell ref="AI42:AK42"/>
    <mergeCell ref="AP61:AP62"/>
    <mergeCell ref="AQ61:AQ62"/>
    <mergeCell ref="AK61:AK62"/>
    <mergeCell ref="AL61:AL62"/>
    <mergeCell ref="AM61:AM62"/>
    <mergeCell ref="AN61:AN62"/>
    <mergeCell ref="AO61:AO62"/>
    <mergeCell ref="A59:AP59"/>
    <mergeCell ref="A61:A62"/>
    <mergeCell ref="U61:U62"/>
    <mergeCell ref="W61:X61"/>
    <mergeCell ref="Y61:Y62"/>
    <mergeCell ref="Z61:Z62"/>
    <mergeCell ref="AA61:AA62"/>
    <mergeCell ref="AB61:AB62"/>
    <mergeCell ref="AC61:AC62"/>
    <mergeCell ref="AD61:AD62"/>
    <mergeCell ref="AE61:AE62"/>
    <mergeCell ref="AF61:AF62"/>
    <mergeCell ref="AG61:AG62"/>
    <mergeCell ref="AH61:AH62"/>
    <mergeCell ref="AI61:AI62"/>
    <mergeCell ref="AJ61:AJ62"/>
  </mergeCells>
  <phoneticPr fontId="7" type="noConversion"/>
  <printOptions horizontalCentered="1" verticalCentered="1"/>
  <pageMargins left="0.35433070866141736" right="0.35433070866141736" top="0.39370078740157483" bottom="0.39370078740157483" header="0" footer="0"/>
  <pageSetup paperSize="9" scale="3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X318"/>
  <sheetViews>
    <sheetView topLeftCell="A54" zoomScale="50" zoomScaleNormal="50" zoomScalePageLayoutView="80" workbookViewId="0">
      <selection activeCell="A193" sqref="A193:AS258"/>
    </sheetView>
  </sheetViews>
  <sheetFormatPr defaultRowHeight="12.75" outlineLevelCol="1"/>
  <cols>
    <col min="1" max="1" width="50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42" hidden="1" customWidth="1" collapsed="1"/>
    <col min="20" max="21" width="10.42578125" style="342" hidden="1" customWidth="1" outlineLevel="1"/>
    <col min="22" max="22" width="13.28515625" style="645" customWidth="1" collapsed="1"/>
    <col min="23" max="23" width="10" hidden="1" customWidth="1" outlineLevel="1"/>
    <col min="24" max="24" width="12.85546875" style="386" customWidth="1" collapsed="1"/>
    <col min="25" max="25" width="13.7109375" style="386" hidden="1" customWidth="1"/>
    <col min="26" max="26" width="12.85546875" style="386" hidden="1" customWidth="1"/>
    <col min="27" max="27" width="13.5703125" style="386" customWidth="1"/>
    <col min="28" max="29" width="12.85546875" style="386" customWidth="1"/>
    <col min="30" max="30" width="12.85546875" customWidth="1"/>
    <col min="31" max="31" width="16" customWidth="1"/>
    <col min="32" max="32" width="17.140625" customWidth="1"/>
    <col min="33" max="33" width="12.85546875" customWidth="1"/>
    <col min="34" max="34" width="18.140625" customWidth="1"/>
    <col min="35" max="35" width="16.85546875" customWidth="1"/>
    <col min="36" max="39" width="12.85546875" customWidth="1"/>
    <col min="40" max="41" width="13.7109375" customWidth="1"/>
    <col min="42" max="42" width="14.28515625" customWidth="1"/>
    <col min="43" max="45" width="13.7109375" customWidth="1"/>
    <col min="46" max="50" width="12.85546875" customWidth="1"/>
  </cols>
  <sheetData>
    <row r="1" spans="1:45">
      <c r="A1" s="4426" t="s">
        <v>1532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</row>
    <row r="2" spans="1:45" ht="25.5">
      <c r="A2" s="4912" t="s">
        <v>82</v>
      </c>
      <c r="B2" s="4912"/>
      <c r="C2" s="4912"/>
      <c r="D2" s="4912"/>
      <c r="E2" s="4912"/>
      <c r="F2" s="4912"/>
      <c r="G2" s="4912"/>
      <c r="H2" s="4912"/>
      <c r="I2" s="4912"/>
      <c r="J2" s="4912"/>
      <c r="K2" s="4912"/>
      <c r="L2" s="4912"/>
      <c r="M2" s="4912"/>
      <c r="N2" s="4912"/>
      <c r="O2" s="4912"/>
      <c r="P2" s="4912"/>
      <c r="Q2" s="4912"/>
      <c r="R2" s="4912"/>
      <c r="S2" s="4912"/>
      <c r="T2" s="4912"/>
      <c r="U2" s="4912"/>
      <c r="V2" s="4912"/>
      <c r="W2" s="4912"/>
      <c r="X2" s="4912"/>
      <c r="Y2" s="4912"/>
      <c r="Z2" s="4912"/>
      <c r="AA2" s="4912"/>
      <c r="AB2" s="4912"/>
      <c r="AC2" s="4912"/>
      <c r="AD2" s="4912"/>
      <c r="AE2" s="4912"/>
      <c r="AF2" s="4912"/>
      <c r="AG2" s="4912"/>
      <c r="AH2" s="4912"/>
      <c r="AI2" s="4912"/>
      <c r="AJ2" s="4912"/>
      <c r="AK2" s="4869"/>
      <c r="AL2" s="4869"/>
      <c r="AM2" s="4869"/>
      <c r="AN2" s="4869"/>
      <c r="AO2" s="4869"/>
      <c r="AP2" s="4869"/>
      <c r="AQ2" s="4869"/>
      <c r="AR2" s="4869"/>
      <c r="AS2" s="4869"/>
    </row>
    <row r="3" spans="1:45" ht="15.75">
      <c r="A3" s="437"/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8"/>
      <c r="T3" s="438"/>
      <c r="U3" s="438"/>
      <c r="V3" s="441"/>
      <c r="W3" s="5"/>
      <c r="X3" s="441"/>
      <c r="Y3" s="441"/>
      <c r="Z3" s="441"/>
      <c r="AA3" s="441"/>
      <c r="AB3" s="441"/>
      <c r="AC3" s="441"/>
      <c r="AD3" s="5"/>
      <c r="AE3" s="5"/>
      <c r="AF3" s="5"/>
      <c r="AG3" s="5"/>
      <c r="AH3" s="5"/>
      <c r="AI3" s="5"/>
      <c r="AJ3" s="5"/>
    </row>
    <row r="4" spans="1:45" ht="13.5" thickBot="1">
      <c r="A4" s="439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5"/>
      <c r="N4" s="5"/>
      <c r="O4" s="5"/>
      <c r="P4" s="440" t="s">
        <v>56</v>
      </c>
      <c r="Q4" s="440"/>
      <c r="R4" s="5"/>
      <c r="S4" s="438"/>
      <c r="T4" s="438"/>
      <c r="U4" s="438"/>
      <c r="V4" s="441"/>
      <c r="W4" s="5"/>
      <c r="X4" s="441"/>
      <c r="Y4" s="441"/>
      <c r="Z4" s="441"/>
      <c r="AA4" s="441"/>
      <c r="AB4" s="441"/>
      <c r="AC4" s="441"/>
      <c r="AD4" s="5"/>
      <c r="AE4" s="5"/>
      <c r="AF4" s="5"/>
      <c r="AG4" s="5"/>
      <c r="AH4" s="5"/>
      <c r="AI4" s="5"/>
      <c r="AJ4" s="5"/>
    </row>
    <row r="5" spans="1:45" ht="16.5" customHeight="1">
      <c r="A5" s="4554" t="s">
        <v>546</v>
      </c>
      <c r="B5" s="5367" t="s">
        <v>58</v>
      </c>
      <c r="C5" s="5186" t="s">
        <v>59</v>
      </c>
      <c r="D5" s="5186"/>
      <c r="E5" s="5186" t="s">
        <v>67</v>
      </c>
      <c r="F5" s="5186"/>
      <c r="G5" s="5186" t="s">
        <v>95</v>
      </c>
      <c r="H5" s="5186"/>
      <c r="I5" s="5186" t="s">
        <v>124</v>
      </c>
      <c r="J5" s="5186"/>
      <c r="K5" s="5186"/>
      <c r="L5" s="5186"/>
      <c r="M5" s="5186"/>
      <c r="N5" s="4593" t="s">
        <v>163</v>
      </c>
      <c r="O5" s="4593"/>
      <c r="P5" s="4593"/>
      <c r="Q5" s="4593"/>
      <c r="R5" s="4593"/>
      <c r="S5" s="4593"/>
      <c r="T5" s="4593"/>
      <c r="U5" s="4598"/>
      <c r="V5" s="4510" t="s">
        <v>238</v>
      </c>
      <c r="W5" s="4511"/>
      <c r="X5" s="4511"/>
      <c r="Y5" s="4511"/>
      <c r="Z5" s="4511"/>
      <c r="AA5" s="5359"/>
      <c r="AB5" s="5360" t="s">
        <v>380</v>
      </c>
      <c r="AC5" s="4719"/>
      <c r="AD5" s="4719"/>
      <c r="AE5" s="5361"/>
      <c r="AF5" s="5362"/>
      <c r="AG5" s="5360" t="s">
        <v>833</v>
      </c>
      <c r="AH5" s="4719"/>
      <c r="AI5" s="5363"/>
      <c r="AJ5" s="5355" t="s">
        <v>246</v>
      </c>
      <c r="AK5" s="5356"/>
      <c r="AL5" s="5357"/>
      <c r="AM5" s="5235" t="s">
        <v>1655</v>
      </c>
      <c r="AN5" s="5250" t="s">
        <v>1596</v>
      </c>
      <c r="AO5" s="5248"/>
      <c r="AP5" s="5249"/>
      <c r="AQ5" s="5377" t="s">
        <v>912</v>
      </c>
      <c r="AR5" s="5378"/>
      <c r="AS5" s="5379"/>
    </row>
    <row r="6" spans="1:45" ht="13.5" customHeight="1">
      <c r="A6" s="4591"/>
      <c r="B6" s="5367"/>
      <c r="C6" s="4593" t="s">
        <v>61</v>
      </c>
      <c r="D6" s="4593" t="s">
        <v>62</v>
      </c>
      <c r="E6" s="4593" t="s">
        <v>61</v>
      </c>
      <c r="F6" s="4593" t="s">
        <v>66</v>
      </c>
      <c r="G6" s="4593" t="s">
        <v>61</v>
      </c>
      <c r="H6" s="4593" t="s">
        <v>112</v>
      </c>
      <c r="I6" s="4593" t="s">
        <v>60</v>
      </c>
      <c r="J6" s="4593" t="s">
        <v>63</v>
      </c>
      <c r="K6" s="4593" t="s">
        <v>110</v>
      </c>
      <c r="L6" s="4593" t="s">
        <v>61</v>
      </c>
      <c r="M6" s="4593" t="s">
        <v>123</v>
      </c>
      <c r="N6" s="4593" t="s">
        <v>126</v>
      </c>
      <c r="O6" s="4593" t="s">
        <v>170</v>
      </c>
      <c r="P6" s="4593" t="s">
        <v>127</v>
      </c>
      <c r="Q6" s="4593" t="s">
        <v>212</v>
      </c>
      <c r="R6" s="4593" t="s">
        <v>213</v>
      </c>
      <c r="S6" s="5380" t="s">
        <v>110</v>
      </c>
      <c r="T6" s="5380" t="s">
        <v>64</v>
      </c>
      <c r="U6" s="5354" t="s">
        <v>61</v>
      </c>
      <c r="V6" s="5234" t="s">
        <v>568</v>
      </c>
      <c r="W6" s="4705" t="s">
        <v>243</v>
      </c>
      <c r="X6" s="4705" t="s">
        <v>569</v>
      </c>
      <c r="Y6" s="4705" t="s">
        <v>391</v>
      </c>
      <c r="Z6" s="4705" t="s">
        <v>134</v>
      </c>
      <c r="AA6" s="5233" t="s">
        <v>658</v>
      </c>
      <c r="AB6" s="5234" t="s">
        <v>568</v>
      </c>
      <c r="AC6" s="4705" t="s">
        <v>569</v>
      </c>
      <c r="AD6" s="4593" t="s">
        <v>570</v>
      </c>
      <c r="AE6" s="4705" t="s">
        <v>391</v>
      </c>
      <c r="AF6" s="5233" t="s">
        <v>134</v>
      </c>
      <c r="AG6" s="5234" t="s">
        <v>568</v>
      </c>
      <c r="AH6" s="4705" t="s">
        <v>569</v>
      </c>
      <c r="AI6" s="5179" t="s">
        <v>570</v>
      </c>
      <c r="AJ6" s="5358"/>
      <c r="AK6" s="5345"/>
      <c r="AL6" s="5346"/>
      <c r="AM6" s="5236"/>
      <c r="AN6" s="5251" t="s">
        <v>391</v>
      </c>
      <c r="AO6" s="5252" t="s">
        <v>134</v>
      </c>
      <c r="AP6" s="5373" t="s">
        <v>1715</v>
      </c>
      <c r="AQ6" s="5374" t="s">
        <v>568</v>
      </c>
      <c r="AR6" s="5375" t="s">
        <v>569</v>
      </c>
      <c r="AS6" s="5376" t="s">
        <v>570</v>
      </c>
    </row>
    <row r="7" spans="1:45" ht="14.25" customHeight="1">
      <c r="A7" s="4591"/>
      <c r="B7" s="5367"/>
      <c r="C7" s="4593"/>
      <c r="D7" s="4593"/>
      <c r="E7" s="4593"/>
      <c r="F7" s="4593"/>
      <c r="G7" s="4593"/>
      <c r="H7" s="4593"/>
      <c r="I7" s="4593"/>
      <c r="J7" s="4593"/>
      <c r="K7" s="4593"/>
      <c r="L7" s="4593"/>
      <c r="M7" s="4593"/>
      <c r="N7" s="4593"/>
      <c r="O7" s="4593"/>
      <c r="P7" s="4593"/>
      <c r="Q7" s="4593"/>
      <c r="R7" s="4593"/>
      <c r="S7" s="5380"/>
      <c r="T7" s="5380"/>
      <c r="U7" s="5354"/>
      <c r="V7" s="5234"/>
      <c r="W7" s="4705"/>
      <c r="X7" s="4705"/>
      <c r="Y7" s="4705"/>
      <c r="Z7" s="4705"/>
      <c r="AA7" s="5233"/>
      <c r="AB7" s="5234"/>
      <c r="AC7" s="4705"/>
      <c r="AD7" s="4593"/>
      <c r="AE7" s="4705"/>
      <c r="AF7" s="5233"/>
      <c r="AG7" s="5234"/>
      <c r="AH7" s="4705"/>
      <c r="AI7" s="5179"/>
      <c r="AJ7" s="5358"/>
      <c r="AK7" s="5345"/>
      <c r="AL7" s="5346"/>
      <c r="AM7" s="5236"/>
      <c r="AN7" s="5251"/>
      <c r="AO7" s="5252"/>
      <c r="AP7" s="5373"/>
      <c r="AQ7" s="5374"/>
      <c r="AR7" s="5375"/>
      <c r="AS7" s="5376"/>
    </row>
    <row r="8" spans="1:45" ht="29.25" customHeight="1">
      <c r="A8" s="4591"/>
      <c r="B8" s="5367"/>
      <c r="C8" s="4593"/>
      <c r="D8" s="4593"/>
      <c r="E8" s="4593"/>
      <c r="F8" s="4593"/>
      <c r="G8" s="4593"/>
      <c r="H8" s="4593"/>
      <c r="I8" s="4593"/>
      <c r="J8" s="4593"/>
      <c r="K8" s="4593"/>
      <c r="L8" s="4593"/>
      <c r="M8" s="4593"/>
      <c r="N8" s="4593"/>
      <c r="O8" s="4593"/>
      <c r="P8" s="4593"/>
      <c r="Q8" s="4593"/>
      <c r="R8" s="4593"/>
      <c r="S8" s="5380"/>
      <c r="T8" s="5380"/>
      <c r="U8" s="5354"/>
      <c r="V8" s="5234"/>
      <c r="W8" s="4705"/>
      <c r="X8" s="4705"/>
      <c r="Y8" s="4705"/>
      <c r="Z8" s="4705"/>
      <c r="AA8" s="5233"/>
      <c r="AB8" s="5234"/>
      <c r="AC8" s="4705"/>
      <c r="AD8" s="4593"/>
      <c r="AE8" s="4705"/>
      <c r="AF8" s="5233"/>
      <c r="AG8" s="5234"/>
      <c r="AH8" s="4705"/>
      <c r="AI8" s="5179"/>
      <c r="AJ8" s="5358"/>
      <c r="AK8" s="5345"/>
      <c r="AL8" s="5346"/>
      <c r="AM8" s="5237"/>
      <c r="AN8" s="5251"/>
      <c r="AO8" s="5252"/>
      <c r="AP8" s="5373"/>
      <c r="AQ8" s="5374"/>
      <c r="AR8" s="5375"/>
      <c r="AS8" s="5376"/>
    </row>
    <row r="9" spans="1:45" ht="46.5" customHeight="1">
      <c r="A9" s="1231" t="s">
        <v>72</v>
      </c>
      <c r="B9" s="1229">
        <v>3590.7</v>
      </c>
      <c r="C9" s="1217">
        <v>3994.1</v>
      </c>
      <c r="D9" s="1218">
        <f t="shared" ref="D9:D18" si="0">C9/B9*100</f>
        <v>111.23457821594675</v>
      </c>
      <c r="E9" s="1069">
        <v>5061.1000000000004</v>
      </c>
      <c r="F9" s="1174">
        <f>E9/C9*100</f>
        <v>126.71440374552465</v>
      </c>
      <c r="G9" s="1069">
        <v>5204.1000000000004</v>
      </c>
      <c r="H9" s="1174">
        <f>G9/E9*100</f>
        <v>102.82547272332101</v>
      </c>
      <c r="I9" s="1069">
        <v>5863.5</v>
      </c>
      <c r="J9" s="1069">
        <v>2662.2</v>
      </c>
      <c r="K9" s="1069">
        <v>3506.3</v>
      </c>
      <c r="L9" s="1069">
        <v>5246.3</v>
      </c>
      <c r="M9" s="1174">
        <f>L9/G9*100</f>
        <v>100.81089909878749</v>
      </c>
      <c r="N9" s="1069">
        <v>7305.8</v>
      </c>
      <c r="O9" s="1174">
        <f>N9/I9*100</f>
        <v>124.59793638611751</v>
      </c>
      <c r="P9" s="1069">
        <v>6279.8</v>
      </c>
      <c r="Q9" s="1174">
        <f>P9/I9*100</f>
        <v>107.09985503538842</v>
      </c>
      <c r="R9" s="1174">
        <f>P9/L9*100</f>
        <v>119.69959781179116</v>
      </c>
      <c r="S9" s="1069">
        <v>4175.6000000000004</v>
      </c>
      <c r="T9" s="1069"/>
      <c r="U9" s="1196">
        <v>5450.9</v>
      </c>
      <c r="V9" s="1110">
        <v>7339.4</v>
      </c>
      <c r="W9" s="1090">
        <f>V9/P9</f>
        <v>1.1687314882639575</v>
      </c>
      <c r="X9" s="1086">
        <f>P9*1.056</f>
        <v>6631.4688000000006</v>
      </c>
      <c r="Y9" s="1086"/>
      <c r="Z9" s="1086"/>
      <c r="AA9" s="1247">
        <v>4558.8999999999996</v>
      </c>
      <c r="AB9" s="1106">
        <v>7001.8</v>
      </c>
      <c r="AC9" s="1086">
        <f>U9*1.074*1.067</f>
        <v>6246.5024621999992</v>
      </c>
      <c r="AD9" s="1090">
        <f>AC9/X9</f>
        <v>0.94194855628363938</v>
      </c>
      <c r="AE9" s="1086">
        <v>2176.5</v>
      </c>
      <c r="AF9" s="1247">
        <v>3321.14</v>
      </c>
      <c r="AG9" s="1106">
        <f>SUM(AC9*1.1)</f>
        <v>6871.1527084199997</v>
      </c>
      <c r="AH9" s="1086">
        <f>AF9/3*4*1.074</f>
        <v>4755.87248</v>
      </c>
      <c r="AI9" s="1116">
        <f>SUM(AH9/AC9)</f>
        <v>0.76136566162898722</v>
      </c>
      <c r="AJ9" s="5189" t="str">
        <f>'цех вода'!AI8</f>
        <v xml:space="preserve"> </v>
      </c>
      <c r="AK9" s="5190"/>
      <c r="AL9" s="5191"/>
      <c r="AM9" s="3337">
        <v>4543.26</v>
      </c>
      <c r="AN9" s="3324">
        <v>2638.98</v>
      </c>
      <c r="AO9" s="3529">
        <v>4110.7</v>
      </c>
      <c r="AP9" s="3509">
        <f>SUM(AN9+((AO9-AN9)/3*6))</f>
        <v>5582.42</v>
      </c>
      <c r="AQ9" s="3526">
        <f>SUM(AQ11*AQ10*12)/1000</f>
        <v>5142.6342000000013</v>
      </c>
      <c r="AR9" s="3632">
        <f>AH9*(1-0.01)*(1+0.071)*(1+0)</f>
        <v>5042.6040318191999</v>
      </c>
      <c r="AS9" s="3635">
        <f>SUM(AR9/AH9)</f>
        <v>1.06029</v>
      </c>
    </row>
    <row r="10" spans="1:45" s="191" customFormat="1" ht="46.5" customHeight="1">
      <c r="A10" s="2036" t="s">
        <v>1473</v>
      </c>
      <c r="B10" s="2037"/>
      <c r="C10" s="2025"/>
      <c r="D10" s="2025"/>
      <c r="E10" s="2027"/>
      <c r="F10" s="2027"/>
      <c r="G10" s="2027"/>
      <c r="H10" s="2027"/>
      <c r="I10" s="2027"/>
      <c r="J10" s="2027"/>
      <c r="K10" s="2027"/>
      <c r="L10" s="2027"/>
      <c r="M10" s="2027"/>
      <c r="N10" s="2027"/>
      <c r="O10" s="2027"/>
      <c r="P10" s="2027"/>
      <c r="Q10" s="2027"/>
      <c r="R10" s="2027"/>
      <c r="S10" s="2027"/>
      <c r="T10" s="2027"/>
      <c r="U10" s="2038"/>
      <c r="V10" s="2039"/>
      <c r="W10" s="2040"/>
      <c r="X10" s="2041"/>
      <c r="Y10" s="2041"/>
      <c r="Z10" s="2041"/>
      <c r="AA10" s="2042"/>
      <c r="AB10" s="2043"/>
      <c r="AC10" s="2041"/>
      <c r="AD10" s="2040"/>
      <c r="AE10" s="2041">
        <v>10</v>
      </c>
      <c r="AF10" s="2042">
        <f>AE10</f>
        <v>10</v>
      </c>
      <c r="AG10" s="2043"/>
      <c r="AH10" s="2041">
        <f>AE10</f>
        <v>10</v>
      </c>
      <c r="AI10" s="2044"/>
      <c r="AJ10" s="5189">
        <f>'цех вода'!AI9</f>
        <v>0</v>
      </c>
      <c r="AK10" s="5190"/>
      <c r="AL10" s="5191"/>
      <c r="AM10" s="3338">
        <v>10</v>
      </c>
      <c r="AN10" s="3325">
        <v>11</v>
      </c>
      <c r="AO10" s="3514">
        <v>11</v>
      </c>
      <c r="AP10" s="3326">
        <v>11</v>
      </c>
      <c r="AQ10" s="3507">
        <v>10</v>
      </c>
      <c r="AR10" s="3633">
        <v>10</v>
      </c>
      <c r="AS10" s="3635">
        <f t="shared" ref="AS10:AS54" si="1">SUM(AR10/AH10)</f>
        <v>1</v>
      </c>
    </row>
    <row r="11" spans="1:45" s="191" customFormat="1" ht="46.5" customHeight="1">
      <c r="A11" s="2036" t="s">
        <v>1474</v>
      </c>
      <c r="B11" s="2037"/>
      <c r="C11" s="2025"/>
      <c r="D11" s="2025"/>
      <c r="E11" s="2027"/>
      <c r="F11" s="2027"/>
      <c r="G11" s="2027"/>
      <c r="H11" s="2027"/>
      <c r="I11" s="2027"/>
      <c r="J11" s="2027"/>
      <c r="K11" s="2027"/>
      <c r="L11" s="2027"/>
      <c r="M11" s="2027"/>
      <c r="N11" s="2027"/>
      <c r="O11" s="2027"/>
      <c r="P11" s="2027"/>
      <c r="Q11" s="2027"/>
      <c r="R11" s="2027"/>
      <c r="S11" s="2027"/>
      <c r="T11" s="2027"/>
      <c r="U11" s="2038"/>
      <c r="V11" s="2039"/>
      <c r="W11" s="2040"/>
      <c r="X11" s="2041"/>
      <c r="Y11" s="2041"/>
      <c r="Z11" s="2041"/>
      <c r="AA11" s="2042"/>
      <c r="AB11" s="2043"/>
      <c r="AC11" s="2041"/>
      <c r="AD11" s="2040"/>
      <c r="AE11" s="2041">
        <f>AE9/AE10/6*1000</f>
        <v>36275</v>
      </c>
      <c r="AF11" s="2041">
        <f>AF9/AF10/9*1000</f>
        <v>36901.555555555555</v>
      </c>
      <c r="AG11" s="2043"/>
      <c r="AH11" s="2041">
        <f>AE11*1.074</f>
        <v>38959.350000000006</v>
      </c>
      <c r="AI11" s="2044"/>
      <c r="AJ11" s="5189" t="str">
        <f>'цех вода'!AI10</f>
        <v>ИПЦ в размере 107,4% от факт.ЗП за 2014 год</v>
      </c>
      <c r="AK11" s="5190"/>
      <c r="AL11" s="5191"/>
      <c r="AM11" s="3338">
        <f>AM9/AM10/12*1000</f>
        <v>37860.5</v>
      </c>
      <c r="AN11" s="3325">
        <f>AN9/AN10/6*1000</f>
        <v>39984.545454545456</v>
      </c>
      <c r="AO11" s="3514">
        <f>AO9/AO10/9*1000</f>
        <v>41522.222222222219</v>
      </c>
      <c r="AP11" s="3326">
        <f>AP9/AP10/12*1000</f>
        <v>42291.060606060608</v>
      </c>
      <c r="AQ11" s="3507">
        <f>SUM(AH11*1.1)</f>
        <v>42855.285000000011</v>
      </c>
      <c r="AR11" s="3634">
        <f>AH11*(1-0.01)*(1+0.071)*(1+0)</f>
        <v>41308.209211500005</v>
      </c>
      <c r="AS11" s="3635">
        <f t="shared" si="1"/>
        <v>1.06029</v>
      </c>
    </row>
    <row r="12" spans="1:45" ht="41.25" customHeight="1">
      <c r="A12" s="1231" t="s">
        <v>5</v>
      </c>
      <c r="B12" s="1229">
        <v>898.5</v>
      </c>
      <c r="C12" s="1217">
        <v>887.6</v>
      </c>
      <c r="D12" s="1218">
        <f t="shared" si="0"/>
        <v>98.786867000556484</v>
      </c>
      <c r="E12" s="1069">
        <v>1300.4000000000001</v>
      </c>
      <c r="F12" s="1174">
        <f t="shared" ref="F12:F45" si="2">E12/C12*100</f>
        <v>146.50743578188374</v>
      </c>
      <c r="G12" s="1069">
        <v>1722.2</v>
      </c>
      <c r="H12" s="1174">
        <f t="shared" ref="H12:H45" si="3">G12/E12*100</f>
        <v>132.4361734850815</v>
      </c>
      <c r="I12" s="1069">
        <f>I9*30.2/100</f>
        <v>1770.7769999999998</v>
      </c>
      <c r="J12" s="1069">
        <v>858</v>
      </c>
      <c r="K12" s="1069">
        <v>1052.7</v>
      </c>
      <c r="L12" s="1069">
        <v>1516.7</v>
      </c>
      <c r="M12" s="1174">
        <f t="shared" ref="M12:M45" si="4">L12/G12*100</f>
        <v>88.067587968877021</v>
      </c>
      <c r="N12" s="1069">
        <v>2206.35</v>
      </c>
      <c r="O12" s="1174">
        <f t="shared" ref="O12:O45" si="5">N12/I12*100</f>
        <v>124.59784603030195</v>
      </c>
      <c r="P12" s="1069">
        <f>P9*30.2/100</f>
        <v>1896.4995999999999</v>
      </c>
      <c r="Q12" s="1174">
        <f t="shared" ref="Q12:Q41" si="6">P12/I12*100</f>
        <v>107.09985503538842</v>
      </c>
      <c r="R12" s="1174">
        <f>P12/L12*100</f>
        <v>125.04118151249422</v>
      </c>
      <c r="S12" s="1069">
        <v>1252.8</v>
      </c>
      <c r="T12" s="1069"/>
      <c r="U12" s="1196">
        <v>1634.9</v>
      </c>
      <c r="V12" s="1110">
        <v>2216.5</v>
      </c>
      <c r="W12" s="1090">
        <f t="shared" ref="W12:W42" si="7">V12/P12</f>
        <v>1.1687321210086203</v>
      </c>
      <c r="X12" s="1086">
        <f>X9*S13</f>
        <v>1989.6312177028451</v>
      </c>
      <c r="Y12" s="1086"/>
      <c r="Z12" s="1086"/>
      <c r="AA12" s="1247">
        <v>1368.5</v>
      </c>
      <c r="AB12" s="1106">
        <v>2114.54</v>
      </c>
      <c r="AC12" s="1086">
        <f>AC9*AC13</f>
        <v>1873.5267342000002</v>
      </c>
      <c r="AD12" s="1090">
        <f t="shared" ref="AD12:AD46" si="8">AC12/X12</f>
        <v>0.9416452242657839</v>
      </c>
      <c r="AE12" s="1086">
        <v>653.79999999999995</v>
      </c>
      <c r="AF12" s="1247">
        <v>997.09</v>
      </c>
      <c r="AG12" s="1106">
        <f>SUM(AG9*AG13)</f>
        <v>2075.0881179428397</v>
      </c>
      <c r="AH12" s="1086">
        <f>AH9*AH13</f>
        <v>1427.627605097721</v>
      </c>
      <c r="AI12" s="1116">
        <f t="shared" ref="AI12:AI46" si="9">SUM(AH12/AC12)</f>
        <v>0.76200012470455669</v>
      </c>
      <c r="AJ12" s="5189" t="s">
        <v>250</v>
      </c>
      <c r="AK12" s="5190"/>
      <c r="AL12" s="5191"/>
      <c r="AM12" s="3337">
        <v>1365.1</v>
      </c>
      <c r="AN12" s="3324">
        <v>795.3</v>
      </c>
      <c r="AO12" s="3529">
        <v>1238.8599999999999</v>
      </c>
      <c r="AP12" s="3509">
        <f>SUM(AN12+((AO12-AN12)/3*6))</f>
        <v>1682.4199999999998</v>
      </c>
      <c r="AQ12" s="3526">
        <f>SUM(AQ9*AQ13)</f>
        <v>1545.3615771000004</v>
      </c>
      <c r="AR12" s="3632">
        <f>AH12*(1-0.01)*(1+0.071)*(1+0)</f>
        <v>1513.6992734090625</v>
      </c>
      <c r="AS12" s="3635">
        <f t="shared" si="1"/>
        <v>1.06029</v>
      </c>
    </row>
    <row r="13" spans="1:45" ht="18.75">
      <c r="A13" s="1231" t="s">
        <v>322</v>
      </c>
      <c r="B13" s="1229"/>
      <c r="C13" s="1217"/>
      <c r="D13" s="1218"/>
      <c r="E13" s="1219">
        <f>E12/E9</f>
        <v>0.25694019086759795</v>
      </c>
      <c r="F13" s="1219">
        <f t="shared" ref="F13:X13" si="10">F12/F9</f>
        <v>1.1562019111584869</v>
      </c>
      <c r="G13" s="1219">
        <f t="shared" si="10"/>
        <v>0.33093138102649833</v>
      </c>
      <c r="H13" s="1219">
        <f t="shared" si="10"/>
        <v>1.2879704802470091</v>
      </c>
      <c r="I13" s="1219">
        <f t="shared" si="10"/>
        <v>0.30199999999999999</v>
      </c>
      <c r="J13" s="1219">
        <f t="shared" si="10"/>
        <v>0.32228983547441969</v>
      </c>
      <c r="K13" s="1219">
        <f t="shared" si="10"/>
        <v>0.3002310127484813</v>
      </c>
      <c r="L13" s="1219">
        <f t="shared" si="10"/>
        <v>0.28909898404589901</v>
      </c>
      <c r="M13" s="1219">
        <f t="shared" si="10"/>
        <v>0.8735919305964831</v>
      </c>
      <c r="N13" s="1219">
        <f t="shared" si="10"/>
        <v>0.30199978099592101</v>
      </c>
      <c r="O13" s="1219">
        <f t="shared" si="10"/>
        <v>0.99999927482093054</v>
      </c>
      <c r="P13" s="1219">
        <f t="shared" si="10"/>
        <v>0.30199999999999999</v>
      </c>
      <c r="Q13" s="1219">
        <f t="shared" si="10"/>
        <v>1</v>
      </c>
      <c r="R13" s="1219">
        <f t="shared" si="10"/>
        <v>1.0446249093426518</v>
      </c>
      <c r="S13" s="1219">
        <f t="shared" si="10"/>
        <v>0.30002873838490274</v>
      </c>
      <c r="T13" s="1219" t="e">
        <f>T12/T9</f>
        <v>#DIV/0!</v>
      </c>
      <c r="U13" s="1233">
        <f>U12/U9</f>
        <v>0.29993212130106961</v>
      </c>
      <c r="V13" s="1248">
        <f t="shared" si="10"/>
        <v>0.30200016350110365</v>
      </c>
      <c r="W13" s="1090">
        <f t="shared" si="7"/>
        <v>1.0000005413943829</v>
      </c>
      <c r="X13" s="1219">
        <f t="shared" si="10"/>
        <v>0.30002873838490274</v>
      </c>
      <c r="Y13" s="1219"/>
      <c r="Z13" s="1219"/>
      <c r="AA13" s="1249">
        <f>SUM(AA12/AA9)</f>
        <v>0.30018206146219484</v>
      </c>
      <c r="AB13" s="1248">
        <f>AB12/AB9</f>
        <v>0.30199948584649661</v>
      </c>
      <c r="AC13" s="1219">
        <f>U13</f>
        <v>0.29993212130106961</v>
      </c>
      <c r="AD13" s="1090">
        <f t="shared" si="8"/>
        <v>0.9996779739022561</v>
      </c>
      <c r="AE13" s="1219">
        <f t="shared" ref="AE13:AF13" si="11">SUM(AE12/AE9)</f>
        <v>0.30039053526303694</v>
      </c>
      <c r="AF13" s="1249">
        <f t="shared" si="11"/>
        <v>0.30022522386891248</v>
      </c>
      <c r="AG13" s="1248">
        <v>0.30199999999999999</v>
      </c>
      <c r="AH13" s="1219">
        <f>AA13</f>
        <v>0.30018206146219484</v>
      </c>
      <c r="AI13" s="1116">
        <f t="shared" si="9"/>
        <v>1.0008333224198895</v>
      </c>
      <c r="AJ13" s="5189"/>
      <c r="AK13" s="5190"/>
      <c r="AL13" s="5191"/>
      <c r="AM13" s="3339">
        <f t="shared" ref="AM13" si="12">SUM(AM12/AM9)</f>
        <v>0.30046706549922297</v>
      </c>
      <c r="AN13" s="3327">
        <f t="shared" ref="AN13:AR13" si="13">AN12/AN9</f>
        <v>0.30136643703248983</v>
      </c>
      <c r="AO13" s="3530">
        <f t="shared" ref="AO13" si="14">AN13/AH13</f>
        <v>1.0039455241413358</v>
      </c>
      <c r="AP13" s="3328">
        <f t="shared" si="13"/>
        <v>0.30137825530862955</v>
      </c>
      <c r="AQ13" s="3527">
        <v>0.30049999999999999</v>
      </c>
      <c r="AR13" s="3636">
        <f t="shared" si="13"/>
        <v>0.30018206146219484</v>
      </c>
      <c r="AS13" s="3612">
        <f t="shared" si="1"/>
        <v>1</v>
      </c>
    </row>
    <row r="14" spans="1:45" ht="19.5" customHeight="1">
      <c r="A14" s="1231" t="s">
        <v>52</v>
      </c>
      <c r="B14" s="1229">
        <v>45.4</v>
      </c>
      <c r="C14" s="1217">
        <v>31.8</v>
      </c>
      <c r="D14" s="1218">
        <f t="shared" si="0"/>
        <v>70.044052863436121</v>
      </c>
      <c r="E14" s="1069">
        <v>39.799999999999997</v>
      </c>
      <c r="F14" s="1174">
        <f t="shared" si="2"/>
        <v>125.1572327044025</v>
      </c>
      <c r="G14" s="1069">
        <v>38.6</v>
      </c>
      <c r="H14" s="1174">
        <f t="shared" si="3"/>
        <v>96.984924623115589</v>
      </c>
      <c r="I14" s="1069">
        <v>44.2</v>
      </c>
      <c r="J14" s="1069">
        <v>17.899999999999999</v>
      </c>
      <c r="K14" s="1069">
        <v>38.1</v>
      </c>
      <c r="L14" s="1069">
        <v>39.4</v>
      </c>
      <c r="M14" s="1174">
        <f t="shared" si="4"/>
        <v>102.07253886010361</v>
      </c>
      <c r="N14" s="1069">
        <v>48.62</v>
      </c>
      <c r="O14" s="1174">
        <f t="shared" si="5"/>
        <v>109.99999999999999</v>
      </c>
      <c r="P14" s="1069">
        <v>46.4</v>
      </c>
      <c r="Q14" s="1174">
        <f t="shared" si="6"/>
        <v>104.97737556561084</v>
      </c>
      <c r="R14" s="1174">
        <f>P14/L14*100</f>
        <v>117.76649746192894</v>
      </c>
      <c r="S14" s="1069">
        <v>32.9</v>
      </c>
      <c r="T14" s="1069"/>
      <c r="U14" s="1196">
        <v>43.5</v>
      </c>
      <c r="V14" s="1110">
        <v>50.82</v>
      </c>
      <c r="W14" s="1090">
        <f t="shared" si="7"/>
        <v>1.0952586206896553</v>
      </c>
      <c r="X14" s="1086">
        <f>P14*1.048</f>
        <v>48.627200000000002</v>
      </c>
      <c r="Y14" s="1086"/>
      <c r="Z14" s="1086"/>
      <c r="AA14" s="1247">
        <v>35.1</v>
      </c>
      <c r="AB14" s="1106">
        <v>53.148000000000003</v>
      </c>
      <c r="AC14" s="1086">
        <f>X14*1.076</f>
        <v>52.322867200000005</v>
      </c>
      <c r="AD14" s="1090">
        <f t="shared" si="8"/>
        <v>1.0760000000000001</v>
      </c>
      <c r="AE14" s="1086">
        <v>22.87</v>
      </c>
      <c r="AF14" s="1247">
        <v>36.43</v>
      </c>
      <c r="AG14" s="1106">
        <f>SUM(AC14*1.1)</f>
        <v>57.555153920000009</v>
      </c>
      <c r="AH14" s="1086">
        <f>AG14</f>
        <v>57.555153920000009</v>
      </c>
      <c r="AI14" s="1116">
        <f t="shared" si="9"/>
        <v>1.1000000000000001</v>
      </c>
      <c r="AJ14" s="5189" t="str">
        <f>'цех вода'!AI14</f>
        <v xml:space="preserve"> </v>
      </c>
      <c r="AK14" s="5190"/>
      <c r="AL14" s="5191"/>
      <c r="AM14" s="3337">
        <v>49.28</v>
      </c>
      <c r="AN14" s="3329">
        <v>25.85</v>
      </c>
      <c r="AO14" s="3508">
        <v>36.94</v>
      </c>
      <c r="AP14" s="3331">
        <f>SUM(AO14/9*12)</f>
        <v>49.25333333333333</v>
      </c>
      <c r="AQ14" s="3526">
        <f>SUM(AH14*1.1)</f>
        <v>63.310669312000016</v>
      </c>
      <c r="AR14" s="3632">
        <f t="shared" ref="AR14:AR44" si="15">AH14*(1-0.01)*(1+0.071)*(1+0)</f>
        <v>61.025154149836808</v>
      </c>
      <c r="AS14" s="3635">
        <f t="shared" si="1"/>
        <v>1.06029</v>
      </c>
    </row>
    <row r="15" spans="1:45" ht="18.75" customHeight="1">
      <c r="A15" s="1231" t="s">
        <v>31</v>
      </c>
      <c r="B15" s="1229">
        <v>644.5</v>
      </c>
      <c r="C15" s="1217">
        <v>514</v>
      </c>
      <c r="D15" s="1218">
        <f t="shared" si="0"/>
        <v>79.751745539177648</v>
      </c>
      <c r="E15" s="1069">
        <v>579.70000000000005</v>
      </c>
      <c r="F15" s="1174">
        <f t="shared" si="2"/>
        <v>112.78210116731518</v>
      </c>
      <c r="G15" s="1069">
        <v>612.70000000000005</v>
      </c>
      <c r="H15" s="1174">
        <f t="shared" si="3"/>
        <v>105.69259962049335</v>
      </c>
      <c r="I15" s="1069">
        <v>587</v>
      </c>
      <c r="J15" s="1069">
        <v>290.39999999999998</v>
      </c>
      <c r="K15" s="1069">
        <v>517.5</v>
      </c>
      <c r="L15" s="1069">
        <v>750.9</v>
      </c>
      <c r="M15" s="1174">
        <f t="shared" si="4"/>
        <v>122.5559001142484</v>
      </c>
      <c r="N15" s="1069">
        <v>682</v>
      </c>
      <c r="O15" s="1174">
        <f t="shared" si="5"/>
        <v>116.1839863713799</v>
      </c>
      <c r="P15" s="1069">
        <v>650.4</v>
      </c>
      <c r="Q15" s="1174">
        <f t="shared" si="6"/>
        <v>110.8006814310051</v>
      </c>
      <c r="R15" s="1174">
        <f>P15/L15*100</f>
        <v>86.616060727127447</v>
      </c>
      <c r="S15" s="1069">
        <v>668.6</v>
      </c>
      <c r="T15" s="1069"/>
      <c r="U15" s="1196">
        <v>837.1</v>
      </c>
      <c r="V15" s="1110">
        <v>867.3</v>
      </c>
      <c r="W15" s="1090">
        <f t="shared" si="7"/>
        <v>1.3334870848708487</v>
      </c>
      <c r="X15" s="1086">
        <f>P15*1.03</f>
        <v>669.91200000000003</v>
      </c>
      <c r="Y15" s="1086"/>
      <c r="Z15" s="1086"/>
      <c r="AA15" s="1247">
        <v>594.9</v>
      </c>
      <c r="AB15" s="1106">
        <v>824.4</v>
      </c>
      <c r="AC15" s="1086">
        <f>AB15</f>
        <v>824.4</v>
      </c>
      <c r="AD15" s="1090">
        <f t="shared" si="8"/>
        <v>1.2306093934725755</v>
      </c>
      <c r="AE15" s="1086">
        <v>286.11</v>
      </c>
      <c r="AF15" s="1247">
        <v>440.35</v>
      </c>
      <c r="AG15" s="1106">
        <f>SUM(AC15*1.1)</f>
        <v>906.84</v>
      </c>
      <c r="AH15" s="1086">
        <f>AA15*1.044*1.033</f>
        <v>641.57109479999997</v>
      </c>
      <c r="AI15" s="1116">
        <f t="shared" si="9"/>
        <v>0.77822791703056771</v>
      </c>
      <c r="AJ15" s="5173" t="s">
        <v>1504</v>
      </c>
      <c r="AK15" s="5174"/>
      <c r="AL15" s="5175"/>
      <c r="AM15" s="3337">
        <v>613.84</v>
      </c>
      <c r="AN15" s="3329">
        <v>368.6</v>
      </c>
      <c r="AO15" s="3508">
        <v>550.96</v>
      </c>
      <c r="AP15" s="3331">
        <f>SUM(AO15/9*12)</f>
        <v>734.61333333333346</v>
      </c>
      <c r="AQ15" s="3526">
        <f>SUM(AH15*1.1)</f>
        <v>705.72820428</v>
      </c>
      <c r="AR15" s="3632">
        <f t="shared" si="15"/>
        <v>680.25141610549201</v>
      </c>
      <c r="AS15" s="3635">
        <f t="shared" si="1"/>
        <v>1.0602900000000002</v>
      </c>
    </row>
    <row r="16" spans="1:45" ht="18.75" customHeight="1">
      <c r="A16" s="1231" t="s">
        <v>1710</v>
      </c>
      <c r="B16" s="1229">
        <v>17.3</v>
      </c>
      <c r="C16" s="1217">
        <v>13.5</v>
      </c>
      <c r="D16" s="1218">
        <f t="shared" si="0"/>
        <v>78.034682080924853</v>
      </c>
      <c r="E16" s="1069">
        <v>28.4</v>
      </c>
      <c r="F16" s="1174">
        <f t="shared" si="2"/>
        <v>210.37037037037035</v>
      </c>
      <c r="G16" s="1069">
        <v>20</v>
      </c>
      <c r="H16" s="1174">
        <f t="shared" si="3"/>
        <v>70.422535211267615</v>
      </c>
      <c r="I16" s="1069">
        <v>19.5</v>
      </c>
      <c r="J16" s="1069">
        <v>10.199999999999999</v>
      </c>
      <c r="K16" s="1069">
        <v>50.4</v>
      </c>
      <c r="L16" s="1069">
        <v>93.1</v>
      </c>
      <c r="M16" s="1174">
        <f t="shared" si="4"/>
        <v>465.49999999999994</v>
      </c>
      <c r="N16" s="1069">
        <v>21.78</v>
      </c>
      <c r="O16" s="1174">
        <f t="shared" si="5"/>
        <v>111.69230769230769</v>
      </c>
      <c r="P16" s="1069">
        <v>20.5</v>
      </c>
      <c r="Q16" s="1174">
        <f t="shared" si="6"/>
        <v>105.12820512820514</v>
      </c>
      <c r="R16" s="1174">
        <f>P16/L16*100</f>
        <v>22.019334049409238</v>
      </c>
      <c r="S16" s="1069">
        <v>72.400000000000006</v>
      </c>
      <c r="T16" s="1069"/>
      <c r="U16" s="1196">
        <f>96.4+14.5</f>
        <v>110.9</v>
      </c>
      <c r="V16" s="1110">
        <v>103.3</v>
      </c>
      <c r="W16" s="1090">
        <f t="shared" si="7"/>
        <v>5.0390243902439025</v>
      </c>
      <c r="X16" s="1086">
        <f>P16*1.048</f>
        <v>21.484000000000002</v>
      </c>
      <c r="Y16" s="1086"/>
      <c r="Z16" s="1086"/>
      <c r="AA16" s="1247">
        <v>90.9</v>
      </c>
      <c r="AB16" s="1106">
        <f>90.072+14.5</f>
        <v>104.572</v>
      </c>
      <c r="AC16" s="1086">
        <f>AB16</f>
        <v>104.572</v>
      </c>
      <c r="AD16" s="1090">
        <f t="shared" si="8"/>
        <v>4.8674362316142243</v>
      </c>
      <c r="AE16" s="1086">
        <v>44.31</v>
      </c>
      <c r="AF16" s="1247">
        <v>52.63</v>
      </c>
      <c r="AG16" s="1106">
        <f>SUM(AC16*1.1)</f>
        <v>115.02920000000002</v>
      </c>
      <c r="AH16" s="1086">
        <f>AE16*2*1.062</f>
        <v>94.114440000000016</v>
      </c>
      <c r="AI16" s="1116">
        <f t="shared" si="9"/>
        <v>0.89999655739586137</v>
      </c>
      <c r="AJ16" s="5173" t="s">
        <v>1505</v>
      </c>
      <c r="AK16" s="5174"/>
      <c r="AL16" s="5175"/>
      <c r="AM16" s="3337">
        <f>27.43+32.97</f>
        <v>60.4</v>
      </c>
      <c r="AN16" s="3329">
        <f>30.22+15.36</f>
        <v>45.58</v>
      </c>
      <c r="AO16" s="3508">
        <v>61.9</v>
      </c>
      <c r="AP16" s="3331">
        <f>SUM(AO16/9*12)</f>
        <v>82.533333333333331</v>
      </c>
      <c r="AQ16" s="3526">
        <f>SUM(AH16*1.1)</f>
        <v>103.52588400000002</v>
      </c>
      <c r="AR16" s="3632">
        <f t="shared" si="15"/>
        <v>99.788599587600018</v>
      </c>
      <c r="AS16" s="3635">
        <f t="shared" si="1"/>
        <v>1.06029</v>
      </c>
    </row>
    <row r="17" spans="1:45" ht="42.75" customHeight="1">
      <c r="A17" s="2035" t="s">
        <v>1553</v>
      </c>
      <c r="B17" s="2023"/>
      <c r="C17" s="2024"/>
      <c r="D17" s="2025"/>
      <c r="E17" s="2026"/>
      <c r="F17" s="2027"/>
      <c r="G17" s="2026"/>
      <c r="H17" s="2027"/>
      <c r="I17" s="2026"/>
      <c r="J17" s="2026"/>
      <c r="K17" s="2026"/>
      <c r="L17" s="2026"/>
      <c r="M17" s="2027"/>
      <c r="N17" s="2026"/>
      <c r="O17" s="2027"/>
      <c r="P17" s="2026"/>
      <c r="Q17" s="2027"/>
      <c r="R17" s="2027"/>
      <c r="S17" s="2026"/>
      <c r="T17" s="2026"/>
      <c r="U17" s="2028"/>
      <c r="V17" s="2029"/>
      <c r="W17" s="2030"/>
      <c r="X17" s="2031"/>
      <c r="Y17" s="2031"/>
      <c r="Z17" s="2031"/>
      <c r="AA17" s="2032"/>
      <c r="AB17" s="2033"/>
      <c r="AC17" s="2031"/>
      <c r="AD17" s="2030"/>
      <c r="AE17" s="2031"/>
      <c r="AF17" s="2469">
        <v>206.8</v>
      </c>
      <c r="AG17" s="2033"/>
      <c r="AH17" s="2031"/>
      <c r="AI17" s="2034"/>
      <c r="AJ17" s="3881"/>
      <c r="AK17" s="3882"/>
      <c r="AL17" s="3883"/>
      <c r="AM17" s="3340"/>
      <c r="AN17" s="3329">
        <v>0</v>
      </c>
      <c r="AO17" s="3508">
        <v>0</v>
      </c>
      <c r="AP17" s="3331">
        <v>0</v>
      </c>
      <c r="AQ17" s="3526"/>
      <c r="AR17" s="3632">
        <f t="shared" si="15"/>
        <v>0</v>
      </c>
      <c r="AS17" s="3635"/>
    </row>
    <row r="18" spans="1:45" ht="18.75">
      <c r="A18" s="1231" t="s">
        <v>855</v>
      </c>
      <c r="B18" s="1229">
        <f>SUM(B19:B23)</f>
        <v>471.59999999999997</v>
      </c>
      <c r="C18" s="1217">
        <f>SUM(C19:C23)</f>
        <v>352.20000000000005</v>
      </c>
      <c r="D18" s="1218">
        <f t="shared" si="0"/>
        <v>74.681933842239204</v>
      </c>
      <c r="E18" s="1069">
        <f>SUM(E19:E23)</f>
        <v>471.29999999999995</v>
      </c>
      <c r="F18" s="1069">
        <f>SUM(F19:F23)</f>
        <v>530.71550893713459</v>
      </c>
      <c r="G18" s="1069">
        <f>SUM(G19:G23)</f>
        <v>454.09999999999997</v>
      </c>
      <c r="H18" s="1174">
        <f t="shared" si="3"/>
        <v>96.350519838743892</v>
      </c>
      <c r="I18" s="1069">
        <f>SUM(I19:I22)</f>
        <v>453.5</v>
      </c>
      <c r="J18" s="1069">
        <f>SUM(J19:J23)</f>
        <v>283.89999999999998</v>
      </c>
      <c r="K18" s="1069">
        <f>SUM(K19:K23)</f>
        <v>296.89999999999998</v>
      </c>
      <c r="L18" s="1069">
        <f>SUM(L19:L23)</f>
        <v>549.20000000000005</v>
      </c>
      <c r="M18" s="1174">
        <f t="shared" si="4"/>
        <v>120.94252367319976</v>
      </c>
      <c r="N18" s="1069">
        <f>SUM(N19:N23)</f>
        <v>577.11</v>
      </c>
      <c r="O18" s="1174">
        <f t="shared" si="5"/>
        <v>127.25689084895259</v>
      </c>
      <c r="P18" s="1069">
        <f t="shared" ref="P18:V18" si="16">SUM(P19:P22)</f>
        <v>537.5</v>
      </c>
      <c r="Q18" s="1069">
        <f t="shared" si="16"/>
        <v>446.08399155210333</v>
      </c>
      <c r="R18" s="1069">
        <f t="shared" si="16"/>
        <v>422.88989770621242</v>
      </c>
      <c r="S18" s="1069">
        <f t="shared" si="16"/>
        <v>277.40000000000003</v>
      </c>
      <c r="T18" s="1069">
        <f t="shared" si="16"/>
        <v>0</v>
      </c>
      <c r="U18" s="1196">
        <f t="shared" si="16"/>
        <v>412.7</v>
      </c>
      <c r="V18" s="1110">
        <f t="shared" si="16"/>
        <v>771.33999999999992</v>
      </c>
      <c r="W18" s="1090">
        <f t="shared" si="7"/>
        <v>1.4350511627906974</v>
      </c>
      <c r="X18" s="1069">
        <f>SUM(X19:X22)</f>
        <v>434.14643333333339</v>
      </c>
      <c r="Y18" s="1069"/>
      <c r="Z18" s="1069"/>
      <c r="AA18" s="1069">
        <f>SUM(AA19:AA22)</f>
        <v>437.90000000000003</v>
      </c>
      <c r="AB18" s="1110">
        <f>SUM(AB19:AB22)</f>
        <v>511.51799999999997</v>
      </c>
      <c r="AC18" s="1069">
        <f>SUM(AC19:AC22)</f>
        <v>457.87871249999995</v>
      </c>
      <c r="AD18" s="1090">
        <f t="shared" si="8"/>
        <v>1.0546642269624387</v>
      </c>
      <c r="AE18" s="1069">
        <f t="shared" ref="AE18:AF18" si="17">SUM(AE19:AE22)</f>
        <v>214.23999999999998</v>
      </c>
      <c r="AF18" s="1107">
        <f t="shared" si="17"/>
        <v>237</v>
      </c>
      <c r="AG18" s="1110">
        <f t="shared" ref="AG18" si="18">SUM(AG19:AG22)</f>
        <v>513.89349000000016</v>
      </c>
      <c r="AH18" s="1069">
        <f t="shared" ref="AH18" si="19">SUM(AH19:AH22)</f>
        <v>486.57128000000006</v>
      </c>
      <c r="AI18" s="1116">
        <f t="shared" si="9"/>
        <v>1.0626641219971547</v>
      </c>
      <c r="AJ18" s="5189"/>
      <c r="AK18" s="5190"/>
      <c r="AL18" s="5191"/>
      <c r="AM18" s="3321">
        <f t="shared" ref="AM18:AN18" si="20">SUM(AM19:AM22)</f>
        <v>373.12</v>
      </c>
      <c r="AN18" s="3329">
        <f t="shared" si="20"/>
        <v>225.19000000000003</v>
      </c>
      <c r="AO18" s="3508">
        <f t="shared" ref="AO18:AP18" si="21">SUM(AO19:AO22)</f>
        <v>272.31</v>
      </c>
      <c r="AP18" s="3331">
        <f t="shared" si="21"/>
        <v>452.56333333333333</v>
      </c>
      <c r="AQ18" s="3506">
        <f t="shared" ref="AQ18:AR18" si="22">SUM(AQ19:AQ22)</f>
        <v>535.77840800000013</v>
      </c>
      <c r="AR18" s="2942">
        <f t="shared" si="22"/>
        <v>509.59491307119998</v>
      </c>
      <c r="AS18" s="3635">
        <f t="shared" si="1"/>
        <v>1.0473181094272559</v>
      </c>
    </row>
    <row r="19" spans="1:45" ht="42.75" customHeight="1">
      <c r="A19" s="1232" t="s">
        <v>1658</v>
      </c>
      <c r="B19" s="1230">
        <v>272.89999999999998</v>
      </c>
      <c r="C19" s="1218">
        <v>192.5</v>
      </c>
      <c r="D19" s="1218">
        <f>C19/B19*100</f>
        <v>70.538658849395389</v>
      </c>
      <c r="E19" s="1174">
        <v>235.4</v>
      </c>
      <c r="F19" s="1174">
        <f t="shared" si="2"/>
        <v>122.28571428571429</v>
      </c>
      <c r="G19" s="1174">
        <v>255.7</v>
      </c>
      <c r="H19" s="1174">
        <f t="shared" si="3"/>
        <v>108.62361937128291</v>
      </c>
      <c r="I19" s="1069">
        <v>242.8</v>
      </c>
      <c r="J19" s="1174">
        <v>165.5</v>
      </c>
      <c r="K19" s="1174">
        <v>165.8</v>
      </c>
      <c r="L19" s="1174">
        <v>266.2</v>
      </c>
      <c r="M19" s="1174">
        <f t="shared" si="4"/>
        <v>104.10637465780211</v>
      </c>
      <c r="N19" s="1174">
        <v>338.3</v>
      </c>
      <c r="O19" s="1174">
        <f t="shared" si="5"/>
        <v>139.332784184514</v>
      </c>
      <c r="P19" s="1069">
        <v>309.89999999999998</v>
      </c>
      <c r="Q19" s="1174">
        <f t="shared" si="6"/>
        <v>127.63591433278417</v>
      </c>
      <c r="R19" s="1174">
        <f>P19/L19*100</f>
        <v>116.41622839969948</v>
      </c>
      <c r="S19" s="1069">
        <v>175</v>
      </c>
      <c r="T19" s="1069"/>
      <c r="U19" s="1196">
        <v>275.7</v>
      </c>
      <c r="V19" s="1110">
        <v>465.7</v>
      </c>
      <c r="W19" s="1090">
        <f t="shared" si="7"/>
        <v>1.5027428202646016</v>
      </c>
      <c r="X19" s="1086">
        <f>S19/6*9*1.015</f>
        <v>266.4375</v>
      </c>
      <c r="Y19" s="1086"/>
      <c r="Z19" s="1086"/>
      <c r="AA19" s="1247">
        <v>282.60000000000002</v>
      </c>
      <c r="AB19" s="1106">
        <v>328.8</v>
      </c>
      <c r="AC19" s="1086">
        <f>X19*1.035</f>
        <v>275.7628125</v>
      </c>
      <c r="AD19" s="1090">
        <f t="shared" si="8"/>
        <v>1.0349999999999999</v>
      </c>
      <c r="AE19" s="1086">
        <v>175.2</v>
      </c>
      <c r="AF19" s="1247">
        <v>179.53</v>
      </c>
      <c r="AG19" s="1106">
        <f>SUM(AA19*1.1)</f>
        <v>310.86000000000007</v>
      </c>
      <c r="AH19" s="1086">
        <f>AG19</f>
        <v>310.86000000000007</v>
      </c>
      <c r="AI19" s="1116">
        <f t="shared" si="9"/>
        <v>1.1272730981448054</v>
      </c>
      <c r="AJ19" s="5189"/>
      <c r="AK19" s="5190"/>
      <c r="AL19" s="5191"/>
      <c r="AM19" s="3337">
        <v>286.54000000000002</v>
      </c>
      <c r="AN19" s="3329">
        <v>180.36</v>
      </c>
      <c r="AO19" s="3508">
        <v>189.35</v>
      </c>
      <c r="AP19" s="3331">
        <v>341.95</v>
      </c>
      <c r="AQ19" s="3526">
        <f>SUM(AH19*1.1)</f>
        <v>341.94600000000008</v>
      </c>
      <c r="AR19" s="3644">
        <v>323.29000000000002</v>
      </c>
      <c r="AS19" s="3635">
        <f t="shared" si="1"/>
        <v>1.0399858457183295</v>
      </c>
    </row>
    <row r="20" spans="1:45" ht="42.75" customHeight="1">
      <c r="A20" s="1232" t="s">
        <v>564</v>
      </c>
      <c r="B20" s="1230">
        <v>12</v>
      </c>
      <c r="C20" s="1218">
        <v>13.2</v>
      </c>
      <c r="D20" s="1218">
        <f>C20/B20*100</f>
        <v>109.99999999999999</v>
      </c>
      <c r="E20" s="1174">
        <v>15.2</v>
      </c>
      <c r="F20" s="1174">
        <f t="shared" si="2"/>
        <v>115.15151515151516</v>
      </c>
      <c r="G20" s="1174">
        <v>16.399999999999999</v>
      </c>
      <c r="H20" s="1174">
        <f t="shared" si="3"/>
        <v>107.89473684210526</v>
      </c>
      <c r="I20" s="1069">
        <v>16.3</v>
      </c>
      <c r="J20" s="1174">
        <v>8.4</v>
      </c>
      <c r="K20" s="1174">
        <v>13.5</v>
      </c>
      <c r="L20" s="1174">
        <v>17.8</v>
      </c>
      <c r="M20" s="1174">
        <f t="shared" si="4"/>
        <v>108.53658536585367</v>
      </c>
      <c r="N20" s="1174">
        <v>17.93</v>
      </c>
      <c r="O20" s="1174">
        <f t="shared" si="5"/>
        <v>109.99999999999999</v>
      </c>
      <c r="P20" s="1069">
        <v>17.100000000000001</v>
      </c>
      <c r="Q20" s="1174">
        <f t="shared" si="6"/>
        <v>104.9079754601227</v>
      </c>
      <c r="R20" s="1174">
        <f>P20/L20*100</f>
        <v>96.067415730337075</v>
      </c>
      <c r="S20" s="1069">
        <v>0</v>
      </c>
      <c r="T20" s="1069"/>
      <c r="U20" s="1196">
        <v>0</v>
      </c>
      <c r="V20" s="1110">
        <v>18.899999999999999</v>
      </c>
      <c r="W20" s="1090">
        <f t="shared" si="7"/>
        <v>1.1052631578947367</v>
      </c>
      <c r="X20" s="1086">
        <f>P20</f>
        <v>17.100000000000001</v>
      </c>
      <c r="Y20" s="1086"/>
      <c r="Z20" s="1086"/>
      <c r="AA20" s="1247">
        <v>0.3</v>
      </c>
      <c r="AB20" s="1106">
        <v>18.54</v>
      </c>
      <c r="AC20" s="1086">
        <f>X20*1.049</f>
        <v>17.937899999999999</v>
      </c>
      <c r="AD20" s="1090">
        <f t="shared" si="8"/>
        <v>1.0489999999999999</v>
      </c>
      <c r="AE20" s="1086">
        <v>0</v>
      </c>
      <c r="AF20" s="1247">
        <v>0</v>
      </c>
      <c r="AG20" s="1106">
        <f>SUM(AC20*1.1)</f>
        <v>19.73169</v>
      </c>
      <c r="AH20" s="1086">
        <v>0</v>
      </c>
      <c r="AI20" s="1116">
        <f t="shared" si="9"/>
        <v>0</v>
      </c>
      <c r="AJ20" s="5173" t="s">
        <v>1497</v>
      </c>
      <c r="AK20" s="5174"/>
      <c r="AL20" s="5175"/>
      <c r="AM20" s="3337">
        <v>0.5</v>
      </c>
      <c r="AN20" s="3329">
        <v>0</v>
      </c>
      <c r="AO20" s="3508">
        <v>0</v>
      </c>
      <c r="AP20" s="3331">
        <v>0</v>
      </c>
      <c r="AQ20" s="3526">
        <f>SUM(AM20*1.1)</f>
        <v>0.55000000000000004</v>
      </c>
      <c r="AR20" s="3632">
        <f t="shared" si="15"/>
        <v>0</v>
      </c>
      <c r="AS20" s="3635" t="e">
        <f t="shared" si="1"/>
        <v>#DIV/0!</v>
      </c>
    </row>
    <row r="21" spans="1:45" ht="18.75" customHeight="1">
      <c r="A21" s="1232" t="s">
        <v>565</v>
      </c>
      <c r="B21" s="1230">
        <v>163.5</v>
      </c>
      <c r="C21" s="1218">
        <v>122.4</v>
      </c>
      <c r="D21" s="1218">
        <f>C21/B21*100</f>
        <v>74.862385321100916</v>
      </c>
      <c r="E21" s="1174">
        <v>186.8</v>
      </c>
      <c r="F21" s="1174">
        <f t="shared" si="2"/>
        <v>152.61437908496734</v>
      </c>
      <c r="G21" s="1174">
        <v>158.30000000000001</v>
      </c>
      <c r="H21" s="1174">
        <f t="shared" si="3"/>
        <v>84.743040685224841</v>
      </c>
      <c r="I21" s="1069">
        <v>163.69999999999999</v>
      </c>
      <c r="J21" s="1174">
        <v>99</v>
      </c>
      <c r="K21" s="1174">
        <v>100.1</v>
      </c>
      <c r="L21" s="1174">
        <v>241.7</v>
      </c>
      <c r="M21" s="1174">
        <f t="shared" si="4"/>
        <v>152.68477574226151</v>
      </c>
      <c r="N21" s="1174">
        <v>187.11</v>
      </c>
      <c r="O21" s="1174">
        <f t="shared" si="5"/>
        <v>114.30054978619428</v>
      </c>
      <c r="P21" s="1069">
        <v>178.4</v>
      </c>
      <c r="Q21" s="1174">
        <f t="shared" si="6"/>
        <v>108.97984117287723</v>
      </c>
      <c r="R21" s="1174">
        <f>P21/L21*100</f>
        <v>73.810508895324787</v>
      </c>
      <c r="S21" s="1069">
        <v>83.8</v>
      </c>
      <c r="T21" s="1069"/>
      <c r="U21" s="1196">
        <v>100.3</v>
      </c>
      <c r="V21" s="1110">
        <v>252.93</v>
      </c>
      <c r="W21" s="1090">
        <f t="shared" si="7"/>
        <v>1.4177690582959641</v>
      </c>
      <c r="X21" s="1086">
        <f>S21/9*12*1.048</f>
        <v>117.09653333333333</v>
      </c>
      <c r="Y21" s="1086"/>
      <c r="Z21" s="1086"/>
      <c r="AA21" s="1247">
        <v>131</v>
      </c>
      <c r="AB21" s="1106">
        <v>128.54</v>
      </c>
      <c r="AC21" s="1086">
        <f>AB21</f>
        <v>128.54</v>
      </c>
      <c r="AD21" s="1090">
        <f t="shared" si="8"/>
        <v>1.0977267758567291</v>
      </c>
      <c r="AE21" s="1086">
        <v>26.16</v>
      </c>
      <c r="AF21" s="1247">
        <v>38.049999999999997</v>
      </c>
      <c r="AG21" s="1106">
        <f>SUM(AA21*1.1)</f>
        <v>144.10000000000002</v>
      </c>
      <c r="AH21" s="1086">
        <f>AC21*1.062</f>
        <v>136.50948</v>
      </c>
      <c r="AI21" s="1116">
        <f t="shared" si="9"/>
        <v>1.0620000000000001</v>
      </c>
      <c r="AJ21" s="5173" t="s">
        <v>1549</v>
      </c>
      <c r="AK21" s="5174"/>
      <c r="AL21" s="5175"/>
      <c r="AM21" s="3337">
        <v>60.12</v>
      </c>
      <c r="AN21" s="3329">
        <v>29.36</v>
      </c>
      <c r="AO21" s="3508">
        <v>61.88</v>
      </c>
      <c r="AP21" s="3331">
        <f>SUM(AO21/9*12)</f>
        <v>82.506666666666661</v>
      </c>
      <c r="AQ21" s="3526">
        <f>SUM(AH21*1.1)</f>
        <v>150.160428</v>
      </c>
      <c r="AR21" s="3632">
        <f t="shared" si="15"/>
        <v>144.73963654919999</v>
      </c>
      <c r="AS21" s="3635">
        <f t="shared" si="1"/>
        <v>1.06029</v>
      </c>
    </row>
    <row r="22" spans="1:45" ht="18.75" customHeight="1">
      <c r="A22" s="1232" t="s">
        <v>566</v>
      </c>
      <c r="B22" s="1230">
        <v>23.2</v>
      </c>
      <c r="C22" s="1218">
        <v>24.1</v>
      </c>
      <c r="D22" s="1218">
        <f>C22/B22*100</f>
        <v>103.8793103448276</v>
      </c>
      <c r="E22" s="1174">
        <v>33.9</v>
      </c>
      <c r="F22" s="1174">
        <f t="shared" si="2"/>
        <v>140.66390041493776</v>
      </c>
      <c r="G22" s="1174">
        <v>23.7</v>
      </c>
      <c r="H22" s="1174">
        <f t="shared" si="3"/>
        <v>69.911504424778755</v>
      </c>
      <c r="I22" s="1069">
        <v>30.7</v>
      </c>
      <c r="J22" s="1174">
        <v>11</v>
      </c>
      <c r="K22" s="1174">
        <v>17.5</v>
      </c>
      <c r="L22" s="1174">
        <v>23.5</v>
      </c>
      <c r="M22" s="1174">
        <f t="shared" si="4"/>
        <v>99.156118143459921</v>
      </c>
      <c r="N22" s="1174">
        <v>33.770000000000003</v>
      </c>
      <c r="O22" s="1174">
        <f t="shared" si="5"/>
        <v>110.00000000000001</v>
      </c>
      <c r="P22" s="1069">
        <v>32.1</v>
      </c>
      <c r="Q22" s="1174">
        <f t="shared" si="6"/>
        <v>104.56026058631922</v>
      </c>
      <c r="R22" s="1174">
        <f>P22/L22*100</f>
        <v>136.59574468085108</v>
      </c>
      <c r="S22" s="1069">
        <v>18.600000000000001</v>
      </c>
      <c r="T22" s="1069"/>
      <c r="U22" s="1196">
        <v>36.700000000000003</v>
      </c>
      <c r="V22" s="1110">
        <v>33.81</v>
      </c>
      <c r="W22" s="1090">
        <f t="shared" si="7"/>
        <v>1.0532710280373832</v>
      </c>
      <c r="X22" s="1086">
        <f>P22*1.044</f>
        <v>33.5124</v>
      </c>
      <c r="Y22" s="1086"/>
      <c r="Z22" s="1086"/>
      <c r="AA22" s="1247">
        <v>24</v>
      </c>
      <c r="AB22" s="1106">
        <v>35.637999999999998</v>
      </c>
      <c r="AC22" s="1086">
        <f>AB22</f>
        <v>35.637999999999998</v>
      </c>
      <c r="AD22" s="1090">
        <f t="shared" si="8"/>
        <v>1.0634272687124766</v>
      </c>
      <c r="AE22" s="1086">
        <v>12.88</v>
      </c>
      <c r="AF22" s="1247">
        <v>19.420000000000002</v>
      </c>
      <c r="AG22" s="1106">
        <f>SUM(AC22*1.1)</f>
        <v>39.201799999999999</v>
      </c>
      <c r="AH22" s="1086">
        <f>AG22</f>
        <v>39.201799999999999</v>
      </c>
      <c r="AI22" s="1116">
        <f t="shared" si="9"/>
        <v>1.1000000000000001</v>
      </c>
      <c r="AJ22" s="5189"/>
      <c r="AK22" s="5190"/>
      <c r="AL22" s="5191"/>
      <c r="AM22" s="3337">
        <v>25.96</v>
      </c>
      <c r="AN22" s="3329">
        <v>15.47</v>
      </c>
      <c r="AO22" s="3508">
        <v>21.08</v>
      </c>
      <c r="AP22" s="3331">
        <f>SUM(AO22/9*12)</f>
        <v>28.106666666666662</v>
      </c>
      <c r="AQ22" s="3526">
        <f>SUM(AH22*1.1)</f>
        <v>43.121980000000001</v>
      </c>
      <c r="AR22" s="3632">
        <f t="shared" si="15"/>
        <v>41.565276521999998</v>
      </c>
      <c r="AS22" s="3635">
        <f t="shared" si="1"/>
        <v>1.06029</v>
      </c>
    </row>
    <row r="23" spans="1:45" ht="18.75" hidden="1" customHeight="1">
      <c r="A23" s="1232" t="s">
        <v>53</v>
      </c>
      <c r="B23" s="1230"/>
      <c r="C23" s="1218"/>
      <c r="D23" s="1218"/>
      <c r="E23" s="1174"/>
      <c r="F23" s="1174"/>
      <c r="G23" s="1174"/>
      <c r="H23" s="1174"/>
      <c r="I23" s="1069"/>
      <c r="J23" s="1174"/>
      <c r="K23" s="1174"/>
      <c r="L23" s="1174"/>
      <c r="M23" s="1174"/>
      <c r="N23" s="1174"/>
      <c r="O23" s="1174"/>
      <c r="P23" s="1069">
        <f>L23*1.049</f>
        <v>0</v>
      </c>
      <c r="Q23" s="1174" t="e">
        <f t="shared" si="6"/>
        <v>#DIV/0!</v>
      </c>
      <c r="R23" s="1174"/>
      <c r="S23" s="1069"/>
      <c r="T23" s="1069"/>
      <c r="U23" s="1196"/>
      <c r="V23" s="1110"/>
      <c r="W23" s="1090" t="e">
        <f t="shared" si="7"/>
        <v>#DIV/0!</v>
      </c>
      <c r="X23" s="1086"/>
      <c r="Y23" s="1086"/>
      <c r="Z23" s="1086"/>
      <c r="AA23" s="1247"/>
      <c r="AB23" s="1106"/>
      <c r="AC23" s="1086"/>
      <c r="AD23" s="1090" t="e">
        <f t="shared" si="8"/>
        <v>#DIV/0!</v>
      </c>
      <c r="AE23" s="1086"/>
      <c r="AF23" s="1247"/>
      <c r="AG23" s="1106"/>
      <c r="AH23" s="1086"/>
      <c r="AI23" s="1116" t="e">
        <f t="shared" si="9"/>
        <v>#DIV/0!</v>
      </c>
      <c r="AJ23" s="3878"/>
      <c r="AK23" s="3879"/>
      <c r="AL23" s="3880"/>
      <c r="AM23" s="3337"/>
      <c r="AN23" s="3329"/>
      <c r="AO23" s="3508"/>
      <c r="AP23" s="3331"/>
      <c r="AQ23" s="3526"/>
      <c r="AR23" s="3632"/>
      <c r="AS23" s="3635" t="e">
        <f t="shared" si="1"/>
        <v>#DIV/0!</v>
      </c>
    </row>
    <row r="24" spans="1:45" ht="19.5" customHeight="1">
      <c r="A24" s="1231" t="s">
        <v>30</v>
      </c>
      <c r="B24" s="1229">
        <v>583.79999999999995</v>
      </c>
      <c r="C24" s="1217">
        <v>428.9</v>
      </c>
      <c r="D24" s="1218">
        <f>C24/B24*100</f>
        <v>73.466940733127785</v>
      </c>
      <c r="E24" s="1069">
        <v>512.20000000000005</v>
      </c>
      <c r="F24" s="1174">
        <f t="shared" si="2"/>
        <v>119.42177663791097</v>
      </c>
      <c r="G24" s="1069">
        <v>410.6</v>
      </c>
      <c r="H24" s="1174">
        <f t="shared" si="3"/>
        <v>80.163998438110113</v>
      </c>
      <c r="I24" s="1069">
        <v>549.1</v>
      </c>
      <c r="J24" s="1069">
        <v>209.5</v>
      </c>
      <c r="K24" s="1069">
        <v>387.9</v>
      </c>
      <c r="L24" s="1069">
        <v>533.79999999999995</v>
      </c>
      <c r="M24" s="1174">
        <f t="shared" si="4"/>
        <v>130.00487092060396</v>
      </c>
      <c r="N24" s="1069">
        <v>604.01</v>
      </c>
      <c r="O24" s="1174">
        <f t="shared" si="5"/>
        <v>109.99999999999999</v>
      </c>
      <c r="P24" s="1069">
        <v>579</v>
      </c>
      <c r="Q24" s="1174">
        <f t="shared" si="6"/>
        <v>105.44527408486614</v>
      </c>
      <c r="R24" s="1174">
        <f>P24/L24*100</f>
        <v>108.46759085799927</v>
      </c>
      <c r="S24" s="1069">
        <v>426.5</v>
      </c>
      <c r="T24" s="1069"/>
      <c r="U24" s="1196">
        <v>554.29999999999995</v>
      </c>
      <c r="V24" s="1110">
        <v>698.46</v>
      </c>
      <c r="W24" s="1090">
        <f t="shared" si="7"/>
        <v>1.2063212435233162</v>
      </c>
      <c r="X24" s="1086">
        <f>P24*1.048</f>
        <v>606.79200000000003</v>
      </c>
      <c r="Y24" s="1086"/>
      <c r="Z24" s="1086"/>
      <c r="AA24" s="1247">
        <v>391.5</v>
      </c>
      <c r="AB24" s="1106">
        <v>645.6</v>
      </c>
      <c r="AC24" s="1086">
        <f>AB24</f>
        <v>645.6</v>
      </c>
      <c r="AD24" s="1090">
        <f t="shared" si="8"/>
        <v>1.0639560178776253</v>
      </c>
      <c r="AE24" s="1086">
        <v>424.39</v>
      </c>
      <c r="AF24" s="1247">
        <v>525.45000000000005</v>
      </c>
      <c r="AG24" s="1106">
        <f>SUM(AC24*1.1)</f>
        <v>710.16000000000008</v>
      </c>
      <c r="AH24" s="1086">
        <f>AG24</f>
        <v>710.16000000000008</v>
      </c>
      <c r="AI24" s="1116">
        <f t="shared" si="9"/>
        <v>1.1000000000000001</v>
      </c>
      <c r="AJ24" s="5189"/>
      <c r="AK24" s="5190"/>
      <c r="AL24" s="5191"/>
      <c r="AM24" s="3337">
        <v>653.54999999999995</v>
      </c>
      <c r="AN24" s="3329">
        <v>308.3</v>
      </c>
      <c r="AO24" s="3508">
        <v>642.29999999999995</v>
      </c>
      <c r="AP24" s="3331">
        <f>SUM(AO24/9*12)</f>
        <v>856.39999999999986</v>
      </c>
      <c r="AQ24" s="3526">
        <f>SUM(AH24*1.1)</f>
        <v>781.17600000000016</v>
      </c>
      <c r="AR24" s="3632">
        <f t="shared" si="15"/>
        <v>752.9755464000001</v>
      </c>
      <c r="AS24" s="3635">
        <f t="shared" si="1"/>
        <v>1.06029</v>
      </c>
    </row>
    <row r="25" spans="1:45" ht="18.75">
      <c r="A25" s="1231" t="s">
        <v>856</v>
      </c>
      <c r="B25" s="1229">
        <f>SUM(B26:B40)</f>
        <v>1274</v>
      </c>
      <c r="C25" s="1217">
        <f>SUM(C26:C40)</f>
        <v>1570.1999999999998</v>
      </c>
      <c r="D25" s="1218">
        <f>C25/B25*100</f>
        <v>123.24960753532181</v>
      </c>
      <c r="E25" s="1069">
        <f>SUM(E26:E41)</f>
        <v>2458.1999999999998</v>
      </c>
      <c r="F25" s="1069">
        <f>SUM(F26:F41)</f>
        <v>1921.4028595453462</v>
      </c>
      <c r="G25" s="1069">
        <f>SUM(G26:G44)</f>
        <v>1923.4</v>
      </c>
      <c r="H25" s="1174">
        <f t="shared" si="3"/>
        <v>78.24424375559353</v>
      </c>
      <c r="I25" s="1069">
        <f>SUM(I26:I41)</f>
        <v>1629.7320000000004</v>
      </c>
      <c r="J25" s="1069">
        <f>SUM(J26:J41)</f>
        <v>1107.6000000000001</v>
      </c>
      <c r="K25" s="1069">
        <f>SUM(K26:K44)</f>
        <v>2027.9</v>
      </c>
      <c r="L25" s="1069">
        <f>SUM(L26:L44)</f>
        <v>3341.3000000000006</v>
      </c>
      <c r="M25" s="1174">
        <f t="shared" si="4"/>
        <v>173.71841530622859</v>
      </c>
      <c r="N25" s="1069">
        <f>SUM(N26:N44)</f>
        <v>2703.43</v>
      </c>
      <c r="O25" s="1174">
        <f t="shared" si="5"/>
        <v>165.88187505675776</v>
      </c>
      <c r="P25" s="1069">
        <f>SUM(P26:P44)</f>
        <v>1876.2000000000003</v>
      </c>
      <c r="Q25" s="1069">
        <f t="shared" ref="Q25:AC25" si="23">SUM(Q26:Q44)</f>
        <v>1650.0918364803115</v>
      </c>
      <c r="R25" s="1069" t="e">
        <f t="shared" si="23"/>
        <v>#DIV/0!</v>
      </c>
      <c r="S25" s="1069">
        <f t="shared" si="23"/>
        <v>2098.5</v>
      </c>
      <c r="T25" s="1069">
        <f t="shared" si="23"/>
        <v>0</v>
      </c>
      <c r="U25" s="1196">
        <f t="shared" si="23"/>
        <v>2454.1000000000004</v>
      </c>
      <c r="V25" s="1110">
        <f t="shared" si="23"/>
        <v>3781.8249999999998</v>
      </c>
      <c r="W25" s="1090">
        <f t="shared" si="7"/>
        <v>2.0156832960238775</v>
      </c>
      <c r="X25" s="1069">
        <f t="shared" si="23"/>
        <v>2043.1773000000003</v>
      </c>
      <c r="Y25" s="1069"/>
      <c r="Z25" s="1069"/>
      <c r="AA25" s="1069">
        <f t="shared" si="23"/>
        <v>2151.9</v>
      </c>
      <c r="AB25" s="1110">
        <f t="shared" si="23"/>
        <v>3030.5219999999999</v>
      </c>
      <c r="AC25" s="1069">
        <f t="shared" si="23"/>
        <v>1551.6120093000002</v>
      </c>
      <c r="AD25" s="1090">
        <f t="shared" si="8"/>
        <v>0.75941133904531921</v>
      </c>
      <c r="AE25" s="1069">
        <f t="shared" ref="AE25:AF25" si="24">SUM(AE26:AE44)</f>
        <v>1396.08</v>
      </c>
      <c r="AF25" s="1107">
        <f t="shared" si="24"/>
        <v>2018.5900000000001</v>
      </c>
      <c r="AG25" s="1110">
        <f t="shared" ref="AG25:AH25" si="25">SUM(AG26:AG44)</f>
        <v>3301.3489307700006</v>
      </c>
      <c r="AH25" s="1069">
        <f t="shared" si="25"/>
        <v>2251.9940915978004</v>
      </c>
      <c r="AI25" s="1116">
        <f t="shared" si="9"/>
        <v>1.4513899596676705</v>
      </c>
      <c r="AJ25" s="5189"/>
      <c r="AK25" s="5190"/>
      <c r="AL25" s="5191"/>
      <c r="AM25" s="3321">
        <f t="shared" ref="AM25:AN25" si="26">SUM(AM26:AM44)</f>
        <v>2551.9700000000003</v>
      </c>
      <c r="AN25" s="3329">
        <f t="shared" si="26"/>
        <v>1307.3499999999999</v>
      </c>
      <c r="AO25" s="3508">
        <f t="shared" ref="AO25:AP25" si="27">SUM(AO26:AO44)</f>
        <v>2179.0300000000007</v>
      </c>
      <c r="AP25" s="3331">
        <f t="shared" si="27"/>
        <v>2905.3733333333339</v>
      </c>
      <c r="AQ25" s="3506">
        <f t="shared" ref="AQ25:AR25" si="28">SUM(AQ26:AQ44)</f>
        <v>3030.2523767095804</v>
      </c>
      <c r="AR25" s="2942">
        <f t="shared" si="28"/>
        <v>2379.5793969882316</v>
      </c>
      <c r="AS25" s="3635">
        <f t="shared" si="1"/>
        <v>1.0566543695058759</v>
      </c>
    </row>
    <row r="26" spans="1:45" ht="18.75" customHeight="1">
      <c r="A26" s="1232" t="s">
        <v>551</v>
      </c>
      <c r="B26" s="1230">
        <v>81.7</v>
      </c>
      <c r="C26" s="1218">
        <v>71.599999999999994</v>
      </c>
      <c r="D26" s="1218">
        <f t="shared" ref="D26:D34" si="29">C26/B26*100</f>
        <v>87.6376988984088</v>
      </c>
      <c r="E26" s="1174">
        <v>58.8</v>
      </c>
      <c r="F26" s="1174">
        <f t="shared" si="2"/>
        <v>82.122905027932973</v>
      </c>
      <c r="G26" s="1174">
        <v>81.8</v>
      </c>
      <c r="H26" s="1174">
        <f t="shared" si="3"/>
        <v>139.1156462585034</v>
      </c>
      <c r="I26" s="1069">
        <v>84.3</v>
      </c>
      <c r="J26" s="1069">
        <v>81.8</v>
      </c>
      <c r="K26" s="1069">
        <v>402.6</v>
      </c>
      <c r="L26" s="1174">
        <v>402.6</v>
      </c>
      <c r="M26" s="1174">
        <f t="shared" si="4"/>
        <v>492.17603911980444</v>
      </c>
      <c r="N26" s="1174">
        <v>92.73</v>
      </c>
      <c r="O26" s="1174">
        <f t="shared" si="5"/>
        <v>110.00000000000001</v>
      </c>
      <c r="P26" s="1069">
        <v>88.4</v>
      </c>
      <c r="Q26" s="1174">
        <f t="shared" si="6"/>
        <v>104.86358244365364</v>
      </c>
      <c r="R26" s="1174">
        <f t="shared" ref="R26:R37" si="30">P26/L26*100</f>
        <v>21.957277694982615</v>
      </c>
      <c r="S26" s="1069">
        <v>169.5</v>
      </c>
      <c r="T26" s="1069"/>
      <c r="U26" s="1196">
        <v>169.5</v>
      </c>
      <c r="V26" s="1110">
        <v>240</v>
      </c>
      <c r="W26" s="1090">
        <f t="shared" si="7"/>
        <v>2.7149321266968323</v>
      </c>
      <c r="X26" s="1086">
        <f>P26*1.048</f>
        <v>92.643200000000007</v>
      </c>
      <c r="Y26" s="1086"/>
      <c r="Z26" s="1086"/>
      <c r="AA26" s="1247">
        <v>273.8</v>
      </c>
      <c r="AB26" s="1106">
        <v>98</v>
      </c>
      <c r="AC26" s="1086">
        <f>AB26</f>
        <v>98</v>
      </c>
      <c r="AD26" s="1090">
        <f t="shared" si="8"/>
        <v>1.0578218368968255</v>
      </c>
      <c r="AE26" s="1086">
        <v>0</v>
      </c>
      <c r="AF26" s="1247">
        <v>0</v>
      </c>
      <c r="AG26" s="1106">
        <f>SUM(AA26*1.1)</f>
        <v>301.18000000000006</v>
      </c>
      <c r="AH26" s="1086">
        <f>AG26</f>
        <v>301.18000000000006</v>
      </c>
      <c r="AI26" s="1116">
        <f t="shared" si="9"/>
        <v>3.0732653061224497</v>
      </c>
      <c r="AJ26" s="5189"/>
      <c r="AK26" s="5190"/>
      <c r="AL26" s="5191"/>
      <c r="AM26" s="3337">
        <v>0</v>
      </c>
      <c r="AN26" s="3329">
        <v>0</v>
      </c>
      <c r="AO26" s="3508">
        <v>0</v>
      </c>
      <c r="AP26" s="3331">
        <v>0</v>
      </c>
      <c r="AQ26" s="3526">
        <f>SUM(AH26*1.1)</f>
        <v>331.29800000000012</v>
      </c>
      <c r="AR26" s="3632">
        <f t="shared" si="15"/>
        <v>319.33814220000005</v>
      </c>
      <c r="AS26" s="3635">
        <f t="shared" si="1"/>
        <v>1.06029</v>
      </c>
    </row>
    <row r="27" spans="1:45" ht="18.75" customHeight="1">
      <c r="A27" s="1232" t="s">
        <v>552</v>
      </c>
      <c r="B27" s="1230">
        <v>58.5</v>
      </c>
      <c r="C27" s="1218">
        <v>91.6</v>
      </c>
      <c r="D27" s="1218">
        <f t="shared" si="29"/>
        <v>156.58119658119659</v>
      </c>
      <c r="E27" s="1174">
        <v>197.3</v>
      </c>
      <c r="F27" s="1174">
        <f t="shared" si="2"/>
        <v>215.39301310043672</v>
      </c>
      <c r="G27" s="1174">
        <v>132.5</v>
      </c>
      <c r="H27" s="1174">
        <f t="shared" si="3"/>
        <v>67.156614292954885</v>
      </c>
      <c r="I27" s="1069">
        <v>82.5</v>
      </c>
      <c r="J27" s="1174">
        <v>40.700000000000003</v>
      </c>
      <c r="K27" s="1174">
        <v>201.6</v>
      </c>
      <c r="L27" s="1174">
        <v>268.8</v>
      </c>
      <c r="M27" s="1174">
        <f t="shared" si="4"/>
        <v>202.8679245283019</v>
      </c>
      <c r="N27" s="1174">
        <v>112.42</v>
      </c>
      <c r="O27" s="1174">
        <f t="shared" si="5"/>
        <v>136.26666666666668</v>
      </c>
      <c r="P27" s="1069">
        <v>112.4</v>
      </c>
      <c r="Q27" s="1174">
        <f t="shared" si="6"/>
        <v>136.24242424242425</v>
      </c>
      <c r="R27" s="1174">
        <f t="shared" si="30"/>
        <v>41.81547619047619</v>
      </c>
      <c r="S27" s="1069">
        <v>283.3</v>
      </c>
      <c r="T27" s="1069"/>
      <c r="U27" s="1196">
        <v>316.10000000000002</v>
      </c>
      <c r="V27" s="1110">
        <v>285.60000000000002</v>
      </c>
      <c r="W27" s="1090">
        <f t="shared" si="7"/>
        <v>2.5409252669039146</v>
      </c>
      <c r="X27" s="1086">
        <f t="shared" ref="X27:X44" si="31">P27*1.048</f>
        <v>117.79520000000001</v>
      </c>
      <c r="Y27" s="1086"/>
      <c r="Z27" s="1086"/>
      <c r="AA27" s="1247">
        <v>185.6</v>
      </c>
      <c r="AB27" s="1106">
        <v>133.9</v>
      </c>
      <c r="AC27" s="1086">
        <f>AB27</f>
        <v>133.9</v>
      </c>
      <c r="AD27" s="1090">
        <f t="shared" si="8"/>
        <v>1.1367186438836216</v>
      </c>
      <c r="AE27" s="1086">
        <v>45.04</v>
      </c>
      <c r="AF27" s="1247">
        <v>215.01</v>
      </c>
      <c r="AG27" s="1106">
        <f>SUM(AA27*1.1)</f>
        <v>204.16</v>
      </c>
      <c r="AH27" s="1086">
        <f>AG27</f>
        <v>204.16</v>
      </c>
      <c r="AI27" s="1116">
        <f t="shared" si="9"/>
        <v>1.5247199402539207</v>
      </c>
      <c r="AJ27" s="5189"/>
      <c r="AK27" s="5190"/>
      <c r="AL27" s="5191"/>
      <c r="AM27" s="3337">
        <v>261.08999999999997</v>
      </c>
      <c r="AN27" s="3329">
        <v>28.94</v>
      </c>
      <c r="AO27" s="3508">
        <v>234.63</v>
      </c>
      <c r="AP27" s="3331">
        <f>SUM(AO27/9*12)</f>
        <v>312.84000000000003</v>
      </c>
      <c r="AQ27" s="3526">
        <f>SUM(AM27*1.074*1.1)</f>
        <v>308.45172600000001</v>
      </c>
      <c r="AR27" s="3632">
        <f t="shared" si="15"/>
        <v>216.46880640000001</v>
      </c>
      <c r="AS27" s="3635">
        <f t="shared" si="1"/>
        <v>1.06029</v>
      </c>
    </row>
    <row r="28" spans="1:45" ht="42" customHeight="1">
      <c r="A28" s="1232" t="s">
        <v>572</v>
      </c>
      <c r="B28" s="1230">
        <v>796.5</v>
      </c>
      <c r="C28" s="1218">
        <v>579.4</v>
      </c>
      <c r="D28" s="1218">
        <f t="shared" si="29"/>
        <v>72.743251726302574</v>
      </c>
      <c r="E28" s="1174">
        <v>931.4</v>
      </c>
      <c r="F28" s="1174">
        <f t="shared" si="2"/>
        <v>160.75250258888505</v>
      </c>
      <c r="G28" s="1174">
        <v>362.1</v>
      </c>
      <c r="H28" s="1174">
        <f t="shared" si="3"/>
        <v>38.876959415933008</v>
      </c>
      <c r="I28" s="1069">
        <v>672.9</v>
      </c>
      <c r="J28" s="1174">
        <v>330.4</v>
      </c>
      <c r="K28" s="1174">
        <v>0</v>
      </c>
      <c r="L28" s="1174">
        <v>758.8</v>
      </c>
      <c r="M28" s="1174">
        <f t="shared" si="4"/>
        <v>209.55537144435237</v>
      </c>
      <c r="N28" s="1174">
        <v>740.19</v>
      </c>
      <c r="O28" s="1174">
        <f t="shared" si="5"/>
        <v>110.00000000000001</v>
      </c>
      <c r="P28" s="1069">
        <v>705.8</v>
      </c>
      <c r="Q28" s="1174">
        <f t="shared" si="6"/>
        <v>104.88928518353396</v>
      </c>
      <c r="R28" s="1174">
        <f t="shared" si="30"/>
        <v>93.015287295730104</v>
      </c>
      <c r="S28" s="1069">
        <v>240.3</v>
      </c>
      <c r="T28" s="1069"/>
      <c r="U28" s="1196">
        <v>240.3</v>
      </c>
      <c r="V28" s="1110">
        <v>875.7</v>
      </c>
      <c r="W28" s="1090">
        <f t="shared" si="7"/>
        <v>1.2407197506375744</v>
      </c>
      <c r="X28" s="1086">
        <f>P28*1.044</f>
        <v>736.85519999999997</v>
      </c>
      <c r="Y28" s="1086"/>
      <c r="Z28" s="1086"/>
      <c r="AA28" s="1247">
        <v>0</v>
      </c>
      <c r="AB28" s="1106">
        <v>786.92</v>
      </c>
      <c r="AC28" s="1086">
        <f>U28*1.077*1.049</f>
        <v>271.48445190000001</v>
      </c>
      <c r="AD28" s="1090">
        <f t="shared" si="8"/>
        <v>0.36843663707604973</v>
      </c>
      <c r="AE28" s="1086">
        <v>0</v>
      </c>
      <c r="AF28" s="1247">
        <v>0</v>
      </c>
      <c r="AG28" s="1106">
        <f>SUM(AC28*1.1)</f>
        <v>298.63289709000003</v>
      </c>
      <c r="AH28" s="1086">
        <f>AC28*1.062</f>
        <v>288.31648791780003</v>
      </c>
      <c r="AI28" s="1116">
        <f t="shared" si="9"/>
        <v>1.0620000000000001</v>
      </c>
      <c r="AJ28" s="5173" t="s">
        <v>1549</v>
      </c>
      <c r="AK28" s="5174"/>
      <c r="AL28" s="5175"/>
      <c r="AM28" s="3337">
        <v>0</v>
      </c>
      <c r="AN28" s="3329"/>
      <c r="AO28" s="3508"/>
      <c r="AP28" s="3331"/>
      <c r="AQ28" s="3526">
        <f>SUM(AH28*1.1)</f>
        <v>317.14813670958006</v>
      </c>
      <c r="AR28" s="3632">
        <f t="shared" si="15"/>
        <v>305.69908897436414</v>
      </c>
      <c r="AS28" s="3635">
        <f t="shared" si="1"/>
        <v>1.0602899999999997</v>
      </c>
    </row>
    <row r="29" spans="1:45" ht="18.75" customHeight="1">
      <c r="A29" s="1232" t="s">
        <v>553</v>
      </c>
      <c r="B29" s="1230">
        <v>61.2</v>
      </c>
      <c r="C29" s="1220">
        <v>61.2</v>
      </c>
      <c r="D29" s="1218">
        <f t="shared" si="29"/>
        <v>100</v>
      </c>
      <c r="E29" s="1174">
        <v>61.2</v>
      </c>
      <c r="F29" s="1174">
        <f t="shared" si="2"/>
        <v>100</v>
      </c>
      <c r="G29" s="1174">
        <v>61</v>
      </c>
      <c r="H29" s="1174">
        <f t="shared" si="3"/>
        <v>99.673202614379079</v>
      </c>
      <c r="I29" s="1069">
        <f>E29*1.03</f>
        <v>63.036000000000001</v>
      </c>
      <c r="J29" s="1174">
        <v>30.6</v>
      </c>
      <c r="K29" s="1174">
        <v>45.9</v>
      </c>
      <c r="L29" s="1174">
        <v>61</v>
      </c>
      <c r="M29" s="1174">
        <f t="shared" si="4"/>
        <v>100</v>
      </c>
      <c r="N29" s="1174">
        <v>69.3</v>
      </c>
      <c r="O29" s="1174">
        <f t="shared" si="5"/>
        <v>109.93717875499713</v>
      </c>
      <c r="P29" s="1069">
        <v>66.099999999999994</v>
      </c>
      <c r="Q29" s="1174">
        <f t="shared" si="6"/>
        <v>104.86071451234213</v>
      </c>
      <c r="R29" s="1174">
        <f t="shared" si="30"/>
        <v>108.3606557377049</v>
      </c>
      <c r="S29" s="1069">
        <v>56.7</v>
      </c>
      <c r="T29" s="1069"/>
      <c r="U29" s="1196">
        <v>75.599999999999994</v>
      </c>
      <c r="V29" s="1110">
        <v>69.3</v>
      </c>
      <c r="W29" s="1090">
        <f t="shared" si="7"/>
        <v>1.0484114977307111</v>
      </c>
      <c r="X29" s="1086">
        <f>P29</f>
        <v>66.099999999999994</v>
      </c>
      <c r="Y29" s="1086"/>
      <c r="Z29" s="1086"/>
      <c r="AA29" s="1247">
        <v>75.599999999999994</v>
      </c>
      <c r="AB29" s="1106">
        <v>77.867999999999995</v>
      </c>
      <c r="AC29" s="1086">
        <f>AB29</f>
        <v>77.867999999999995</v>
      </c>
      <c r="AD29" s="1090">
        <f t="shared" si="8"/>
        <v>1.1780332829046898</v>
      </c>
      <c r="AE29" s="1086">
        <v>41.55</v>
      </c>
      <c r="AF29" s="1247">
        <v>62.34</v>
      </c>
      <c r="AG29" s="1106">
        <f>SUM(AC29*1.1)</f>
        <v>85.654799999999994</v>
      </c>
      <c r="AH29" s="1086">
        <f>AG29</f>
        <v>85.654799999999994</v>
      </c>
      <c r="AI29" s="1116">
        <f t="shared" si="9"/>
        <v>1.1000000000000001</v>
      </c>
      <c r="AJ29" s="5189"/>
      <c r="AK29" s="5190"/>
      <c r="AL29" s="5191"/>
      <c r="AM29" s="3337">
        <v>83.13</v>
      </c>
      <c r="AN29" s="3329">
        <v>41.58</v>
      </c>
      <c r="AO29" s="3508">
        <v>62.37</v>
      </c>
      <c r="AP29" s="3331">
        <f>SUM(AO29/9*12)</f>
        <v>83.16</v>
      </c>
      <c r="AQ29" s="3526">
        <f>SUM(AH29*1.1)</f>
        <v>94.220280000000002</v>
      </c>
      <c r="AR29" s="3644">
        <v>85.65</v>
      </c>
      <c r="AS29" s="3635">
        <f t="shared" si="1"/>
        <v>0.99994396110900974</v>
      </c>
    </row>
    <row r="30" spans="1:45" ht="18.75" customHeight="1">
      <c r="A30" s="1232" t="s">
        <v>554</v>
      </c>
      <c r="B30" s="1230">
        <v>3.8</v>
      </c>
      <c r="C30" s="1218">
        <v>11.5</v>
      </c>
      <c r="D30" s="1218">
        <f t="shared" si="29"/>
        <v>302.63157894736844</v>
      </c>
      <c r="E30" s="1174">
        <v>1.9</v>
      </c>
      <c r="F30" s="1174">
        <f t="shared" si="2"/>
        <v>16.521739130434781</v>
      </c>
      <c r="G30" s="1174">
        <v>37.1</v>
      </c>
      <c r="H30" s="1174">
        <f t="shared" si="3"/>
        <v>1952.6315789473686</v>
      </c>
      <c r="I30" s="1069">
        <v>10.9</v>
      </c>
      <c r="J30" s="1174">
        <v>3.5</v>
      </c>
      <c r="K30" s="1174">
        <v>23.7</v>
      </c>
      <c r="L30" s="1174">
        <v>23.7</v>
      </c>
      <c r="M30" s="1174">
        <f t="shared" si="4"/>
        <v>63.881401617250667</v>
      </c>
      <c r="N30" s="1174">
        <v>14.19</v>
      </c>
      <c r="O30" s="1174">
        <f t="shared" si="5"/>
        <v>130.18348623853211</v>
      </c>
      <c r="P30" s="1069">
        <v>14.2</v>
      </c>
      <c r="Q30" s="1174">
        <f t="shared" si="6"/>
        <v>130.27522935779817</v>
      </c>
      <c r="R30" s="1174">
        <f t="shared" si="30"/>
        <v>59.915611814345993</v>
      </c>
      <c r="S30" s="1069">
        <v>51.1</v>
      </c>
      <c r="T30" s="1069"/>
      <c r="U30" s="1196">
        <v>51.1</v>
      </c>
      <c r="V30" s="1110">
        <v>25.8</v>
      </c>
      <c r="W30" s="1090">
        <f t="shared" si="7"/>
        <v>1.8169014084507045</v>
      </c>
      <c r="X30" s="1086">
        <f t="shared" si="31"/>
        <v>14.881600000000001</v>
      </c>
      <c r="Y30" s="1086"/>
      <c r="Z30" s="1086"/>
      <c r="AA30" s="1247">
        <v>50.4</v>
      </c>
      <c r="AB30" s="1106">
        <v>15.862</v>
      </c>
      <c r="AC30" s="1086">
        <f>AB30</f>
        <v>15.862</v>
      </c>
      <c r="AD30" s="1090">
        <f t="shared" si="8"/>
        <v>1.0658800129018384</v>
      </c>
      <c r="AE30" s="1086">
        <v>33.6</v>
      </c>
      <c r="AF30" s="1247">
        <v>67.5</v>
      </c>
      <c r="AG30" s="1106">
        <f>SUM(AA30*1.1)</f>
        <v>55.440000000000005</v>
      </c>
      <c r="AH30" s="1086">
        <f>AG30</f>
        <v>55.440000000000005</v>
      </c>
      <c r="AI30" s="1116">
        <f t="shared" si="9"/>
        <v>3.4951456310679614</v>
      </c>
      <c r="AJ30" s="5189"/>
      <c r="AK30" s="5190"/>
      <c r="AL30" s="5191"/>
      <c r="AM30" s="3337">
        <v>68.14</v>
      </c>
      <c r="AN30" s="3329">
        <v>0.94</v>
      </c>
      <c r="AO30" s="3508">
        <v>43.16</v>
      </c>
      <c r="AP30" s="3331">
        <f>SUM(AO30/9*12)</f>
        <v>57.546666666666667</v>
      </c>
      <c r="AQ30" s="3526">
        <f>SUM(AM30*1.074*1.1)</f>
        <v>80.500596000000016</v>
      </c>
      <c r="AR30" s="3632">
        <f t="shared" si="15"/>
        <v>58.7824776</v>
      </c>
      <c r="AS30" s="3635">
        <f t="shared" si="1"/>
        <v>1.06029</v>
      </c>
    </row>
    <row r="31" spans="1:45" ht="30" customHeight="1">
      <c r="A31" s="1232" t="s">
        <v>555</v>
      </c>
      <c r="B31" s="1230">
        <v>2.8</v>
      </c>
      <c r="C31" s="1218">
        <v>4.2</v>
      </c>
      <c r="D31" s="1218">
        <f t="shared" si="29"/>
        <v>150.00000000000003</v>
      </c>
      <c r="E31" s="1174">
        <v>7.2</v>
      </c>
      <c r="F31" s="1174">
        <f t="shared" si="2"/>
        <v>171.42857142857142</v>
      </c>
      <c r="G31" s="1174">
        <v>5.9</v>
      </c>
      <c r="H31" s="1174">
        <f t="shared" si="3"/>
        <v>81.944444444444443</v>
      </c>
      <c r="I31" s="1069">
        <v>9.6999999999999993</v>
      </c>
      <c r="J31" s="1174">
        <v>3.2</v>
      </c>
      <c r="K31" s="1174">
        <v>3.7</v>
      </c>
      <c r="L31" s="1174">
        <v>5.5</v>
      </c>
      <c r="M31" s="1174">
        <f t="shared" si="4"/>
        <v>93.220338983050837</v>
      </c>
      <c r="N31" s="1174">
        <v>12.98</v>
      </c>
      <c r="O31" s="1174">
        <f t="shared" si="5"/>
        <v>133.81443298969074</v>
      </c>
      <c r="P31" s="1069">
        <v>5.2</v>
      </c>
      <c r="Q31" s="1174">
        <f t="shared" si="6"/>
        <v>53.608247422680421</v>
      </c>
      <c r="R31" s="1174">
        <f t="shared" si="30"/>
        <v>94.545454545454547</v>
      </c>
      <c r="S31" s="1069">
        <v>4.0999999999999996</v>
      </c>
      <c r="T31" s="1069"/>
      <c r="U31" s="1196">
        <v>4.2</v>
      </c>
      <c r="V31" s="1110">
        <v>6.3</v>
      </c>
      <c r="W31" s="1090">
        <f t="shared" si="7"/>
        <v>1.2115384615384615</v>
      </c>
      <c r="X31" s="1086">
        <f>P31</f>
        <v>5.2</v>
      </c>
      <c r="Y31" s="1086"/>
      <c r="Z31" s="1086"/>
      <c r="AA31" s="1247">
        <v>0</v>
      </c>
      <c r="AB31" s="1106">
        <v>158.21</v>
      </c>
      <c r="AC31" s="1086">
        <f>X31</f>
        <v>5.2</v>
      </c>
      <c r="AD31" s="1090">
        <f t="shared" si="8"/>
        <v>1</v>
      </c>
      <c r="AE31" s="1086">
        <v>0</v>
      </c>
      <c r="AF31" s="1247">
        <v>0</v>
      </c>
      <c r="AG31" s="1106">
        <f>SUM(AC31*1.1)</f>
        <v>5.7200000000000006</v>
      </c>
      <c r="AH31" s="1086">
        <v>0</v>
      </c>
      <c r="AI31" s="1116">
        <f t="shared" si="9"/>
        <v>0</v>
      </c>
      <c r="AJ31" s="5173" t="s">
        <v>1499</v>
      </c>
      <c r="AK31" s="5174"/>
      <c r="AL31" s="5175"/>
      <c r="AM31" s="3337">
        <v>0</v>
      </c>
      <c r="AN31" s="3329">
        <v>0</v>
      </c>
      <c r="AO31" s="3508">
        <v>0</v>
      </c>
      <c r="AP31" s="3331">
        <v>0</v>
      </c>
      <c r="AQ31" s="3526">
        <f>SUM(AM31*1.1)</f>
        <v>0</v>
      </c>
      <c r="AR31" s="3632">
        <f t="shared" si="15"/>
        <v>0</v>
      </c>
      <c r="AS31" s="3635"/>
    </row>
    <row r="32" spans="1:45" ht="44.25" customHeight="1">
      <c r="A32" s="1232" t="s">
        <v>583</v>
      </c>
      <c r="B32" s="1230">
        <v>51.5</v>
      </c>
      <c r="C32" s="1220">
        <v>192.5</v>
      </c>
      <c r="D32" s="1218">
        <f t="shared" si="29"/>
        <v>373.78640776699029</v>
      </c>
      <c r="E32" s="1174">
        <v>211.5</v>
      </c>
      <c r="F32" s="1174">
        <f t="shared" si="2"/>
        <v>109.87012987012987</v>
      </c>
      <c r="G32" s="1174">
        <v>29.9</v>
      </c>
      <c r="H32" s="1174">
        <f t="shared" si="3"/>
        <v>14.137115839243497</v>
      </c>
      <c r="I32" s="1069">
        <v>253.5</v>
      </c>
      <c r="J32" s="1174">
        <v>132.1</v>
      </c>
      <c r="K32" s="1174">
        <v>40.6</v>
      </c>
      <c r="L32" s="1174">
        <v>42.8</v>
      </c>
      <c r="M32" s="1174">
        <f t="shared" si="4"/>
        <v>143.1438127090301</v>
      </c>
      <c r="N32" s="1174">
        <v>278.85000000000002</v>
      </c>
      <c r="O32" s="1174">
        <f t="shared" si="5"/>
        <v>110.00000000000001</v>
      </c>
      <c r="P32" s="1069">
        <v>265.89999999999998</v>
      </c>
      <c r="Q32" s="1174">
        <f t="shared" si="6"/>
        <v>104.89151873767257</v>
      </c>
      <c r="R32" s="1174">
        <f t="shared" si="30"/>
        <v>621.26168224299056</v>
      </c>
      <c r="S32" s="1069">
        <v>98</v>
      </c>
      <c r="T32" s="1069"/>
      <c r="U32" s="1196">
        <v>98.2</v>
      </c>
      <c r="V32" s="1110">
        <v>316.05</v>
      </c>
      <c r="W32" s="1090">
        <f t="shared" si="7"/>
        <v>1.1886047386235428</v>
      </c>
      <c r="X32" s="1086">
        <f t="shared" si="31"/>
        <v>278.66319999999996</v>
      </c>
      <c r="Y32" s="1086"/>
      <c r="Z32" s="1086"/>
      <c r="AA32" s="1247">
        <v>507.1</v>
      </c>
      <c r="AB32" s="1106">
        <v>296.64</v>
      </c>
      <c r="AC32" s="1086">
        <f>U32*1.077*1.049</f>
        <v>110.94370859999999</v>
      </c>
      <c r="AD32" s="1090">
        <f t="shared" si="8"/>
        <v>0.39812830901245666</v>
      </c>
      <c r="AE32" s="1086">
        <v>487.79</v>
      </c>
      <c r="AF32" s="1247">
        <v>487.79</v>
      </c>
      <c r="AG32" s="1106">
        <f>SUM(AA32*1.1)</f>
        <v>557.81000000000006</v>
      </c>
      <c r="AH32" s="1086">
        <f>AG32</f>
        <v>557.81000000000006</v>
      </c>
      <c r="AI32" s="1116">
        <f t="shared" si="9"/>
        <v>5.0278650951821531</v>
      </c>
      <c r="AJ32" s="5189"/>
      <c r="AK32" s="5190"/>
      <c r="AL32" s="5191"/>
      <c r="AM32" s="3337">
        <v>489.08</v>
      </c>
      <c r="AN32" s="3329"/>
      <c r="AO32" s="3508">
        <v>8.01</v>
      </c>
      <c r="AP32" s="3331">
        <f>SUM(AO32/9*12)</f>
        <v>10.68</v>
      </c>
      <c r="AQ32" s="3526">
        <f>SUM(AH32*1.1)</f>
        <v>613.59100000000012</v>
      </c>
      <c r="AR32" s="3632">
        <f t="shared" si="15"/>
        <v>591.44036490000008</v>
      </c>
      <c r="AS32" s="3635">
        <f t="shared" si="1"/>
        <v>1.06029</v>
      </c>
    </row>
    <row r="33" spans="1:45" ht="18.75" customHeight="1">
      <c r="A33" s="1232" t="s">
        <v>1709</v>
      </c>
      <c r="B33" s="1230">
        <v>8.6999999999999993</v>
      </c>
      <c r="C33" s="1218">
        <v>7.2</v>
      </c>
      <c r="D33" s="1218">
        <f t="shared" si="29"/>
        <v>82.758620689655189</v>
      </c>
      <c r="E33" s="1174">
        <v>22.4</v>
      </c>
      <c r="F33" s="1174">
        <f t="shared" si="2"/>
        <v>311.11111111111109</v>
      </c>
      <c r="G33" s="1174">
        <v>17.3</v>
      </c>
      <c r="H33" s="1174">
        <f t="shared" si="3"/>
        <v>77.232142857142861</v>
      </c>
      <c r="I33" s="1069">
        <v>28.9</v>
      </c>
      <c r="J33" s="1174">
        <v>2.5</v>
      </c>
      <c r="K33" s="1174">
        <v>0</v>
      </c>
      <c r="L33" s="1174">
        <v>69.3</v>
      </c>
      <c r="M33" s="1174">
        <f t="shared" si="4"/>
        <v>400.5780346820809</v>
      </c>
      <c r="N33" s="1174">
        <v>31.79</v>
      </c>
      <c r="O33" s="1174">
        <f t="shared" si="5"/>
        <v>110.00000000000001</v>
      </c>
      <c r="P33" s="1069">
        <v>30.3</v>
      </c>
      <c r="Q33" s="1174">
        <f t="shared" si="6"/>
        <v>104.84429065743946</v>
      </c>
      <c r="R33" s="1174">
        <f t="shared" si="30"/>
        <v>43.722943722943725</v>
      </c>
      <c r="S33" s="1069">
        <v>2.5</v>
      </c>
      <c r="T33" s="1069"/>
      <c r="U33" s="1196">
        <v>10</v>
      </c>
      <c r="V33" s="1110">
        <v>72.099999999999994</v>
      </c>
      <c r="W33" s="1090">
        <f t="shared" si="7"/>
        <v>2.3795379537953791</v>
      </c>
      <c r="X33" s="1086">
        <f t="shared" si="31"/>
        <v>31.7544</v>
      </c>
      <c r="Y33" s="1086"/>
      <c r="Z33" s="1086"/>
      <c r="AA33" s="1247">
        <v>27.3</v>
      </c>
      <c r="AB33" s="1106">
        <v>33.372</v>
      </c>
      <c r="AC33" s="1086">
        <f>AB33</f>
        <v>33.372</v>
      </c>
      <c r="AD33" s="1090">
        <f t="shared" si="8"/>
        <v>1.0509409719597913</v>
      </c>
      <c r="AE33" s="1086">
        <v>388.02</v>
      </c>
      <c r="AF33" s="1247">
        <v>389.92</v>
      </c>
      <c r="AG33" s="1106">
        <f>SUM(AC33*1.1)</f>
        <v>36.709200000000003</v>
      </c>
      <c r="AH33" s="1086">
        <f>AG33</f>
        <v>36.709200000000003</v>
      </c>
      <c r="AI33" s="1116">
        <f t="shared" si="9"/>
        <v>1.1000000000000001</v>
      </c>
      <c r="AJ33" s="5189"/>
      <c r="AK33" s="5190"/>
      <c r="AL33" s="5191"/>
      <c r="AM33" s="3337">
        <v>391.81</v>
      </c>
      <c r="AN33" s="3329">
        <v>235.47</v>
      </c>
      <c r="AO33" s="3508">
        <v>510.84</v>
      </c>
      <c r="AP33" s="3331">
        <f>SUM(AO33/9*12)</f>
        <v>681.12</v>
      </c>
      <c r="AQ33" s="3526">
        <f>SUM(AM33*1.074*1.1)</f>
        <v>462.88433400000002</v>
      </c>
      <c r="AR33" s="3632">
        <f t="shared" si="15"/>
        <v>38.922397668000002</v>
      </c>
      <c r="AS33" s="3635">
        <f t="shared" si="1"/>
        <v>1.06029</v>
      </c>
    </row>
    <row r="34" spans="1:45" ht="18.75">
      <c r="A34" s="1232" t="s">
        <v>558</v>
      </c>
      <c r="B34" s="1230">
        <v>20.9</v>
      </c>
      <c r="C34" s="1218">
        <v>26.9</v>
      </c>
      <c r="D34" s="1218">
        <f t="shared" si="29"/>
        <v>128.70813397129186</v>
      </c>
      <c r="E34" s="1174">
        <v>50.6</v>
      </c>
      <c r="F34" s="1174">
        <f t="shared" si="2"/>
        <v>188.10408921933086</v>
      </c>
      <c r="G34" s="1174">
        <v>29.7</v>
      </c>
      <c r="H34" s="1174">
        <f t="shared" si="3"/>
        <v>58.695652173913039</v>
      </c>
      <c r="I34" s="1069">
        <v>0</v>
      </c>
      <c r="J34" s="1174">
        <v>14.7</v>
      </c>
      <c r="K34" s="1174">
        <v>18.3</v>
      </c>
      <c r="L34" s="1174">
        <v>18.3</v>
      </c>
      <c r="M34" s="1174">
        <f t="shared" si="4"/>
        <v>61.616161616161627</v>
      </c>
      <c r="N34" s="1174">
        <v>0</v>
      </c>
      <c r="O34" s="1174"/>
      <c r="P34" s="1069">
        <v>0</v>
      </c>
      <c r="Q34" s="1174"/>
      <c r="R34" s="1174">
        <f t="shared" si="30"/>
        <v>0</v>
      </c>
      <c r="S34" s="1069">
        <v>0</v>
      </c>
      <c r="T34" s="1069"/>
      <c r="U34" s="1196">
        <v>0</v>
      </c>
      <c r="V34" s="1110">
        <v>24.7</v>
      </c>
      <c r="W34" s="1090"/>
      <c r="X34" s="1086">
        <f t="shared" si="31"/>
        <v>0</v>
      </c>
      <c r="Y34" s="1086"/>
      <c r="Z34" s="1086"/>
      <c r="AA34" s="1247">
        <v>0</v>
      </c>
      <c r="AB34" s="1106"/>
      <c r="AC34" s="1086"/>
      <c r="AD34" s="1090"/>
      <c r="AE34" s="1086">
        <v>9.5</v>
      </c>
      <c r="AF34" s="1247">
        <v>9.5</v>
      </c>
      <c r="AG34" s="1106">
        <v>0</v>
      </c>
      <c r="AH34" s="1086">
        <v>0</v>
      </c>
      <c r="AI34" s="1116" t="e">
        <f t="shared" si="9"/>
        <v>#DIV/0!</v>
      </c>
      <c r="AJ34" s="5189"/>
      <c r="AK34" s="5190"/>
      <c r="AL34" s="5191"/>
      <c r="AM34" s="3337">
        <v>9.5</v>
      </c>
      <c r="AN34" s="3329"/>
      <c r="AO34" s="3508"/>
      <c r="AP34" s="3331"/>
      <c r="AQ34" s="3526">
        <f>SUM(AM34*1.074*1.1)</f>
        <v>11.223300000000002</v>
      </c>
      <c r="AR34" s="3632">
        <f t="shared" si="15"/>
        <v>0</v>
      </c>
      <c r="AS34" s="3635"/>
    </row>
    <row r="35" spans="1:45" ht="18.75">
      <c r="A35" s="1232" t="s">
        <v>1657</v>
      </c>
      <c r="B35" s="1230"/>
      <c r="C35" s="1218">
        <v>5.0999999999999996</v>
      </c>
      <c r="D35" s="1218"/>
      <c r="E35" s="1174">
        <v>2</v>
      </c>
      <c r="F35" s="1174">
        <f t="shared" si="2"/>
        <v>39.215686274509807</v>
      </c>
      <c r="G35" s="1174">
        <v>3.3</v>
      </c>
      <c r="H35" s="1174">
        <f t="shared" si="3"/>
        <v>165</v>
      </c>
      <c r="I35" s="1069">
        <v>0</v>
      </c>
      <c r="J35" s="1174">
        <v>2.8</v>
      </c>
      <c r="K35" s="1174">
        <v>5.4</v>
      </c>
      <c r="L35" s="1174">
        <v>8</v>
      </c>
      <c r="M35" s="1174">
        <f t="shared" si="4"/>
        <v>242.42424242424244</v>
      </c>
      <c r="N35" s="1174">
        <v>10.1</v>
      </c>
      <c r="O35" s="1174"/>
      <c r="P35" s="1069">
        <v>0</v>
      </c>
      <c r="Q35" s="1174"/>
      <c r="R35" s="1174">
        <f t="shared" si="30"/>
        <v>0</v>
      </c>
      <c r="S35" s="1069">
        <v>5.0999999999999996</v>
      </c>
      <c r="T35" s="1069"/>
      <c r="U35" s="1196">
        <v>6.5</v>
      </c>
      <c r="V35" s="1110">
        <v>8.4</v>
      </c>
      <c r="W35" s="1090"/>
      <c r="X35" s="1086">
        <f t="shared" si="31"/>
        <v>0</v>
      </c>
      <c r="Y35" s="1086"/>
      <c r="Z35" s="1086"/>
      <c r="AA35" s="1247">
        <v>8.8000000000000007</v>
      </c>
      <c r="AB35" s="1106"/>
      <c r="AC35" s="1086"/>
      <c r="AD35" s="1090"/>
      <c r="AE35" s="1086">
        <v>0</v>
      </c>
      <c r="AF35" s="1247">
        <v>5.69</v>
      </c>
      <c r="AG35" s="1106">
        <f>SUM(AA35*1.1)</f>
        <v>9.6800000000000015</v>
      </c>
      <c r="AH35" s="1086">
        <f>AG35</f>
        <v>9.6800000000000015</v>
      </c>
      <c r="AI35" s="1116" t="e">
        <f t="shared" si="9"/>
        <v>#DIV/0!</v>
      </c>
      <c r="AJ35" s="5189"/>
      <c r="AK35" s="5190"/>
      <c r="AL35" s="5191"/>
      <c r="AM35" s="3337">
        <v>7.05</v>
      </c>
      <c r="AN35" s="3329"/>
      <c r="AO35" s="3508"/>
      <c r="AP35" s="3331"/>
      <c r="AQ35" s="3526">
        <f>SUM(AH35*1.1)</f>
        <v>10.648000000000003</v>
      </c>
      <c r="AR35" s="3632">
        <f t="shared" si="15"/>
        <v>10.263607200000001</v>
      </c>
      <c r="AS35" s="3635">
        <f t="shared" si="1"/>
        <v>1.06029</v>
      </c>
    </row>
    <row r="36" spans="1:45" ht="18.75">
      <c r="A36" s="1232" t="s">
        <v>1656</v>
      </c>
      <c r="B36" s="1230">
        <v>25.7</v>
      </c>
      <c r="C36" s="1218">
        <v>304.89999999999998</v>
      </c>
      <c r="D36" s="1218">
        <f>C36/B36*100</f>
        <v>1186.3813229571983</v>
      </c>
      <c r="E36" s="1174">
        <v>523.9</v>
      </c>
      <c r="F36" s="1174">
        <f t="shared" si="2"/>
        <v>171.8268284683503</v>
      </c>
      <c r="G36" s="1174">
        <v>556</v>
      </c>
      <c r="H36" s="1174">
        <f t="shared" si="3"/>
        <v>106.12712349685054</v>
      </c>
      <c r="I36" s="1069">
        <v>0</v>
      </c>
      <c r="J36" s="1174">
        <v>275.10000000000002</v>
      </c>
      <c r="K36" s="1174">
        <v>473.8</v>
      </c>
      <c r="L36" s="1174">
        <v>672.1</v>
      </c>
      <c r="M36" s="1174">
        <f t="shared" si="4"/>
        <v>120.88129496402877</v>
      </c>
      <c r="N36" s="1174">
        <v>642.4</v>
      </c>
      <c r="O36" s="1174"/>
      <c r="P36" s="1069">
        <v>0</v>
      </c>
      <c r="Q36" s="1174"/>
      <c r="R36" s="1174">
        <f t="shared" si="30"/>
        <v>0</v>
      </c>
      <c r="S36" s="1069">
        <v>533.6</v>
      </c>
      <c r="T36" s="1069"/>
      <c r="U36" s="1196">
        <v>698.7</v>
      </c>
      <c r="V36" s="1110">
        <v>832.05</v>
      </c>
      <c r="W36" s="1090"/>
      <c r="X36" s="1086">
        <f t="shared" si="31"/>
        <v>0</v>
      </c>
      <c r="Y36" s="1086"/>
      <c r="Z36" s="1086"/>
      <c r="AA36" s="1247">
        <v>688.1</v>
      </c>
      <c r="AB36" s="1106">
        <v>713</v>
      </c>
      <c r="AC36" s="1086">
        <v>0</v>
      </c>
      <c r="AD36" s="1090"/>
      <c r="AE36" s="1086">
        <v>328.05</v>
      </c>
      <c r="AF36" s="1247">
        <v>493.45</v>
      </c>
      <c r="AG36" s="1106">
        <f>SUM(AA36*1.1)</f>
        <v>756.91000000000008</v>
      </c>
      <c r="AH36" s="1086">
        <v>0</v>
      </c>
      <c r="AI36" s="1116" t="e">
        <f t="shared" si="9"/>
        <v>#DIV/0!</v>
      </c>
      <c r="AJ36" s="5189"/>
      <c r="AK36" s="5190"/>
      <c r="AL36" s="5191"/>
      <c r="AM36" s="3337">
        <f>629.62+51.01</f>
        <v>680.63</v>
      </c>
      <c r="AN36" s="3329">
        <f>321.24+18.67</f>
        <v>339.91</v>
      </c>
      <c r="AO36" s="3508">
        <v>563.47</v>
      </c>
      <c r="AP36" s="3331">
        <f t="shared" ref="AP36:AP43" si="32">SUM(AO36/9*12)</f>
        <v>751.29333333333341</v>
      </c>
      <c r="AQ36" s="3526">
        <f>SUM(AK36*1.1)</f>
        <v>0</v>
      </c>
      <c r="AR36" s="3632">
        <f t="shared" si="15"/>
        <v>0</v>
      </c>
      <c r="AS36" s="3635"/>
    </row>
    <row r="37" spans="1:45" ht="18.75">
      <c r="A37" s="1232" t="s">
        <v>559</v>
      </c>
      <c r="B37" s="1230"/>
      <c r="C37" s="1218">
        <v>54</v>
      </c>
      <c r="D37" s="1218"/>
      <c r="E37" s="1174"/>
      <c r="F37" s="1174">
        <f t="shared" si="2"/>
        <v>0</v>
      </c>
      <c r="G37" s="1174">
        <v>9.1999999999999993</v>
      </c>
      <c r="H37" s="1174"/>
      <c r="I37" s="1069">
        <f>E37*1.03</f>
        <v>0</v>
      </c>
      <c r="J37" s="1174"/>
      <c r="K37" s="1174">
        <v>3.4</v>
      </c>
      <c r="L37" s="1174">
        <v>7.4</v>
      </c>
      <c r="M37" s="1174">
        <f t="shared" si="4"/>
        <v>80.43478260869567</v>
      </c>
      <c r="N37" s="1174">
        <v>10.1</v>
      </c>
      <c r="O37" s="1174"/>
      <c r="P37" s="1069">
        <v>0</v>
      </c>
      <c r="Q37" s="1174"/>
      <c r="R37" s="1174">
        <f t="shared" si="30"/>
        <v>0</v>
      </c>
      <c r="S37" s="1069">
        <v>6.1</v>
      </c>
      <c r="T37" s="1069"/>
      <c r="U37" s="1196">
        <v>10</v>
      </c>
      <c r="V37" s="1110">
        <v>8.4</v>
      </c>
      <c r="W37" s="1090"/>
      <c r="X37" s="1086">
        <f t="shared" si="31"/>
        <v>0</v>
      </c>
      <c r="Y37" s="1086"/>
      <c r="Z37" s="1086"/>
      <c r="AA37" s="1247">
        <v>18.100000000000001</v>
      </c>
      <c r="AB37" s="1106">
        <v>6</v>
      </c>
      <c r="AC37" s="1086">
        <f>AB37</f>
        <v>6</v>
      </c>
      <c r="AD37" s="1090"/>
      <c r="AE37" s="1086">
        <v>2.48</v>
      </c>
      <c r="AF37" s="1247">
        <v>13.32</v>
      </c>
      <c r="AG37" s="1106">
        <f>SUM(AA37*1.1)</f>
        <v>19.910000000000004</v>
      </c>
      <c r="AH37" s="1086">
        <f>AF37/3*4*1.062</f>
        <v>18.861120000000003</v>
      </c>
      <c r="AI37" s="1116">
        <f t="shared" si="9"/>
        <v>3.1435200000000005</v>
      </c>
      <c r="AJ37" s="5173" t="s">
        <v>1506</v>
      </c>
      <c r="AK37" s="5174"/>
      <c r="AL37" s="5175"/>
      <c r="AM37" s="3337">
        <v>16.98</v>
      </c>
      <c r="AN37" s="3329">
        <v>6.52</v>
      </c>
      <c r="AO37" s="3508">
        <v>20.18</v>
      </c>
      <c r="AP37" s="3331">
        <f t="shared" si="32"/>
        <v>26.906666666666666</v>
      </c>
      <c r="AQ37" s="3526">
        <f>SUM(AH37*1.1)</f>
        <v>20.747232000000004</v>
      </c>
      <c r="AR37" s="3632">
        <f t="shared" si="15"/>
        <v>19.998256924800003</v>
      </c>
      <c r="AS37" s="3635">
        <f t="shared" si="1"/>
        <v>1.06029</v>
      </c>
    </row>
    <row r="38" spans="1:45" ht="18.75" customHeight="1">
      <c r="A38" s="1232" t="s">
        <v>1711</v>
      </c>
      <c r="B38" s="1230">
        <v>141.6</v>
      </c>
      <c r="C38" s="1218">
        <v>138.1</v>
      </c>
      <c r="D38" s="1218">
        <f>C38/B38*100</f>
        <v>97.528248587570616</v>
      </c>
      <c r="E38" s="1174">
        <v>344.7</v>
      </c>
      <c r="F38" s="1174">
        <f t="shared" si="2"/>
        <v>249.6017378711079</v>
      </c>
      <c r="G38" s="1174">
        <v>361.6</v>
      </c>
      <c r="H38" s="1174">
        <f t="shared" si="3"/>
        <v>104.90281404119526</v>
      </c>
      <c r="I38" s="1069">
        <v>373.9</v>
      </c>
      <c r="J38" s="1174">
        <v>179.1</v>
      </c>
      <c r="K38" s="1174"/>
      <c r="L38" s="1174">
        <v>711.9</v>
      </c>
      <c r="M38" s="1174">
        <f t="shared" si="4"/>
        <v>196.87499999999997</v>
      </c>
      <c r="N38" s="1174">
        <v>411.29</v>
      </c>
      <c r="O38" s="1174">
        <f t="shared" si="5"/>
        <v>110.00000000000001</v>
      </c>
      <c r="P38" s="1069">
        <v>392.2</v>
      </c>
      <c r="Q38" s="1174">
        <f t="shared" si="6"/>
        <v>104.89435677988767</v>
      </c>
      <c r="R38" s="1174">
        <f>P38/L38*100</f>
        <v>55.092007304396681</v>
      </c>
      <c r="S38" s="1069">
        <v>-59.3</v>
      </c>
      <c r="T38" s="1069"/>
      <c r="U38" s="1196">
        <v>-59.3</v>
      </c>
      <c r="V38" s="1110">
        <v>747.6</v>
      </c>
      <c r="W38" s="1090">
        <f t="shared" si="7"/>
        <v>1.906170321264661</v>
      </c>
      <c r="X38" s="1086">
        <f>150.21/2*3.23+150.21/2*3.35</f>
        <v>494.19090000000006</v>
      </c>
      <c r="Y38" s="1086"/>
      <c r="Z38" s="1086"/>
      <c r="AA38" s="1247">
        <v>0</v>
      </c>
      <c r="AB38" s="1106">
        <v>510.06</v>
      </c>
      <c r="AC38" s="1086">
        <f>X38</f>
        <v>494.19090000000006</v>
      </c>
      <c r="AD38" s="1090">
        <f t="shared" si="8"/>
        <v>1</v>
      </c>
      <c r="AE38" s="1086">
        <v>0</v>
      </c>
      <c r="AF38" s="1247">
        <v>0</v>
      </c>
      <c r="AG38" s="1106">
        <f>SUM(AC38*1.1)</f>
        <v>543.60999000000015</v>
      </c>
      <c r="AH38" s="2201">
        <v>318.05</v>
      </c>
      <c r="AI38" s="1116">
        <f t="shared" si="9"/>
        <v>0.64357720872642532</v>
      </c>
      <c r="AJ38" s="5312" t="s">
        <v>250</v>
      </c>
      <c r="AK38" s="5313"/>
      <c r="AL38" s="5314"/>
      <c r="AM38" s="3337">
        <v>206.8</v>
      </c>
      <c r="AN38" s="3329">
        <v>61.43</v>
      </c>
      <c r="AO38" s="3508">
        <v>61.43</v>
      </c>
      <c r="AP38" s="3331">
        <f t="shared" si="32"/>
        <v>81.906666666666666</v>
      </c>
      <c r="AQ38" s="3526">
        <f>SUM(AH38*1.1)</f>
        <v>349.85500000000002</v>
      </c>
      <c r="AR38" s="3644">
        <v>338.21</v>
      </c>
      <c r="AS38" s="3635">
        <f t="shared" si="1"/>
        <v>1.063386260022009</v>
      </c>
    </row>
    <row r="39" spans="1:45" ht="19.5" customHeight="1">
      <c r="A39" s="1232" t="s">
        <v>557</v>
      </c>
      <c r="B39" s="1230"/>
      <c r="C39" s="1218"/>
      <c r="D39" s="1218"/>
      <c r="E39" s="1174"/>
      <c r="F39" s="1174"/>
      <c r="G39" s="1174">
        <v>135.19999999999999</v>
      </c>
      <c r="H39" s="1174"/>
      <c r="I39" s="1069">
        <v>23.7</v>
      </c>
      <c r="J39" s="1174"/>
      <c r="K39" s="1174">
        <v>758.8</v>
      </c>
      <c r="L39" s="1174">
        <v>0</v>
      </c>
      <c r="M39" s="1174">
        <f t="shared" si="4"/>
        <v>0</v>
      </c>
      <c r="N39" s="1174">
        <v>148.69999999999999</v>
      </c>
      <c r="O39" s="1174">
        <f t="shared" si="5"/>
        <v>627.42616033755269</v>
      </c>
      <c r="P39" s="1069">
        <v>138.4</v>
      </c>
      <c r="Q39" s="1174">
        <f t="shared" si="6"/>
        <v>583.96624472573842</v>
      </c>
      <c r="R39" s="1174" t="e">
        <f>P39/L39*100</f>
        <v>#DIV/0!</v>
      </c>
      <c r="S39" s="1069">
        <v>689</v>
      </c>
      <c r="T39" s="1069"/>
      <c r="U39" s="1196">
        <v>691.8</v>
      </c>
      <c r="V39" s="1110">
        <v>142.80000000000001</v>
      </c>
      <c r="W39" s="1090">
        <f t="shared" si="7"/>
        <v>1.0317919075144508</v>
      </c>
      <c r="X39" s="1086">
        <f t="shared" si="31"/>
        <v>145.04320000000001</v>
      </c>
      <c r="Y39" s="1086"/>
      <c r="Z39" s="1086"/>
      <c r="AA39" s="1247">
        <v>217.6</v>
      </c>
      <c r="AB39" s="1106">
        <v>0</v>
      </c>
      <c r="AC39" s="1086">
        <v>135.18</v>
      </c>
      <c r="AD39" s="1090">
        <f t="shared" si="8"/>
        <v>0.93199819088381941</v>
      </c>
      <c r="AE39" s="1086">
        <v>0</v>
      </c>
      <c r="AF39" s="1247">
        <v>177.8</v>
      </c>
      <c r="AG39" s="1106">
        <f>SUM(AA39*1.1)</f>
        <v>239.36</v>
      </c>
      <c r="AH39" s="1086">
        <f>AG39</f>
        <v>239.36</v>
      </c>
      <c r="AI39" s="1116">
        <f t="shared" si="9"/>
        <v>1.7706761355230063</v>
      </c>
      <c r="AJ39" s="5189" t="s">
        <v>250</v>
      </c>
      <c r="AK39" s="5190"/>
      <c r="AL39" s="5191"/>
      <c r="AM39" s="3337">
        <v>201.75</v>
      </c>
      <c r="AN39" s="3329">
        <v>538.76</v>
      </c>
      <c r="AO39" s="3508">
        <v>580.57000000000005</v>
      </c>
      <c r="AP39" s="3331">
        <f t="shared" si="32"/>
        <v>774.09333333333348</v>
      </c>
      <c r="AQ39" s="3526">
        <f>SUM(AH39*1.1)</f>
        <v>263.29600000000005</v>
      </c>
      <c r="AR39" s="3632">
        <f t="shared" si="15"/>
        <v>253.79101440000002</v>
      </c>
      <c r="AS39" s="3635">
        <f t="shared" si="1"/>
        <v>1.06029</v>
      </c>
    </row>
    <row r="40" spans="1:45" ht="18.75" customHeight="1">
      <c r="A40" s="1232" t="s">
        <v>561</v>
      </c>
      <c r="B40" s="1230">
        <v>21.1</v>
      </c>
      <c r="C40" s="1220">
        <v>22</v>
      </c>
      <c r="D40" s="1218">
        <f>C40/B40*100</f>
        <v>104.26540284360189</v>
      </c>
      <c r="E40" s="1174">
        <v>23.2</v>
      </c>
      <c r="F40" s="1174">
        <f t="shared" si="2"/>
        <v>105.45454545454544</v>
      </c>
      <c r="G40" s="1174">
        <v>26.6</v>
      </c>
      <c r="H40" s="1174">
        <f t="shared" si="3"/>
        <v>114.65517241379311</v>
      </c>
      <c r="I40" s="1069">
        <f>E40*1.03</f>
        <v>23.896000000000001</v>
      </c>
      <c r="J40" s="1174">
        <v>8.6999999999999993</v>
      </c>
      <c r="K40" s="1174">
        <v>23.5</v>
      </c>
      <c r="L40" s="1174">
        <v>26.9</v>
      </c>
      <c r="M40" s="1174">
        <f t="shared" si="4"/>
        <v>101.12781954887218</v>
      </c>
      <c r="N40" s="1174">
        <v>30.59</v>
      </c>
      <c r="O40" s="1174">
        <f t="shared" si="5"/>
        <v>128.01305657850685</v>
      </c>
      <c r="P40" s="1069">
        <v>27.9</v>
      </c>
      <c r="Q40" s="1174">
        <f t="shared" si="6"/>
        <v>116.75594241714093</v>
      </c>
      <c r="R40" s="1174">
        <f>P40/L40*100</f>
        <v>103.71747211895909</v>
      </c>
      <c r="S40" s="1069">
        <v>10.199999999999999</v>
      </c>
      <c r="T40" s="1069"/>
      <c r="U40" s="1196">
        <v>26.9</v>
      </c>
      <c r="V40" s="1110">
        <v>33.325000000000003</v>
      </c>
      <c r="W40" s="1090">
        <f t="shared" si="7"/>
        <v>1.1944444444444446</v>
      </c>
      <c r="X40" s="1086">
        <f t="shared" si="31"/>
        <v>29.2392</v>
      </c>
      <c r="Y40" s="1086"/>
      <c r="Z40" s="1086"/>
      <c r="AA40" s="1247">
        <v>29.3</v>
      </c>
      <c r="AB40" s="1106">
        <v>30.49</v>
      </c>
      <c r="AC40" s="1086">
        <f>AB40</f>
        <v>30.49</v>
      </c>
      <c r="AD40" s="1090">
        <f t="shared" si="8"/>
        <v>1.0427781881857232</v>
      </c>
      <c r="AE40" s="1086">
        <v>10.45</v>
      </c>
      <c r="AF40" s="1247">
        <v>24.59</v>
      </c>
      <c r="AG40" s="1106">
        <f>SUM(AC40*1.1)</f>
        <v>33.539000000000001</v>
      </c>
      <c r="AH40" s="1086">
        <f>AF40/3*4*1.062</f>
        <v>34.819440000000007</v>
      </c>
      <c r="AI40" s="1116">
        <f t="shared" si="9"/>
        <v>1.1419954083306005</v>
      </c>
      <c r="AJ40" s="5173" t="s">
        <v>250</v>
      </c>
      <c r="AK40" s="5174"/>
      <c r="AL40" s="5175"/>
      <c r="AM40" s="3337">
        <v>27.59</v>
      </c>
      <c r="AN40" s="3329">
        <v>11.24</v>
      </c>
      <c r="AO40" s="3508">
        <v>26.51</v>
      </c>
      <c r="AP40" s="3331">
        <f t="shared" si="32"/>
        <v>35.346666666666671</v>
      </c>
      <c r="AQ40" s="3526">
        <f>SUM(AH40*1.1)</f>
        <v>38.301384000000013</v>
      </c>
      <c r="AR40" s="3632">
        <f t="shared" si="15"/>
        <v>36.918704037600008</v>
      </c>
      <c r="AS40" s="3635">
        <f t="shared" si="1"/>
        <v>1.06029</v>
      </c>
    </row>
    <row r="41" spans="1:45" ht="18.75">
      <c r="A41" s="1232" t="s">
        <v>614</v>
      </c>
      <c r="B41" s="1230"/>
      <c r="C41" s="1220"/>
      <c r="D41" s="1218"/>
      <c r="E41" s="1174">
        <f>9.9+12.2</f>
        <v>22.1</v>
      </c>
      <c r="F41" s="1174"/>
      <c r="G41" s="1174">
        <v>2.9</v>
      </c>
      <c r="H41" s="1174">
        <f t="shared" si="3"/>
        <v>13.122171945701355</v>
      </c>
      <c r="I41" s="1069">
        <v>2.5</v>
      </c>
      <c r="J41" s="1174">
        <v>2.4</v>
      </c>
      <c r="K41" s="1174">
        <v>19.600000000000001</v>
      </c>
      <c r="L41" s="1174">
        <v>205.8</v>
      </c>
      <c r="M41" s="1174">
        <f t="shared" si="4"/>
        <v>7096.5517241379321</v>
      </c>
      <c r="N41" s="1174"/>
      <c r="O41" s="1174">
        <f t="shared" si="5"/>
        <v>0</v>
      </c>
      <c r="P41" s="1069">
        <v>0</v>
      </c>
      <c r="Q41" s="1174">
        <f t="shared" si="6"/>
        <v>0</v>
      </c>
      <c r="R41" s="1174"/>
      <c r="S41" s="1069">
        <v>8.3000000000000007</v>
      </c>
      <c r="T41" s="1069"/>
      <c r="U41" s="1196"/>
      <c r="V41" s="1110">
        <v>0</v>
      </c>
      <c r="W41" s="1090"/>
      <c r="X41" s="1086">
        <f t="shared" si="31"/>
        <v>0</v>
      </c>
      <c r="Y41" s="1086"/>
      <c r="Z41" s="1086"/>
      <c r="AA41" s="1247">
        <v>0</v>
      </c>
      <c r="AB41" s="1106">
        <v>0</v>
      </c>
      <c r="AC41" s="1086">
        <v>0</v>
      </c>
      <c r="AD41" s="1090"/>
      <c r="AE41" s="1086">
        <v>0.35</v>
      </c>
      <c r="AF41" s="1247">
        <v>0.44</v>
      </c>
      <c r="AG41" s="1106">
        <v>0</v>
      </c>
      <c r="AH41" s="1086"/>
      <c r="AI41" s="1116" t="e">
        <f t="shared" si="9"/>
        <v>#DIV/0!</v>
      </c>
      <c r="AJ41" s="5189"/>
      <c r="AK41" s="5190"/>
      <c r="AL41" s="5191"/>
      <c r="AM41" s="3337">
        <v>0.43</v>
      </c>
      <c r="AN41" s="3329">
        <v>0.75</v>
      </c>
      <c r="AO41" s="3508">
        <v>1.0900000000000001</v>
      </c>
      <c r="AP41" s="3331">
        <f t="shared" si="32"/>
        <v>1.4533333333333334</v>
      </c>
      <c r="AQ41" s="3526">
        <f>SUM(AM41*1.074*1.1)</f>
        <v>0.50800200000000006</v>
      </c>
      <c r="AR41" s="3632">
        <f t="shared" si="15"/>
        <v>0</v>
      </c>
      <c r="AS41" s="3635"/>
    </row>
    <row r="42" spans="1:45" ht="37.5" customHeight="1">
      <c r="A42" s="1232" t="s">
        <v>585</v>
      </c>
      <c r="B42" s="1230"/>
      <c r="C42" s="1220"/>
      <c r="D42" s="1218"/>
      <c r="E42" s="1174"/>
      <c r="F42" s="1174"/>
      <c r="G42" s="1174">
        <v>10.4</v>
      </c>
      <c r="H42" s="1174"/>
      <c r="I42" s="1069"/>
      <c r="J42" s="1174"/>
      <c r="K42" s="1174">
        <v>7</v>
      </c>
      <c r="L42" s="1174">
        <v>7</v>
      </c>
      <c r="M42" s="1174">
        <f t="shared" si="4"/>
        <v>67.307692307692307</v>
      </c>
      <c r="N42" s="1174">
        <v>30.8</v>
      </c>
      <c r="O42" s="1174"/>
      <c r="P42" s="1069">
        <v>29.4</v>
      </c>
      <c r="Q42" s="1174"/>
      <c r="R42" s="1174"/>
      <c r="S42" s="1069">
        <v>0</v>
      </c>
      <c r="T42" s="1069"/>
      <c r="U42" s="1196">
        <v>7.7</v>
      </c>
      <c r="V42" s="1110">
        <v>31.5</v>
      </c>
      <c r="W42" s="1090">
        <f t="shared" si="7"/>
        <v>1.0714285714285714</v>
      </c>
      <c r="X42" s="1086">
        <f t="shared" si="31"/>
        <v>30.811199999999999</v>
      </c>
      <c r="Y42" s="1086"/>
      <c r="Z42" s="1086"/>
      <c r="AA42" s="1247">
        <v>3.8</v>
      </c>
      <c r="AB42" s="1106">
        <v>63.4</v>
      </c>
      <c r="AC42" s="1086">
        <f>X42*1.049</f>
        <v>32.320948799999996</v>
      </c>
      <c r="AD42" s="1090">
        <f t="shared" si="8"/>
        <v>1.0489999999999999</v>
      </c>
      <c r="AE42" s="1086">
        <v>14.3</v>
      </c>
      <c r="AF42" s="1247">
        <v>18.79</v>
      </c>
      <c r="AG42" s="1106">
        <f>SUM(AC42*1.1)</f>
        <v>35.553043680000002</v>
      </c>
      <c r="AH42" s="1086">
        <f>AG42</f>
        <v>35.553043680000002</v>
      </c>
      <c r="AI42" s="1116">
        <f t="shared" si="9"/>
        <v>1.1000000000000001</v>
      </c>
      <c r="AJ42" s="5189" t="s">
        <v>250</v>
      </c>
      <c r="AK42" s="5190"/>
      <c r="AL42" s="5191"/>
      <c r="AM42" s="3337">
        <v>38.090000000000003</v>
      </c>
      <c r="AN42" s="3329">
        <v>4.49</v>
      </c>
      <c r="AO42" s="3508">
        <v>10.79</v>
      </c>
      <c r="AP42" s="3331">
        <f t="shared" si="32"/>
        <v>14.386666666666667</v>
      </c>
      <c r="AQ42" s="3526">
        <f>SUM(AM42*1.074*1.1)</f>
        <v>44.99952600000001</v>
      </c>
      <c r="AR42" s="3632">
        <f t="shared" si="15"/>
        <v>37.696536683467201</v>
      </c>
      <c r="AS42" s="3635">
        <f t="shared" si="1"/>
        <v>1.06029</v>
      </c>
    </row>
    <row r="43" spans="1:45" ht="18.75">
      <c r="A43" s="1232" t="s">
        <v>562</v>
      </c>
      <c r="B43" s="1230"/>
      <c r="C43" s="1220"/>
      <c r="D43" s="1218"/>
      <c r="E43" s="1174"/>
      <c r="F43" s="1174"/>
      <c r="G43" s="1174">
        <v>60.1</v>
      </c>
      <c r="H43" s="1174"/>
      <c r="I43" s="1069"/>
      <c r="J43" s="1174"/>
      <c r="K43" s="1174"/>
      <c r="L43" s="1174">
        <v>51.4</v>
      </c>
      <c r="M43" s="1174">
        <f t="shared" si="4"/>
        <v>85.52412645590681</v>
      </c>
      <c r="N43" s="1174">
        <v>66.099999999999994</v>
      </c>
      <c r="O43" s="1174"/>
      <c r="P43" s="1069">
        <v>0</v>
      </c>
      <c r="Q43" s="1174"/>
      <c r="R43" s="1174"/>
      <c r="S43" s="1069">
        <v>0</v>
      </c>
      <c r="T43" s="1069"/>
      <c r="U43" s="1196">
        <v>106.8</v>
      </c>
      <c r="V43" s="1110">
        <v>62.2</v>
      </c>
      <c r="W43" s="1090"/>
      <c r="X43" s="1086">
        <f t="shared" si="31"/>
        <v>0</v>
      </c>
      <c r="Y43" s="1086"/>
      <c r="Z43" s="1086"/>
      <c r="AA43" s="1247">
        <v>66.400000000000006</v>
      </c>
      <c r="AB43" s="1106">
        <v>106.8</v>
      </c>
      <c r="AC43" s="1086">
        <f>AB43</f>
        <v>106.8</v>
      </c>
      <c r="AD43" s="1090"/>
      <c r="AE43" s="1086">
        <v>34.950000000000003</v>
      </c>
      <c r="AF43" s="1247">
        <v>52.45</v>
      </c>
      <c r="AG43" s="1106">
        <f>SUM(AC43*1.1)</f>
        <v>117.48</v>
      </c>
      <c r="AH43" s="1086">
        <f>AA43</f>
        <v>66.400000000000006</v>
      </c>
      <c r="AI43" s="1116">
        <f t="shared" si="9"/>
        <v>0.62172284644194764</v>
      </c>
      <c r="AJ43" s="5176" t="s">
        <v>1500</v>
      </c>
      <c r="AK43" s="5177"/>
      <c r="AL43" s="5178"/>
      <c r="AM43" s="3337">
        <v>69.900000000000006</v>
      </c>
      <c r="AN43" s="3329">
        <v>37.32</v>
      </c>
      <c r="AO43" s="3508">
        <v>55.98</v>
      </c>
      <c r="AP43" s="3331">
        <f t="shared" si="32"/>
        <v>74.64</v>
      </c>
      <c r="AQ43" s="3526">
        <f>SUM(AM43*1.074*1.1)</f>
        <v>82.579860000000011</v>
      </c>
      <c r="AR43" s="3644">
        <v>66.400000000000006</v>
      </c>
      <c r="AS43" s="3635">
        <f t="shared" si="1"/>
        <v>1</v>
      </c>
    </row>
    <row r="44" spans="1:45" ht="19.5" thickBot="1">
      <c r="A44" s="1236" t="s">
        <v>586</v>
      </c>
      <c r="B44" s="1237"/>
      <c r="C44" s="1238"/>
      <c r="D44" s="1260"/>
      <c r="E44" s="1261"/>
      <c r="F44" s="1261"/>
      <c r="G44" s="1261">
        <v>0.8</v>
      </c>
      <c r="H44" s="1261"/>
      <c r="I44" s="1133"/>
      <c r="J44" s="1261"/>
      <c r="K44" s="1261"/>
      <c r="L44" s="1261">
        <v>0</v>
      </c>
      <c r="M44" s="1261">
        <f t="shared" si="4"/>
        <v>0</v>
      </c>
      <c r="N44" s="1261">
        <v>0.9</v>
      </c>
      <c r="O44" s="1261"/>
      <c r="P44" s="1133">
        <f>L44*1.049</f>
        <v>0</v>
      </c>
      <c r="Q44" s="1261"/>
      <c r="R44" s="1261"/>
      <c r="S44" s="1133">
        <v>0</v>
      </c>
      <c r="T44" s="1133"/>
      <c r="U44" s="1198"/>
      <c r="V44" s="1134">
        <v>0</v>
      </c>
      <c r="W44" s="1135"/>
      <c r="X44" s="1252">
        <f t="shared" si="31"/>
        <v>0</v>
      </c>
      <c r="Y44" s="1252"/>
      <c r="Z44" s="1252"/>
      <c r="AA44" s="1253">
        <v>0</v>
      </c>
      <c r="AB44" s="1202"/>
      <c r="AC44" s="1250"/>
      <c r="AD44" s="1124"/>
      <c r="AE44" s="1250">
        <v>0</v>
      </c>
      <c r="AF44" s="1251">
        <v>0</v>
      </c>
      <c r="AG44" s="1202">
        <v>0</v>
      </c>
      <c r="AH44" s="1250"/>
      <c r="AI44" s="1125" t="e">
        <f t="shared" si="9"/>
        <v>#DIV/0!</v>
      </c>
      <c r="AJ44" s="5332"/>
      <c r="AK44" s="5333"/>
      <c r="AL44" s="5334"/>
      <c r="AM44" s="3341">
        <v>0</v>
      </c>
      <c r="AN44" s="3330"/>
      <c r="AO44" s="3513"/>
      <c r="AP44" s="3332"/>
      <c r="AQ44" s="3528">
        <v>0</v>
      </c>
      <c r="AR44" s="3632">
        <f t="shared" si="15"/>
        <v>0</v>
      </c>
      <c r="AS44" s="3621"/>
    </row>
    <row r="45" spans="1:45" ht="20.25" thickBot="1">
      <c r="A45" s="1269" t="s">
        <v>54</v>
      </c>
      <c r="B45" s="1270">
        <f>B9+B12+B14+B15+B16+B18+B24+B25</f>
        <v>7525.8</v>
      </c>
      <c r="C45" s="1271">
        <f>C9+C12+C14+C15+C16+C18+C24+C25</f>
        <v>7792.2999999999993</v>
      </c>
      <c r="D45" s="1272">
        <f>C45/B45*100</f>
        <v>103.54115177124027</v>
      </c>
      <c r="E45" s="1146">
        <f>E9+E12+E14+E15+E16+E18+E24+E25</f>
        <v>10451.099999999999</v>
      </c>
      <c r="F45" s="1273">
        <f t="shared" si="2"/>
        <v>134.12086290312232</v>
      </c>
      <c r="G45" s="1146">
        <f>G9+G12+G14+G15+G16+G18+G24+G25</f>
        <v>10385.700000000001</v>
      </c>
      <c r="H45" s="1273">
        <f t="shared" si="3"/>
        <v>99.374228550104789</v>
      </c>
      <c r="I45" s="1146">
        <f>I9+I12+I14+I15+I16+I18+I24+I25</f>
        <v>10917.308999999999</v>
      </c>
      <c r="J45" s="1146">
        <f>J9+J12+J14+J15+J16+J18+J24+J25</f>
        <v>5439.7</v>
      </c>
      <c r="K45" s="1146">
        <f>K9+K12+K14+K15+K16+K18+K24+K25</f>
        <v>7877.6999999999989</v>
      </c>
      <c r="L45" s="1146">
        <f>L9+L12+L14+L15+L16+L18+L24+L25</f>
        <v>12070.7</v>
      </c>
      <c r="M45" s="1273">
        <f t="shared" si="4"/>
        <v>116.22423139509132</v>
      </c>
      <c r="N45" s="1146">
        <f>N9+N12+N14+N15+N16+N18+N24+N25</f>
        <v>14149.100000000002</v>
      </c>
      <c r="O45" s="1273">
        <f t="shared" si="5"/>
        <v>129.60245056725978</v>
      </c>
      <c r="P45" s="1146">
        <f t="shared" ref="P45:V45" si="33">P9+P12+P14+P15+P16+P18+P24+P25</f>
        <v>11886.2996</v>
      </c>
      <c r="Q45" s="1146">
        <f t="shared" si="33"/>
        <v>2736.7270743128793</v>
      </c>
      <c r="R45" s="1146" t="e">
        <f t="shared" si="33"/>
        <v>#DIV/0!</v>
      </c>
      <c r="S45" s="1146">
        <f t="shared" si="33"/>
        <v>9004.7000000000007</v>
      </c>
      <c r="T45" s="1146">
        <f t="shared" si="33"/>
        <v>0</v>
      </c>
      <c r="U45" s="1205">
        <f t="shared" si="33"/>
        <v>11498.4</v>
      </c>
      <c r="V45" s="1144">
        <f t="shared" si="33"/>
        <v>15828.945</v>
      </c>
      <c r="W45" s="1274">
        <f>V45/P45</f>
        <v>1.33169661986309</v>
      </c>
      <c r="X45" s="1146">
        <f>X9+X12+X14+X15+X16+X18+X24+X25</f>
        <v>12445.238951036179</v>
      </c>
      <c r="Y45" s="1146"/>
      <c r="Z45" s="1146"/>
      <c r="AA45" s="1146">
        <f>AA9+AA12+AA14+AA15+AA16+AA18+AA24+AA25</f>
        <v>9629.5999999999985</v>
      </c>
      <c r="AB45" s="1144">
        <f>AB9+AB12+AB14+AB15+AB16+AB18+AB24+AB25</f>
        <v>14286.099999999999</v>
      </c>
      <c r="AC45" s="1146">
        <f>AC9+AC12+AC14+AC15+AC16+AC18+AC24+AC25</f>
        <v>11756.4147854</v>
      </c>
      <c r="AD45" s="1148">
        <f t="shared" si="8"/>
        <v>0.94465159179777514</v>
      </c>
      <c r="AE45" s="1146">
        <f>AE9+AE12+AE14+AE15+AE16+AE18+AE24+AE25</f>
        <v>5218.2999999999993</v>
      </c>
      <c r="AF45" s="1147">
        <f>AF9+AF12+AF14+AF15+AF16+AF18+AF24+AF25+AF17</f>
        <v>7835.4800000000005</v>
      </c>
      <c r="AG45" s="1144">
        <f t="shared" ref="AG45:AH45" si="34">AG9+AG12+AG14+AG15+AG16+AG18+AG24+AG25</f>
        <v>14551.06760105284</v>
      </c>
      <c r="AH45" s="1146">
        <f t="shared" si="34"/>
        <v>10425.466145415521</v>
      </c>
      <c r="AI45" s="1149">
        <f t="shared" si="9"/>
        <v>0.88678958132394659</v>
      </c>
      <c r="AJ45" s="5337"/>
      <c r="AK45" s="5338"/>
      <c r="AL45" s="5339"/>
      <c r="AM45" s="3323">
        <f>AM9+AM12+AM14+AM15+AM16+AM18+AM24+AM25+AM17</f>
        <v>10210.52</v>
      </c>
      <c r="AN45" s="1144">
        <f t="shared" ref="AN45:AP45" si="35">AN9+AN12+AN14+AN15+AN16+AN18+AN24+AN25</f>
        <v>5715.15</v>
      </c>
      <c r="AO45" s="1146">
        <f t="shared" si="35"/>
        <v>9093</v>
      </c>
      <c r="AP45" s="1147">
        <f t="shared" si="35"/>
        <v>12345.576666666668</v>
      </c>
      <c r="AQ45" s="3317">
        <f t="shared" ref="AQ45:AR45" si="36">AQ9+AQ12+AQ14+AQ15+AQ16+AQ18+AQ24+AQ25</f>
        <v>11907.767319401582</v>
      </c>
      <c r="AR45" s="3593">
        <f t="shared" si="36"/>
        <v>11039.518331530624</v>
      </c>
      <c r="AS45" s="3622">
        <f t="shared" si="1"/>
        <v>1.0588992547239842</v>
      </c>
    </row>
    <row r="46" spans="1:45" ht="19.5" thickBot="1">
      <c r="A46" s="1279" t="s">
        <v>221</v>
      </c>
      <c r="B46" s="1280"/>
      <c r="C46" s="1281"/>
      <c r="D46" s="1282"/>
      <c r="E46" s="1283"/>
      <c r="F46" s="1283"/>
      <c r="G46" s="1283"/>
      <c r="H46" s="1283"/>
      <c r="I46" s="1283"/>
      <c r="J46" s="1283"/>
      <c r="K46" s="1284">
        <f t="shared" ref="K46:S46" si="37">K45-K36</f>
        <v>7403.8999999999987</v>
      </c>
      <c r="L46" s="1285">
        <f t="shared" si="37"/>
        <v>11398.6</v>
      </c>
      <c r="M46" s="1285">
        <f t="shared" si="37"/>
        <v>-4.6570635689374456</v>
      </c>
      <c r="N46" s="1285">
        <f t="shared" si="37"/>
        <v>13506.700000000003</v>
      </c>
      <c r="O46" s="1285">
        <f t="shared" si="37"/>
        <v>129.60245056725978</v>
      </c>
      <c r="P46" s="1285">
        <f t="shared" si="37"/>
        <v>11886.2996</v>
      </c>
      <c r="Q46" s="1285">
        <f t="shared" si="37"/>
        <v>2736.7270743128793</v>
      </c>
      <c r="R46" s="1285" t="e">
        <f t="shared" si="37"/>
        <v>#DIV/0!</v>
      </c>
      <c r="S46" s="1285">
        <f t="shared" si="37"/>
        <v>8471.1</v>
      </c>
      <c r="T46" s="1285"/>
      <c r="U46" s="1286"/>
      <c r="V46" s="1287">
        <f>V45-V36</f>
        <v>14996.895</v>
      </c>
      <c r="W46" s="1288">
        <f>W45-W36</f>
        <v>1.33169661986309</v>
      </c>
      <c r="X46" s="1285">
        <f>X45-X36</f>
        <v>12445.238951036179</v>
      </c>
      <c r="Y46" s="1285"/>
      <c r="Z46" s="1285"/>
      <c r="AA46" s="1285">
        <f>AA45-AA36</f>
        <v>8941.4999999999982</v>
      </c>
      <c r="AB46" s="1287">
        <f>AB45-AB36</f>
        <v>13573.099999999999</v>
      </c>
      <c r="AC46" s="1285">
        <f>AC45-AC36</f>
        <v>11756.4147854</v>
      </c>
      <c r="AD46" s="1148">
        <f t="shared" si="8"/>
        <v>0.94465159179777514</v>
      </c>
      <c r="AE46" s="1285">
        <f t="shared" ref="AE46:AF46" si="38">AE45-AE36</f>
        <v>4890.2499999999991</v>
      </c>
      <c r="AF46" s="1289">
        <f t="shared" si="38"/>
        <v>7342.0300000000007</v>
      </c>
      <c r="AG46" s="1287">
        <f t="shared" ref="AG46" si="39">AG45-AG36</f>
        <v>13794.157601052841</v>
      </c>
      <c r="AH46" s="1285">
        <f t="shared" ref="AH46" si="40">AH45-AH36</f>
        <v>10425.466145415521</v>
      </c>
      <c r="AI46" s="1149">
        <f t="shared" si="9"/>
        <v>0.88678958132394659</v>
      </c>
      <c r="AJ46" s="5207"/>
      <c r="AK46" s="5340"/>
      <c r="AL46" s="5341"/>
      <c r="AM46" s="3342">
        <f t="shared" ref="AM46:AO46" si="41">AM45-AM36</f>
        <v>9529.8900000000012</v>
      </c>
      <c r="AN46" s="1287">
        <f t="shared" si="41"/>
        <v>5375.24</v>
      </c>
      <c r="AO46" s="1285">
        <f t="shared" si="41"/>
        <v>8529.5300000000007</v>
      </c>
      <c r="AP46" s="1289">
        <f t="shared" ref="AP46:AR46" si="42">AP45-AP36</f>
        <v>11594.283333333335</v>
      </c>
      <c r="AQ46" s="3333">
        <f t="shared" si="42"/>
        <v>11907.767319401582</v>
      </c>
      <c r="AR46" s="3639">
        <f t="shared" si="42"/>
        <v>11039.518331530624</v>
      </c>
      <c r="AS46" s="3622">
        <f t="shared" si="1"/>
        <v>1.0588992547239842</v>
      </c>
    </row>
    <row r="47" spans="1:45" ht="18.75">
      <c r="A47" s="5324" t="s">
        <v>154</v>
      </c>
      <c r="B47" s="5325"/>
      <c r="C47" s="5326"/>
      <c r="D47" s="1268"/>
      <c r="E47" s="623"/>
      <c r="F47" s="623"/>
      <c r="G47" s="623"/>
      <c r="H47" s="623"/>
      <c r="I47" s="383">
        <v>973.7</v>
      </c>
      <c r="J47" s="383"/>
      <c r="K47" s="383">
        <f>I47/I45*K46</f>
        <v>660.34381091530884</v>
      </c>
      <c r="L47" s="383">
        <v>1618.4</v>
      </c>
      <c r="M47" s="383"/>
      <c r="N47" s="383">
        <f>стоки!N16</f>
        <v>1270.9000000000001</v>
      </c>
      <c r="O47" s="383"/>
      <c r="P47" s="383">
        <v>1129.3</v>
      </c>
      <c r="Q47" s="1275"/>
      <c r="R47" s="1275"/>
      <c r="S47" s="623"/>
      <c r="T47" s="623"/>
      <c r="U47" s="1276"/>
      <c r="V47" s="1277">
        <v>1692.38</v>
      </c>
      <c r="W47" s="1120"/>
      <c r="X47" s="383">
        <f>X45*(P47/P45)</f>
        <v>1182.4040130542526</v>
      </c>
      <c r="Y47" s="383"/>
      <c r="Z47" s="383"/>
      <c r="AA47" s="1278">
        <v>776.9</v>
      </c>
      <c r="AB47" s="1293">
        <f>AB46*AB51</f>
        <v>1292.15912</v>
      </c>
      <c r="AC47" s="1294">
        <f>AC46*X51</f>
        <v>1119.2106875700802</v>
      </c>
      <c r="AD47" s="1171"/>
      <c r="AE47" s="1294">
        <v>347.27</v>
      </c>
      <c r="AF47" s="1295">
        <v>868.98</v>
      </c>
      <c r="AG47" s="1168">
        <f>SUM(AG45*AG51)</f>
        <v>1264.2984308290504</v>
      </c>
      <c r="AH47" s="1169">
        <f>SUM(AH45*AH51)</f>
        <v>905.83734813770843</v>
      </c>
      <c r="AI47" s="1162"/>
      <c r="AJ47" s="5342"/>
      <c r="AK47" s="5343"/>
      <c r="AL47" s="5344"/>
      <c r="AM47" s="3343">
        <v>1062.22</v>
      </c>
      <c r="AN47" s="1168">
        <v>423.84</v>
      </c>
      <c r="AO47" s="1169">
        <v>672.85</v>
      </c>
      <c r="AP47" s="1170">
        <f>SUM(AP45*AO51)</f>
        <v>913.52922689614729</v>
      </c>
      <c r="AQ47" s="3318">
        <f>SUM(AQ45*AQ51)</f>
        <v>1327.7160561132764</v>
      </c>
      <c r="AR47" s="3623">
        <f>SUM(AR45*AR51)</f>
        <v>816.88550636427806</v>
      </c>
      <c r="AS47" s="3624">
        <f t="shared" si="1"/>
        <v>0.9018015298703409</v>
      </c>
    </row>
    <row r="48" spans="1:45" ht="18.75">
      <c r="A48" s="5327" t="s">
        <v>155</v>
      </c>
      <c r="B48" s="5328"/>
      <c r="C48" s="5329"/>
      <c r="D48" s="1234"/>
      <c r="E48" s="1216"/>
      <c r="F48" s="1216"/>
      <c r="G48" s="1216"/>
      <c r="H48" s="1216"/>
      <c r="I48" s="1069">
        <v>7143.8</v>
      </c>
      <c r="J48" s="1069"/>
      <c r="K48" s="1069">
        <f>I48/I45*K46</f>
        <v>4844.7818798570233</v>
      </c>
      <c r="L48" s="1069">
        <v>7419.2</v>
      </c>
      <c r="M48" s="1069"/>
      <c r="N48" s="1069">
        <f>стоки!N26</f>
        <v>8569.6</v>
      </c>
      <c r="O48" s="1069"/>
      <c r="P48" s="1069">
        <v>7339.1</v>
      </c>
      <c r="Q48" s="1217"/>
      <c r="R48" s="1217"/>
      <c r="S48" s="1216"/>
      <c r="T48" s="1216"/>
      <c r="U48" s="1239"/>
      <c r="V48" s="1110">
        <v>9326.93</v>
      </c>
      <c r="W48" s="1091"/>
      <c r="X48" s="1069">
        <f>X45*(P48/P45)</f>
        <v>7684.2126026799478</v>
      </c>
      <c r="Y48" s="1069"/>
      <c r="Z48" s="1069"/>
      <c r="AA48" s="1107">
        <v>5917.5</v>
      </c>
      <c r="AB48" s="1110">
        <f>AB46*W52</f>
        <v>0</v>
      </c>
      <c r="AC48" s="1069">
        <f>AC46*X52</f>
        <v>7258.9036668341378</v>
      </c>
      <c r="AD48" s="1091"/>
      <c r="AE48" s="1069">
        <v>3273.44</v>
      </c>
      <c r="AF48" s="1107">
        <v>4615.83</v>
      </c>
      <c r="AG48" s="1111">
        <f>SUM(AG45*AG52)</f>
        <v>9629.9214370329591</v>
      </c>
      <c r="AH48" s="1071">
        <f>SUM(AH45*AH52)</f>
        <v>6899.5913342835493</v>
      </c>
      <c r="AI48" s="1103"/>
      <c r="AJ48" s="5189"/>
      <c r="AK48" s="5345"/>
      <c r="AL48" s="5346"/>
      <c r="AM48" s="3321">
        <f>5955.05-629.62-51.01</f>
        <v>5274.42</v>
      </c>
      <c r="AN48" s="3325">
        <v>3623.77</v>
      </c>
      <c r="AO48" s="3514">
        <v>5825.48</v>
      </c>
      <c r="AP48" s="3326">
        <f>SUM(AP45*AO52)</f>
        <v>7909.2609655925799</v>
      </c>
      <c r="AQ48" s="3319">
        <f>SUM(AQ45*AQ52)</f>
        <v>6590.9492112887756</v>
      </c>
      <c r="AR48" s="3634">
        <f>SUM(AR45*AR52)</f>
        <v>7072.5275761536359</v>
      </c>
      <c r="AS48" s="3635">
        <f t="shared" si="1"/>
        <v>1.0250647079647717</v>
      </c>
    </row>
    <row r="49" spans="1:50" ht="18.75">
      <c r="A49" s="5327" t="s">
        <v>156</v>
      </c>
      <c r="B49" s="5328"/>
      <c r="C49" s="5329"/>
      <c r="D49" s="1234"/>
      <c r="E49" s="1216"/>
      <c r="F49" s="1216"/>
      <c r="G49" s="1216"/>
      <c r="H49" s="1216"/>
      <c r="I49" s="1069">
        <v>608.70000000000005</v>
      </c>
      <c r="J49" s="1069"/>
      <c r="K49" s="1069">
        <f>I49/I45*K46</f>
        <v>412.80813156428934</v>
      </c>
      <c r="L49" s="1069">
        <v>847.9</v>
      </c>
      <c r="M49" s="1069"/>
      <c r="N49" s="1069">
        <f>стоки!N33</f>
        <v>737</v>
      </c>
      <c r="O49" s="1069"/>
      <c r="P49" s="1069">
        <v>697.8</v>
      </c>
      <c r="Q49" s="1217"/>
      <c r="R49" s="1217"/>
      <c r="S49" s="1216"/>
      <c r="T49" s="1216"/>
      <c r="U49" s="1239"/>
      <c r="V49" s="1110">
        <v>981.12</v>
      </c>
      <c r="W49" s="1091"/>
      <c r="X49" s="1069">
        <f>X45*(P49/P45)</f>
        <v>730.61322970801143</v>
      </c>
      <c r="Y49" s="1069"/>
      <c r="Z49" s="1069"/>
      <c r="AA49" s="1107">
        <v>658</v>
      </c>
      <c r="AB49" s="1110">
        <f>AB46*W53</f>
        <v>0</v>
      </c>
      <c r="AC49" s="1069">
        <f>AC46*X53</f>
        <v>690.17495043218662</v>
      </c>
      <c r="AD49" s="1091"/>
      <c r="AE49" s="1069">
        <v>355.56</v>
      </c>
      <c r="AF49" s="1107">
        <v>549.54</v>
      </c>
      <c r="AG49" s="1111">
        <f>SUM(AG45*AG53)</f>
        <v>1070.8049523561785</v>
      </c>
      <c r="AH49" s="1071">
        <f>SUM(AH45*AH53)</f>
        <v>767.20424131112384</v>
      </c>
      <c r="AI49" s="1103"/>
      <c r="AJ49" s="5189"/>
      <c r="AK49" s="5345"/>
      <c r="AL49" s="5346"/>
      <c r="AM49" s="3321">
        <v>760.74</v>
      </c>
      <c r="AN49" s="3325">
        <v>443.81</v>
      </c>
      <c r="AO49" s="3514">
        <v>665.01</v>
      </c>
      <c r="AP49" s="3326">
        <f>SUM(AP45*AO53)</f>
        <v>902.88484978554936</v>
      </c>
      <c r="AQ49" s="3319">
        <f>SUM(AQ45*AQ53)</f>
        <v>950.2398320882462</v>
      </c>
      <c r="AR49" s="3634">
        <f>SUM(AR45*AR53)</f>
        <v>807.36721496218854</v>
      </c>
      <c r="AS49" s="3635">
        <f t="shared" si="1"/>
        <v>1.0523497805257538</v>
      </c>
    </row>
    <row r="50" spans="1:50" ht="19.5" thickBot="1">
      <c r="A50" s="5330" t="s">
        <v>157</v>
      </c>
      <c r="B50" s="5331"/>
      <c r="C50" s="4704"/>
      <c r="D50" s="1265"/>
      <c r="E50" s="1256"/>
      <c r="F50" s="1256"/>
      <c r="G50" s="1256"/>
      <c r="H50" s="1256"/>
      <c r="I50" s="1200">
        <v>2191.1</v>
      </c>
      <c r="J50" s="1200"/>
      <c r="K50" s="1200">
        <f>I50/I45*K46</f>
        <v>1485.9600740438873</v>
      </c>
      <c r="L50" s="1200">
        <v>2185.1999999999998</v>
      </c>
      <c r="M50" s="1200"/>
      <c r="N50" s="1200">
        <f>N45-N47-N48-N49</f>
        <v>3571.6000000000022</v>
      </c>
      <c r="O50" s="1200"/>
      <c r="P50" s="1200">
        <v>2717.2</v>
      </c>
      <c r="Q50" s="1266"/>
      <c r="R50" s="1266"/>
      <c r="S50" s="1256"/>
      <c r="T50" s="1256"/>
      <c r="U50" s="1267"/>
      <c r="V50" s="1199">
        <v>3828.5</v>
      </c>
      <c r="W50" s="1183"/>
      <c r="X50" s="1200">
        <f>X45*(P50/P45)</f>
        <v>2844.973155291787</v>
      </c>
      <c r="Y50" s="1200"/>
      <c r="Z50" s="1200"/>
      <c r="AA50" s="1201">
        <v>2277.1999999999998</v>
      </c>
      <c r="AB50" s="1199">
        <f>AB46*W54</f>
        <v>0</v>
      </c>
      <c r="AC50" s="1200">
        <f>AC46*X54</f>
        <v>2687.5084197683254</v>
      </c>
      <c r="AD50" s="1183"/>
      <c r="AE50" s="1200">
        <v>1242.03</v>
      </c>
      <c r="AF50" s="1201">
        <v>1801.13</v>
      </c>
      <c r="AG50" s="1180">
        <f>SUM(AG45*AG54)</f>
        <v>3705.8313639901057</v>
      </c>
      <c r="AH50" s="1181">
        <f>SUM(AH45*AH54)</f>
        <v>2655.1329761606248</v>
      </c>
      <c r="AI50" s="1175"/>
      <c r="AJ50" s="5192"/>
      <c r="AK50" s="5335"/>
      <c r="AL50" s="5336"/>
      <c r="AM50" s="3322">
        <v>2432.52</v>
      </c>
      <c r="AN50" s="3515">
        <v>1223.73</v>
      </c>
      <c r="AO50" s="3516">
        <v>1929.66</v>
      </c>
      <c r="AP50" s="3517">
        <f>SUM(AP45*AO54)</f>
        <v>2619.9016243923902</v>
      </c>
      <c r="AQ50" s="3320">
        <f>SUM(AQ45*AQ54)</f>
        <v>3040.0529966432241</v>
      </c>
      <c r="AR50" s="3640">
        <f>SUM(AR45*AR54)</f>
        <v>2342.738034050521</v>
      </c>
      <c r="AS50" s="3627">
        <f t="shared" si="1"/>
        <v>0.88234301448742014</v>
      </c>
    </row>
    <row r="51" spans="1:50" ht="18.75">
      <c r="A51" s="5324" t="s">
        <v>854</v>
      </c>
      <c r="B51" s="5325"/>
      <c r="C51" s="5326"/>
      <c r="D51" s="1246"/>
      <c r="E51" s="1120"/>
      <c r="F51" s="1120"/>
      <c r="G51" s="1120"/>
      <c r="H51" s="1120"/>
      <c r="I51" s="1120"/>
      <c r="J51" s="1120"/>
      <c r="K51" s="1120"/>
      <c r="L51" s="1120"/>
      <c r="M51" s="1120"/>
      <c r="N51" s="1120"/>
      <c r="O51" s="1120"/>
      <c r="P51" s="1120"/>
      <c r="Q51" s="1120"/>
      <c r="R51" s="1120"/>
      <c r="S51" s="1262"/>
      <c r="T51" s="1262"/>
      <c r="U51" s="1263"/>
      <c r="V51" s="1264"/>
      <c r="W51" s="1120"/>
      <c r="X51" s="1245">
        <v>9.5200000000000007E-2</v>
      </c>
      <c r="Y51" s="623"/>
      <c r="Z51" s="623"/>
      <c r="AA51" s="1245">
        <f>SUM(AA47/AA46)</f>
        <v>8.688698764189455E-2</v>
      </c>
      <c r="AB51" s="1259">
        <v>9.5200000000000007E-2</v>
      </c>
      <c r="AC51" s="1245">
        <f>SUM(AC47/AC46)</f>
        <v>9.5200000000000007E-2</v>
      </c>
      <c r="AD51" s="1120"/>
      <c r="AE51" s="1245">
        <f t="shared" ref="AE51:AF51" si="43">SUM(AE47/AE46)</f>
        <v>7.1012729410561845E-2</v>
      </c>
      <c r="AF51" s="1245">
        <f t="shared" si="43"/>
        <v>0.11835691218913569</v>
      </c>
      <c r="AG51" s="1290">
        <f>SUM(AA51)</f>
        <v>8.688698764189455E-2</v>
      </c>
      <c r="AH51" s="2601">
        <f>SUM(AG51)</f>
        <v>8.688698764189455E-2</v>
      </c>
      <c r="AI51" s="1121"/>
      <c r="AJ51" s="5315"/>
      <c r="AK51" s="5316"/>
      <c r="AL51" s="5317"/>
      <c r="AM51" s="3344">
        <f t="shared" ref="AM51:AN51" si="44">SUM(AM47/AM46)</f>
        <v>0.11146193712624174</v>
      </c>
      <c r="AN51" s="1245">
        <f t="shared" si="44"/>
        <v>7.8850432724864375E-2</v>
      </c>
      <c r="AO51" s="3523">
        <f t="shared" ref="AO51" si="45">AO47/AO45</f>
        <v>7.3996480809413831E-2</v>
      </c>
      <c r="AP51" s="1193">
        <f>AP47/AP45</f>
        <v>7.3996480809413831E-2</v>
      </c>
      <c r="AQ51" s="3334">
        <v>0.1115</v>
      </c>
      <c r="AR51" s="3641">
        <f>SUM(AP51)</f>
        <v>7.3996480809413831E-2</v>
      </c>
      <c r="AS51" s="3629">
        <f t="shared" si="1"/>
        <v>0.85164053695118247</v>
      </c>
    </row>
    <row r="52" spans="1:50" ht="18.75">
      <c r="A52" s="5327" t="s">
        <v>848</v>
      </c>
      <c r="B52" s="5328"/>
      <c r="C52" s="5329"/>
      <c r="D52" s="1235"/>
      <c r="E52" s="1091"/>
      <c r="F52" s="1091"/>
      <c r="G52" s="1091"/>
      <c r="H52" s="1091"/>
      <c r="I52" s="1091"/>
      <c r="J52" s="1091"/>
      <c r="K52" s="1091"/>
      <c r="L52" s="1091"/>
      <c r="M52" s="1091"/>
      <c r="N52" s="1091"/>
      <c r="O52" s="1091"/>
      <c r="P52" s="1091"/>
      <c r="Q52" s="1091"/>
      <c r="R52" s="1091"/>
      <c r="S52" s="1221"/>
      <c r="T52" s="1221"/>
      <c r="U52" s="1240"/>
      <c r="V52" s="1254"/>
      <c r="W52" s="1091"/>
      <c r="X52" s="1222">
        <f>X48/$X$46</f>
        <v>0.61744194972167787</v>
      </c>
      <c r="Y52" s="1216"/>
      <c r="Z52" s="1216"/>
      <c r="AA52" s="1222">
        <f>AA48/AA46</f>
        <v>0.66180171112229502</v>
      </c>
      <c r="AB52" s="1257">
        <f>AB48/$X$46</f>
        <v>0</v>
      </c>
      <c r="AC52" s="1222">
        <f>AC48/AC46</f>
        <v>0.61744194972167787</v>
      </c>
      <c r="AD52" s="1091"/>
      <c r="AE52" s="1222">
        <f t="shared" ref="AE52:AF52" si="46">AE48/AE46</f>
        <v>0.66938091099637043</v>
      </c>
      <c r="AF52" s="1222">
        <f t="shared" si="46"/>
        <v>0.62868579943149228</v>
      </c>
      <c r="AG52" s="1291">
        <f>SUM(AA52)</f>
        <v>0.66180171112229502</v>
      </c>
      <c r="AH52" s="2602">
        <f>SUM(AG52)</f>
        <v>0.66180171112229502</v>
      </c>
      <c r="AI52" s="1103"/>
      <c r="AJ52" s="5318"/>
      <c r="AK52" s="5319"/>
      <c r="AL52" s="5320"/>
      <c r="AM52" s="3345">
        <f t="shared" ref="AM52:AN52" si="47">AM48/AM46</f>
        <v>0.55346074298863879</v>
      </c>
      <c r="AN52" s="1222">
        <f t="shared" si="47"/>
        <v>0.6741596654288925</v>
      </c>
      <c r="AO52" s="3524">
        <f t="shared" ref="AO52" si="48">AO48/AO45</f>
        <v>0.64065544924667317</v>
      </c>
      <c r="AP52" s="3519">
        <f>AP48/AP45</f>
        <v>0.64065544924667317</v>
      </c>
      <c r="AQ52" s="3335">
        <v>0.55349999999999999</v>
      </c>
      <c r="AR52" s="3642">
        <f t="shared" ref="AR52:AR54" si="49">SUM(AP52)</f>
        <v>0.64065544924667317</v>
      </c>
      <c r="AS52" s="3635">
        <f t="shared" si="1"/>
        <v>0.96804743547767258</v>
      </c>
    </row>
    <row r="53" spans="1:50" ht="18.75">
      <c r="A53" s="5327" t="s">
        <v>849</v>
      </c>
      <c r="B53" s="5328"/>
      <c r="C53" s="5329"/>
      <c r="D53" s="1235"/>
      <c r="E53" s="1091"/>
      <c r="F53" s="1091"/>
      <c r="G53" s="1091"/>
      <c r="H53" s="1091"/>
      <c r="I53" s="1091"/>
      <c r="J53" s="1091"/>
      <c r="K53" s="1091"/>
      <c r="L53" s="1091"/>
      <c r="M53" s="1091"/>
      <c r="N53" s="1091"/>
      <c r="O53" s="1091"/>
      <c r="P53" s="1091"/>
      <c r="Q53" s="1091"/>
      <c r="R53" s="1091"/>
      <c r="S53" s="1221"/>
      <c r="T53" s="1221"/>
      <c r="U53" s="1240"/>
      <c r="V53" s="1254"/>
      <c r="W53" s="1091"/>
      <c r="X53" s="1222">
        <f>X49/$X$46</f>
        <v>5.870624361512812E-2</v>
      </c>
      <c r="Y53" s="1216"/>
      <c r="Z53" s="1216"/>
      <c r="AA53" s="1222">
        <f>AA49/AA46</f>
        <v>7.3589442487278431E-2</v>
      </c>
      <c r="AB53" s="1257">
        <f>AB49/$X$46</f>
        <v>0</v>
      </c>
      <c r="AC53" s="1222">
        <f>AC49/AC46</f>
        <v>5.870624361512812E-2</v>
      </c>
      <c r="AD53" s="1091"/>
      <c r="AE53" s="1222">
        <f t="shared" ref="AE53:AF53" si="50">AE49/AE46</f>
        <v>7.2707939266908661E-2</v>
      </c>
      <c r="AF53" s="1222">
        <f t="shared" si="50"/>
        <v>7.4848509199771707E-2</v>
      </c>
      <c r="AG53" s="1291">
        <f>SUM(AA53)</f>
        <v>7.3589442487278431E-2</v>
      </c>
      <c r="AH53" s="2602">
        <f>SUM(AG53)</f>
        <v>7.3589442487278431E-2</v>
      </c>
      <c r="AI53" s="1103"/>
      <c r="AJ53" s="5318"/>
      <c r="AK53" s="5319"/>
      <c r="AL53" s="5320"/>
      <c r="AM53" s="3345">
        <f t="shared" ref="AM53:AN53" si="51">AM49/AM46</f>
        <v>7.9826734621281037E-2</v>
      </c>
      <c r="AN53" s="1222">
        <f t="shared" si="51"/>
        <v>8.2565615674834988E-2</v>
      </c>
      <c r="AO53" s="3524">
        <f t="shared" ref="AO53" si="52">AO49/AO45</f>
        <v>7.3134279115803363E-2</v>
      </c>
      <c r="AP53" s="3519">
        <f>AP49/AP45</f>
        <v>7.3134279115803363E-2</v>
      </c>
      <c r="AQ53" s="3335">
        <v>7.9799999999999996E-2</v>
      </c>
      <c r="AR53" s="3642">
        <f t="shared" si="49"/>
        <v>7.3134279115803363E-2</v>
      </c>
      <c r="AS53" s="3635">
        <f t="shared" si="1"/>
        <v>0.99381482783275943</v>
      </c>
    </row>
    <row r="54" spans="1:50" ht="19.5" thickBot="1">
      <c r="A54" s="5330" t="s">
        <v>850</v>
      </c>
      <c r="B54" s="5331"/>
      <c r="C54" s="4704"/>
      <c r="D54" s="1235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221"/>
      <c r="T54" s="1221"/>
      <c r="U54" s="1240"/>
      <c r="V54" s="626"/>
      <c r="W54" s="1183"/>
      <c r="X54" s="1255">
        <f>X50/$X$46</f>
        <v>0.22859931950562645</v>
      </c>
      <c r="Y54" s="1256"/>
      <c r="Z54" s="1256"/>
      <c r="AA54" s="1255">
        <f>AA50/AA46</f>
        <v>0.25467762679639883</v>
      </c>
      <c r="AB54" s="1258">
        <f>AB50/$X$46</f>
        <v>0</v>
      </c>
      <c r="AC54" s="1255">
        <f>AC50/AC46</f>
        <v>0.22859931950562645</v>
      </c>
      <c r="AD54" s="1183"/>
      <c r="AE54" s="1255">
        <f t="shared" ref="AE54:AF54" si="53">AE50/AE46</f>
        <v>0.25398088032309191</v>
      </c>
      <c r="AF54" s="1255">
        <f t="shared" si="53"/>
        <v>0.24531771185898177</v>
      </c>
      <c r="AG54" s="1292">
        <f>SUM(AA54)</f>
        <v>0.25467762679639883</v>
      </c>
      <c r="AH54" s="2603">
        <f>SUM(AG54)</f>
        <v>0.25467762679639883</v>
      </c>
      <c r="AI54" s="1175"/>
      <c r="AJ54" s="5321"/>
      <c r="AK54" s="5322"/>
      <c r="AL54" s="5323"/>
      <c r="AM54" s="3346">
        <f t="shared" ref="AM54:AN54" si="54">AM50/AM46</f>
        <v>0.25525163459389349</v>
      </c>
      <c r="AN54" s="1255">
        <f t="shared" si="54"/>
        <v>0.22766053236692688</v>
      </c>
      <c r="AO54" s="3525">
        <f t="shared" ref="AO54" si="55">AO50/AO45</f>
        <v>0.21221379082810954</v>
      </c>
      <c r="AP54" s="3521">
        <f>AP50/AP45</f>
        <v>0.21221379082810957</v>
      </c>
      <c r="AQ54" s="3336">
        <v>0.25530000000000003</v>
      </c>
      <c r="AR54" s="3643">
        <f t="shared" si="49"/>
        <v>0.21221379082810957</v>
      </c>
      <c r="AS54" s="3627">
        <f t="shared" si="1"/>
        <v>0.83326436443419183</v>
      </c>
    </row>
    <row r="55" spans="1:50" ht="24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438"/>
      <c r="T55" s="438"/>
      <c r="U55" s="438"/>
      <c r="V55" s="441"/>
      <c r="W55" s="5"/>
      <c r="X55" s="442"/>
      <c r="Y55" s="441"/>
      <c r="Z55" s="441"/>
      <c r="AA55" s="441"/>
      <c r="AB55" s="441"/>
      <c r="AC55" s="441"/>
      <c r="AD55" s="5"/>
      <c r="AE55" s="5"/>
      <c r="AF55" s="5"/>
      <c r="AG55" s="5"/>
      <c r="AH55" s="2604">
        <f>SUM(AH47:AH50)</f>
        <v>11227.765899893006</v>
      </c>
      <c r="AI55" s="5"/>
      <c r="AJ55" s="5"/>
    </row>
    <row r="56" spans="1:5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438"/>
      <c r="T56" s="438"/>
      <c r="U56" s="438"/>
      <c r="V56" s="441"/>
      <c r="W56" s="5"/>
      <c r="X56" s="441"/>
      <c r="Y56" s="441"/>
      <c r="Z56" s="441"/>
      <c r="AA56" s="441"/>
      <c r="AB56" s="441"/>
      <c r="AC56" s="441"/>
      <c r="AD56" s="5"/>
      <c r="AE56" s="5"/>
      <c r="AF56" s="5"/>
      <c r="AG56" s="5"/>
      <c r="AH56" s="5"/>
      <c r="AI56" s="441"/>
      <c r="AJ56" s="441"/>
      <c r="AK56" s="645"/>
      <c r="AL56" s="645"/>
      <c r="AM56" s="645"/>
    </row>
    <row r="57" spans="1:5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438"/>
      <c r="T57" s="438"/>
      <c r="U57" s="438"/>
      <c r="V57" s="441"/>
      <c r="W57" s="5"/>
      <c r="X57" s="441"/>
      <c r="Y57" s="441"/>
      <c r="Z57" s="441"/>
      <c r="AA57" s="441"/>
      <c r="AB57" s="441"/>
      <c r="AC57" s="441"/>
      <c r="AD57" s="5"/>
      <c r="AE57" s="5"/>
      <c r="AF57" s="5"/>
      <c r="AG57" s="5"/>
      <c r="AH57" s="5"/>
      <c r="AI57" s="5"/>
      <c r="AJ57" s="5"/>
    </row>
    <row r="58" spans="1:50">
      <c r="A58" s="2596"/>
      <c r="B58" s="2596"/>
      <c r="C58" s="2596"/>
      <c r="D58" s="2596"/>
      <c r="E58" s="2596"/>
      <c r="F58" s="2596"/>
      <c r="G58" s="2596"/>
      <c r="H58" s="2596"/>
      <c r="I58" s="2596"/>
      <c r="J58" s="2596"/>
      <c r="K58" s="2596"/>
      <c r="L58" s="2596"/>
      <c r="M58" s="2596"/>
      <c r="N58" s="2596"/>
      <c r="O58" s="2596"/>
      <c r="P58" s="2596"/>
      <c r="Q58" s="2596"/>
      <c r="R58" s="2596"/>
      <c r="S58" s="2596"/>
      <c r="T58" s="2596"/>
      <c r="U58" s="2596"/>
      <c r="V58" s="2596"/>
      <c r="W58" s="2596"/>
      <c r="X58" s="2596"/>
      <c r="Y58" s="2596"/>
      <c r="Z58" s="2596"/>
      <c r="AA58" s="2596"/>
      <c r="AB58" s="2596"/>
      <c r="AC58" s="2596"/>
      <c r="AD58" s="2596"/>
      <c r="AE58" s="2596"/>
      <c r="AF58" s="2596"/>
      <c r="AG58" s="2596"/>
      <c r="AH58" s="2596"/>
      <c r="AI58" s="2596"/>
      <c r="AJ58" s="2596"/>
      <c r="AK58" s="428"/>
      <c r="AL58" s="428"/>
      <c r="AM58" s="428"/>
      <c r="AN58" s="428"/>
      <c r="AO58" s="428"/>
      <c r="AP58" s="428"/>
    </row>
    <row r="59" spans="1:5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438"/>
      <c r="T59" s="438"/>
      <c r="U59" s="438"/>
      <c r="V59" s="441"/>
      <c r="W59" s="5"/>
      <c r="X59" s="441"/>
      <c r="Y59" s="441"/>
      <c r="Z59" s="441"/>
      <c r="AA59" s="441"/>
      <c r="AB59" s="441"/>
      <c r="AC59" s="441"/>
      <c r="AD59" s="5"/>
      <c r="AE59" s="5"/>
      <c r="AF59" s="5"/>
      <c r="AG59" s="5"/>
      <c r="AH59" s="5"/>
      <c r="AI59" s="5"/>
      <c r="AJ59" s="5"/>
    </row>
    <row r="60" spans="1:50" ht="20.25" hidden="1">
      <c r="A60" s="4982" t="s">
        <v>617</v>
      </c>
      <c r="B60" s="4982"/>
      <c r="C60" s="4982"/>
      <c r="D60" s="4982"/>
      <c r="E60" s="4982"/>
      <c r="F60" s="4982"/>
      <c r="G60" s="4982"/>
      <c r="H60" s="4982"/>
      <c r="I60" s="4982"/>
      <c r="J60" s="4982"/>
      <c r="K60" s="4982"/>
      <c r="L60" s="4982"/>
      <c r="M60" s="4982"/>
      <c r="N60" s="4982"/>
      <c r="O60" s="4982"/>
      <c r="P60" s="4982"/>
      <c r="Q60" s="4982"/>
      <c r="R60" s="4982"/>
      <c r="S60" s="4982"/>
      <c r="T60" s="4982"/>
      <c r="U60" s="4982"/>
      <c r="V60" s="4982"/>
      <c r="W60" s="4982"/>
      <c r="X60" s="4982"/>
      <c r="Y60" s="4982"/>
      <c r="Z60" s="4982"/>
      <c r="AA60" s="4982"/>
      <c r="AB60" s="4982"/>
      <c r="AC60" s="4982"/>
      <c r="AD60" s="4982"/>
      <c r="AE60" s="4982"/>
      <c r="AF60" s="4982"/>
      <c r="AG60" s="4982"/>
      <c r="AH60" s="4982"/>
      <c r="AI60" s="4982"/>
      <c r="AJ60" s="4982"/>
      <c r="AK60" s="4982"/>
      <c r="AL60" s="4982"/>
      <c r="AM60" s="4982"/>
      <c r="AN60" s="4982"/>
      <c r="AO60" s="4982"/>
      <c r="AP60" s="4982"/>
      <c r="AQ60" s="4982"/>
      <c r="AR60" s="4982"/>
      <c r="AS60" s="4982"/>
      <c r="AT60" s="4982"/>
      <c r="AU60" s="4982"/>
      <c r="AV60" s="4982"/>
    </row>
    <row r="61" spans="1:50" hidden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438"/>
      <c r="T61" s="438"/>
      <c r="U61" s="438"/>
      <c r="V61" s="441"/>
      <c r="W61" s="5"/>
      <c r="X61" s="441"/>
      <c r="Y61" s="441"/>
      <c r="Z61" s="441"/>
      <c r="AA61" s="441"/>
      <c r="AB61" s="441"/>
      <c r="AC61" s="441"/>
      <c r="AD61" s="5"/>
      <c r="AE61" s="5"/>
      <c r="AF61" s="5"/>
      <c r="AG61" s="5"/>
      <c r="AH61" s="5"/>
      <c r="AI61" s="5"/>
      <c r="AJ61" s="5"/>
    </row>
    <row r="62" spans="1:50" ht="18.75" hidden="1" customHeight="1">
      <c r="A62" s="5353" t="s">
        <v>546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438"/>
      <c r="U62" s="438"/>
      <c r="V62" s="5348" t="s">
        <v>603</v>
      </c>
      <c r="W62" s="667"/>
      <c r="X62" s="5350" t="s">
        <v>576</v>
      </c>
      <c r="Y62" s="5351"/>
      <c r="Z62" s="5352" t="s">
        <v>587</v>
      </c>
      <c r="AA62" s="1053"/>
      <c r="AB62" s="5352" t="s">
        <v>588</v>
      </c>
      <c r="AC62" s="5352" t="s">
        <v>589</v>
      </c>
      <c r="AD62" s="5347" t="s">
        <v>601</v>
      </c>
      <c r="AE62" s="1078"/>
      <c r="AF62" s="1078"/>
      <c r="AG62" s="1078"/>
      <c r="AH62" s="1078"/>
      <c r="AI62" s="1078"/>
      <c r="AJ62" s="5352" t="s">
        <v>590</v>
      </c>
      <c r="AK62" s="5352" t="s">
        <v>591</v>
      </c>
      <c r="AL62" s="5352" t="s">
        <v>592</v>
      </c>
      <c r="AM62" s="5347" t="s">
        <v>600</v>
      </c>
      <c r="AN62" s="5347" t="s">
        <v>599</v>
      </c>
      <c r="AO62" s="5352" t="s">
        <v>593</v>
      </c>
      <c r="AP62" s="5352" t="s">
        <v>594</v>
      </c>
      <c r="AQ62" s="5352" t="s">
        <v>595</v>
      </c>
      <c r="AR62" s="5347" t="s">
        <v>225</v>
      </c>
      <c r="AS62" s="5347" t="s">
        <v>229</v>
      </c>
      <c r="AT62" s="5352" t="s">
        <v>596</v>
      </c>
      <c r="AU62" s="5352" t="s">
        <v>597</v>
      </c>
      <c r="AV62" s="5352" t="s">
        <v>598</v>
      </c>
      <c r="AW62" s="5347" t="s">
        <v>135</v>
      </c>
      <c r="AX62" s="5164" t="s">
        <v>602</v>
      </c>
    </row>
    <row r="63" spans="1:50" ht="37.5" hidden="1">
      <c r="A63" s="458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438"/>
      <c r="U63" s="438"/>
      <c r="V63" s="5349"/>
      <c r="W63" s="667"/>
      <c r="X63" s="660" t="s">
        <v>352</v>
      </c>
      <c r="Y63" s="660" t="s">
        <v>654</v>
      </c>
      <c r="Z63" s="5167"/>
      <c r="AA63" s="1053"/>
      <c r="AB63" s="5167"/>
      <c r="AC63" s="5167"/>
      <c r="AD63" s="5163"/>
      <c r="AE63" s="1078"/>
      <c r="AF63" s="1078"/>
      <c r="AG63" s="1078"/>
      <c r="AH63" s="1078"/>
      <c r="AI63" s="1078"/>
      <c r="AJ63" s="5167"/>
      <c r="AK63" s="5167"/>
      <c r="AL63" s="5167"/>
      <c r="AM63" s="5163"/>
      <c r="AN63" s="5163"/>
      <c r="AO63" s="5167"/>
      <c r="AP63" s="5167"/>
      <c r="AQ63" s="5167"/>
      <c r="AR63" s="5163"/>
      <c r="AS63" s="5163"/>
      <c r="AT63" s="5167"/>
      <c r="AU63" s="5167"/>
      <c r="AV63" s="5167"/>
      <c r="AW63" s="5163"/>
      <c r="AX63" s="5164"/>
    </row>
    <row r="64" spans="1:50" ht="18.75" hidden="1">
      <c r="A64" s="666" t="s">
        <v>620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438"/>
      <c r="U64" s="438"/>
      <c r="V64" s="664">
        <f>SUM(AC47)</f>
        <v>1119.2106875700802</v>
      </c>
      <c r="W64" s="667"/>
      <c r="X64" s="664">
        <f>SUM(V64:W64)</f>
        <v>1119.2106875700802</v>
      </c>
      <c r="Y64" s="670">
        <f>SUM(V64-X64)</f>
        <v>0</v>
      </c>
      <c r="Z64" s="414">
        <f>SUM(Z65+Z66+Z67+Z68+Z69+Z72)</f>
        <v>90.153406861278143</v>
      </c>
      <c r="AA64" s="1072"/>
      <c r="AB64" s="414">
        <f t="shared" ref="AB64:AC64" si="56">SUM(AB65+AB66+AB67+AB68+AB69+AB72)</f>
        <v>90.153406861278143</v>
      </c>
      <c r="AC64" s="414">
        <f t="shared" si="56"/>
        <v>90.153406861278143</v>
      </c>
      <c r="AD64" s="672">
        <f>SUM(Z64+AB64+AC64)</f>
        <v>270.46022058383443</v>
      </c>
      <c r="AE64" s="1079"/>
      <c r="AF64" s="1079"/>
      <c r="AG64" s="1079"/>
      <c r="AH64" s="1079"/>
      <c r="AI64" s="1079"/>
      <c r="AJ64" s="414">
        <f t="shared" ref="AJ64" si="57">SUM(AJ65+AJ66+AJ67+AJ68+AJ69+AJ72)</f>
        <v>90.185841587003935</v>
      </c>
      <c r="AK64" s="414">
        <f t="shared" ref="AK64" si="58">SUM(AK65+AK66+AK67+AK68+AK69+AK72)</f>
        <v>90.722816490686299</v>
      </c>
      <c r="AL64" s="414">
        <f t="shared" ref="AL64" si="59">SUM(AL65+AL66+AL67+AL68+AL69+AL72)</f>
        <v>91.191318084503138</v>
      </c>
      <c r="AM64" s="672">
        <f>SUM(AJ64+AK64+AL64)</f>
        <v>272.09997616219334</v>
      </c>
      <c r="AN64" s="672">
        <f>SUM(AD64+AM64)</f>
        <v>542.56019674602771</v>
      </c>
      <c r="AO64" s="414">
        <f t="shared" ref="AO64" si="60">SUM(AO65+AO66+AO67+AO68+AO69+AO72)</f>
        <v>96.822579746378238</v>
      </c>
      <c r="AP64" s="414">
        <f t="shared" ref="AP64" si="61">SUM(AP65+AP66+AP67+AP68+AP69+AP72)</f>
        <v>96.682029268233194</v>
      </c>
      <c r="AQ64" s="414">
        <f t="shared" ref="AQ64" si="62">SUM(AQ65+AQ66+AQ67+AQ68+AQ69+AQ72)</f>
        <v>96.213527674416355</v>
      </c>
      <c r="AR64" s="672">
        <f>SUM(AO64+AP64+AQ64)</f>
        <v>289.7181366890278</v>
      </c>
      <c r="AS64" s="672">
        <f>SUM(AN64+AR64)</f>
        <v>832.27833343505552</v>
      </c>
      <c r="AT64" s="414">
        <f t="shared" ref="AT64" si="63">SUM(AT65+AT66+AT67+AT68+AT69+AT72)</f>
        <v>95.644118045008199</v>
      </c>
      <c r="AU64" s="414">
        <f t="shared" ref="AU64" si="64">SUM(AU65+AU66+AU67+AU68+AU69+AU72)</f>
        <v>95.644118045008199</v>
      </c>
      <c r="AV64" s="414">
        <f t="shared" ref="AV64" si="65">SUM(AV65+AV66+AV67+AV68+AV69+AV72)</f>
        <v>95.644118045008199</v>
      </c>
      <c r="AW64" s="672">
        <f>SUM(AT64+AU64+AV64)</f>
        <v>286.93235413502458</v>
      </c>
      <c r="AX64" s="669">
        <f>SUM(AV64+AU64+AT64+AQ64+AP64+AO64+AL64+AK64+AJ64+AC64+AB64+Z64)</f>
        <v>1119.2106875700802</v>
      </c>
    </row>
    <row r="65" spans="1:50" ht="18.75" hidden="1">
      <c r="A65" s="44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438"/>
      <c r="U65" s="438"/>
      <c r="V65" s="661">
        <f>SUM(V64*69.75%)</f>
        <v>780.64945458013096</v>
      </c>
      <c r="W65" s="667"/>
      <c r="X65" s="661">
        <f>SUM(V65)</f>
        <v>780.64945458013096</v>
      </c>
      <c r="Y65" s="671">
        <f>SUM(V65-X65)</f>
        <v>0</v>
      </c>
      <c r="Z65" s="417">
        <f>SUM(V65/2)/(1+(106.7%*100-100)/2/100)/6</f>
        <v>62.945448684093776</v>
      </c>
      <c r="AA65" s="1073"/>
      <c r="AB65" s="416">
        <f>SUM(Z65)</f>
        <v>62.945448684093776</v>
      </c>
      <c r="AC65" s="417">
        <f>SUM(Z65)</f>
        <v>62.945448684093776</v>
      </c>
      <c r="AD65" s="663">
        <f>SUM(Z65+AB65+AC65)</f>
        <v>188.83634605228133</v>
      </c>
      <c r="AE65" s="1080"/>
      <c r="AF65" s="1080"/>
      <c r="AG65" s="1080"/>
      <c r="AH65" s="1080"/>
      <c r="AI65" s="1080"/>
      <c r="AJ65" s="662">
        <f>SUM(Z65)</f>
        <v>62.945448684093776</v>
      </c>
      <c r="AK65" s="662">
        <f>SUM(Z65)</f>
        <v>62.945448684093776</v>
      </c>
      <c r="AL65" s="662">
        <f>SUM(Z65)</f>
        <v>62.945448684093776</v>
      </c>
      <c r="AM65" s="663">
        <f>SUM(AJ65+AK65+AL65)</f>
        <v>188.83634605228133</v>
      </c>
      <c r="AN65" s="663">
        <f>SUM(AD65+AM65)</f>
        <v>377.67269210456266</v>
      </c>
      <c r="AO65" s="662">
        <f>SUM(V65-AN65)/6</f>
        <v>67.162793745928056</v>
      </c>
      <c r="AP65" s="662">
        <f>SUM(AO65)</f>
        <v>67.162793745928056</v>
      </c>
      <c r="AQ65" s="662">
        <f>SUM(AO65)</f>
        <v>67.162793745928056</v>
      </c>
      <c r="AR65" s="663">
        <f>SUM(AO65+AP65+AQ65)</f>
        <v>201.48838123778415</v>
      </c>
      <c r="AS65" s="663">
        <f>SUM(AN65+AR65)</f>
        <v>579.16107334234675</v>
      </c>
      <c r="AT65" s="662">
        <f>SUM(AO65)</f>
        <v>67.162793745928056</v>
      </c>
      <c r="AU65" s="662">
        <f>SUM(AO65)</f>
        <v>67.162793745928056</v>
      </c>
      <c r="AV65" s="662">
        <f>SUM(AO65)</f>
        <v>67.162793745928056</v>
      </c>
      <c r="AW65" s="663">
        <f>SUM(AT65+AU65+AV65)</f>
        <v>201.48838123778415</v>
      </c>
      <c r="AX65" s="669">
        <f>SUM(AV65+AU65+AT65+AQ65+AP65+AO65+AL65+AK65+AJ65+AC65+AB65+Z65)</f>
        <v>780.64945458013108</v>
      </c>
    </row>
    <row r="66" spans="1:50" ht="18.75" hidden="1">
      <c r="A66" s="444" t="s">
        <v>121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438"/>
      <c r="U66" s="438"/>
      <c r="V66" s="661">
        <f>SUM(V64*21.06%)</f>
        <v>235.70577080225885</v>
      </c>
      <c r="W66" s="667"/>
      <c r="X66" s="661">
        <f t="shared" ref="X66:X73" si="66">SUM(V66)</f>
        <v>235.70577080225885</v>
      </c>
      <c r="Y66" s="671">
        <f t="shared" ref="Y66:Y73" si="67">SUM(V66-X66)</f>
        <v>0</v>
      </c>
      <c r="Z66" s="417">
        <f>SUM(Z65*(V66/V65))</f>
        <v>19.005464505907021</v>
      </c>
      <c r="AA66" s="1073"/>
      <c r="AB66" s="417">
        <f>SUM(Z66)</f>
        <v>19.005464505907021</v>
      </c>
      <c r="AC66" s="416">
        <f>SUM(Z66)</f>
        <v>19.005464505907021</v>
      </c>
      <c r="AD66" s="663">
        <f t="shared" ref="AD66:AD113" si="68">SUM(Z66+AB66+AC66)</f>
        <v>57.016393517721063</v>
      </c>
      <c r="AE66" s="1080"/>
      <c r="AF66" s="1080"/>
      <c r="AG66" s="1080"/>
      <c r="AH66" s="1080"/>
      <c r="AI66" s="1080"/>
      <c r="AJ66" s="662">
        <f>SUM(Z66)</f>
        <v>19.005464505907021</v>
      </c>
      <c r="AK66" s="662">
        <f>SUM(Z66)</f>
        <v>19.005464505907021</v>
      </c>
      <c r="AL66" s="662">
        <f>SUM(Z66)</f>
        <v>19.005464505907021</v>
      </c>
      <c r="AM66" s="663">
        <f t="shared" ref="AM66:AM113" si="69">SUM(AJ66+AK66+AL66)</f>
        <v>57.016393517721063</v>
      </c>
      <c r="AN66" s="663">
        <f t="shared" ref="AN66:AN113" si="70">SUM(AD66+AM66)</f>
        <v>114.03278703544213</v>
      </c>
      <c r="AO66" s="662">
        <f>SUM(V66-AN66)/6</f>
        <v>20.278830627802787</v>
      </c>
      <c r="AP66" s="662">
        <f>SUM(AO66)</f>
        <v>20.278830627802787</v>
      </c>
      <c r="AQ66" s="662">
        <f>SUM(AO66)</f>
        <v>20.278830627802787</v>
      </c>
      <c r="AR66" s="663">
        <f t="shared" ref="AR66:AR113" si="71">SUM(AO66+AP66+AQ66)</f>
        <v>60.836491883408357</v>
      </c>
      <c r="AS66" s="663">
        <f t="shared" ref="AS66:AS113" si="72">SUM(AN66+AR66)</f>
        <v>174.86927891885048</v>
      </c>
      <c r="AT66" s="662">
        <f>SUM(AO66)</f>
        <v>20.278830627802787</v>
      </c>
      <c r="AU66" s="662">
        <f>SUM(AO66)</f>
        <v>20.278830627802787</v>
      </c>
      <c r="AV66" s="662">
        <f>SUM(AO66)</f>
        <v>20.278830627802787</v>
      </c>
      <c r="AW66" s="663">
        <f t="shared" ref="AW66:AW113" si="73">SUM(AT66+AU66+AV66)</f>
        <v>60.836491883408357</v>
      </c>
      <c r="AX66" s="669">
        <f t="shared" ref="AX66:AX117" si="74">SUM(AV66+AU66+AT66+AQ66+AP66+AO66+AL66+AK66+AJ66+AC66+AB66+Z66)</f>
        <v>235.70577080225883</v>
      </c>
    </row>
    <row r="67" spans="1:50" ht="18.75" hidden="1">
      <c r="A67" s="44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438"/>
      <c r="U67" s="438"/>
      <c r="V67" s="661">
        <f>SUM(V64*2.01%)</f>
        <v>22.496134820158606</v>
      </c>
      <c r="W67" s="667"/>
      <c r="X67" s="661">
        <f t="shared" si="66"/>
        <v>22.496134820158606</v>
      </c>
      <c r="Y67" s="671">
        <f t="shared" si="67"/>
        <v>0</v>
      </c>
      <c r="Z67" s="417">
        <f t="shared" ref="Z67:Z68" si="75">SUM(V67/12)</f>
        <v>1.8746779016798838</v>
      </c>
      <c r="AA67" s="1073"/>
      <c r="AB67" s="417">
        <f t="shared" ref="AB67:AB71" si="76">SUM(Z67)</f>
        <v>1.8746779016798838</v>
      </c>
      <c r="AC67" s="417">
        <f t="shared" ref="AC67:AC68" si="77">SUM(Z67)</f>
        <v>1.8746779016798838</v>
      </c>
      <c r="AD67" s="663">
        <f t="shared" ref="AD67:AD68" si="78">SUM(Z67+AB67+AC67)</f>
        <v>5.6240337050396514</v>
      </c>
      <c r="AE67" s="1080"/>
      <c r="AF67" s="1080"/>
      <c r="AG67" s="1080"/>
      <c r="AH67" s="1080"/>
      <c r="AI67" s="1080"/>
      <c r="AJ67" s="662">
        <f t="shared" ref="AJ67:AJ68" si="79">SUM(Z67)</f>
        <v>1.8746779016798838</v>
      </c>
      <c r="AK67" s="662">
        <f t="shared" ref="AK67:AK68" si="80">SUM(Z67)</f>
        <v>1.8746779016798838</v>
      </c>
      <c r="AL67" s="662">
        <f t="shared" ref="AL67:AL68" si="81">SUM(Z67)</f>
        <v>1.8746779016798838</v>
      </c>
      <c r="AM67" s="663">
        <f t="shared" ref="AM67:AM68" si="82">SUM(AJ67+AK67+AL67)</f>
        <v>5.6240337050396514</v>
      </c>
      <c r="AN67" s="663">
        <f t="shared" si="70"/>
        <v>11.248067410079303</v>
      </c>
      <c r="AO67" s="662">
        <f t="shared" ref="AO67:AO68" si="83">SUM(Z67)</f>
        <v>1.8746779016798838</v>
      </c>
      <c r="AP67" s="662">
        <f t="shared" ref="AP67:AP68" si="84">SUM(Z67)</f>
        <v>1.8746779016798838</v>
      </c>
      <c r="AQ67" s="662">
        <f t="shared" ref="AQ67:AQ68" si="85">SUM(Z67)</f>
        <v>1.8746779016798838</v>
      </c>
      <c r="AR67" s="663">
        <f t="shared" ref="AR67:AR68" si="86">SUM(AO67+AP67+AQ67)</f>
        <v>5.6240337050396514</v>
      </c>
      <c r="AS67" s="663">
        <f t="shared" si="72"/>
        <v>16.872101115118955</v>
      </c>
      <c r="AT67" s="662">
        <f t="shared" ref="AT67:AT68" si="87">SUM(Z67)</f>
        <v>1.8746779016798838</v>
      </c>
      <c r="AU67" s="662">
        <f t="shared" ref="AU67:AU68" si="88">SUM(Z67)</f>
        <v>1.8746779016798838</v>
      </c>
      <c r="AV67" s="662">
        <f t="shared" ref="AV67:AV68" si="89">SUM(Z67)</f>
        <v>1.8746779016798838</v>
      </c>
      <c r="AW67" s="663">
        <f t="shared" ref="AW67:AW68" si="90">SUM(AT67+AU67+AV67)</f>
        <v>5.6240337050396514</v>
      </c>
      <c r="AX67" s="669">
        <f t="shared" si="74"/>
        <v>22.496134820158613</v>
      </c>
    </row>
    <row r="68" spans="1:50" ht="18.75" hidden="1">
      <c r="A68" s="444" t="s">
        <v>606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438"/>
      <c r="U68" s="438"/>
      <c r="V68" s="661">
        <f>SUM(V64*2.15%)</f>
        <v>24.063029782756722</v>
      </c>
      <c r="W68" s="667"/>
      <c r="X68" s="661">
        <f t="shared" si="66"/>
        <v>24.063029782756722</v>
      </c>
      <c r="Y68" s="671">
        <f t="shared" si="67"/>
        <v>0</v>
      </c>
      <c r="Z68" s="417">
        <f t="shared" si="75"/>
        <v>2.0052524818963935</v>
      </c>
      <c r="AA68" s="1073"/>
      <c r="AB68" s="417">
        <f t="shared" si="76"/>
        <v>2.0052524818963935</v>
      </c>
      <c r="AC68" s="417">
        <f t="shared" si="77"/>
        <v>2.0052524818963935</v>
      </c>
      <c r="AD68" s="663">
        <f t="shared" si="78"/>
        <v>6.0157574456891805</v>
      </c>
      <c r="AE68" s="1080"/>
      <c r="AF68" s="1080"/>
      <c r="AG68" s="1080"/>
      <c r="AH68" s="1080"/>
      <c r="AI68" s="1080"/>
      <c r="AJ68" s="662">
        <f t="shared" si="79"/>
        <v>2.0052524818963935</v>
      </c>
      <c r="AK68" s="662">
        <f t="shared" si="80"/>
        <v>2.0052524818963935</v>
      </c>
      <c r="AL68" s="662">
        <f t="shared" si="81"/>
        <v>2.0052524818963935</v>
      </c>
      <c r="AM68" s="663">
        <f t="shared" si="82"/>
        <v>6.0157574456891805</v>
      </c>
      <c r="AN68" s="663">
        <f t="shared" si="70"/>
        <v>12.031514891378361</v>
      </c>
      <c r="AO68" s="662">
        <f t="shared" si="83"/>
        <v>2.0052524818963935</v>
      </c>
      <c r="AP68" s="662">
        <f t="shared" si="84"/>
        <v>2.0052524818963935</v>
      </c>
      <c r="AQ68" s="662">
        <f t="shared" si="85"/>
        <v>2.0052524818963935</v>
      </c>
      <c r="AR68" s="663">
        <f t="shared" si="86"/>
        <v>6.0157574456891805</v>
      </c>
      <c r="AS68" s="663">
        <f t="shared" si="72"/>
        <v>18.04727233706754</v>
      </c>
      <c r="AT68" s="662">
        <f t="shared" si="87"/>
        <v>2.0052524818963935</v>
      </c>
      <c r="AU68" s="662">
        <f t="shared" si="88"/>
        <v>2.0052524818963935</v>
      </c>
      <c r="AV68" s="662">
        <f t="shared" si="89"/>
        <v>2.0052524818963935</v>
      </c>
      <c r="AW68" s="663">
        <f t="shared" si="90"/>
        <v>6.0157574456891805</v>
      </c>
      <c r="AX68" s="669">
        <f t="shared" si="74"/>
        <v>24.063029782756715</v>
      </c>
    </row>
    <row r="69" spans="1:50" ht="18.75" hidden="1">
      <c r="A69" s="444" t="s">
        <v>607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438"/>
      <c r="U69" s="438"/>
      <c r="V69" s="661">
        <f>SUM(V70:V71)</f>
        <v>20.25771344501845</v>
      </c>
      <c r="W69" s="667"/>
      <c r="X69" s="661">
        <f t="shared" si="66"/>
        <v>20.25771344501845</v>
      </c>
      <c r="Y69" s="671">
        <f t="shared" si="67"/>
        <v>0</v>
      </c>
      <c r="Z69" s="417">
        <f>SUM(Z70:Z71)</f>
        <v>1.6881427870848709</v>
      </c>
      <c r="AA69" s="1073"/>
      <c r="AB69" s="417">
        <f>SUM(AB70:AB71)</f>
        <v>1.6881427870848709</v>
      </c>
      <c r="AC69" s="417">
        <f>SUM(AC70:AC71)</f>
        <v>1.6881427870848709</v>
      </c>
      <c r="AD69" s="663">
        <f t="shared" si="68"/>
        <v>5.0644283612546124</v>
      </c>
      <c r="AE69" s="1080"/>
      <c r="AF69" s="1080"/>
      <c r="AG69" s="1080"/>
      <c r="AH69" s="1080"/>
      <c r="AI69" s="1080"/>
      <c r="AJ69" s="417">
        <f>SUM(AJ70:AJ71)</f>
        <v>1.6881427870848709</v>
      </c>
      <c r="AK69" s="417">
        <f>SUM(AK70:AK71)</f>
        <v>1.6881427870848709</v>
      </c>
      <c r="AL69" s="417">
        <f>SUM(AL70:AL71)</f>
        <v>1.6881427870848709</v>
      </c>
      <c r="AM69" s="663">
        <f t="shared" si="69"/>
        <v>5.0644283612546124</v>
      </c>
      <c r="AN69" s="663">
        <f t="shared" si="70"/>
        <v>10.128856722509225</v>
      </c>
      <c r="AO69" s="417">
        <f>SUM(AO70:AO71)</f>
        <v>1.6881427870848709</v>
      </c>
      <c r="AP69" s="417">
        <f>SUM(AP70:AP71)</f>
        <v>1.6881427870848709</v>
      </c>
      <c r="AQ69" s="417">
        <f>SUM(AQ70:AQ71)</f>
        <v>1.6881427870848709</v>
      </c>
      <c r="AR69" s="663">
        <f t="shared" si="71"/>
        <v>5.0644283612546124</v>
      </c>
      <c r="AS69" s="663">
        <f t="shared" si="72"/>
        <v>15.193285083763836</v>
      </c>
      <c r="AT69" s="417">
        <f>SUM(AT70:AT71)</f>
        <v>1.6881427870848709</v>
      </c>
      <c r="AU69" s="417">
        <f>SUM(AU70:AU71)</f>
        <v>1.6881427870848709</v>
      </c>
      <c r="AV69" s="417">
        <f>SUM(AV70:AV71)</f>
        <v>1.6881427870848709</v>
      </c>
      <c r="AW69" s="663">
        <f t="shared" si="73"/>
        <v>5.0644283612546124</v>
      </c>
      <c r="AX69" s="669">
        <f t="shared" si="74"/>
        <v>20.25771344501845</v>
      </c>
    </row>
    <row r="70" spans="1:50" ht="18.75" hidden="1">
      <c r="A70" s="434" t="s">
        <v>565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438"/>
      <c r="U70" s="438"/>
      <c r="V70" s="661">
        <f>SUM(V64*1.34%)</f>
        <v>14.997423213439074</v>
      </c>
      <c r="W70" s="667"/>
      <c r="X70" s="661">
        <f t="shared" si="66"/>
        <v>14.997423213439074</v>
      </c>
      <c r="Y70" s="671">
        <f t="shared" si="67"/>
        <v>0</v>
      </c>
      <c r="Z70" s="417">
        <f t="shared" ref="Z70:Z71" si="91">SUM(V70/12)</f>
        <v>1.2497852677865895</v>
      </c>
      <c r="AA70" s="1073"/>
      <c r="AB70" s="417">
        <f t="shared" si="76"/>
        <v>1.2497852677865895</v>
      </c>
      <c r="AC70" s="417">
        <f t="shared" ref="AC70:AC71" si="92">SUM(Z70)</f>
        <v>1.2497852677865895</v>
      </c>
      <c r="AD70" s="663">
        <f t="shared" si="68"/>
        <v>3.7493558033597685</v>
      </c>
      <c r="AE70" s="1080"/>
      <c r="AF70" s="1080"/>
      <c r="AG70" s="1080"/>
      <c r="AH70" s="1080"/>
      <c r="AI70" s="1080"/>
      <c r="AJ70" s="662">
        <f t="shared" ref="AJ70" si="93">SUM(Z70)</f>
        <v>1.2497852677865895</v>
      </c>
      <c r="AK70" s="662">
        <f t="shared" ref="AK70" si="94">SUM(Z70)</f>
        <v>1.2497852677865895</v>
      </c>
      <c r="AL70" s="662">
        <f t="shared" ref="AL70" si="95">SUM(Z70)</f>
        <v>1.2497852677865895</v>
      </c>
      <c r="AM70" s="663">
        <f t="shared" si="69"/>
        <v>3.7493558033597685</v>
      </c>
      <c r="AN70" s="663">
        <f t="shared" si="70"/>
        <v>7.498711606719537</v>
      </c>
      <c r="AO70" s="662">
        <f t="shared" ref="AO70" si="96">SUM(Z70)</f>
        <v>1.2497852677865895</v>
      </c>
      <c r="AP70" s="662">
        <f t="shared" ref="AP70" si="97">SUM(Z70)</f>
        <v>1.2497852677865895</v>
      </c>
      <c r="AQ70" s="662">
        <f t="shared" ref="AQ70" si="98">SUM(Z70)</f>
        <v>1.2497852677865895</v>
      </c>
      <c r="AR70" s="663">
        <f t="shared" si="71"/>
        <v>3.7493558033597685</v>
      </c>
      <c r="AS70" s="663">
        <f t="shared" si="72"/>
        <v>11.248067410079305</v>
      </c>
      <c r="AT70" s="662">
        <f t="shared" ref="AT70" si="99">SUM(Z70)</f>
        <v>1.2497852677865895</v>
      </c>
      <c r="AU70" s="662">
        <f t="shared" ref="AU70" si="100">SUM(Z70)</f>
        <v>1.2497852677865895</v>
      </c>
      <c r="AV70" s="662">
        <f t="shared" ref="AV70" si="101">SUM(Z70)</f>
        <v>1.2497852677865895</v>
      </c>
      <c r="AW70" s="663">
        <f t="shared" si="73"/>
        <v>3.7493558033597685</v>
      </c>
      <c r="AX70" s="669">
        <f t="shared" si="74"/>
        <v>14.99742321343907</v>
      </c>
    </row>
    <row r="71" spans="1:50" ht="18.75" hidden="1">
      <c r="A71" s="434" t="s">
        <v>566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438"/>
      <c r="U71" s="438"/>
      <c r="V71" s="661">
        <f>SUM(V64*0.47%)</f>
        <v>5.2602902315793756</v>
      </c>
      <c r="W71" s="667"/>
      <c r="X71" s="661">
        <f t="shared" si="66"/>
        <v>5.2602902315793756</v>
      </c>
      <c r="Y71" s="671">
        <f t="shared" si="67"/>
        <v>0</v>
      </c>
      <c r="Z71" s="417">
        <f t="shared" si="91"/>
        <v>0.43835751929828132</v>
      </c>
      <c r="AA71" s="1073"/>
      <c r="AB71" s="417">
        <f t="shared" si="76"/>
        <v>0.43835751929828132</v>
      </c>
      <c r="AC71" s="417">
        <f t="shared" si="92"/>
        <v>0.43835751929828132</v>
      </c>
      <c r="AD71" s="663">
        <f t="shared" ref="AD71" si="102">SUM(Z71+AB71+AC71)</f>
        <v>1.3150725578948439</v>
      </c>
      <c r="AE71" s="1080"/>
      <c r="AF71" s="1080"/>
      <c r="AG71" s="1080"/>
      <c r="AH71" s="1080"/>
      <c r="AI71" s="1080"/>
      <c r="AJ71" s="662">
        <f t="shared" ref="AJ71" si="103">SUM(Z71)</f>
        <v>0.43835751929828132</v>
      </c>
      <c r="AK71" s="662">
        <f t="shared" ref="AK71" si="104">SUM(Z71)</f>
        <v>0.43835751929828132</v>
      </c>
      <c r="AL71" s="662">
        <f t="shared" ref="AL71" si="105">SUM(Z71)</f>
        <v>0.43835751929828132</v>
      </c>
      <c r="AM71" s="663">
        <f t="shared" ref="AM71" si="106">SUM(AJ71+AK71+AL71)</f>
        <v>1.3150725578948439</v>
      </c>
      <c r="AN71" s="663">
        <f t="shared" si="70"/>
        <v>2.6301451157896878</v>
      </c>
      <c r="AO71" s="662">
        <f t="shared" ref="AO71" si="107">SUM(Z71)</f>
        <v>0.43835751929828132</v>
      </c>
      <c r="AP71" s="662">
        <f t="shared" ref="AP71" si="108">SUM(Z71)</f>
        <v>0.43835751929828132</v>
      </c>
      <c r="AQ71" s="662">
        <f t="shared" ref="AQ71" si="109">SUM(Z71)</f>
        <v>0.43835751929828132</v>
      </c>
      <c r="AR71" s="663">
        <f t="shared" ref="AR71" si="110">SUM(AO71+AP71+AQ71)</f>
        <v>1.3150725578948439</v>
      </c>
      <c r="AS71" s="663">
        <f t="shared" si="72"/>
        <v>3.9452176736845317</v>
      </c>
      <c r="AT71" s="662">
        <f t="shared" ref="AT71" si="111">SUM(Z71)</f>
        <v>0.43835751929828132</v>
      </c>
      <c r="AU71" s="662">
        <f t="shared" ref="AU71" si="112">SUM(Z71)</f>
        <v>0.43835751929828132</v>
      </c>
      <c r="AV71" s="662">
        <f t="shared" ref="AV71" si="113">SUM(Z71)</f>
        <v>0.43835751929828132</v>
      </c>
      <c r="AW71" s="663">
        <f t="shared" ref="AW71" si="114">SUM(AT71+AU71+AV71)</f>
        <v>1.3150725578948439</v>
      </c>
      <c r="AX71" s="669">
        <f t="shared" si="74"/>
        <v>5.2602902315793756</v>
      </c>
    </row>
    <row r="72" spans="1:50" ht="18.75" hidden="1">
      <c r="A72" s="444" t="s">
        <v>610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438"/>
      <c r="U72" s="438"/>
      <c r="V72" s="661">
        <f>SUM(V73:V73)</f>
        <v>36.03858413975658</v>
      </c>
      <c r="W72" s="667"/>
      <c r="X72" s="661">
        <f t="shared" si="66"/>
        <v>36.03858413975658</v>
      </c>
      <c r="Y72" s="671">
        <f t="shared" si="67"/>
        <v>0</v>
      </c>
      <c r="Z72" s="417">
        <f>SUM(Z73:Z73)</f>
        <v>2.6344205006162058</v>
      </c>
      <c r="AA72" s="1073"/>
      <c r="AB72" s="417">
        <f>SUM(AB73:AB73)</f>
        <v>2.6344205006162058</v>
      </c>
      <c r="AC72" s="417">
        <f>SUM(AC73:AC73)</f>
        <v>2.6344205006162058</v>
      </c>
      <c r="AD72" s="663">
        <f t="shared" si="68"/>
        <v>7.9032615018486174</v>
      </c>
      <c r="AE72" s="1080"/>
      <c r="AF72" s="1080"/>
      <c r="AG72" s="1080"/>
      <c r="AH72" s="1080"/>
      <c r="AI72" s="1080"/>
      <c r="AJ72" s="417">
        <f>SUM(AJ73:AJ73)</f>
        <v>2.6668552263419874</v>
      </c>
      <c r="AK72" s="417">
        <f>SUM(AK73:AK73)</f>
        <v>3.2038301300243601</v>
      </c>
      <c r="AL72" s="417">
        <f>SUM(AL73:AL73)</f>
        <v>3.6723317238411952</v>
      </c>
      <c r="AM72" s="663">
        <f t="shared" si="69"/>
        <v>9.5430170802075427</v>
      </c>
      <c r="AN72" s="663">
        <f t="shared" si="70"/>
        <v>17.446278582056159</v>
      </c>
      <c r="AO72" s="417">
        <f>SUM(AO73:AO73)</f>
        <v>3.8128822019862465</v>
      </c>
      <c r="AP72" s="417">
        <f>SUM(AP73:AP73)</f>
        <v>3.6723317238411952</v>
      </c>
      <c r="AQ72" s="417">
        <f>SUM(AQ73:AQ73)</f>
        <v>3.2038301300243601</v>
      </c>
      <c r="AR72" s="663">
        <f t="shared" si="71"/>
        <v>10.689044055851802</v>
      </c>
      <c r="AS72" s="663">
        <f t="shared" si="72"/>
        <v>28.135322637907962</v>
      </c>
      <c r="AT72" s="417">
        <f>SUM(AT73:AT73)</f>
        <v>2.6344205006162058</v>
      </c>
      <c r="AU72" s="417">
        <f>SUM(AU73:AU73)</f>
        <v>2.6344205006162058</v>
      </c>
      <c r="AV72" s="417">
        <f>SUM(AV73:AV73)</f>
        <v>2.6344205006162058</v>
      </c>
      <c r="AW72" s="663">
        <f t="shared" si="73"/>
        <v>7.9032615018486174</v>
      </c>
      <c r="AX72" s="669">
        <f t="shared" si="74"/>
        <v>36.038584139756587</v>
      </c>
    </row>
    <row r="73" spans="1:50" ht="18.75" hidden="1">
      <c r="A73" s="434" t="s">
        <v>552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438"/>
      <c r="U73" s="438"/>
      <c r="V73" s="661">
        <f>SUM(V64*3.22%)</f>
        <v>36.03858413975658</v>
      </c>
      <c r="W73" s="667"/>
      <c r="X73" s="661">
        <f t="shared" si="66"/>
        <v>36.03858413975658</v>
      </c>
      <c r="Y73" s="671">
        <f t="shared" si="67"/>
        <v>0</v>
      </c>
      <c r="Z73" s="417">
        <f>SUM(V73*7.31%)</f>
        <v>2.6344205006162058</v>
      </c>
      <c r="AA73" s="1073"/>
      <c r="AB73" s="417">
        <f>SUM(V73*7.31%)</f>
        <v>2.6344205006162058</v>
      </c>
      <c r="AC73" s="417">
        <f>SUM(V73*7.31%)</f>
        <v>2.6344205006162058</v>
      </c>
      <c r="AD73" s="663">
        <f t="shared" si="68"/>
        <v>7.9032615018486174</v>
      </c>
      <c r="AE73" s="1080"/>
      <c r="AF73" s="1080"/>
      <c r="AG73" s="1080"/>
      <c r="AH73" s="1080"/>
      <c r="AI73" s="1080"/>
      <c r="AJ73" s="417">
        <f>SUM(V73*7.4%)</f>
        <v>2.6668552263419874</v>
      </c>
      <c r="AK73" s="417">
        <f>SUM(V73*8.89%)</f>
        <v>3.2038301300243601</v>
      </c>
      <c r="AL73" s="417">
        <f>SUM(V73*10.19%)</f>
        <v>3.6723317238411952</v>
      </c>
      <c r="AM73" s="663">
        <f t="shared" si="69"/>
        <v>9.5430170802075427</v>
      </c>
      <c r="AN73" s="663">
        <f t="shared" si="70"/>
        <v>17.446278582056159</v>
      </c>
      <c r="AO73" s="417">
        <f>SUM(V73*10.58%)</f>
        <v>3.8128822019862465</v>
      </c>
      <c r="AP73" s="417">
        <f>SUM(V73*10.19%)</f>
        <v>3.6723317238411952</v>
      </c>
      <c r="AQ73" s="417">
        <f>SUM(V73*8.89%)</f>
        <v>3.2038301300243601</v>
      </c>
      <c r="AR73" s="663">
        <f t="shared" si="71"/>
        <v>10.689044055851802</v>
      </c>
      <c r="AS73" s="663">
        <f t="shared" si="72"/>
        <v>28.135322637907962</v>
      </c>
      <c r="AT73" s="417">
        <f>SUM(V73*7.31%)</f>
        <v>2.6344205006162058</v>
      </c>
      <c r="AU73" s="417">
        <f>SUM(V73*7.31%)</f>
        <v>2.6344205006162058</v>
      </c>
      <c r="AV73" s="417">
        <f>SUM(V73*7.31%)</f>
        <v>2.6344205006162058</v>
      </c>
      <c r="AW73" s="663">
        <f t="shared" si="73"/>
        <v>7.9032615018486174</v>
      </c>
      <c r="AX73" s="669">
        <f t="shared" si="74"/>
        <v>36.038584139756587</v>
      </c>
    </row>
    <row r="74" spans="1:50" ht="18.75" hidden="1">
      <c r="A74" s="659" t="s">
        <v>621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438"/>
      <c r="U74" s="438"/>
      <c r="V74" s="664">
        <f>SUM(AC48)</f>
        <v>7258.9036668341378</v>
      </c>
      <c r="W74" s="667"/>
      <c r="X74" s="664">
        <f>SUM(V74*стоки!AK51/стоки!AI51)</f>
        <v>7203.5630992213855</v>
      </c>
      <c r="Y74" s="670">
        <f t="shared" ref="Y74:Y99" si="115">SUM(V74-X74)</f>
        <v>55.340567612752238</v>
      </c>
      <c r="Z74" s="414">
        <f>SUM(Z75+Z76+Z77+Z78+Z79+Z80+Z81+Z83+Z82+Z84+Z85+Z86+Z87+Z88+Z89+Z90+Z95)</f>
        <v>625.28484900900469</v>
      </c>
      <c r="AA74" s="1072"/>
      <c r="AB74" s="414">
        <f t="shared" ref="AB74:AC74" si="116">SUM(AB75+AB76+AB77+AB78+AB79+AB80+AB81+AB83+AB82+AB84+AB85+AB86+AB87+AB88+AB89+AB90+AB95)</f>
        <v>615.72894793095543</v>
      </c>
      <c r="AC74" s="414">
        <f t="shared" si="116"/>
        <v>611.59052191282149</v>
      </c>
      <c r="AD74" s="672">
        <f t="shared" si="68"/>
        <v>1852.6043188527817</v>
      </c>
      <c r="AE74" s="1079"/>
      <c r="AF74" s="1079"/>
      <c r="AG74" s="1079"/>
      <c r="AH74" s="1079"/>
      <c r="AI74" s="1079"/>
      <c r="AJ74" s="414">
        <f t="shared" ref="AJ74" si="117">SUM(AJ75+AJ76+AJ77+AJ78+AJ79+AJ80+AJ81+AJ83+AJ82+AJ84+AJ85+AJ86+AJ87+AJ88+AJ89+AJ90+AJ95)</f>
        <v>597.30146283878855</v>
      </c>
      <c r="AK74" s="414">
        <f t="shared" ref="AK74" si="118">SUM(AK75+AK76+AK77+AK78+AK79+AK80+AK81+AK83+AK82+AK84+AK85+AK86+AK87+AK88+AK89+AK90+AK95)</f>
        <v>570.53813423573115</v>
      </c>
      <c r="AL74" s="414">
        <f t="shared" ref="AL74" si="119">SUM(AL75+AL76+AL77+AL78+AL79+AL80+AL81+AL83+AL82+AL84+AL85+AL86+AL87+AL88+AL89+AL90+AL95)</f>
        <v>563.68623000650098</v>
      </c>
      <c r="AM74" s="672">
        <f t="shared" si="69"/>
        <v>1731.5258270810205</v>
      </c>
      <c r="AN74" s="672">
        <f t="shared" si="70"/>
        <v>3584.1301459338019</v>
      </c>
      <c r="AO74" s="414">
        <f t="shared" ref="AO74" si="120">SUM(AO75+AO76+AO77+AO78+AO79+AO80+AO81+AO83+AO82+AO84+AO85+AO86+AO87+AO88+AO89+AO90+AO95)</f>
        <v>588.04619592196752</v>
      </c>
      <c r="AP74" s="414">
        <f t="shared" ref="AP74" si="121">SUM(AP75+AP76+AP77+AP78+AP79+AP80+AP81+AP83+AP82+AP84+AP85+AP86+AP87+AP88+AP89+AP90+AP95)</f>
        <v>587.40356518034264</v>
      </c>
      <c r="AQ74" s="414">
        <f t="shared" ref="AQ74" si="122">SUM(AQ75+AQ76+AQ77+AQ78+AQ79+AQ80+AQ81+AQ83+AQ82+AQ84+AQ85+AQ86+AQ87+AQ88+AQ89+AQ90+AQ95)</f>
        <v>601.26757853062486</v>
      </c>
      <c r="AR74" s="672">
        <f t="shared" si="71"/>
        <v>1776.7173396329351</v>
      </c>
      <c r="AS74" s="672">
        <f t="shared" si="72"/>
        <v>5360.8474855667373</v>
      </c>
      <c r="AT74" s="414">
        <f t="shared" ref="AT74" si="123">SUM(AT75+AT76+AT77+AT78+AT79+AT80+AT81+AT83+AT82+AT84+AT85+AT86+AT87+AT88+AT89+AT90+AT95)</f>
        <v>622.00308544719371</v>
      </c>
      <c r="AU74" s="414">
        <f t="shared" ref="AU74" si="124">SUM(AU75+AU76+AU77+AU78+AU79+AU80+AU81+AU83+AU82+AU84+AU85+AU86+AU87+AU88+AU89+AU90+AU95)</f>
        <v>632.13245149013187</v>
      </c>
      <c r="AV74" s="414">
        <f t="shared" ref="AV74" si="125">SUM(AV75+AV76+AV77+AV78+AV79+AV80+AV81+AV83+AV82+AV84+AV85+AV86+AV87+AV88+AV89+AV90+AV95)</f>
        <v>643.92064433007522</v>
      </c>
      <c r="AW74" s="672">
        <f t="shared" si="73"/>
        <v>1898.0561812674007</v>
      </c>
      <c r="AX74" s="669">
        <f t="shared" si="74"/>
        <v>7258.9036668341387</v>
      </c>
    </row>
    <row r="75" spans="1:50" ht="18.75" hidden="1">
      <c r="A75" s="44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438"/>
      <c r="U75" s="438"/>
      <c r="V75" s="661">
        <f>SUM(V74*46.54%)</f>
        <v>3378.2937665446075</v>
      </c>
      <c r="W75" s="667"/>
      <c r="X75" s="661">
        <f>SUM(V75*стоки!AK51/стоки!AI51)</f>
        <v>3352.5382663776327</v>
      </c>
      <c r="Y75" s="671">
        <f t="shared" si="115"/>
        <v>25.755500166974798</v>
      </c>
      <c r="Z75" s="417">
        <f>SUM(V75/2)/(1+(106.7%*100-100)/2/100)/6</f>
        <v>272.39911034870244</v>
      </c>
      <c r="AA75" s="1073"/>
      <c r="AB75" s="416">
        <f>SUM(Z75)</f>
        <v>272.39911034870244</v>
      </c>
      <c r="AC75" s="417">
        <f>SUM(Z75)</f>
        <v>272.39911034870244</v>
      </c>
      <c r="AD75" s="663">
        <f>SUM(Z75+AB75+AC75)</f>
        <v>817.19733104610737</v>
      </c>
      <c r="AE75" s="1080"/>
      <c r="AF75" s="1080"/>
      <c r="AG75" s="1080"/>
      <c r="AH75" s="1080"/>
      <c r="AI75" s="1080"/>
      <c r="AJ75" s="662">
        <f>SUM(Z75)</f>
        <v>272.39911034870244</v>
      </c>
      <c r="AK75" s="662">
        <f>SUM(Z75)</f>
        <v>272.39911034870244</v>
      </c>
      <c r="AL75" s="662">
        <f>SUM(Z75)</f>
        <v>272.39911034870244</v>
      </c>
      <c r="AM75" s="663">
        <f>SUM(AJ75+AK75+AL75)</f>
        <v>817.19733104610737</v>
      </c>
      <c r="AN75" s="663">
        <f>SUM(AD75+AM75)</f>
        <v>1634.3946620922147</v>
      </c>
      <c r="AO75" s="662">
        <f>SUM(V75-AN75)/6</f>
        <v>290.64985074206544</v>
      </c>
      <c r="AP75" s="662">
        <f>SUM(AO75)</f>
        <v>290.64985074206544</v>
      </c>
      <c r="AQ75" s="662">
        <f>SUM(AO75)</f>
        <v>290.64985074206544</v>
      </c>
      <c r="AR75" s="663">
        <f>SUM(AO75+AP75+AQ75)</f>
        <v>871.94955222619637</v>
      </c>
      <c r="AS75" s="663">
        <f>SUM(AN75+AR75)</f>
        <v>2506.3442143184111</v>
      </c>
      <c r="AT75" s="662">
        <f>SUM(AO75)</f>
        <v>290.64985074206544</v>
      </c>
      <c r="AU75" s="662">
        <f>SUM(AO75)</f>
        <v>290.64985074206544</v>
      </c>
      <c r="AV75" s="662">
        <f>SUM(AO75)</f>
        <v>290.64985074206544</v>
      </c>
      <c r="AW75" s="663">
        <f>SUM(AT75+AU75+AV75)</f>
        <v>871.94955222619637</v>
      </c>
      <c r="AX75" s="669">
        <f>SUM(AV75+AU75+AT75+AQ75+AP75+AO75+AL75+AK75+AJ75+AC75+AB75+Z75)</f>
        <v>3378.293766544607</v>
      </c>
    </row>
    <row r="76" spans="1:50" ht="18.75" hidden="1">
      <c r="A76" s="444" t="s">
        <v>121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438"/>
      <c r="U76" s="438"/>
      <c r="V76" s="661">
        <f>SUM(V74*13.94%)</f>
        <v>1011.8911711566788</v>
      </c>
      <c r="W76" s="667"/>
      <c r="X76" s="661">
        <f>SUM(V76*стоки!AK51/стоки!AI51)</f>
        <v>1004.176696031461</v>
      </c>
      <c r="Y76" s="671">
        <f t="shared" si="115"/>
        <v>7.7144751252177457</v>
      </c>
      <c r="Z76" s="417">
        <f>SUM(Z75*(V76/V75))</f>
        <v>81.590966872817191</v>
      </c>
      <c r="AA76" s="1073"/>
      <c r="AB76" s="417">
        <f>SUM(Z76)</f>
        <v>81.590966872817191</v>
      </c>
      <c r="AC76" s="416">
        <f>SUM(Z76)</f>
        <v>81.590966872817191</v>
      </c>
      <c r="AD76" s="663">
        <f t="shared" ref="AD76" si="126">SUM(Z76+AB76+AC76)</f>
        <v>244.77290061845156</v>
      </c>
      <c r="AE76" s="1080"/>
      <c r="AF76" s="1080"/>
      <c r="AG76" s="1080"/>
      <c r="AH76" s="1080"/>
      <c r="AI76" s="1080"/>
      <c r="AJ76" s="662">
        <f>SUM(Z76)</f>
        <v>81.590966872817191</v>
      </c>
      <c r="AK76" s="662">
        <f>SUM(Z76)</f>
        <v>81.590966872817191</v>
      </c>
      <c r="AL76" s="662">
        <f>SUM(Z76)</f>
        <v>81.590966872817191</v>
      </c>
      <c r="AM76" s="663">
        <f t="shared" ref="AM76" si="127">SUM(AJ76+AK76+AL76)</f>
        <v>244.77290061845156</v>
      </c>
      <c r="AN76" s="663">
        <f t="shared" ref="AN76:AN88" si="128">SUM(AD76+AM76)</f>
        <v>489.54580123690312</v>
      </c>
      <c r="AO76" s="662">
        <f>SUM(V76-AN76)/6</f>
        <v>87.057561653295934</v>
      </c>
      <c r="AP76" s="662">
        <f>SUM(AO76)</f>
        <v>87.057561653295934</v>
      </c>
      <c r="AQ76" s="662">
        <f>SUM(AO76)</f>
        <v>87.057561653295934</v>
      </c>
      <c r="AR76" s="663">
        <f t="shared" ref="AR76" si="129">SUM(AO76+AP76+AQ76)</f>
        <v>261.17268495988782</v>
      </c>
      <c r="AS76" s="663">
        <f t="shared" ref="AS76:AS88" si="130">SUM(AN76+AR76)</f>
        <v>750.71848619679099</v>
      </c>
      <c r="AT76" s="662">
        <f>SUM(AO76)</f>
        <v>87.057561653295934</v>
      </c>
      <c r="AU76" s="662">
        <f>SUM(AO76)</f>
        <v>87.057561653295934</v>
      </c>
      <c r="AV76" s="662">
        <f>SUM(AO76)</f>
        <v>87.057561653295934</v>
      </c>
      <c r="AW76" s="663">
        <f t="shared" ref="AW76" si="131">SUM(AT76+AU76+AV76)</f>
        <v>261.17268495988782</v>
      </c>
      <c r="AX76" s="669">
        <f t="shared" ref="AX76" si="132">SUM(AV76+AU76+AT76+AQ76+AP76+AO76+AL76+AK76+AJ76+AC76+AB76+Z76)</f>
        <v>1011.8911711566785</v>
      </c>
    </row>
    <row r="77" spans="1:50" ht="18.75" hidden="1">
      <c r="A77" s="44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438"/>
      <c r="U77" s="438"/>
      <c r="V77" s="661">
        <f>SUM(V74*0.36%)</f>
        <v>26.132053200602897</v>
      </c>
      <c r="W77" s="667"/>
      <c r="X77" s="661">
        <f>SUM(V77*стоки!AK51/стоки!AI51)</f>
        <v>25.932827157196989</v>
      </c>
      <c r="Y77" s="671">
        <f t="shared" si="115"/>
        <v>0.19922604340590766</v>
      </c>
      <c r="Z77" s="417">
        <f t="shared" ref="Z77" si="133">SUM(V77/12)</f>
        <v>2.1776711000502416</v>
      </c>
      <c r="AA77" s="1073"/>
      <c r="AB77" s="417">
        <f t="shared" ref="AB77:AB89" si="134">SUM(Z77)</f>
        <v>2.1776711000502416</v>
      </c>
      <c r="AC77" s="417">
        <f t="shared" ref="AC77:AC89" si="135">SUM(Z77)</f>
        <v>2.1776711000502416</v>
      </c>
      <c r="AD77" s="663">
        <f t="shared" ref="AD77:AD89" si="136">SUM(Z77+AB77+AC77)</f>
        <v>6.5330133001507242</v>
      </c>
      <c r="AE77" s="1080"/>
      <c r="AF77" s="1080"/>
      <c r="AG77" s="1080"/>
      <c r="AH77" s="1080"/>
      <c r="AI77" s="1080"/>
      <c r="AJ77" s="662">
        <f t="shared" ref="AJ77:AJ89" si="137">SUM(Z77)</f>
        <v>2.1776711000502416</v>
      </c>
      <c r="AK77" s="662">
        <f t="shared" ref="AK77:AK89" si="138">SUM(Z77)</f>
        <v>2.1776711000502416</v>
      </c>
      <c r="AL77" s="662">
        <f t="shared" ref="AL77:AL89" si="139">SUM(Z77)</f>
        <v>2.1776711000502416</v>
      </c>
      <c r="AM77" s="663">
        <f t="shared" ref="AM77:AM89" si="140">SUM(AJ77+AK77+AL77)</f>
        <v>6.5330133001507242</v>
      </c>
      <c r="AN77" s="663">
        <f t="shared" si="128"/>
        <v>13.066026600301448</v>
      </c>
      <c r="AO77" s="662">
        <f t="shared" ref="AO77:AO89" si="141">SUM(Z77)</f>
        <v>2.1776711000502416</v>
      </c>
      <c r="AP77" s="662">
        <f t="shared" ref="AP77:AP89" si="142">SUM(Z77)</f>
        <v>2.1776711000502416</v>
      </c>
      <c r="AQ77" s="662">
        <f t="shared" ref="AQ77:AQ89" si="143">SUM(Z77)</f>
        <v>2.1776711000502416</v>
      </c>
      <c r="AR77" s="663">
        <f t="shared" ref="AR77:AR89" si="144">SUM(AO77+AP77+AQ77)</f>
        <v>6.5330133001507242</v>
      </c>
      <c r="AS77" s="663">
        <f t="shared" si="130"/>
        <v>19.599039900452173</v>
      </c>
      <c r="AT77" s="662">
        <f t="shared" ref="AT77:AT89" si="145">SUM(Z77)</f>
        <v>2.1776711000502416</v>
      </c>
      <c r="AU77" s="662">
        <f t="shared" ref="AU77:AU89" si="146">SUM(Z77)</f>
        <v>2.1776711000502416</v>
      </c>
      <c r="AV77" s="662">
        <f t="shared" ref="AV77:AV89" si="147">SUM(Z77)</f>
        <v>2.1776711000502416</v>
      </c>
      <c r="AW77" s="663">
        <f t="shared" ref="AW77:AW89" si="148">SUM(AT77+AU77+AV77)</f>
        <v>6.5330133001507242</v>
      </c>
      <c r="AX77" s="669">
        <f t="shared" si="74"/>
        <v>26.132053200602893</v>
      </c>
    </row>
    <row r="78" spans="1:50" ht="18.75" hidden="1">
      <c r="A78" s="444" t="s">
        <v>638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438"/>
      <c r="U78" s="438"/>
      <c r="V78" s="661">
        <f>SUM(V74*9.75%)</f>
        <v>707.74310751632845</v>
      </c>
      <c r="W78" s="667"/>
      <c r="X78" s="661">
        <f>SUM(V78*стоки!AK51/стоки!AI51)</f>
        <v>702.347402174085</v>
      </c>
      <c r="Y78" s="671">
        <f t="shared" si="115"/>
        <v>5.3957053422434456</v>
      </c>
      <c r="Z78" s="417">
        <f t="shared" ref="Z78:Z86" si="149">SUM(V78/12)</f>
        <v>58.978592293027368</v>
      </c>
      <c r="AA78" s="1073"/>
      <c r="AB78" s="417">
        <f t="shared" si="134"/>
        <v>58.978592293027368</v>
      </c>
      <c r="AC78" s="417">
        <f t="shared" si="135"/>
        <v>58.978592293027368</v>
      </c>
      <c r="AD78" s="663">
        <f t="shared" si="136"/>
        <v>176.93577687908211</v>
      </c>
      <c r="AE78" s="1080"/>
      <c r="AF78" s="1080"/>
      <c r="AG78" s="1080"/>
      <c r="AH78" s="1080"/>
      <c r="AI78" s="1080"/>
      <c r="AJ78" s="662">
        <f t="shared" si="137"/>
        <v>58.978592293027368</v>
      </c>
      <c r="AK78" s="662">
        <f t="shared" si="138"/>
        <v>58.978592293027368</v>
      </c>
      <c r="AL78" s="662">
        <f t="shared" si="139"/>
        <v>58.978592293027368</v>
      </c>
      <c r="AM78" s="663">
        <f t="shared" si="140"/>
        <v>176.93577687908211</v>
      </c>
      <c r="AN78" s="663">
        <f t="shared" si="128"/>
        <v>353.87155375816423</v>
      </c>
      <c r="AO78" s="662">
        <f t="shared" si="141"/>
        <v>58.978592293027368</v>
      </c>
      <c r="AP78" s="662">
        <f t="shared" si="142"/>
        <v>58.978592293027368</v>
      </c>
      <c r="AQ78" s="662">
        <f t="shared" si="143"/>
        <v>58.978592293027368</v>
      </c>
      <c r="AR78" s="663">
        <f t="shared" si="144"/>
        <v>176.93577687908211</v>
      </c>
      <c r="AS78" s="663">
        <f t="shared" si="130"/>
        <v>530.80733063724631</v>
      </c>
      <c r="AT78" s="662">
        <f t="shared" si="145"/>
        <v>58.978592293027368</v>
      </c>
      <c r="AU78" s="662">
        <f t="shared" si="146"/>
        <v>58.978592293027368</v>
      </c>
      <c r="AV78" s="662">
        <f t="shared" si="147"/>
        <v>58.978592293027368</v>
      </c>
      <c r="AW78" s="663">
        <f t="shared" si="148"/>
        <v>176.93577687908211</v>
      </c>
      <c r="AX78" s="669">
        <f t="shared" si="74"/>
        <v>707.74310751632856</v>
      </c>
    </row>
    <row r="79" spans="1:50" ht="18.75" hidden="1">
      <c r="A79" s="695" t="s">
        <v>640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438"/>
      <c r="U79" s="438"/>
      <c r="V79" s="661">
        <f>SUM(V74*1.41%)</f>
        <v>102.35054170236134</v>
      </c>
      <c r="W79" s="667"/>
      <c r="X79" s="661">
        <f>SUM(V79*стоки!AK51/стоки!AI51)</f>
        <v>101.57023969902153</v>
      </c>
      <c r="Y79" s="671">
        <f t="shared" ref="Y79" si="150">SUM(V79-X79)</f>
        <v>0.7803020033398127</v>
      </c>
      <c r="Z79" s="417">
        <f t="shared" ref="Z79" si="151">SUM(V79/12)</f>
        <v>8.5292118085301123</v>
      </c>
      <c r="AA79" s="1073"/>
      <c r="AB79" s="417">
        <f t="shared" ref="AB79" si="152">SUM(Z79)</f>
        <v>8.5292118085301123</v>
      </c>
      <c r="AC79" s="417">
        <f t="shared" ref="AC79" si="153">SUM(Z79)</f>
        <v>8.5292118085301123</v>
      </c>
      <c r="AD79" s="663">
        <f t="shared" ref="AD79" si="154">SUM(Z79+AB79+AC79)</f>
        <v>25.587635425590335</v>
      </c>
      <c r="AE79" s="1080"/>
      <c r="AF79" s="1080"/>
      <c r="AG79" s="1080"/>
      <c r="AH79" s="1080"/>
      <c r="AI79" s="1080"/>
      <c r="AJ79" s="662">
        <f t="shared" ref="AJ79" si="155">SUM(Z79)</f>
        <v>8.5292118085301123</v>
      </c>
      <c r="AK79" s="662">
        <f t="shared" ref="AK79" si="156">SUM(Z79)</f>
        <v>8.5292118085301123</v>
      </c>
      <c r="AL79" s="662">
        <f t="shared" ref="AL79" si="157">SUM(Z79)</f>
        <v>8.5292118085301123</v>
      </c>
      <c r="AM79" s="663">
        <f t="shared" ref="AM79" si="158">SUM(AJ79+AK79+AL79)</f>
        <v>25.587635425590335</v>
      </c>
      <c r="AN79" s="663">
        <f t="shared" ref="AN79" si="159">SUM(AD79+AM79)</f>
        <v>51.17527085118067</v>
      </c>
      <c r="AO79" s="662">
        <f t="shared" ref="AO79" si="160">SUM(Z79)</f>
        <v>8.5292118085301123</v>
      </c>
      <c r="AP79" s="662">
        <f t="shared" ref="AP79" si="161">SUM(Z79)</f>
        <v>8.5292118085301123</v>
      </c>
      <c r="AQ79" s="662">
        <f t="shared" ref="AQ79" si="162">SUM(Z79)</f>
        <v>8.5292118085301123</v>
      </c>
      <c r="AR79" s="663">
        <f t="shared" ref="AR79" si="163">SUM(AO79+AP79+AQ79)</f>
        <v>25.587635425590335</v>
      </c>
      <c r="AS79" s="663">
        <f t="shared" ref="AS79" si="164">SUM(AN79+AR79)</f>
        <v>76.762906276771005</v>
      </c>
      <c r="AT79" s="662">
        <f t="shared" ref="AT79" si="165">SUM(Z79)</f>
        <v>8.5292118085301123</v>
      </c>
      <c r="AU79" s="662">
        <f t="shared" ref="AU79" si="166">SUM(Z79)</f>
        <v>8.5292118085301123</v>
      </c>
      <c r="AV79" s="662">
        <f t="shared" ref="AV79" si="167">SUM(Z79)</f>
        <v>8.5292118085301123</v>
      </c>
      <c r="AW79" s="663">
        <f t="shared" ref="AW79" si="168">SUM(AT79+AU79+AV79)</f>
        <v>25.587635425590335</v>
      </c>
      <c r="AX79" s="669">
        <f t="shared" ref="AX79" si="169">SUM(AV79+AU79+AT79+AQ79+AP79+AO79+AL79+AK79+AJ79+AC79+AB79+Z79)</f>
        <v>102.35054170236133</v>
      </c>
    </row>
    <row r="80" spans="1:50" ht="18.75" hidden="1">
      <c r="A80" s="444" t="s">
        <v>606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438"/>
      <c r="U80" s="438"/>
      <c r="V80" s="661">
        <f>SUM(V74*8.87%)</f>
        <v>643.86475524818798</v>
      </c>
      <c r="W80" s="667"/>
      <c r="X80" s="661">
        <f>SUM(V80*стоки!AK51/стоки!AI51)</f>
        <v>638.95604690093683</v>
      </c>
      <c r="Y80" s="671">
        <f t="shared" si="115"/>
        <v>4.9087083472511495</v>
      </c>
      <c r="Z80" s="417">
        <f t="shared" ref="Z80" si="170">SUM(V80/12)</f>
        <v>53.655396270682331</v>
      </c>
      <c r="AA80" s="1073"/>
      <c r="AB80" s="417">
        <f t="shared" ref="AB80" si="171">SUM(Z80)</f>
        <v>53.655396270682331</v>
      </c>
      <c r="AC80" s="417">
        <f t="shared" ref="AC80" si="172">SUM(Z80)</f>
        <v>53.655396270682331</v>
      </c>
      <c r="AD80" s="663">
        <f t="shared" si="136"/>
        <v>160.96618881204699</v>
      </c>
      <c r="AE80" s="1080"/>
      <c r="AF80" s="1080"/>
      <c r="AG80" s="1080"/>
      <c r="AH80" s="1080"/>
      <c r="AI80" s="1080"/>
      <c r="AJ80" s="662">
        <f t="shared" si="137"/>
        <v>53.655396270682331</v>
      </c>
      <c r="AK80" s="662">
        <f t="shared" si="138"/>
        <v>53.655396270682331</v>
      </c>
      <c r="AL80" s="662">
        <f t="shared" si="139"/>
        <v>53.655396270682331</v>
      </c>
      <c r="AM80" s="663">
        <f t="shared" si="140"/>
        <v>160.96618881204699</v>
      </c>
      <c r="AN80" s="663">
        <f t="shared" si="128"/>
        <v>321.93237762409399</v>
      </c>
      <c r="AO80" s="662">
        <f t="shared" si="141"/>
        <v>53.655396270682331</v>
      </c>
      <c r="AP80" s="662">
        <f t="shared" si="142"/>
        <v>53.655396270682331</v>
      </c>
      <c r="AQ80" s="662">
        <f t="shared" si="143"/>
        <v>53.655396270682331</v>
      </c>
      <c r="AR80" s="663">
        <f t="shared" si="144"/>
        <v>160.96618881204699</v>
      </c>
      <c r="AS80" s="663">
        <f t="shared" si="130"/>
        <v>482.89856643614098</v>
      </c>
      <c r="AT80" s="662">
        <f t="shared" si="145"/>
        <v>53.655396270682331</v>
      </c>
      <c r="AU80" s="662">
        <f t="shared" si="146"/>
        <v>53.655396270682331</v>
      </c>
      <c r="AV80" s="662">
        <f t="shared" si="147"/>
        <v>53.655396270682331</v>
      </c>
      <c r="AW80" s="663">
        <f t="shared" si="148"/>
        <v>160.96618881204699</v>
      </c>
      <c r="AX80" s="669">
        <f t="shared" si="74"/>
        <v>643.86475524818798</v>
      </c>
    </row>
    <row r="81" spans="1:50" ht="18.75" hidden="1">
      <c r="A81" s="44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438"/>
      <c r="U81" s="438"/>
      <c r="V81" s="661">
        <f>SUM(V74*0.56%)</f>
        <v>40.649860534271177</v>
      </c>
      <c r="W81" s="667"/>
      <c r="X81" s="661">
        <f>SUM(V81*стоки!AK51/стоки!AI51)</f>
        <v>40.339953355639764</v>
      </c>
      <c r="Y81" s="671">
        <f t="shared" si="115"/>
        <v>0.30990717863141271</v>
      </c>
      <c r="Z81" s="417">
        <f t="shared" si="149"/>
        <v>3.3874883778559313</v>
      </c>
      <c r="AA81" s="1073"/>
      <c r="AB81" s="417">
        <f t="shared" si="134"/>
        <v>3.3874883778559313</v>
      </c>
      <c r="AC81" s="417">
        <f t="shared" si="135"/>
        <v>3.3874883778559313</v>
      </c>
      <c r="AD81" s="663">
        <f t="shared" si="136"/>
        <v>10.162465133567794</v>
      </c>
      <c r="AE81" s="1080"/>
      <c r="AF81" s="1080"/>
      <c r="AG81" s="1080"/>
      <c r="AH81" s="1080"/>
      <c r="AI81" s="1080"/>
      <c r="AJ81" s="662">
        <f t="shared" si="137"/>
        <v>3.3874883778559313</v>
      </c>
      <c r="AK81" s="662">
        <f t="shared" si="138"/>
        <v>3.3874883778559313</v>
      </c>
      <c r="AL81" s="662">
        <f t="shared" si="139"/>
        <v>3.3874883778559313</v>
      </c>
      <c r="AM81" s="663">
        <f t="shared" si="140"/>
        <v>10.162465133567794</v>
      </c>
      <c r="AN81" s="663">
        <f t="shared" si="128"/>
        <v>20.324930267135588</v>
      </c>
      <c r="AO81" s="662">
        <f t="shared" si="141"/>
        <v>3.3874883778559313</v>
      </c>
      <c r="AP81" s="662">
        <f t="shared" si="142"/>
        <v>3.3874883778559313</v>
      </c>
      <c r="AQ81" s="662">
        <f t="shared" si="143"/>
        <v>3.3874883778559313</v>
      </c>
      <c r="AR81" s="663">
        <f t="shared" si="144"/>
        <v>10.162465133567794</v>
      </c>
      <c r="AS81" s="663">
        <f t="shared" si="130"/>
        <v>30.487395400703384</v>
      </c>
      <c r="AT81" s="662">
        <f t="shared" si="145"/>
        <v>3.3874883778559313</v>
      </c>
      <c r="AU81" s="662">
        <f t="shared" si="146"/>
        <v>3.3874883778559313</v>
      </c>
      <c r="AV81" s="662">
        <f t="shared" si="147"/>
        <v>3.3874883778559313</v>
      </c>
      <c r="AW81" s="663">
        <f t="shared" si="148"/>
        <v>10.162465133567794</v>
      </c>
      <c r="AX81" s="669">
        <f t="shared" si="74"/>
        <v>40.649860534271177</v>
      </c>
    </row>
    <row r="82" spans="1:50" ht="18.75" hidden="1">
      <c r="A82" s="69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438"/>
      <c r="U82" s="438"/>
      <c r="V82" s="700">
        <f>SUM(X82:Y82)</f>
        <v>0</v>
      </c>
      <c r="W82" s="667"/>
      <c r="X82" s="700">
        <f>SUM(AC34)</f>
        <v>0</v>
      </c>
      <c r="Y82" s="701">
        <f>SUM(X82)</f>
        <v>0</v>
      </c>
      <c r="Z82" s="417">
        <f t="shared" ref="Z82" si="173">SUM(V82/12)</f>
        <v>0</v>
      </c>
      <c r="AA82" s="1073"/>
      <c r="AB82" s="417">
        <f t="shared" ref="AB82" si="174">SUM(Z82)</f>
        <v>0</v>
      </c>
      <c r="AC82" s="417">
        <f t="shared" ref="AC82" si="175">SUM(Z82)</f>
        <v>0</v>
      </c>
      <c r="AD82" s="663">
        <f t="shared" si="136"/>
        <v>0</v>
      </c>
      <c r="AE82" s="1080"/>
      <c r="AF82" s="1080"/>
      <c r="AG82" s="1080"/>
      <c r="AH82" s="1080"/>
      <c r="AI82" s="1080"/>
      <c r="AJ82" s="662">
        <f t="shared" ref="AJ82" si="176">SUM(Z82)</f>
        <v>0</v>
      </c>
      <c r="AK82" s="662">
        <f t="shared" ref="AK82" si="177">SUM(Z82)</f>
        <v>0</v>
      </c>
      <c r="AL82" s="662">
        <f t="shared" ref="AL82" si="178">SUM(Z82)</f>
        <v>0</v>
      </c>
      <c r="AM82" s="663">
        <f t="shared" ref="AM82" si="179">SUM(AJ82+AK82+AL82)</f>
        <v>0</v>
      </c>
      <c r="AN82" s="663">
        <f t="shared" ref="AN82" si="180">SUM(AD82+AM82)</f>
        <v>0</v>
      </c>
      <c r="AO82" s="662">
        <f t="shared" ref="AO82" si="181">SUM(Z82)</f>
        <v>0</v>
      </c>
      <c r="AP82" s="662">
        <f t="shared" ref="AP82" si="182">SUM(Z82)</f>
        <v>0</v>
      </c>
      <c r="AQ82" s="662">
        <f t="shared" ref="AQ82" si="183">SUM(Z82)</f>
        <v>0</v>
      </c>
      <c r="AR82" s="663">
        <f t="shared" ref="AR82" si="184">SUM(AO82+AP82+AQ82)</f>
        <v>0</v>
      </c>
      <c r="AS82" s="663">
        <f t="shared" ref="AS82" si="185">SUM(AN82+AR82)</f>
        <v>0</v>
      </c>
      <c r="AT82" s="662">
        <f t="shared" ref="AT82" si="186">SUM(Z82)</f>
        <v>0</v>
      </c>
      <c r="AU82" s="662">
        <f t="shared" ref="AU82" si="187">SUM(Z82)</f>
        <v>0</v>
      </c>
      <c r="AV82" s="662">
        <f t="shared" ref="AV82" si="188">SUM(Z82)</f>
        <v>0</v>
      </c>
      <c r="AW82" s="663">
        <f t="shared" ref="AW82" si="189">SUM(AT82+AU82+AV82)</f>
        <v>0</v>
      </c>
      <c r="AX82" s="669">
        <f t="shared" ref="AX82" si="190">SUM(AV82+AU82+AT82+AQ82+AP82+AO82+AL82+AK82+AJ82+AC82+AB82+Z82)</f>
        <v>0</v>
      </c>
    </row>
    <row r="83" spans="1:50" ht="18.75" hidden="1">
      <c r="A83" s="444" t="s">
        <v>608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438"/>
      <c r="U83" s="438"/>
      <c r="V83" s="661">
        <f>SUM(V74*1.45%)</f>
        <v>105.25410316909499</v>
      </c>
      <c r="W83" s="667"/>
      <c r="X83" s="661">
        <f>SUM(V83*стоки!AK51/стоки!AI51)</f>
        <v>104.45166493871008</v>
      </c>
      <c r="Y83" s="671">
        <f t="shared" si="115"/>
        <v>0.80243823038490802</v>
      </c>
      <c r="Z83" s="417">
        <f t="shared" si="149"/>
        <v>8.7711752640912497</v>
      </c>
      <c r="AA83" s="1073"/>
      <c r="AB83" s="417">
        <f t="shared" si="134"/>
        <v>8.7711752640912497</v>
      </c>
      <c r="AC83" s="417">
        <f t="shared" si="135"/>
        <v>8.7711752640912497</v>
      </c>
      <c r="AD83" s="663">
        <f t="shared" si="136"/>
        <v>26.313525792273751</v>
      </c>
      <c r="AE83" s="1080"/>
      <c r="AF83" s="1080"/>
      <c r="AG83" s="1080"/>
      <c r="AH83" s="1080"/>
      <c r="AI83" s="1080"/>
      <c r="AJ83" s="662">
        <f t="shared" si="137"/>
        <v>8.7711752640912497</v>
      </c>
      <c r="AK83" s="662">
        <f t="shared" si="138"/>
        <v>8.7711752640912497</v>
      </c>
      <c r="AL83" s="662">
        <f t="shared" si="139"/>
        <v>8.7711752640912497</v>
      </c>
      <c r="AM83" s="663">
        <f t="shared" si="140"/>
        <v>26.313525792273751</v>
      </c>
      <c r="AN83" s="663">
        <f t="shared" si="128"/>
        <v>52.627051584547502</v>
      </c>
      <c r="AO83" s="662">
        <f t="shared" si="141"/>
        <v>8.7711752640912497</v>
      </c>
      <c r="AP83" s="662">
        <f t="shared" si="142"/>
        <v>8.7711752640912497</v>
      </c>
      <c r="AQ83" s="662">
        <f t="shared" si="143"/>
        <v>8.7711752640912497</v>
      </c>
      <c r="AR83" s="663">
        <f t="shared" si="144"/>
        <v>26.313525792273751</v>
      </c>
      <c r="AS83" s="663">
        <f t="shared" si="130"/>
        <v>78.940577376821253</v>
      </c>
      <c r="AT83" s="662">
        <f t="shared" si="145"/>
        <v>8.7711752640912497</v>
      </c>
      <c r="AU83" s="662">
        <f t="shared" si="146"/>
        <v>8.7711752640912497</v>
      </c>
      <c r="AV83" s="662">
        <f t="shared" si="147"/>
        <v>8.7711752640912497</v>
      </c>
      <c r="AW83" s="663">
        <f t="shared" si="148"/>
        <v>26.313525792273751</v>
      </c>
      <c r="AX83" s="669">
        <f t="shared" si="74"/>
        <v>105.25410316909502</v>
      </c>
    </row>
    <row r="84" spans="1:50" ht="18.75" hidden="1">
      <c r="A84" s="44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438"/>
      <c r="U84" s="438"/>
      <c r="V84" s="661">
        <f>SUM(V74*1.28%)</f>
        <v>92.913966935476964</v>
      </c>
      <c r="W84" s="667"/>
      <c r="X84" s="661">
        <f>SUM(V84*стоки!AK51/стоки!AI51)</f>
        <v>92.205607670033729</v>
      </c>
      <c r="Y84" s="671">
        <f t="shared" si="115"/>
        <v>0.70835926544323513</v>
      </c>
      <c r="Z84" s="417">
        <f t="shared" si="149"/>
        <v>7.7428305779564139</v>
      </c>
      <c r="AA84" s="1073"/>
      <c r="AB84" s="417">
        <f t="shared" si="134"/>
        <v>7.7428305779564139</v>
      </c>
      <c r="AC84" s="417">
        <f t="shared" si="135"/>
        <v>7.7428305779564139</v>
      </c>
      <c r="AD84" s="663">
        <f t="shared" si="136"/>
        <v>23.228491733869241</v>
      </c>
      <c r="AE84" s="1080"/>
      <c r="AF84" s="1080"/>
      <c r="AG84" s="1080"/>
      <c r="AH84" s="1080"/>
      <c r="AI84" s="1080"/>
      <c r="AJ84" s="662">
        <f t="shared" si="137"/>
        <v>7.7428305779564139</v>
      </c>
      <c r="AK84" s="662">
        <f t="shared" si="138"/>
        <v>7.7428305779564139</v>
      </c>
      <c r="AL84" s="662">
        <f t="shared" si="139"/>
        <v>7.7428305779564139</v>
      </c>
      <c r="AM84" s="663">
        <f t="shared" si="140"/>
        <v>23.228491733869241</v>
      </c>
      <c r="AN84" s="663">
        <f t="shared" si="128"/>
        <v>46.456983467738482</v>
      </c>
      <c r="AO84" s="662">
        <f t="shared" si="141"/>
        <v>7.7428305779564139</v>
      </c>
      <c r="AP84" s="662">
        <f t="shared" si="142"/>
        <v>7.7428305779564139</v>
      </c>
      <c r="AQ84" s="662">
        <f t="shared" si="143"/>
        <v>7.7428305779564139</v>
      </c>
      <c r="AR84" s="663">
        <f t="shared" si="144"/>
        <v>23.228491733869241</v>
      </c>
      <c r="AS84" s="663">
        <f t="shared" si="130"/>
        <v>69.685475201607716</v>
      </c>
      <c r="AT84" s="662">
        <f t="shared" si="145"/>
        <v>7.7428305779564139</v>
      </c>
      <c r="AU84" s="662">
        <f t="shared" si="146"/>
        <v>7.7428305779564139</v>
      </c>
      <c r="AV84" s="662">
        <f t="shared" si="147"/>
        <v>7.7428305779564139</v>
      </c>
      <c r="AW84" s="663">
        <f t="shared" si="148"/>
        <v>23.228491733869241</v>
      </c>
      <c r="AX84" s="669">
        <f t="shared" si="74"/>
        <v>92.91396693547695</v>
      </c>
    </row>
    <row r="85" spans="1:50" ht="18.75" hidden="1">
      <c r="A85" s="444" t="s">
        <v>609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438"/>
      <c r="U85" s="438"/>
      <c r="V85" s="661">
        <f>SUM(V74*0.97%)</f>
        <v>70.411365568291131</v>
      </c>
      <c r="W85" s="667"/>
      <c r="X85" s="661">
        <f>SUM(V85*стоки!AK51/стоки!AI51)</f>
        <v>69.874562062447424</v>
      </c>
      <c r="Y85" s="671">
        <f t="shared" si="115"/>
        <v>0.53680350584370728</v>
      </c>
      <c r="Z85" s="417">
        <f t="shared" si="149"/>
        <v>5.8676137973575946</v>
      </c>
      <c r="AA85" s="1073"/>
      <c r="AB85" s="417">
        <f t="shared" si="134"/>
        <v>5.8676137973575946</v>
      </c>
      <c r="AC85" s="417">
        <f t="shared" si="135"/>
        <v>5.8676137973575946</v>
      </c>
      <c r="AD85" s="663">
        <f t="shared" si="136"/>
        <v>17.602841392072783</v>
      </c>
      <c r="AE85" s="1080"/>
      <c r="AF85" s="1080"/>
      <c r="AG85" s="1080"/>
      <c r="AH85" s="1080"/>
      <c r="AI85" s="1080"/>
      <c r="AJ85" s="662">
        <f t="shared" si="137"/>
        <v>5.8676137973575946</v>
      </c>
      <c r="AK85" s="662">
        <f t="shared" si="138"/>
        <v>5.8676137973575946</v>
      </c>
      <c r="AL85" s="662">
        <f t="shared" si="139"/>
        <v>5.8676137973575946</v>
      </c>
      <c r="AM85" s="663">
        <f t="shared" si="140"/>
        <v>17.602841392072783</v>
      </c>
      <c r="AN85" s="663">
        <f t="shared" si="128"/>
        <v>35.205682784145566</v>
      </c>
      <c r="AO85" s="662">
        <f t="shared" si="141"/>
        <v>5.8676137973575946</v>
      </c>
      <c r="AP85" s="662">
        <f t="shared" si="142"/>
        <v>5.8676137973575946</v>
      </c>
      <c r="AQ85" s="662">
        <f t="shared" si="143"/>
        <v>5.8676137973575946</v>
      </c>
      <c r="AR85" s="663">
        <f t="shared" si="144"/>
        <v>17.602841392072783</v>
      </c>
      <c r="AS85" s="663">
        <f t="shared" si="130"/>
        <v>52.808524176218349</v>
      </c>
      <c r="AT85" s="662">
        <f t="shared" si="145"/>
        <v>5.8676137973575946</v>
      </c>
      <c r="AU85" s="662">
        <f t="shared" si="146"/>
        <v>5.8676137973575946</v>
      </c>
      <c r="AV85" s="662">
        <f t="shared" si="147"/>
        <v>5.8676137973575946</v>
      </c>
      <c r="AW85" s="663">
        <f t="shared" si="148"/>
        <v>17.602841392072783</v>
      </c>
      <c r="AX85" s="669">
        <f t="shared" si="74"/>
        <v>70.411365568291117</v>
      </c>
    </row>
    <row r="86" spans="1:50" ht="18.75" hidden="1">
      <c r="A86" s="444" t="s">
        <v>612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438"/>
      <c r="U86" s="438"/>
      <c r="V86" s="661">
        <f>SUM(V74*0.39%)</f>
        <v>28.309724300653141</v>
      </c>
      <c r="W86" s="667"/>
      <c r="X86" s="661">
        <f>SUM(V86*стоки!AK51/стоки!AI51)</f>
        <v>28.093896086963408</v>
      </c>
      <c r="Y86" s="671">
        <f t="shared" si="115"/>
        <v>0.21582821368973271</v>
      </c>
      <c r="Z86" s="417">
        <f t="shared" si="149"/>
        <v>2.3591436917210951</v>
      </c>
      <c r="AA86" s="1073"/>
      <c r="AB86" s="417">
        <f t="shared" si="134"/>
        <v>2.3591436917210951</v>
      </c>
      <c r="AC86" s="417">
        <f t="shared" si="135"/>
        <v>2.3591436917210951</v>
      </c>
      <c r="AD86" s="663">
        <f t="shared" si="136"/>
        <v>7.0774310751632852</v>
      </c>
      <c r="AE86" s="1080"/>
      <c r="AF86" s="1080"/>
      <c r="AG86" s="1080"/>
      <c r="AH86" s="1080"/>
      <c r="AI86" s="1080"/>
      <c r="AJ86" s="662">
        <f t="shared" si="137"/>
        <v>2.3591436917210951</v>
      </c>
      <c r="AK86" s="662">
        <f t="shared" si="138"/>
        <v>2.3591436917210951</v>
      </c>
      <c r="AL86" s="662">
        <f t="shared" si="139"/>
        <v>2.3591436917210951</v>
      </c>
      <c r="AM86" s="663">
        <f t="shared" si="140"/>
        <v>7.0774310751632852</v>
      </c>
      <c r="AN86" s="663">
        <f t="shared" si="128"/>
        <v>14.15486215032657</v>
      </c>
      <c r="AO86" s="662">
        <f t="shared" si="141"/>
        <v>2.3591436917210951</v>
      </c>
      <c r="AP86" s="662">
        <f t="shared" si="142"/>
        <v>2.3591436917210951</v>
      </c>
      <c r="AQ86" s="662">
        <f t="shared" si="143"/>
        <v>2.3591436917210951</v>
      </c>
      <c r="AR86" s="663">
        <f t="shared" si="144"/>
        <v>7.0774310751632852</v>
      </c>
      <c r="AS86" s="663">
        <f t="shared" si="130"/>
        <v>21.232293225489855</v>
      </c>
      <c r="AT86" s="662">
        <f t="shared" si="145"/>
        <v>2.3591436917210951</v>
      </c>
      <c r="AU86" s="662">
        <f t="shared" si="146"/>
        <v>2.3591436917210951</v>
      </c>
      <c r="AV86" s="662">
        <f t="shared" si="147"/>
        <v>2.3591436917210951</v>
      </c>
      <c r="AW86" s="663">
        <f t="shared" si="148"/>
        <v>7.0774310751632852</v>
      </c>
      <c r="AX86" s="669">
        <f t="shared" si="74"/>
        <v>28.309724300653134</v>
      </c>
    </row>
    <row r="87" spans="1:50" ht="18.75" hidden="1">
      <c r="A87" s="444" t="s">
        <v>616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438"/>
      <c r="U87" s="438"/>
      <c r="V87" s="668">
        <v>0</v>
      </c>
      <c r="W87" s="673"/>
      <c r="X87" s="661">
        <f>SUM(V87*стоки!AK51/стоки!AI51)</f>
        <v>0</v>
      </c>
      <c r="Y87" s="671">
        <f t="shared" si="115"/>
        <v>0</v>
      </c>
      <c r="Z87" s="418">
        <f t="shared" ref="Z87:Z88" si="191">SUM(V87/12)</f>
        <v>0</v>
      </c>
      <c r="AA87" s="1074"/>
      <c r="AB87" s="418">
        <f t="shared" si="134"/>
        <v>0</v>
      </c>
      <c r="AC87" s="418">
        <f t="shared" si="135"/>
        <v>0</v>
      </c>
      <c r="AD87" s="674">
        <f t="shared" si="136"/>
        <v>0</v>
      </c>
      <c r="AE87" s="1081"/>
      <c r="AF87" s="1081"/>
      <c r="AG87" s="1081"/>
      <c r="AH87" s="1081"/>
      <c r="AI87" s="1081"/>
      <c r="AJ87" s="675">
        <f t="shared" si="137"/>
        <v>0</v>
      </c>
      <c r="AK87" s="675">
        <f t="shared" si="138"/>
        <v>0</v>
      </c>
      <c r="AL87" s="675">
        <f t="shared" si="139"/>
        <v>0</v>
      </c>
      <c r="AM87" s="674">
        <f t="shared" si="140"/>
        <v>0</v>
      </c>
      <c r="AN87" s="674">
        <f t="shared" si="128"/>
        <v>0</v>
      </c>
      <c r="AO87" s="675">
        <f t="shared" si="141"/>
        <v>0</v>
      </c>
      <c r="AP87" s="675">
        <f t="shared" si="142"/>
        <v>0</v>
      </c>
      <c r="AQ87" s="675">
        <f t="shared" si="143"/>
        <v>0</v>
      </c>
      <c r="AR87" s="674">
        <f t="shared" si="144"/>
        <v>0</v>
      </c>
      <c r="AS87" s="674">
        <f t="shared" si="130"/>
        <v>0</v>
      </c>
      <c r="AT87" s="675">
        <f t="shared" si="145"/>
        <v>0</v>
      </c>
      <c r="AU87" s="675">
        <f t="shared" si="146"/>
        <v>0</v>
      </c>
      <c r="AV87" s="675">
        <f t="shared" si="147"/>
        <v>0</v>
      </c>
      <c r="AW87" s="674">
        <f t="shared" si="148"/>
        <v>0</v>
      </c>
      <c r="AX87" s="676">
        <f t="shared" si="74"/>
        <v>0</v>
      </c>
    </row>
    <row r="88" spans="1:50" ht="18.75" hidden="1">
      <c r="A88" s="444" t="s">
        <v>613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438"/>
      <c r="U88" s="438"/>
      <c r="V88" s="668">
        <v>0</v>
      </c>
      <c r="W88" s="673"/>
      <c r="X88" s="661">
        <f>SUM(V88*стоки!AK51/стоки!AI51)</f>
        <v>0</v>
      </c>
      <c r="Y88" s="671">
        <f t="shared" si="115"/>
        <v>0</v>
      </c>
      <c r="Z88" s="418">
        <f t="shared" si="191"/>
        <v>0</v>
      </c>
      <c r="AA88" s="1074"/>
      <c r="AB88" s="418">
        <f t="shared" si="134"/>
        <v>0</v>
      </c>
      <c r="AC88" s="418">
        <f t="shared" si="135"/>
        <v>0</v>
      </c>
      <c r="AD88" s="674">
        <f t="shared" si="136"/>
        <v>0</v>
      </c>
      <c r="AE88" s="1081"/>
      <c r="AF88" s="1081"/>
      <c r="AG88" s="1081"/>
      <c r="AH88" s="1081"/>
      <c r="AI88" s="1081"/>
      <c r="AJ88" s="675">
        <f t="shared" si="137"/>
        <v>0</v>
      </c>
      <c r="AK88" s="675">
        <f t="shared" si="138"/>
        <v>0</v>
      </c>
      <c r="AL88" s="675">
        <f t="shared" si="139"/>
        <v>0</v>
      </c>
      <c r="AM88" s="674">
        <f t="shared" si="140"/>
        <v>0</v>
      </c>
      <c r="AN88" s="674">
        <f t="shared" si="128"/>
        <v>0</v>
      </c>
      <c r="AO88" s="675">
        <f t="shared" si="141"/>
        <v>0</v>
      </c>
      <c r="AP88" s="675">
        <f t="shared" si="142"/>
        <v>0</v>
      </c>
      <c r="AQ88" s="675">
        <f t="shared" si="143"/>
        <v>0</v>
      </c>
      <c r="AR88" s="674">
        <f t="shared" si="144"/>
        <v>0</v>
      </c>
      <c r="AS88" s="674">
        <f t="shared" si="130"/>
        <v>0</v>
      </c>
      <c r="AT88" s="675">
        <f t="shared" si="145"/>
        <v>0</v>
      </c>
      <c r="AU88" s="675">
        <f t="shared" si="146"/>
        <v>0</v>
      </c>
      <c r="AV88" s="675">
        <f t="shared" si="147"/>
        <v>0</v>
      </c>
      <c r="AW88" s="674">
        <f t="shared" si="148"/>
        <v>0</v>
      </c>
      <c r="AX88" s="676">
        <f t="shared" si="74"/>
        <v>0</v>
      </c>
    </row>
    <row r="89" spans="1:50" ht="18.75" hidden="1">
      <c r="A89" s="44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438"/>
      <c r="U89" s="438"/>
      <c r="V89" s="661">
        <f>SUM(V74*0.29%)</f>
        <v>21.050820633818997</v>
      </c>
      <c r="W89" s="667"/>
      <c r="X89" s="661">
        <f>SUM(V89*стоки!AK51/стоки!AI51)</f>
        <v>20.890332987742013</v>
      </c>
      <c r="Y89" s="671">
        <f t="shared" si="115"/>
        <v>0.16048764607698374</v>
      </c>
      <c r="Z89" s="417">
        <f t="shared" ref="Z89" si="192">SUM(V89/12)</f>
        <v>1.7542350528182498</v>
      </c>
      <c r="AA89" s="1073"/>
      <c r="AB89" s="417">
        <f t="shared" si="134"/>
        <v>1.7542350528182498</v>
      </c>
      <c r="AC89" s="417">
        <f t="shared" si="135"/>
        <v>1.7542350528182498</v>
      </c>
      <c r="AD89" s="663">
        <f t="shared" si="136"/>
        <v>5.2627051584547493</v>
      </c>
      <c r="AE89" s="1080"/>
      <c r="AF89" s="1080"/>
      <c r="AG89" s="1080"/>
      <c r="AH89" s="1080"/>
      <c r="AI89" s="1080"/>
      <c r="AJ89" s="662">
        <f t="shared" si="137"/>
        <v>1.7542350528182498</v>
      </c>
      <c r="AK89" s="662">
        <f t="shared" si="138"/>
        <v>1.7542350528182498</v>
      </c>
      <c r="AL89" s="662">
        <f t="shared" si="139"/>
        <v>1.7542350528182498</v>
      </c>
      <c r="AM89" s="663">
        <f t="shared" si="140"/>
        <v>5.2627051584547493</v>
      </c>
      <c r="AN89" s="663">
        <f t="shared" si="70"/>
        <v>10.525410316909499</v>
      </c>
      <c r="AO89" s="662">
        <f t="shared" si="141"/>
        <v>1.7542350528182498</v>
      </c>
      <c r="AP89" s="662">
        <f t="shared" si="142"/>
        <v>1.7542350528182498</v>
      </c>
      <c r="AQ89" s="662">
        <f t="shared" si="143"/>
        <v>1.7542350528182498</v>
      </c>
      <c r="AR89" s="663">
        <f t="shared" si="144"/>
        <v>5.2627051584547493</v>
      </c>
      <c r="AS89" s="663">
        <f t="shared" si="72"/>
        <v>15.788115475364247</v>
      </c>
      <c r="AT89" s="662">
        <f t="shared" si="145"/>
        <v>1.7542350528182498</v>
      </c>
      <c r="AU89" s="662">
        <f t="shared" si="146"/>
        <v>1.7542350528182498</v>
      </c>
      <c r="AV89" s="662">
        <f t="shared" si="147"/>
        <v>1.7542350528182498</v>
      </c>
      <c r="AW89" s="663">
        <f t="shared" si="148"/>
        <v>5.2627051584547493</v>
      </c>
      <c r="AX89" s="669">
        <f t="shared" si="74"/>
        <v>21.05082063381899</v>
      </c>
    </row>
    <row r="90" spans="1:50" ht="18.75" hidden="1">
      <c r="A90" s="444" t="s">
        <v>607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438"/>
      <c r="U90" s="438"/>
      <c r="V90" s="661">
        <f>SUM(V91:V94)</f>
        <v>556.03202087949489</v>
      </c>
      <c r="W90" s="667"/>
      <c r="X90" s="661">
        <f>SUM(X91:X94)</f>
        <v>551.79293340035815</v>
      </c>
      <c r="Y90" s="661">
        <f>SUM(Y91:Y94)</f>
        <v>4.23908747913684</v>
      </c>
      <c r="Z90" s="416">
        <f t="shared" ref="Z90:AC90" si="193">SUM(Z91:Z94)</f>
        <v>80.25709855849864</v>
      </c>
      <c r="AA90" s="1075"/>
      <c r="AB90" s="416">
        <f t="shared" si="193"/>
        <v>70.701197480449366</v>
      </c>
      <c r="AC90" s="416">
        <f t="shared" si="193"/>
        <v>66.562771462315453</v>
      </c>
      <c r="AD90" s="663">
        <f t="shared" si="68"/>
        <v>217.52106750126345</v>
      </c>
      <c r="AE90" s="1080"/>
      <c r="AF90" s="1080"/>
      <c r="AG90" s="1080"/>
      <c r="AH90" s="1080"/>
      <c r="AI90" s="1080"/>
      <c r="AJ90" s="416">
        <f t="shared" ref="AJ90:AL90" si="194">SUM(AJ91:AJ94)</f>
        <v>52.125412986369064</v>
      </c>
      <c r="AK90" s="416">
        <f t="shared" si="194"/>
        <v>22.906905396078344</v>
      </c>
      <c r="AL90" s="416">
        <f t="shared" si="194"/>
        <v>13.912898694765433</v>
      </c>
      <c r="AM90" s="663">
        <f t="shared" si="69"/>
        <v>88.945217077212845</v>
      </c>
      <c r="AN90" s="663">
        <f t="shared" si="70"/>
        <v>306.46628457847629</v>
      </c>
      <c r="AO90" s="416">
        <f t="shared" ref="AO90:AQ90" si="195">SUM(AO91:AO94)</f>
        <v>13.912898694765433</v>
      </c>
      <c r="AP90" s="416">
        <f t="shared" si="195"/>
        <v>13.912898694765433</v>
      </c>
      <c r="AQ90" s="416">
        <f t="shared" si="195"/>
        <v>29.919014517130307</v>
      </c>
      <c r="AR90" s="663">
        <f t="shared" si="71"/>
        <v>57.74481190666117</v>
      </c>
      <c r="AS90" s="663">
        <f t="shared" si="72"/>
        <v>364.21109648513743</v>
      </c>
      <c r="AT90" s="416">
        <f t="shared" ref="AT90:AV90" si="196">SUM(AT91:AT94)</f>
        <v>53.257999822845946</v>
      </c>
      <c r="AU90" s="416">
        <f t="shared" si="196"/>
        <v>63.387365865784112</v>
      </c>
      <c r="AV90" s="416">
        <f t="shared" si="196"/>
        <v>75.175558705727454</v>
      </c>
      <c r="AW90" s="663">
        <f t="shared" si="73"/>
        <v>191.82092439435752</v>
      </c>
      <c r="AX90" s="669">
        <f t="shared" si="74"/>
        <v>556.03202087949501</v>
      </c>
    </row>
    <row r="91" spans="1:50" ht="18.75" hidden="1">
      <c r="A91" s="434" t="s">
        <v>652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438"/>
      <c r="U91" s="438"/>
      <c r="V91" s="661">
        <f>SUM(V74*5.36%)</f>
        <v>389.07723654230978</v>
      </c>
      <c r="W91" s="667"/>
      <c r="X91" s="661">
        <f>SUM(V91*стоки!AK51/стоки!AI51)</f>
        <v>386.11098211826624</v>
      </c>
      <c r="Y91" s="671">
        <f t="shared" si="115"/>
        <v>2.9662544240435409</v>
      </c>
      <c r="Z91" s="417">
        <f>SUM(V91/2094.54)/(1+(101%*100-100)/2/100)*358.94</f>
        <v>66.344199863733209</v>
      </c>
      <c r="AA91" s="1073"/>
      <c r="AB91" s="417">
        <f>SUM(V91/2094.54)/(1+(101%*100-100)/2/100)*307.24</f>
        <v>56.788298785683942</v>
      </c>
      <c r="AC91" s="417">
        <f>SUM(V91/2094.54)/(1+(101%*100-100)/2/100)*284.85</f>
        <v>52.649872767550029</v>
      </c>
      <c r="AD91" s="663">
        <f t="shared" si="68"/>
        <v>175.78237141696718</v>
      </c>
      <c r="AE91" s="1080"/>
      <c r="AF91" s="1080"/>
      <c r="AG91" s="1080"/>
      <c r="AH91" s="1080"/>
      <c r="AI91" s="1080"/>
      <c r="AJ91" s="417">
        <f>SUM(V91/2094.54)/(1+(101%*100-100)/2/100)*206.74</f>
        <v>38.212514291603625</v>
      </c>
      <c r="AK91" s="417">
        <f>SUM(V91/2094.54)/(1+(101%*100-100)/2/100)*48.66</f>
        <v>8.9940067013129159</v>
      </c>
      <c r="AL91" s="417">
        <v>0</v>
      </c>
      <c r="AM91" s="663">
        <f t="shared" si="69"/>
        <v>47.206520992916538</v>
      </c>
      <c r="AN91" s="663">
        <f t="shared" si="70"/>
        <v>222.9888924098837</v>
      </c>
      <c r="AO91" s="417">
        <v>0</v>
      </c>
      <c r="AP91" s="417">
        <v>0</v>
      </c>
      <c r="AQ91" s="417">
        <f>SUM(V91/2094.54)/(1+(101%*100-100)/2/100)*101%*85.74</f>
        <v>16.00611582236488</v>
      </c>
      <c r="AR91" s="663">
        <f t="shared" si="71"/>
        <v>16.00611582236488</v>
      </c>
      <c r="AS91" s="663">
        <f t="shared" si="72"/>
        <v>238.99500823224858</v>
      </c>
      <c r="AT91" s="417">
        <f>SUM(V91/2094.54)/(1+(101%*100-100)/2/100)*101%*210.76</f>
        <v>39.345101128080508</v>
      </c>
      <c r="AU91" s="417">
        <f>SUM(V91/2094.54)/(1+(101%*100-100)/2/100)*101%*265.02</f>
        <v>49.474467171018674</v>
      </c>
      <c r="AV91" s="417">
        <f>SUM(V91-AS91-AT91-AU91)</f>
        <v>61.262660010962023</v>
      </c>
      <c r="AW91" s="663">
        <f t="shared" si="73"/>
        <v>150.08222831006123</v>
      </c>
      <c r="AX91" s="669">
        <f t="shared" si="74"/>
        <v>389.07723654230978</v>
      </c>
    </row>
    <row r="92" spans="1:50" ht="18.75" hidden="1">
      <c r="A92" s="434" t="s">
        <v>565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438"/>
      <c r="U92" s="438"/>
      <c r="V92" s="661">
        <f>SUM(V74*1.89%)</f>
        <v>137.19327930316521</v>
      </c>
      <c r="W92" s="667"/>
      <c r="X92" s="661">
        <f>SUM(V92*стоки!AK51/стоки!AI51)</f>
        <v>136.1473425752842</v>
      </c>
      <c r="Y92" s="671">
        <f t="shared" si="115"/>
        <v>1.0459367278810134</v>
      </c>
      <c r="Z92" s="417">
        <f t="shared" ref="Z92:Z94" si="197">SUM(V92/12)</f>
        <v>11.432773275263768</v>
      </c>
      <c r="AA92" s="1073"/>
      <c r="AB92" s="417">
        <f t="shared" ref="AB92:AB94" si="198">SUM(Z92)</f>
        <v>11.432773275263768</v>
      </c>
      <c r="AC92" s="417">
        <f t="shared" ref="AC92:AC94" si="199">SUM(Z92)</f>
        <v>11.432773275263768</v>
      </c>
      <c r="AD92" s="663">
        <f t="shared" ref="AD92:AD94" si="200">SUM(Z92+AB92+AC92)</f>
        <v>34.298319825791303</v>
      </c>
      <c r="AE92" s="1080"/>
      <c r="AF92" s="1080"/>
      <c r="AG92" s="1080"/>
      <c r="AH92" s="1080"/>
      <c r="AI92" s="1080"/>
      <c r="AJ92" s="662">
        <f t="shared" ref="AJ92:AJ94" si="201">SUM(Z92)</f>
        <v>11.432773275263768</v>
      </c>
      <c r="AK92" s="662">
        <f t="shared" ref="AK92:AK94" si="202">SUM(Z92)</f>
        <v>11.432773275263768</v>
      </c>
      <c r="AL92" s="662">
        <f t="shared" ref="AL92:AL94" si="203">SUM(Z92)</f>
        <v>11.432773275263768</v>
      </c>
      <c r="AM92" s="663">
        <f t="shared" ref="AM92:AM94" si="204">SUM(AJ92+AK92+AL92)</f>
        <v>34.298319825791303</v>
      </c>
      <c r="AN92" s="663">
        <f t="shared" si="70"/>
        <v>68.596639651582606</v>
      </c>
      <c r="AO92" s="662">
        <f t="shared" ref="AO92:AO94" si="205">SUM(Z92)</f>
        <v>11.432773275263768</v>
      </c>
      <c r="AP92" s="662">
        <f t="shared" ref="AP92:AP94" si="206">SUM(Z92)</f>
        <v>11.432773275263768</v>
      </c>
      <c r="AQ92" s="662">
        <f t="shared" ref="AQ92:AQ94" si="207">SUM(Z92)</f>
        <v>11.432773275263768</v>
      </c>
      <c r="AR92" s="663">
        <f t="shared" ref="AR92:AR94" si="208">SUM(AO92+AP92+AQ92)</f>
        <v>34.298319825791303</v>
      </c>
      <c r="AS92" s="663">
        <f t="shared" si="72"/>
        <v>102.8949594773739</v>
      </c>
      <c r="AT92" s="662">
        <f t="shared" ref="AT92:AT94" si="209">SUM(Z92)</f>
        <v>11.432773275263768</v>
      </c>
      <c r="AU92" s="662">
        <f t="shared" ref="AU92:AU94" si="210">SUM(Z92)</f>
        <v>11.432773275263768</v>
      </c>
      <c r="AV92" s="662">
        <f t="shared" ref="AV92:AV94" si="211">SUM(Z92)</f>
        <v>11.432773275263768</v>
      </c>
      <c r="AW92" s="663">
        <f t="shared" ref="AW92:AW94" si="212">SUM(AT92+AU92+AV92)</f>
        <v>34.298319825791303</v>
      </c>
      <c r="AX92" s="669">
        <f t="shared" si="74"/>
        <v>137.19327930316521</v>
      </c>
    </row>
    <row r="93" spans="1:50" ht="18.75" hidden="1">
      <c r="A93" s="434" t="s">
        <v>564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438"/>
      <c r="U93" s="438"/>
      <c r="V93" s="661">
        <f>SUM(V74*0.01%)</f>
        <v>0.72589036668341378</v>
      </c>
      <c r="W93" s="667"/>
      <c r="X93" s="661">
        <f>SUM(V93*стоки!AK51/стоки!AI51)</f>
        <v>0.7203563099221385</v>
      </c>
      <c r="Y93" s="671">
        <f t="shared" si="115"/>
        <v>5.5340567612752745E-3</v>
      </c>
      <c r="Z93" s="417">
        <f t="shared" si="197"/>
        <v>6.0490863890284484E-2</v>
      </c>
      <c r="AA93" s="1073"/>
      <c r="AB93" s="417">
        <f t="shared" si="198"/>
        <v>6.0490863890284484E-2</v>
      </c>
      <c r="AC93" s="417">
        <f t="shared" si="199"/>
        <v>6.0490863890284484E-2</v>
      </c>
      <c r="AD93" s="663">
        <f t="shared" si="200"/>
        <v>0.18147259167085344</v>
      </c>
      <c r="AE93" s="1080"/>
      <c r="AF93" s="1080"/>
      <c r="AG93" s="1080"/>
      <c r="AH93" s="1080"/>
      <c r="AI93" s="1080"/>
      <c r="AJ93" s="662">
        <f t="shared" si="201"/>
        <v>6.0490863890284484E-2</v>
      </c>
      <c r="AK93" s="662">
        <f t="shared" si="202"/>
        <v>6.0490863890284484E-2</v>
      </c>
      <c r="AL93" s="662">
        <f t="shared" si="203"/>
        <v>6.0490863890284484E-2</v>
      </c>
      <c r="AM93" s="663">
        <f t="shared" si="204"/>
        <v>0.18147259167085344</v>
      </c>
      <c r="AN93" s="663">
        <f t="shared" si="70"/>
        <v>0.36294518334170689</v>
      </c>
      <c r="AO93" s="662">
        <f t="shared" si="205"/>
        <v>6.0490863890284484E-2</v>
      </c>
      <c r="AP93" s="662">
        <f t="shared" si="206"/>
        <v>6.0490863890284484E-2</v>
      </c>
      <c r="AQ93" s="662">
        <f t="shared" si="207"/>
        <v>6.0490863890284484E-2</v>
      </c>
      <c r="AR93" s="663">
        <f t="shared" si="208"/>
        <v>0.18147259167085344</v>
      </c>
      <c r="AS93" s="663">
        <f t="shared" si="72"/>
        <v>0.54441777501256028</v>
      </c>
      <c r="AT93" s="662">
        <f t="shared" si="209"/>
        <v>6.0490863890284484E-2</v>
      </c>
      <c r="AU93" s="662">
        <f t="shared" si="210"/>
        <v>6.0490863890284484E-2</v>
      </c>
      <c r="AV93" s="662">
        <f t="shared" si="211"/>
        <v>6.0490863890284484E-2</v>
      </c>
      <c r="AW93" s="663">
        <f t="shared" si="212"/>
        <v>0.18147259167085344</v>
      </c>
      <c r="AX93" s="669">
        <f t="shared" si="74"/>
        <v>0.72589036668341367</v>
      </c>
    </row>
    <row r="94" spans="1:50" ht="18.75" hidden="1">
      <c r="A94" s="434" t="s">
        <v>566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438"/>
      <c r="U94" s="438"/>
      <c r="V94" s="661">
        <f>SUM(V74*0.4%)</f>
        <v>29.035614667336553</v>
      </c>
      <c r="W94" s="667"/>
      <c r="X94" s="661">
        <f>SUM(V94*стоки!AK51/стоки!AI51)</f>
        <v>28.814252396885543</v>
      </c>
      <c r="Y94" s="671">
        <f t="shared" si="115"/>
        <v>0.22136227045101009</v>
      </c>
      <c r="Z94" s="417">
        <f t="shared" si="197"/>
        <v>2.4196345556113794</v>
      </c>
      <c r="AA94" s="1073"/>
      <c r="AB94" s="417">
        <f t="shared" si="198"/>
        <v>2.4196345556113794</v>
      </c>
      <c r="AC94" s="417">
        <f t="shared" si="199"/>
        <v>2.4196345556113794</v>
      </c>
      <c r="AD94" s="663">
        <f t="shared" si="200"/>
        <v>7.2589036668341382</v>
      </c>
      <c r="AE94" s="1080"/>
      <c r="AF94" s="1080"/>
      <c r="AG94" s="1080"/>
      <c r="AH94" s="1080"/>
      <c r="AI94" s="1080"/>
      <c r="AJ94" s="662">
        <f t="shared" si="201"/>
        <v>2.4196345556113794</v>
      </c>
      <c r="AK94" s="662">
        <f t="shared" si="202"/>
        <v>2.4196345556113794</v>
      </c>
      <c r="AL94" s="662">
        <f t="shared" si="203"/>
        <v>2.4196345556113794</v>
      </c>
      <c r="AM94" s="663">
        <f t="shared" si="204"/>
        <v>7.2589036668341382</v>
      </c>
      <c r="AN94" s="663">
        <f t="shared" si="70"/>
        <v>14.517807333668276</v>
      </c>
      <c r="AO94" s="662">
        <f t="shared" si="205"/>
        <v>2.4196345556113794</v>
      </c>
      <c r="AP94" s="662">
        <f t="shared" si="206"/>
        <v>2.4196345556113794</v>
      </c>
      <c r="AQ94" s="662">
        <f t="shared" si="207"/>
        <v>2.4196345556113794</v>
      </c>
      <c r="AR94" s="663">
        <f t="shared" si="208"/>
        <v>7.2589036668341382</v>
      </c>
      <c r="AS94" s="663">
        <f t="shared" si="72"/>
        <v>21.776711000502416</v>
      </c>
      <c r="AT94" s="662">
        <f t="shared" si="209"/>
        <v>2.4196345556113794</v>
      </c>
      <c r="AU94" s="662">
        <f t="shared" si="210"/>
        <v>2.4196345556113794</v>
      </c>
      <c r="AV94" s="662">
        <f t="shared" si="211"/>
        <v>2.4196345556113794</v>
      </c>
      <c r="AW94" s="663">
        <f t="shared" si="212"/>
        <v>7.2589036668341382</v>
      </c>
      <c r="AX94" s="669">
        <f t="shared" si="74"/>
        <v>29.03561466733656</v>
      </c>
    </row>
    <row r="95" spans="1:50" ht="18.75" hidden="1">
      <c r="A95" s="444" t="s">
        <v>610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438"/>
      <c r="U95" s="438"/>
      <c r="V95" s="661">
        <f>SUM(V96:V99)</f>
        <v>474.0064094442692</v>
      </c>
      <c r="W95" s="667"/>
      <c r="X95" s="661">
        <f>SUM(V95*стоки!AK51/стоки!AI51)</f>
        <v>470.39267037915647</v>
      </c>
      <c r="Y95" s="671">
        <f t="shared" ref="Y95" si="213">SUM(V95-X95)</f>
        <v>3.6137390651127248</v>
      </c>
      <c r="Z95" s="416">
        <f t="shared" ref="Z95:AC95" si="214">SUM(Z96:Z99)</f>
        <v>37.814314994895753</v>
      </c>
      <c r="AA95" s="1075"/>
      <c r="AB95" s="416">
        <f t="shared" si="214"/>
        <v>37.814314994895753</v>
      </c>
      <c r="AC95" s="416">
        <f t="shared" si="214"/>
        <v>37.814314994895753</v>
      </c>
      <c r="AD95" s="663">
        <f t="shared" si="68"/>
        <v>113.44294498468726</v>
      </c>
      <c r="AE95" s="1080"/>
      <c r="AF95" s="1080"/>
      <c r="AG95" s="1080"/>
      <c r="AH95" s="1080"/>
      <c r="AI95" s="1080"/>
      <c r="AJ95" s="416">
        <f t="shared" ref="AJ95:AL95" si="215">SUM(AJ96:AJ99)</f>
        <v>37.96261439680918</v>
      </c>
      <c r="AK95" s="416">
        <f t="shared" si="215"/>
        <v>40.41779338404249</v>
      </c>
      <c r="AL95" s="416">
        <f t="shared" si="215"/>
        <v>42.559895856125237</v>
      </c>
      <c r="AM95" s="663">
        <f t="shared" si="69"/>
        <v>120.94030363697691</v>
      </c>
      <c r="AN95" s="663">
        <f t="shared" si="70"/>
        <v>234.38324862166417</v>
      </c>
      <c r="AO95" s="416">
        <f t="shared" ref="AO95:AQ95" si="216">SUM(AO96:AO99)</f>
        <v>43.202526597750065</v>
      </c>
      <c r="AP95" s="416">
        <f t="shared" si="216"/>
        <v>42.559895856125237</v>
      </c>
      <c r="AQ95" s="416">
        <f t="shared" si="216"/>
        <v>40.41779338404249</v>
      </c>
      <c r="AR95" s="663">
        <f t="shared" si="71"/>
        <v>126.18021583791779</v>
      </c>
      <c r="AS95" s="663">
        <f t="shared" si="72"/>
        <v>360.56346445958195</v>
      </c>
      <c r="AT95" s="416">
        <f t="shared" ref="AT95:AV95" si="217">SUM(AT96:AT99)</f>
        <v>37.814314994895753</v>
      </c>
      <c r="AU95" s="416">
        <f t="shared" si="217"/>
        <v>37.814314994895753</v>
      </c>
      <c r="AV95" s="416">
        <f t="shared" si="217"/>
        <v>37.814314994895753</v>
      </c>
      <c r="AW95" s="663">
        <f t="shared" si="73"/>
        <v>113.44294498468726</v>
      </c>
      <c r="AX95" s="669">
        <f t="shared" si="74"/>
        <v>474.00640944426931</v>
      </c>
    </row>
    <row r="96" spans="1:50" ht="18.75" hidden="1">
      <c r="A96" s="434" t="s">
        <v>552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438"/>
      <c r="U96" s="438"/>
      <c r="V96" s="661">
        <f>SUM(V74*2.27%)</f>
        <v>164.77711323713493</v>
      </c>
      <c r="W96" s="667"/>
      <c r="X96" s="661">
        <f>SUM(V96*стоки!AK51/стоки!AI51)</f>
        <v>163.52088235232546</v>
      </c>
      <c r="Y96" s="671">
        <f t="shared" si="115"/>
        <v>1.2562308848094688</v>
      </c>
      <c r="Z96" s="417">
        <f>SUM(V96*7.31%)</f>
        <v>12.045206977634562</v>
      </c>
      <c r="AA96" s="1073"/>
      <c r="AB96" s="417">
        <f>SUM(V96*7.31%)</f>
        <v>12.045206977634562</v>
      </c>
      <c r="AC96" s="417">
        <f>SUM(V96*7.31%)</f>
        <v>12.045206977634562</v>
      </c>
      <c r="AD96" s="663">
        <f t="shared" ref="AD96:AD99" si="218">SUM(Z96+AB96+AC96)</f>
        <v>36.135620932903684</v>
      </c>
      <c r="AE96" s="1080"/>
      <c r="AF96" s="1080"/>
      <c r="AG96" s="1080"/>
      <c r="AH96" s="1080"/>
      <c r="AI96" s="1080"/>
      <c r="AJ96" s="417">
        <f>SUM(V96*7.4%)</f>
        <v>12.193506379547987</v>
      </c>
      <c r="AK96" s="417">
        <f>SUM(V96*8.89%)</f>
        <v>14.648685366781296</v>
      </c>
      <c r="AL96" s="417">
        <f>SUM(V96*10.19%)</f>
        <v>16.790787838864048</v>
      </c>
      <c r="AM96" s="663">
        <f t="shared" ref="AM96:AM99" si="219">SUM(AJ96+AK96+AL96)</f>
        <v>43.632979585193333</v>
      </c>
      <c r="AN96" s="663">
        <f t="shared" si="70"/>
        <v>79.768600518097017</v>
      </c>
      <c r="AO96" s="417">
        <f>SUM(V96*10.58%)</f>
        <v>17.433418580488876</v>
      </c>
      <c r="AP96" s="417">
        <f>SUM(V96*10.19%)</f>
        <v>16.790787838864048</v>
      </c>
      <c r="AQ96" s="417">
        <f>SUM(V96*8.89%)</f>
        <v>14.648685366781296</v>
      </c>
      <c r="AR96" s="663">
        <f t="shared" ref="AR96:AR99" si="220">SUM(AO96+AP96+AQ96)</f>
        <v>48.872891786134218</v>
      </c>
      <c r="AS96" s="663">
        <f t="shared" si="72"/>
        <v>128.64149230423124</v>
      </c>
      <c r="AT96" s="417">
        <f>SUM(V96*7.31%)</f>
        <v>12.045206977634562</v>
      </c>
      <c r="AU96" s="417">
        <f>SUM(V96*7.31%)</f>
        <v>12.045206977634562</v>
      </c>
      <c r="AV96" s="417">
        <f>SUM(V96*7.31%)</f>
        <v>12.045206977634562</v>
      </c>
      <c r="AW96" s="663">
        <f t="shared" ref="AW96:AW99" si="221">SUM(AT96+AU96+AV96)</f>
        <v>36.135620932903684</v>
      </c>
      <c r="AX96" s="669">
        <f t="shared" si="74"/>
        <v>164.77711323713493</v>
      </c>
    </row>
    <row r="97" spans="1:50" ht="18.75" hidden="1">
      <c r="A97" s="434" t="s">
        <v>644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438"/>
      <c r="U97" s="438"/>
      <c r="V97" s="661">
        <f>SUM(V74*4.18%)</f>
        <v>303.42217327366694</v>
      </c>
      <c r="W97" s="667"/>
      <c r="X97" s="661">
        <f>SUM(V97*стоки!AK51/стоки!AI51)</f>
        <v>301.10893754745388</v>
      </c>
      <c r="Y97" s="671">
        <f t="shared" si="115"/>
        <v>2.3132357262130654</v>
      </c>
      <c r="Z97" s="417">
        <f t="shared" ref="Z97:Z99" si="222">SUM(V97/12)</f>
        <v>25.285181106138911</v>
      </c>
      <c r="AA97" s="1073"/>
      <c r="AB97" s="417">
        <f t="shared" ref="AB97:AB99" si="223">SUM(Z97)</f>
        <v>25.285181106138911</v>
      </c>
      <c r="AC97" s="417">
        <f t="shared" ref="AC97:AC99" si="224">SUM(Z97)</f>
        <v>25.285181106138911</v>
      </c>
      <c r="AD97" s="663">
        <f t="shared" si="218"/>
        <v>75.855543318416736</v>
      </c>
      <c r="AE97" s="1080"/>
      <c r="AF97" s="1080"/>
      <c r="AG97" s="1080"/>
      <c r="AH97" s="1080"/>
      <c r="AI97" s="1080"/>
      <c r="AJ97" s="662">
        <f t="shared" ref="AJ97:AJ99" si="225">SUM(Z97)</f>
        <v>25.285181106138911</v>
      </c>
      <c r="AK97" s="662">
        <f t="shared" ref="AK97:AK99" si="226">SUM(Z97)</f>
        <v>25.285181106138911</v>
      </c>
      <c r="AL97" s="662">
        <f t="shared" ref="AL97:AL99" si="227">SUM(Z97)</f>
        <v>25.285181106138911</v>
      </c>
      <c r="AM97" s="663">
        <f t="shared" si="219"/>
        <v>75.855543318416736</v>
      </c>
      <c r="AN97" s="663">
        <f t="shared" si="70"/>
        <v>151.71108663683347</v>
      </c>
      <c r="AO97" s="662">
        <f t="shared" ref="AO97:AO99" si="228">SUM(Z97)</f>
        <v>25.285181106138911</v>
      </c>
      <c r="AP97" s="662">
        <f t="shared" ref="AP97:AP99" si="229">SUM(Z97)</f>
        <v>25.285181106138911</v>
      </c>
      <c r="AQ97" s="662">
        <f t="shared" ref="AQ97:AQ99" si="230">SUM(Z97)</f>
        <v>25.285181106138911</v>
      </c>
      <c r="AR97" s="663">
        <f t="shared" si="220"/>
        <v>75.855543318416736</v>
      </c>
      <c r="AS97" s="663">
        <f t="shared" si="72"/>
        <v>227.56662995525022</v>
      </c>
      <c r="AT97" s="662">
        <f t="shared" ref="AT97:AT99" si="231">SUM(Z97)</f>
        <v>25.285181106138911</v>
      </c>
      <c r="AU97" s="662">
        <f t="shared" ref="AU97:AU99" si="232">SUM(Z97)</f>
        <v>25.285181106138911</v>
      </c>
      <c r="AV97" s="662">
        <f t="shared" ref="AV97:AV99" si="233">SUM(Z97)</f>
        <v>25.285181106138911</v>
      </c>
      <c r="AW97" s="663">
        <f t="shared" si="221"/>
        <v>75.855543318416736</v>
      </c>
      <c r="AX97" s="669">
        <f t="shared" si="74"/>
        <v>303.42217327366694</v>
      </c>
    </row>
    <row r="98" spans="1:50" ht="18.75" hidden="1">
      <c r="A98" s="434" t="s">
        <v>560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438"/>
      <c r="U98" s="438"/>
      <c r="V98" s="661">
        <f>SUM(V74*0.07%)</f>
        <v>5.0812325667838971</v>
      </c>
      <c r="W98" s="667"/>
      <c r="X98" s="661">
        <f>SUM(V98*стоки!AK51/стоки!AI51)</f>
        <v>5.0424941694549705</v>
      </c>
      <c r="Y98" s="671">
        <f t="shared" si="115"/>
        <v>3.8738397328926588E-2</v>
      </c>
      <c r="Z98" s="417">
        <f t="shared" si="222"/>
        <v>0.42343604723199141</v>
      </c>
      <c r="AA98" s="1073"/>
      <c r="AB98" s="417">
        <f t="shared" si="223"/>
        <v>0.42343604723199141</v>
      </c>
      <c r="AC98" s="417">
        <f t="shared" si="224"/>
        <v>0.42343604723199141</v>
      </c>
      <c r="AD98" s="663">
        <f t="shared" si="218"/>
        <v>1.2703081416959743</v>
      </c>
      <c r="AE98" s="1080"/>
      <c r="AF98" s="1080"/>
      <c r="AG98" s="1080"/>
      <c r="AH98" s="1080"/>
      <c r="AI98" s="1080"/>
      <c r="AJ98" s="662">
        <f t="shared" si="225"/>
        <v>0.42343604723199141</v>
      </c>
      <c r="AK98" s="662">
        <f t="shared" si="226"/>
        <v>0.42343604723199141</v>
      </c>
      <c r="AL98" s="662">
        <f t="shared" si="227"/>
        <v>0.42343604723199141</v>
      </c>
      <c r="AM98" s="663">
        <f t="shared" si="219"/>
        <v>1.2703081416959743</v>
      </c>
      <c r="AN98" s="663">
        <f t="shared" si="70"/>
        <v>2.5406162833919486</v>
      </c>
      <c r="AO98" s="662">
        <f t="shared" si="228"/>
        <v>0.42343604723199141</v>
      </c>
      <c r="AP98" s="662">
        <f t="shared" si="229"/>
        <v>0.42343604723199141</v>
      </c>
      <c r="AQ98" s="662">
        <f t="shared" si="230"/>
        <v>0.42343604723199141</v>
      </c>
      <c r="AR98" s="663">
        <f t="shared" si="220"/>
        <v>1.2703081416959743</v>
      </c>
      <c r="AS98" s="663">
        <f t="shared" si="72"/>
        <v>3.8109244250879231</v>
      </c>
      <c r="AT98" s="662">
        <f t="shared" si="231"/>
        <v>0.42343604723199141</v>
      </c>
      <c r="AU98" s="662">
        <f t="shared" si="232"/>
        <v>0.42343604723199141</v>
      </c>
      <c r="AV98" s="662">
        <f t="shared" si="233"/>
        <v>0.42343604723199141</v>
      </c>
      <c r="AW98" s="663">
        <f t="shared" si="221"/>
        <v>1.2703081416959743</v>
      </c>
      <c r="AX98" s="669">
        <f t="shared" si="74"/>
        <v>5.0812325667838971</v>
      </c>
    </row>
    <row r="99" spans="1:50" ht="18.75" hidden="1">
      <c r="A99" s="434" t="s">
        <v>614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438"/>
      <c r="U99" s="438"/>
      <c r="V99" s="661">
        <f>SUM(V74*0.01%)</f>
        <v>0.72589036668341378</v>
      </c>
      <c r="W99" s="667"/>
      <c r="X99" s="661">
        <f>SUM(V99*стоки!AK51/стоки!AI51)</f>
        <v>0.7203563099221385</v>
      </c>
      <c r="Y99" s="671">
        <f t="shared" si="115"/>
        <v>5.5340567612752745E-3</v>
      </c>
      <c r="Z99" s="417">
        <f t="shared" si="222"/>
        <v>6.0490863890284484E-2</v>
      </c>
      <c r="AA99" s="1073"/>
      <c r="AB99" s="417">
        <f t="shared" si="223"/>
        <v>6.0490863890284484E-2</v>
      </c>
      <c r="AC99" s="417">
        <f t="shared" si="224"/>
        <v>6.0490863890284484E-2</v>
      </c>
      <c r="AD99" s="663">
        <f t="shared" si="218"/>
        <v>0.18147259167085344</v>
      </c>
      <c r="AE99" s="1080"/>
      <c r="AF99" s="1080"/>
      <c r="AG99" s="1080"/>
      <c r="AH99" s="1080"/>
      <c r="AI99" s="1080"/>
      <c r="AJ99" s="662">
        <f t="shared" si="225"/>
        <v>6.0490863890284484E-2</v>
      </c>
      <c r="AK99" s="662">
        <f t="shared" si="226"/>
        <v>6.0490863890284484E-2</v>
      </c>
      <c r="AL99" s="662">
        <f t="shared" si="227"/>
        <v>6.0490863890284484E-2</v>
      </c>
      <c r="AM99" s="663">
        <f t="shared" si="219"/>
        <v>0.18147259167085344</v>
      </c>
      <c r="AN99" s="663">
        <f t="shared" si="70"/>
        <v>0.36294518334170689</v>
      </c>
      <c r="AO99" s="662">
        <f t="shared" si="228"/>
        <v>6.0490863890284484E-2</v>
      </c>
      <c r="AP99" s="662">
        <f t="shared" si="229"/>
        <v>6.0490863890284484E-2</v>
      </c>
      <c r="AQ99" s="662">
        <f t="shared" si="230"/>
        <v>6.0490863890284484E-2</v>
      </c>
      <c r="AR99" s="663">
        <f t="shared" si="220"/>
        <v>0.18147259167085344</v>
      </c>
      <c r="AS99" s="663">
        <f t="shared" si="72"/>
        <v>0.54441777501256028</v>
      </c>
      <c r="AT99" s="662">
        <f t="shared" si="231"/>
        <v>6.0490863890284484E-2</v>
      </c>
      <c r="AU99" s="662">
        <f t="shared" si="232"/>
        <v>6.0490863890284484E-2</v>
      </c>
      <c r="AV99" s="662">
        <f t="shared" si="233"/>
        <v>6.0490863890284484E-2</v>
      </c>
      <c r="AW99" s="663">
        <f t="shared" si="221"/>
        <v>0.18147259167085344</v>
      </c>
      <c r="AX99" s="669">
        <f t="shared" si="74"/>
        <v>0.72589036668341367</v>
      </c>
    </row>
    <row r="100" spans="1:50" ht="18.75" hidden="1">
      <c r="A100" s="659" t="s">
        <v>622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438"/>
      <c r="U100" s="438"/>
      <c r="V100" s="664">
        <f>SUM(AC49)</f>
        <v>690.17495043218662</v>
      </c>
      <c r="W100" s="667"/>
      <c r="X100" s="664">
        <f>SUM(V100*стоки!AK51/стоки!AI51)</f>
        <v>684.91318153951886</v>
      </c>
      <c r="Y100" s="670">
        <f>SUM(V100-X100)</f>
        <v>5.2617688926677602</v>
      </c>
      <c r="Z100" s="414">
        <f>SUM(Z101+Z102+Z104+Z105+Z106+Z107+Z108+Z109+Z111)</f>
        <v>57.514004056890194</v>
      </c>
      <c r="AA100" s="1072"/>
      <c r="AB100" s="414">
        <f t="shared" ref="AB100:AC100" si="234">SUM(AB101+AB102+AB104+AB105+AB106+AB107+AB108+AB109+AB111)</f>
        <v>57.514004056890194</v>
      </c>
      <c r="AC100" s="414">
        <f t="shared" si="234"/>
        <v>57.514004056890194</v>
      </c>
      <c r="AD100" s="672">
        <f t="shared" si="68"/>
        <v>172.54201217067057</v>
      </c>
      <c r="AE100" s="1079"/>
      <c r="AF100" s="1079"/>
      <c r="AG100" s="1079"/>
      <c r="AH100" s="1079"/>
      <c r="AI100" s="1079"/>
      <c r="AJ100" s="414">
        <f t="shared" ref="AJ100" si="235">SUM(AJ101+AJ102+AJ104+AJ105+AJ106+AJ107+AJ108+AJ109+AJ111)</f>
        <v>57.514004056890194</v>
      </c>
      <c r="AK100" s="414">
        <f t="shared" ref="AK100" si="236">SUM(AK101+AK102+AK104+AK105+AK106+AK107+AK108+AK109+AK111)</f>
        <v>57.514004056890194</v>
      </c>
      <c r="AL100" s="414">
        <f t="shared" ref="AL100" si="237">SUM(AL101+AL102+AL104+AL105+AL106+AL107+AL108+AL109+AL111)</f>
        <v>57.514004056890194</v>
      </c>
      <c r="AM100" s="672">
        <f t="shared" si="69"/>
        <v>172.54201217067057</v>
      </c>
      <c r="AN100" s="672">
        <f t="shared" si="70"/>
        <v>345.08402434134115</v>
      </c>
      <c r="AO100" s="414">
        <f t="shared" ref="AO100" si="238">SUM(AO101+AO102+AO104+AO105+AO106+AO107+AO108+AO109+AO111)</f>
        <v>57.514004056890194</v>
      </c>
      <c r="AP100" s="414">
        <f t="shared" ref="AP100" si="239">SUM(AP101+AP102+AP104+AP105+AP106+AP107+AP108+AP109+AP111)</f>
        <v>57.514004056890194</v>
      </c>
      <c r="AQ100" s="414">
        <f t="shared" ref="AQ100" si="240">SUM(AQ101+AQ102+AQ104+AQ105+AQ106+AQ107+AQ108+AQ109+AQ111)</f>
        <v>57.514004056890194</v>
      </c>
      <c r="AR100" s="672">
        <f t="shared" si="71"/>
        <v>172.54201217067057</v>
      </c>
      <c r="AS100" s="672">
        <f t="shared" si="72"/>
        <v>517.62603651201175</v>
      </c>
      <c r="AT100" s="414">
        <f t="shared" ref="AT100" si="241">SUM(AT101+AT102+AT104+AT105+AT106+AT107+AT108+AT109+AT111)</f>
        <v>57.514004056890194</v>
      </c>
      <c r="AU100" s="414">
        <f t="shared" ref="AU100" si="242">SUM(AU101+AU102+AU104+AU105+AU106+AU107+AU108+AU109+AU111)</f>
        <v>57.514004056890194</v>
      </c>
      <c r="AV100" s="414">
        <f t="shared" ref="AV100" si="243">SUM(AV101+AV102+AV104+AV105+AV106+AV107+AV108+AV109+AV111)</f>
        <v>57.514004056890194</v>
      </c>
      <c r="AW100" s="672">
        <f t="shared" si="73"/>
        <v>172.54201217067057</v>
      </c>
      <c r="AX100" s="669">
        <f t="shared" si="74"/>
        <v>690.16804868268218</v>
      </c>
    </row>
    <row r="101" spans="1:50" ht="18.75" hidden="1">
      <c r="A101" s="44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438"/>
      <c r="U101" s="438"/>
      <c r="V101" s="661">
        <f>SUM(V100*0%)</f>
        <v>0</v>
      </c>
      <c r="W101" s="667"/>
      <c r="X101" s="661">
        <f>SUM(V101*стоки!AK51/стоки!AI51)</f>
        <v>0</v>
      </c>
      <c r="Y101" s="671">
        <f t="shared" ref="Y101:Y109" si="244">SUM(V101-X101)</f>
        <v>0</v>
      </c>
      <c r="Z101" s="417">
        <f>SUM(V101/2)/(1+(106.7%*100-100)/2/100)/6</f>
        <v>0</v>
      </c>
      <c r="AA101" s="1073"/>
      <c r="AB101" s="416">
        <f>SUM(Z101)</f>
        <v>0</v>
      </c>
      <c r="AC101" s="417">
        <f>SUM(Z101)</f>
        <v>0</v>
      </c>
      <c r="AD101" s="663">
        <f>SUM(Z101+AB101+AC101)</f>
        <v>0</v>
      </c>
      <c r="AE101" s="1080"/>
      <c r="AF101" s="1080"/>
      <c r="AG101" s="1080"/>
      <c r="AH101" s="1080"/>
      <c r="AI101" s="1080"/>
      <c r="AJ101" s="662">
        <f>SUM(Z101)</f>
        <v>0</v>
      </c>
      <c r="AK101" s="662">
        <f>SUM(Z101)</f>
        <v>0</v>
      </c>
      <c r="AL101" s="662">
        <f>SUM(Z101)</f>
        <v>0</v>
      </c>
      <c r="AM101" s="663">
        <f>SUM(AJ101+AK101+AL101)</f>
        <v>0</v>
      </c>
      <c r="AN101" s="663">
        <f>SUM(AD101+AM101)</f>
        <v>0</v>
      </c>
      <c r="AO101" s="662">
        <f>SUM(V101-AN101)/6</f>
        <v>0</v>
      </c>
      <c r="AP101" s="662">
        <f>SUM(AO101)</f>
        <v>0</v>
      </c>
      <c r="AQ101" s="662">
        <f>SUM(AO101)</f>
        <v>0</v>
      </c>
      <c r="AR101" s="663">
        <f>SUM(AO101+AP101+AQ101)</f>
        <v>0</v>
      </c>
      <c r="AS101" s="663">
        <f>SUM(AN101+AR101)</f>
        <v>0</v>
      </c>
      <c r="AT101" s="662">
        <f>SUM(AO101)</f>
        <v>0</v>
      </c>
      <c r="AU101" s="662">
        <f>SUM(AO101)</f>
        <v>0</v>
      </c>
      <c r="AV101" s="662">
        <f>SUM(AO101)</f>
        <v>0</v>
      </c>
      <c r="AW101" s="663">
        <f>SUM(AT101+AU101+AV101)</f>
        <v>0</v>
      </c>
      <c r="AX101" s="669">
        <f>SUM(AV101+AU101+AT101+AQ101+AP101+AO101+AL101+AK101+AJ101+AC101+AB101+Z101)</f>
        <v>0</v>
      </c>
    </row>
    <row r="102" spans="1:50" ht="18.75" hidden="1">
      <c r="A102" s="444" t="s">
        <v>121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38"/>
      <c r="U102" s="438"/>
      <c r="V102" s="661">
        <f>SUM(V100*0%)</f>
        <v>0</v>
      </c>
      <c r="W102" s="667"/>
      <c r="X102" s="661">
        <f>SUM(V102*стоки!AK51/стоки!AI51)</f>
        <v>0</v>
      </c>
      <c r="Y102" s="671">
        <f t="shared" si="244"/>
        <v>0</v>
      </c>
      <c r="Z102" s="417">
        <v>0</v>
      </c>
      <c r="AA102" s="1073"/>
      <c r="AB102" s="417">
        <f>SUM(Z102)</f>
        <v>0</v>
      </c>
      <c r="AC102" s="416">
        <f>SUM(Z102)</f>
        <v>0</v>
      </c>
      <c r="AD102" s="663">
        <f t="shared" ref="AD102" si="245">SUM(Z102+AB102+AC102)</f>
        <v>0</v>
      </c>
      <c r="AE102" s="1080"/>
      <c r="AF102" s="1080"/>
      <c r="AG102" s="1080"/>
      <c r="AH102" s="1080"/>
      <c r="AI102" s="1080"/>
      <c r="AJ102" s="662">
        <f>SUM(Z102)</f>
        <v>0</v>
      </c>
      <c r="AK102" s="662">
        <f>SUM(Z102)</f>
        <v>0</v>
      </c>
      <c r="AL102" s="662">
        <f>SUM(Z102)</f>
        <v>0</v>
      </c>
      <c r="AM102" s="663">
        <f t="shared" ref="AM102" si="246">SUM(AJ102+AK102+AL102)</f>
        <v>0</v>
      </c>
      <c r="AN102" s="663">
        <f t="shared" ref="AN102:AN108" si="247">SUM(AD102+AM102)</f>
        <v>0</v>
      </c>
      <c r="AO102" s="662">
        <f>SUM(V102-AN102)/6</f>
        <v>0</v>
      </c>
      <c r="AP102" s="662">
        <f>SUM(AO102)</f>
        <v>0</v>
      </c>
      <c r="AQ102" s="662">
        <f>SUM(AO102)</f>
        <v>0</v>
      </c>
      <c r="AR102" s="663">
        <f t="shared" ref="AR102" si="248">SUM(AO102+AP102+AQ102)</f>
        <v>0</v>
      </c>
      <c r="AS102" s="663">
        <f t="shared" ref="AS102:AS108" si="249">SUM(AN102+AR102)</f>
        <v>0</v>
      </c>
      <c r="AT102" s="662">
        <f>SUM(AO102)</f>
        <v>0</v>
      </c>
      <c r="AU102" s="662">
        <f>SUM(AO102)</f>
        <v>0</v>
      </c>
      <c r="AV102" s="662">
        <f>SUM(AO102)</f>
        <v>0</v>
      </c>
      <c r="AW102" s="663">
        <f t="shared" ref="AW102" si="250">SUM(AT102+AU102+AV102)</f>
        <v>0</v>
      </c>
      <c r="AX102" s="669">
        <f t="shared" ref="AX102" si="251">SUM(AV102+AU102+AT102+AQ102+AP102+AO102+AL102+AK102+AJ102+AC102+AB102+Z102)</f>
        <v>0</v>
      </c>
    </row>
    <row r="103" spans="1:50" ht="18.75" hidden="1">
      <c r="A103" s="69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38"/>
      <c r="U103" s="438"/>
      <c r="V103" s="700">
        <v>0</v>
      </c>
      <c r="W103" s="667"/>
      <c r="X103" s="700">
        <v>0</v>
      </c>
      <c r="Y103" s="701">
        <v>0</v>
      </c>
      <c r="Z103" s="417">
        <v>0</v>
      </c>
      <c r="AA103" s="1073"/>
      <c r="AB103" s="417">
        <f>SUM(Z103)</f>
        <v>0</v>
      </c>
      <c r="AC103" s="416">
        <f>SUM(Z103)</f>
        <v>0</v>
      </c>
      <c r="AD103" s="663">
        <f t="shared" ref="AD103" si="252">SUM(Z103+AB103+AC103)</f>
        <v>0</v>
      </c>
      <c r="AE103" s="1080"/>
      <c r="AF103" s="1080"/>
      <c r="AG103" s="1080"/>
      <c r="AH103" s="1080"/>
      <c r="AI103" s="1080"/>
      <c r="AJ103" s="662">
        <f>SUM(Z103)</f>
        <v>0</v>
      </c>
      <c r="AK103" s="662">
        <f>SUM(Z103)</f>
        <v>0</v>
      </c>
      <c r="AL103" s="662">
        <f>SUM(Z103)</f>
        <v>0</v>
      </c>
      <c r="AM103" s="663">
        <f t="shared" ref="AM103" si="253">SUM(AJ103+AK103+AL103)</f>
        <v>0</v>
      </c>
      <c r="AN103" s="663">
        <f t="shared" ref="AN103" si="254">SUM(AD103+AM103)</f>
        <v>0</v>
      </c>
      <c r="AO103" s="662">
        <f>SUM(V103-AN103)/6</f>
        <v>0</v>
      </c>
      <c r="AP103" s="662">
        <f>SUM(AO103)</f>
        <v>0</v>
      </c>
      <c r="AQ103" s="662">
        <f>SUM(AO103)</f>
        <v>0</v>
      </c>
      <c r="AR103" s="663">
        <f t="shared" ref="AR103" si="255">SUM(AO103+AP103+AQ103)</f>
        <v>0</v>
      </c>
      <c r="AS103" s="663">
        <f t="shared" ref="AS103" si="256">SUM(AN103+AR103)</f>
        <v>0</v>
      </c>
      <c r="AT103" s="662">
        <f>SUM(AO103)</f>
        <v>0</v>
      </c>
      <c r="AU103" s="662">
        <f>SUM(AO103)</f>
        <v>0</v>
      </c>
      <c r="AV103" s="662">
        <f>SUM(AO103)</f>
        <v>0</v>
      </c>
      <c r="AW103" s="663">
        <f t="shared" ref="AW103" si="257">SUM(AT103+AU103+AV103)</f>
        <v>0</v>
      </c>
      <c r="AX103" s="669">
        <f t="shared" ref="AX103" si="258">SUM(AV103+AU103+AT103+AQ103+AP103+AO103+AL103+AK103+AJ103+AC103+AB103+Z103)</f>
        <v>0</v>
      </c>
    </row>
    <row r="104" spans="1:50" ht="18.75" hidden="1">
      <c r="A104" s="444" t="s">
        <v>604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38"/>
      <c r="U104" s="438"/>
      <c r="V104" s="661">
        <f>SUM(V100*88.63%)</f>
        <v>611.70205856804694</v>
      </c>
      <c r="W104" s="667"/>
      <c r="X104" s="661">
        <f>SUM(V104*стоки!AK51/стоки!AI51)</f>
        <v>607.03855279847551</v>
      </c>
      <c r="Y104" s="671">
        <f t="shared" si="244"/>
        <v>4.6635057695714295</v>
      </c>
      <c r="Z104" s="417">
        <f t="shared" ref="Z104:Z108" si="259">SUM(V104/12)</f>
        <v>50.975171547337247</v>
      </c>
      <c r="AA104" s="1073"/>
      <c r="AB104" s="417">
        <f t="shared" ref="AB104:AB108" si="260">SUM(Z104)</f>
        <v>50.975171547337247</v>
      </c>
      <c r="AC104" s="417">
        <f t="shared" ref="AC104:AC108" si="261">SUM(Z104)</f>
        <v>50.975171547337247</v>
      </c>
      <c r="AD104" s="663">
        <f t="shared" ref="AD104:AD108" si="262">SUM(Z104+AB104+AC104)</f>
        <v>152.92551464201173</v>
      </c>
      <c r="AE104" s="1080"/>
      <c r="AF104" s="1080"/>
      <c r="AG104" s="1080"/>
      <c r="AH104" s="1080"/>
      <c r="AI104" s="1080"/>
      <c r="AJ104" s="662">
        <f t="shared" ref="AJ104:AJ108" si="263">SUM(Z104)</f>
        <v>50.975171547337247</v>
      </c>
      <c r="AK104" s="662">
        <f t="shared" ref="AK104:AK108" si="264">SUM(Z104)</f>
        <v>50.975171547337247</v>
      </c>
      <c r="AL104" s="662">
        <f t="shared" ref="AL104:AL108" si="265">SUM(Z104)</f>
        <v>50.975171547337247</v>
      </c>
      <c r="AM104" s="663">
        <f t="shared" ref="AM104:AM108" si="266">SUM(AJ104+AK104+AL104)</f>
        <v>152.92551464201173</v>
      </c>
      <c r="AN104" s="663">
        <f t="shared" si="247"/>
        <v>305.85102928402347</v>
      </c>
      <c r="AO104" s="662">
        <f t="shared" ref="AO104:AO108" si="267">SUM(Z104)</f>
        <v>50.975171547337247</v>
      </c>
      <c r="AP104" s="662">
        <f t="shared" ref="AP104:AP108" si="268">SUM(Z104)</f>
        <v>50.975171547337247</v>
      </c>
      <c r="AQ104" s="662">
        <f t="shared" ref="AQ104:AQ108" si="269">SUM(Z104)</f>
        <v>50.975171547337247</v>
      </c>
      <c r="AR104" s="663">
        <f t="shared" ref="AR104:AR108" si="270">SUM(AO104+AP104+AQ104)</f>
        <v>152.92551464201173</v>
      </c>
      <c r="AS104" s="663">
        <f t="shared" si="249"/>
        <v>458.77654392603517</v>
      </c>
      <c r="AT104" s="662">
        <f t="shared" ref="AT104:AT108" si="271">SUM(Z104)</f>
        <v>50.975171547337247</v>
      </c>
      <c r="AU104" s="662">
        <f t="shared" ref="AU104:AU108" si="272">SUM(Z104)</f>
        <v>50.975171547337247</v>
      </c>
      <c r="AV104" s="662">
        <f t="shared" ref="AV104:AV108" si="273">SUM(Z104)</f>
        <v>50.975171547337247</v>
      </c>
      <c r="AW104" s="663">
        <f t="shared" ref="AW104:AW108" si="274">SUM(AT104+AU104+AV104)</f>
        <v>152.92551464201173</v>
      </c>
      <c r="AX104" s="669">
        <f t="shared" si="74"/>
        <v>611.70205856804694</v>
      </c>
    </row>
    <row r="105" spans="1:50" ht="18.75" hidden="1">
      <c r="A105" s="444" t="s">
        <v>606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38"/>
      <c r="U105" s="438"/>
      <c r="V105" s="661">
        <f>SUM(V100*6.9%)</f>
        <v>47.622071579820883</v>
      </c>
      <c r="W105" s="667"/>
      <c r="X105" s="661">
        <f>SUM(V105*стоки!AK51/стоки!AI51)</f>
        <v>47.259009526226798</v>
      </c>
      <c r="Y105" s="671">
        <f t="shared" si="244"/>
        <v>0.36306205359408494</v>
      </c>
      <c r="Z105" s="417">
        <f t="shared" si="259"/>
        <v>3.9685059649850736</v>
      </c>
      <c r="AA105" s="1073"/>
      <c r="AB105" s="417">
        <f t="shared" si="260"/>
        <v>3.9685059649850736</v>
      </c>
      <c r="AC105" s="417">
        <f t="shared" si="261"/>
        <v>3.9685059649850736</v>
      </c>
      <c r="AD105" s="663">
        <f t="shared" si="262"/>
        <v>11.905517894955221</v>
      </c>
      <c r="AE105" s="1080"/>
      <c r="AF105" s="1080"/>
      <c r="AG105" s="1080"/>
      <c r="AH105" s="1080"/>
      <c r="AI105" s="1080"/>
      <c r="AJ105" s="662">
        <f t="shared" si="263"/>
        <v>3.9685059649850736</v>
      </c>
      <c r="AK105" s="662">
        <f t="shared" si="264"/>
        <v>3.9685059649850736</v>
      </c>
      <c r="AL105" s="662">
        <f t="shared" si="265"/>
        <v>3.9685059649850736</v>
      </c>
      <c r="AM105" s="663">
        <f t="shared" si="266"/>
        <v>11.905517894955221</v>
      </c>
      <c r="AN105" s="663">
        <f t="shared" si="247"/>
        <v>23.811035789910441</v>
      </c>
      <c r="AO105" s="662">
        <f t="shared" si="267"/>
        <v>3.9685059649850736</v>
      </c>
      <c r="AP105" s="662">
        <f t="shared" si="268"/>
        <v>3.9685059649850736</v>
      </c>
      <c r="AQ105" s="662">
        <f t="shared" si="269"/>
        <v>3.9685059649850736</v>
      </c>
      <c r="AR105" s="663">
        <f t="shared" si="270"/>
        <v>11.905517894955221</v>
      </c>
      <c r="AS105" s="663">
        <f t="shared" si="249"/>
        <v>35.716553684865659</v>
      </c>
      <c r="AT105" s="662">
        <f t="shared" si="271"/>
        <v>3.9685059649850736</v>
      </c>
      <c r="AU105" s="662">
        <f t="shared" si="272"/>
        <v>3.9685059649850736</v>
      </c>
      <c r="AV105" s="662">
        <f t="shared" si="273"/>
        <v>3.9685059649850736</v>
      </c>
      <c r="AW105" s="663">
        <f t="shared" si="274"/>
        <v>11.905517894955221</v>
      </c>
      <c r="AX105" s="669">
        <f t="shared" si="74"/>
        <v>47.622071579820869</v>
      </c>
    </row>
    <row r="106" spans="1:50" ht="18.75" hidden="1">
      <c r="A106" s="444" t="s">
        <v>605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38"/>
      <c r="U106" s="438"/>
      <c r="V106" s="661">
        <f>SUM(V100*2.28%)</f>
        <v>15.735988869853854</v>
      </c>
      <c r="W106" s="667"/>
      <c r="X106" s="661">
        <f>SUM(V106*стоки!AK51/стоки!AI51)</f>
        <v>15.616020539101028</v>
      </c>
      <c r="Y106" s="671">
        <f t="shared" si="244"/>
        <v>0.11996833075282609</v>
      </c>
      <c r="Z106" s="417">
        <f t="shared" si="259"/>
        <v>1.3113324058211544</v>
      </c>
      <c r="AA106" s="1073"/>
      <c r="AB106" s="417">
        <f t="shared" si="260"/>
        <v>1.3113324058211544</v>
      </c>
      <c r="AC106" s="417">
        <f t="shared" si="261"/>
        <v>1.3113324058211544</v>
      </c>
      <c r="AD106" s="663">
        <f t="shared" si="262"/>
        <v>3.933997217463463</v>
      </c>
      <c r="AE106" s="1080"/>
      <c r="AF106" s="1080"/>
      <c r="AG106" s="1080"/>
      <c r="AH106" s="1080"/>
      <c r="AI106" s="1080"/>
      <c r="AJ106" s="662">
        <f t="shared" si="263"/>
        <v>1.3113324058211544</v>
      </c>
      <c r="AK106" s="662">
        <f t="shared" si="264"/>
        <v>1.3113324058211544</v>
      </c>
      <c r="AL106" s="662">
        <f t="shared" si="265"/>
        <v>1.3113324058211544</v>
      </c>
      <c r="AM106" s="663">
        <f t="shared" si="266"/>
        <v>3.933997217463463</v>
      </c>
      <c r="AN106" s="663">
        <f t="shared" si="247"/>
        <v>7.867994434926926</v>
      </c>
      <c r="AO106" s="662">
        <f t="shared" si="267"/>
        <v>1.3113324058211544</v>
      </c>
      <c r="AP106" s="662">
        <f t="shared" si="268"/>
        <v>1.3113324058211544</v>
      </c>
      <c r="AQ106" s="662">
        <f t="shared" si="269"/>
        <v>1.3113324058211544</v>
      </c>
      <c r="AR106" s="663">
        <f t="shared" si="270"/>
        <v>3.933997217463463</v>
      </c>
      <c r="AS106" s="663">
        <f t="shared" si="249"/>
        <v>11.801991652390388</v>
      </c>
      <c r="AT106" s="662">
        <f t="shared" si="271"/>
        <v>1.3113324058211544</v>
      </c>
      <c r="AU106" s="662">
        <f t="shared" si="272"/>
        <v>1.3113324058211544</v>
      </c>
      <c r="AV106" s="662">
        <f t="shared" si="273"/>
        <v>1.3113324058211544</v>
      </c>
      <c r="AW106" s="663">
        <f t="shared" si="274"/>
        <v>3.933997217463463</v>
      </c>
      <c r="AX106" s="669">
        <f t="shared" si="74"/>
        <v>15.735988869853854</v>
      </c>
    </row>
    <row r="107" spans="1:50" ht="18.75" hidden="1">
      <c r="A107" s="444" t="s">
        <v>615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438"/>
      <c r="U107" s="438"/>
      <c r="V107" s="661">
        <f>SUM(V100*1.11%)</f>
        <v>7.6609419497972722</v>
      </c>
      <c r="W107" s="667"/>
      <c r="X107" s="661">
        <f>SUM(V107*стоки!AK51/стоки!AI51)</f>
        <v>7.6025363150886589</v>
      </c>
      <c r="Y107" s="671">
        <f t="shared" si="244"/>
        <v>5.8405634708613263E-2</v>
      </c>
      <c r="Z107" s="417">
        <f t="shared" si="259"/>
        <v>0.63841182914977268</v>
      </c>
      <c r="AA107" s="1073"/>
      <c r="AB107" s="417">
        <f t="shared" si="260"/>
        <v>0.63841182914977268</v>
      </c>
      <c r="AC107" s="417">
        <f t="shared" si="261"/>
        <v>0.63841182914977268</v>
      </c>
      <c r="AD107" s="663">
        <f t="shared" si="262"/>
        <v>1.915235487449318</v>
      </c>
      <c r="AE107" s="1080"/>
      <c r="AF107" s="1080"/>
      <c r="AG107" s="1080"/>
      <c r="AH107" s="1080"/>
      <c r="AI107" s="1080"/>
      <c r="AJ107" s="662">
        <f t="shared" si="263"/>
        <v>0.63841182914977268</v>
      </c>
      <c r="AK107" s="662">
        <f t="shared" si="264"/>
        <v>0.63841182914977268</v>
      </c>
      <c r="AL107" s="662">
        <f t="shared" si="265"/>
        <v>0.63841182914977268</v>
      </c>
      <c r="AM107" s="663">
        <f t="shared" si="266"/>
        <v>1.915235487449318</v>
      </c>
      <c r="AN107" s="663">
        <f t="shared" si="247"/>
        <v>3.8304709748986361</v>
      </c>
      <c r="AO107" s="662">
        <f t="shared" si="267"/>
        <v>0.63841182914977268</v>
      </c>
      <c r="AP107" s="662">
        <f t="shared" si="268"/>
        <v>0.63841182914977268</v>
      </c>
      <c r="AQ107" s="662">
        <f t="shared" si="269"/>
        <v>0.63841182914977268</v>
      </c>
      <c r="AR107" s="663">
        <f t="shared" si="270"/>
        <v>1.915235487449318</v>
      </c>
      <c r="AS107" s="663">
        <f t="shared" si="249"/>
        <v>5.7457064623479539</v>
      </c>
      <c r="AT107" s="662">
        <f t="shared" si="271"/>
        <v>0.63841182914977268</v>
      </c>
      <c r="AU107" s="662">
        <f t="shared" si="272"/>
        <v>0.63841182914977268</v>
      </c>
      <c r="AV107" s="662">
        <f t="shared" si="273"/>
        <v>0.63841182914977268</v>
      </c>
      <c r="AW107" s="663">
        <f t="shared" si="274"/>
        <v>1.915235487449318</v>
      </c>
      <c r="AX107" s="669">
        <f t="shared" si="74"/>
        <v>7.6609419497972704</v>
      </c>
    </row>
    <row r="108" spans="1:50" ht="18.75" hidden="1">
      <c r="A108" s="44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438"/>
      <c r="U108" s="438"/>
      <c r="V108" s="661">
        <f>SUM(V100*0.76%)</f>
        <v>5.2453296232846185</v>
      </c>
      <c r="W108" s="667"/>
      <c r="X108" s="661">
        <f>SUM(V108*стоки!AK51/стоки!AI51)</f>
        <v>5.2053401797003431</v>
      </c>
      <c r="Y108" s="671">
        <f t="shared" si="244"/>
        <v>3.9989443584275364E-2</v>
      </c>
      <c r="Z108" s="417">
        <f t="shared" si="259"/>
        <v>0.43711080194038487</v>
      </c>
      <c r="AA108" s="1073"/>
      <c r="AB108" s="417">
        <f t="shared" si="260"/>
        <v>0.43711080194038487</v>
      </c>
      <c r="AC108" s="417">
        <f t="shared" si="261"/>
        <v>0.43711080194038487</v>
      </c>
      <c r="AD108" s="663">
        <f t="shared" si="262"/>
        <v>1.3113324058211546</v>
      </c>
      <c r="AE108" s="1080"/>
      <c r="AF108" s="1080"/>
      <c r="AG108" s="1080"/>
      <c r="AH108" s="1080"/>
      <c r="AI108" s="1080"/>
      <c r="AJ108" s="662">
        <f t="shared" si="263"/>
        <v>0.43711080194038487</v>
      </c>
      <c r="AK108" s="662">
        <f t="shared" si="264"/>
        <v>0.43711080194038487</v>
      </c>
      <c r="AL108" s="662">
        <f t="shared" si="265"/>
        <v>0.43711080194038487</v>
      </c>
      <c r="AM108" s="663">
        <f t="shared" si="266"/>
        <v>1.3113324058211546</v>
      </c>
      <c r="AN108" s="663">
        <f t="shared" si="247"/>
        <v>2.6226648116423092</v>
      </c>
      <c r="AO108" s="662">
        <f t="shared" si="267"/>
        <v>0.43711080194038487</v>
      </c>
      <c r="AP108" s="662">
        <f t="shared" si="268"/>
        <v>0.43711080194038487</v>
      </c>
      <c r="AQ108" s="662">
        <f t="shared" si="269"/>
        <v>0.43711080194038487</v>
      </c>
      <c r="AR108" s="663">
        <f t="shared" si="270"/>
        <v>1.3113324058211546</v>
      </c>
      <c r="AS108" s="663">
        <f t="shared" si="249"/>
        <v>3.9339972174634639</v>
      </c>
      <c r="AT108" s="662">
        <f t="shared" si="271"/>
        <v>0.43711080194038487</v>
      </c>
      <c r="AU108" s="662">
        <f t="shared" si="272"/>
        <v>0.43711080194038487</v>
      </c>
      <c r="AV108" s="662">
        <f t="shared" si="273"/>
        <v>0.43711080194038487</v>
      </c>
      <c r="AW108" s="663">
        <f t="shared" si="274"/>
        <v>1.3113324058211546</v>
      </c>
      <c r="AX108" s="669">
        <f t="shared" si="74"/>
        <v>5.2453296232846185</v>
      </c>
    </row>
    <row r="109" spans="1:50" ht="18.75" hidden="1">
      <c r="A109" s="444" t="s">
        <v>607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438"/>
      <c r="U109" s="438"/>
      <c r="V109" s="661">
        <f>SUM(V110)</f>
        <v>2.0705248512965597</v>
      </c>
      <c r="W109" s="667"/>
      <c r="X109" s="661">
        <f>SUM(V109*стоки!AK51/стоки!AI51)</f>
        <v>2.0547395446185561</v>
      </c>
      <c r="Y109" s="671">
        <f t="shared" si="244"/>
        <v>1.5785306678003597E-2</v>
      </c>
      <c r="Z109" s="416">
        <f t="shared" ref="Z109:AL109" si="275">SUM(Z110)</f>
        <v>0.17254373760804664</v>
      </c>
      <c r="AA109" s="1075"/>
      <c r="AB109" s="416">
        <f t="shared" si="275"/>
        <v>0.17254373760804664</v>
      </c>
      <c r="AC109" s="416">
        <f t="shared" si="275"/>
        <v>0.17254373760804664</v>
      </c>
      <c r="AD109" s="663">
        <f t="shared" si="68"/>
        <v>0.51763121282413993</v>
      </c>
      <c r="AE109" s="1080"/>
      <c r="AF109" s="1080"/>
      <c r="AG109" s="1080"/>
      <c r="AH109" s="1080"/>
      <c r="AI109" s="1080"/>
      <c r="AJ109" s="416">
        <f t="shared" si="275"/>
        <v>0.17254373760804664</v>
      </c>
      <c r="AK109" s="416">
        <f t="shared" si="275"/>
        <v>0.17254373760804664</v>
      </c>
      <c r="AL109" s="416">
        <f t="shared" si="275"/>
        <v>0.17254373760804664</v>
      </c>
      <c r="AM109" s="663">
        <f t="shared" si="69"/>
        <v>0.51763121282413993</v>
      </c>
      <c r="AN109" s="663">
        <f t="shared" si="70"/>
        <v>1.0352624256482799</v>
      </c>
      <c r="AO109" s="416">
        <f t="shared" ref="AO109:AQ109" si="276">SUM(AO110)</f>
        <v>0.17254373760804664</v>
      </c>
      <c r="AP109" s="416">
        <f t="shared" si="276"/>
        <v>0.17254373760804664</v>
      </c>
      <c r="AQ109" s="416">
        <f t="shared" si="276"/>
        <v>0.17254373760804664</v>
      </c>
      <c r="AR109" s="663">
        <f t="shared" si="71"/>
        <v>0.51763121282413993</v>
      </c>
      <c r="AS109" s="663">
        <f t="shared" si="72"/>
        <v>1.5528936384724199</v>
      </c>
      <c r="AT109" s="416">
        <f t="shared" ref="AT109:AV109" si="277">SUM(AT110)</f>
        <v>0.17254373760804664</v>
      </c>
      <c r="AU109" s="416">
        <f t="shared" si="277"/>
        <v>0.17254373760804664</v>
      </c>
      <c r="AV109" s="416">
        <f t="shared" si="277"/>
        <v>0.17254373760804664</v>
      </c>
      <c r="AW109" s="663">
        <f t="shared" si="73"/>
        <v>0.51763121282413993</v>
      </c>
      <c r="AX109" s="669">
        <f t="shared" si="74"/>
        <v>2.0705248512965602</v>
      </c>
    </row>
    <row r="110" spans="1:50" ht="18.75" hidden="1">
      <c r="A110" s="434" t="s">
        <v>565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438"/>
      <c r="U110" s="438"/>
      <c r="V110" s="661">
        <f>SUM(V100*0.3%)</f>
        <v>2.0705248512965597</v>
      </c>
      <c r="W110" s="667"/>
      <c r="X110" s="661">
        <f>SUM(V110*стоки!AK51/стоки!AI51)</f>
        <v>2.0547395446185561</v>
      </c>
      <c r="Y110" s="671">
        <f t="shared" ref="Y110:Y111" si="278">SUM(V110-X110)</f>
        <v>1.5785306678003597E-2</v>
      </c>
      <c r="Z110" s="417">
        <f t="shared" ref="Z110" si="279">SUM(V110/12)</f>
        <v>0.17254373760804664</v>
      </c>
      <c r="AA110" s="1073"/>
      <c r="AB110" s="417">
        <f t="shared" ref="AB110" si="280">SUM(Z110)</f>
        <v>0.17254373760804664</v>
      </c>
      <c r="AC110" s="417">
        <f t="shared" ref="AC110" si="281">SUM(Z110)</f>
        <v>0.17254373760804664</v>
      </c>
      <c r="AD110" s="663">
        <f t="shared" ref="AD110" si="282">SUM(Z110+AB110+AC110)</f>
        <v>0.51763121282413993</v>
      </c>
      <c r="AE110" s="1080"/>
      <c r="AF110" s="1080"/>
      <c r="AG110" s="1080"/>
      <c r="AH110" s="1080"/>
      <c r="AI110" s="1080"/>
      <c r="AJ110" s="417">
        <f t="shared" ref="AJ110" si="283">SUM(Z110)</f>
        <v>0.17254373760804664</v>
      </c>
      <c r="AK110" s="417">
        <f t="shared" ref="AK110" si="284">SUM(Z110)</f>
        <v>0.17254373760804664</v>
      </c>
      <c r="AL110" s="417">
        <f t="shared" ref="AL110" si="285">SUM(Z110)</f>
        <v>0.17254373760804664</v>
      </c>
      <c r="AM110" s="663">
        <f t="shared" ref="AM110" si="286">SUM(AJ110+AK110+AL110)</f>
        <v>0.51763121282413993</v>
      </c>
      <c r="AN110" s="663">
        <f t="shared" si="70"/>
        <v>1.0352624256482799</v>
      </c>
      <c r="AO110" s="417">
        <f t="shared" ref="AO110" si="287">SUM(Z110)</f>
        <v>0.17254373760804664</v>
      </c>
      <c r="AP110" s="417">
        <f t="shared" ref="AP110" si="288">SUM(Z110)</f>
        <v>0.17254373760804664</v>
      </c>
      <c r="AQ110" s="417">
        <f t="shared" ref="AQ110" si="289">SUM(Z110)</f>
        <v>0.17254373760804664</v>
      </c>
      <c r="AR110" s="663">
        <f t="shared" ref="AR110" si="290">SUM(AO110+AP110+AQ110)</f>
        <v>0.51763121282413993</v>
      </c>
      <c r="AS110" s="663">
        <f t="shared" si="72"/>
        <v>1.5528936384724199</v>
      </c>
      <c r="AT110" s="417">
        <f t="shared" ref="AT110" si="291">SUM(Z110)</f>
        <v>0.17254373760804664</v>
      </c>
      <c r="AU110" s="417">
        <f t="shared" ref="AU110" si="292">SUM(Z110)</f>
        <v>0.17254373760804664</v>
      </c>
      <c r="AV110" s="417">
        <f t="shared" ref="AV110" si="293">SUM(Z110)</f>
        <v>0.17254373760804664</v>
      </c>
      <c r="AW110" s="663">
        <f t="shared" ref="AW110" si="294">SUM(AT110+AU110+AV110)</f>
        <v>0.51763121282413993</v>
      </c>
      <c r="AX110" s="669">
        <f t="shared" si="74"/>
        <v>2.0705248512965602</v>
      </c>
    </row>
    <row r="111" spans="1:50" ht="18.75" hidden="1">
      <c r="A111" s="444" t="s">
        <v>610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438"/>
      <c r="U111" s="438"/>
      <c r="V111" s="661">
        <f>SUM(V112:V112)</f>
        <v>0.13113324058211545</v>
      </c>
      <c r="W111" s="667"/>
      <c r="X111" s="661">
        <f>SUM(V111*стоки!AK51/стоки!AI51)</f>
        <v>0.13013350449250857</v>
      </c>
      <c r="Y111" s="671">
        <f t="shared" si="278"/>
        <v>9.9973608960687854E-4</v>
      </c>
      <c r="Z111" s="416">
        <f>SUM(Z112)</f>
        <v>1.0927770048509622E-2</v>
      </c>
      <c r="AA111" s="1075"/>
      <c r="AB111" s="416">
        <f>SUM(AB112)</f>
        <v>1.0927770048509622E-2</v>
      </c>
      <c r="AC111" s="416">
        <f>SUM(AC112)</f>
        <v>1.0927770048509622E-2</v>
      </c>
      <c r="AD111" s="663">
        <f t="shared" si="68"/>
        <v>3.2783310145528863E-2</v>
      </c>
      <c r="AE111" s="1080"/>
      <c r="AF111" s="1080"/>
      <c r="AG111" s="1080"/>
      <c r="AH111" s="1080"/>
      <c r="AI111" s="1080"/>
      <c r="AJ111" s="416">
        <f t="shared" ref="AJ111:AL111" si="295">SUM(AJ112)</f>
        <v>1.0927770048509622E-2</v>
      </c>
      <c r="AK111" s="416">
        <f t="shared" si="295"/>
        <v>1.0927770048509622E-2</v>
      </c>
      <c r="AL111" s="416">
        <f t="shared" si="295"/>
        <v>1.0927770048509622E-2</v>
      </c>
      <c r="AM111" s="663">
        <f t="shared" si="69"/>
        <v>3.2783310145528863E-2</v>
      </c>
      <c r="AN111" s="663">
        <f t="shared" si="70"/>
        <v>6.5566620291057726E-2</v>
      </c>
      <c r="AO111" s="416">
        <f t="shared" ref="AO111" si="296">SUM(AO112)</f>
        <v>1.0927770048509622E-2</v>
      </c>
      <c r="AP111" s="416">
        <f t="shared" ref="AP111" si="297">SUM(AP112)</f>
        <v>1.0927770048509622E-2</v>
      </c>
      <c r="AQ111" s="416">
        <f t="shared" ref="AQ111" si="298">SUM(AQ112)</f>
        <v>1.0927770048509622E-2</v>
      </c>
      <c r="AR111" s="663">
        <f t="shared" si="71"/>
        <v>3.2783310145528863E-2</v>
      </c>
      <c r="AS111" s="663">
        <f t="shared" si="72"/>
        <v>9.8349930436586588E-2</v>
      </c>
      <c r="AT111" s="416">
        <f t="shared" ref="AT111" si="299">SUM(AT112)</f>
        <v>1.0927770048509622E-2</v>
      </c>
      <c r="AU111" s="416">
        <f t="shared" ref="AU111" si="300">SUM(AU112)</f>
        <v>1.0927770048509622E-2</v>
      </c>
      <c r="AV111" s="416">
        <f t="shared" ref="AV111" si="301">SUM(AV112)</f>
        <v>1.0927770048509622E-2</v>
      </c>
      <c r="AW111" s="663">
        <f t="shared" si="73"/>
        <v>3.2783310145528863E-2</v>
      </c>
      <c r="AX111" s="669">
        <f t="shared" si="74"/>
        <v>0.13113324058211542</v>
      </c>
    </row>
    <row r="112" spans="1:50" ht="18.75" hidden="1">
      <c r="A112" s="434" t="s">
        <v>614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438"/>
      <c r="U112" s="438"/>
      <c r="V112" s="661">
        <f>SUM(V100*0.019%)</f>
        <v>0.13113324058211545</v>
      </c>
      <c r="W112" s="667"/>
      <c r="X112" s="661">
        <f>SUM(V112*стоки!AK51/стоки!AI51)</f>
        <v>0.13013350449250857</v>
      </c>
      <c r="Y112" s="671">
        <f t="shared" ref="Y112" si="302">SUM(V112-X112)</f>
        <v>9.9973608960687854E-4</v>
      </c>
      <c r="Z112" s="417">
        <f t="shared" ref="Z112" si="303">SUM(V112/12)</f>
        <v>1.0927770048509622E-2</v>
      </c>
      <c r="AA112" s="1073"/>
      <c r="AB112" s="417">
        <f t="shared" ref="AB112" si="304">SUM(Z112)</f>
        <v>1.0927770048509622E-2</v>
      </c>
      <c r="AC112" s="417">
        <f t="shared" ref="AC112" si="305">SUM(Z112)</f>
        <v>1.0927770048509622E-2</v>
      </c>
      <c r="AD112" s="663">
        <f t="shared" ref="AD112" si="306">SUM(Z112+AB112+AC112)</f>
        <v>3.2783310145528863E-2</v>
      </c>
      <c r="AE112" s="1080"/>
      <c r="AF112" s="1080"/>
      <c r="AG112" s="1080"/>
      <c r="AH112" s="1080"/>
      <c r="AI112" s="1080"/>
      <c r="AJ112" s="662">
        <f t="shared" ref="AJ112" si="307">SUM(Z112)</f>
        <v>1.0927770048509622E-2</v>
      </c>
      <c r="AK112" s="662">
        <f t="shared" ref="AK112" si="308">SUM(Z112)</f>
        <v>1.0927770048509622E-2</v>
      </c>
      <c r="AL112" s="662">
        <f t="shared" ref="AL112" si="309">SUM(Z112)</f>
        <v>1.0927770048509622E-2</v>
      </c>
      <c r="AM112" s="663">
        <f t="shared" ref="AM112" si="310">SUM(AJ112+AK112+AL112)</f>
        <v>3.2783310145528863E-2</v>
      </c>
      <c r="AN112" s="663">
        <f t="shared" si="70"/>
        <v>6.5566620291057726E-2</v>
      </c>
      <c r="AO112" s="662">
        <f t="shared" ref="AO112" si="311">SUM(Z112)</f>
        <v>1.0927770048509622E-2</v>
      </c>
      <c r="AP112" s="662">
        <f t="shared" ref="AP112" si="312">SUM(Z112)</f>
        <v>1.0927770048509622E-2</v>
      </c>
      <c r="AQ112" s="662">
        <f t="shared" ref="AQ112" si="313">SUM(Z112)</f>
        <v>1.0927770048509622E-2</v>
      </c>
      <c r="AR112" s="663">
        <f t="shared" ref="AR112" si="314">SUM(AO112+AP112+AQ112)</f>
        <v>3.2783310145528863E-2</v>
      </c>
      <c r="AS112" s="663">
        <f t="shared" si="72"/>
        <v>9.8349930436586588E-2</v>
      </c>
      <c r="AT112" s="662">
        <f t="shared" ref="AT112" si="315">SUM(Z112)</f>
        <v>1.0927770048509622E-2</v>
      </c>
      <c r="AU112" s="662">
        <f t="shared" ref="AU112" si="316">SUM(Z112)</f>
        <v>1.0927770048509622E-2</v>
      </c>
      <c r="AV112" s="662">
        <f t="shared" ref="AV112" si="317">SUM(Z112)</f>
        <v>1.0927770048509622E-2</v>
      </c>
      <c r="AW112" s="663">
        <f t="shared" ref="AW112" si="318">SUM(AT112+AU112+AV112)</f>
        <v>3.2783310145528863E-2</v>
      </c>
      <c r="AX112" s="669">
        <f t="shared" si="74"/>
        <v>0.13113324058211542</v>
      </c>
    </row>
    <row r="113" spans="1:50" ht="18.75" hidden="1" customHeight="1">
      <c r="A113" s="658" t="s">
        <v>623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438"/>
      <c r="U113" s="438"/>
      <c r="V113" s="664">
        <f>SUM(AC50)</f>
        <v>2687.5084197683254</v>
      </c>
      <c r="W113" s="667"/>
      <c r="X113" s="664">
        <f t="shared" ref="X113:X122" si="319">SUM(V113)</f>
        <v>2687.5084197683254</v>
      </c>
      <c r="Y113" s="670">
        <f>SUM(V113-X113)</f>
        <v>0</v>
      </c>
      <c r="Z113" s="414">
        <f>SUM(Z114+Z115+Z116+Z117+Z118+Z120)</f>
        <v>216.83777765156583</v>
      </c>
      <c r="AA113" s="1072"/>
      <c r="AB113" s="414">
        <f t="shared" ref="AB113:AC113" si="320">SUM(AB114+AB115+AB116+AB117+AB118+AB120)</f>
        <v>216.83777765156583</v>
      </c>
      <c r="AC113" s="414">
        <f t="shared" si="320"/>
        <v>216.83777765156583</v>
      </c>
      <c r="AD113" s="672">
        <f t="shared" si="68"/>
        <v>650.51333295469749</v>
      </c>
      <c r="AE113" s="1079"/>
      <c r="AF113" s="1079"/>
      <c r="AG113" s="1079"/>
      <c r="AH113" s="1079"/>
      <c r="AI113" s="1079"/>
      <c r="AJ113" s="414">
        <f t="shared" ref="AJ113" si="321">SUM(AJ114+AJ115+AJ116+AJ117+AJ118+AJ120)</f>
        <v>216.88276654251274</v>
      </c>
      <c r="AK113" s="414">
        <f t="shared" ref="AK113" si="322">SUM(AK114+AK115+AK116+AK117+AK118+AK120)</f>
        <v>217.62758262596734</v>
      </c>
      <c r="AL113" s="414">
        <f t="shared" ref="AL113" si="323">SUM(AL114+AL115+AL116+AL117+AL118+AL120)</f>
        <v>218.27742216186732</v>
      </c>
      <c r="AM113" s="672">
        <f t="shared" si="69"/>
        <v>652.78777133034737</v>
      </c>
      <c r="AN113" s="672">
        <f t="shared" si="70"/>
        <v>1303.3011042850449</v>
      </c>
      <c r="AO113" s="414">
        <f t="shared" ref="AO113" si="324">SUM(AO114+AO115+AO116+AO117+AO118+AO120)</f>
        <v>231.69180797565591</v>
      </c>
      <c r="AP113" s="414">
        <f t="shared" ref="AP113" si="325">SUM(AP114+AP115+AP116+AP117+AP118+AP120)</f>
        <v>231.4968561148859</v>
      </c>
      <c r="AQ113" s="414">
        <f t="shared" ref="AQ113" si="326">SUM(AQ114+AQ115+AQ116+AQ117+AQ118+AQ120)</f>
        <v>230.84701657898592</v>
      </c>
      <c r="AR113" s="672">
        <f t="shared" si="71"/>
        <v>694.03568066952766</v>
      </c>
      <c r="AS113" s="672">
        <f t="shared" si="72"/>
        <v>1997.3367849545725</v>
      </c>
      <c r="AT113" s="414">
        <f t="shared" ref="AT113" si="327">SUM(AT114+AT115+AT116+AT117+AT118+AT120)</f>
        <v>230.05721160458441</v>
      </c>
      <c r="AU113" s="414">
        <f t="shared" ref="AU113" si="328">SUM(AU114+AU115+AU116+AU117+AU118+AU120)</f>
        <v>230.05721160458441</v>
      </c>
      <c r="AV113" s="414">
        <f t="shared" ref="AV113" si="329">SUM(AV114+AV115+AV116+AV117+AV118+AV120)</f>
        <v>230.05721160458441</v>
      </c>
      <c r="AW113" s="672">
        <f t="shared" si="73"/>
        <v>690.17163481375326</v>
      </c>
      <c r="AX113" s="669">
        <f t="shared" si="74"/>
        <v>2687.5084197683259</v>
      </c>
    </row>
    <row r="114" spans="1:50" ht="18.75" hidden="1">
      <c r="A114" s="44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438"/>
      <c r="U114" s="438"/>
      <c r="V114" s="661">
        <f>SUM(V113*70.01%)</f>
        <v>1881.5246446798049</v>
      </c>
      <c r="W114" s="667"/>
      <c r="X114" s="661">
        <f t="shared" si="319"/>
        <v>1881.5246446798049</v>
      </c>
      <c r="Y114" s="671">
        <f t="shared" ref="Y114:Y117" si="330">SUM(V114-X114)</f>
        <v>0</v>
      </c>
      <c r="Z114" s="417">
        <f>SUM(V114/2)/(1+(106.7%*100-100)/2/100)/6</f>
        <v>151.71138886307088</v>
      </c>
      <c r="AA114" s="1073"/>
      <c r="AB114" s="416">
        <f>SUM(Z114)</f>
        <v>151.71138886307088</v>
      </c>
      <c r="AC114" s="417">
        <f>SUM(Z114)</f>
        <v>151.71138886307088</v>
      </c>
      <c r="AD114" s="663">
        <f>SUM(Z114+AB114+AC114)</f>
        <v>455.13416658921267</v>
      </c>
      <c r="AE114" s="1080"/>
      <c r="AF114" s="1080"/>
      <c r="AG114" s="1080"/>
      <c r="AH114" s="1080"/>
      <c r="AI114" s="1080"/>
      <c r="AJ114" s="662">
        <f>SUM(Z114)</f>
        <v>151.71138886307088</v>
      </c>
      <c r="AK114" s="662">
        <f>SUM(Z114)</f>
        <v>151.71138886307088</v>
      </c>
      <c r="AL114" s="662">
        <f>SUM(Z114)</f>
        <v>151.71138886307088</v>
      </c>
      <c r="AM114" s="663">
        <f>SUM(AJ114+AK114+AL114)</f>
        <v>455.13416658921267</v>
      </c>
      <c r="AN114" s="663">
        <f>SUM(AD114+AM114)</f>
        <v>910.26833317842534</v>
      </c>
      <c r="AO114" s="662">
        <f>SUM(V114-AN114)/6</f>
        <v>161.87605191689659</v>
      </c>
      <c r="AP114" s="662">
        <f>SUM(AO114)</f>
        <v>161.87605191689659</v>
      </c>
      <c r="AQ114" s="662">
        <f>SUM(AO114)</f>
        <v>161.87605191689659</v>
      </c>
      <c r="AR114" s="663">
        <f>SUM(AO114+AP114+AQ114)</f>
        <v>485.62815575068976</v>
      </c>
      <c r="AS114" s="663">
        <f>SUM(AN114+AR114)</f>
        <v>1395.8964889291151</v>
      </c>
      <c r="AT114" s="662">
        <f>SUM(AO114)</f>
        <v>161.87605191689659</v>
      </c>
      <c r="AU114" s="662">
        <f>SUM(AO114)</f>
        <v>161.87605191689659</v>
      </c>
      <c r="AV114" s="662">
        <f>SUM(AO114)</f>
        <v>161.87605191689659</v>
      </c>
      <c r="AW114" s="663">
        <f>SUM(AT114+AU114+AV114)</f>
        <v>485.62815575068976</v>
      </c>
      <c r="AX114" s="669">
        <f>SUM(AV114+AU114+AT114+AQ114+AP114+AO114+AL114+AK114+AJ114+AC114+AB114+Z114)</f>
        <v>1881.5246446798046</v>
      </c>
    </row>
    <row r="115" spans="1:50" ht="18.75" hidden="1">
      <c r="A115" s="444" t="s">
        <v>121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438"/>
      <c r="U115" s="438"/>
      <c r="V115" s="661">
        <f>SUM(V113*21.04%)</f>
        <v>565.45177151925566</v>
      </c>
      <c r="W115" s="667"/>
      <c r="X115" s="661">
        <f t="shared" si="319"/>
        <v>565.45177151925566</v>
      </c>
      <c r="Y115" s="671">
        <f t="shared" si="330"/>
        <v>0</v>
      </c>
      <c r="Z115" s="417">
        <f>SUM(Z114*(V115/V114))</f>
        <v>45.593595510341537</v>
      </c>
      <c r="AA115" s="1073"/>
      <c r="AB115" s="417">
        <f>SUM(Z115)</f>
        <v>45.593595510341537</v>
      </c>
      <c r="AC115" s="416">
        <f>SUM(Z115)</f>
        <v>45.593595510341537</v>
      </c>
      <c r="AD115" s="663">
        <f t="shared" ref="AD115" si="331">SUM(Z115+AB115+AC115)</f>
        <v>136.7807865310246</v>
      </c>
      <c r="AE115" s="1080"/>
      <c r="AF115" s="1080"/>
      <c r="AG115" s="1080"/>
      <c r="AH115" s="1080"/>
      <c r="AI115" s="1080"/>
      <c r="AJ115" s="662">
        <f>SUM(Z115)</f>
        <v>45.593595510341537</v>
      </c>
      <c r="AK115" s="662">
        <f>SUM(Z115)</f>
        <v>45.593595510341537</v>
      </c>
      <c r="AL115" s="662">
        <f>SUM(Z115)</f>
        <v>45.593595510341537</v>
      </c>
      <c r="AM115" s="663">
        <f t="shared" ref="AM115" si="332">SUM(AJ115+AK115+AL115)</f>
        <v>136.7807865310246</v>
      </c>
      <c r="AN115" s="663">
        <f t="shared" ref="AN115:AN124" si="333">SUM(AD115+AM115)</f>
        <v>273.56157306204921</v>
      </c>
      <c r="AO115" s="662">
        <f>SUM(V115-AN115)/6</f>
        <v>48.648366409534411</v>
      </c>
      <c r="AP115" s="662">
        <f>SUM(AO115)</f>
        <v>48.648366409534411</v>
      </c>
      <c r="AQ115" s="662">
        <f>SUM(AO115)</f>
        <v>48.648366409534411</v>
      </c>
      <c r="AR115" s="663">
        <f t="shared" ref="AR115" si="334">SUM(AO115+AP115+AQ115)</f>
        <v>145.94509922860323</v>
      </c>
      <c r="AS115" s="663">
        <f t="shared" ref="AS115:AS124" si="335">SUM(AN115+AR115)</f>
        <v>419.50667229065243</v>
      </c>
      <c r="AT115" s="662">
        <f>SUM(AO115)</f>
        <v>48.648366409534411</v>
      </c>
      <c r="AU115" s="662">
        <f>SUM(AO115)</f>
        <v>48.648366409534411</v>
      </c>
      <c r="AV115" s="662">
        <f>SUM(AO115)</f>
        <v>48.648366409534411</v>
      </c>
      <c r="AW115" s="663">
        <f t="shared" ref="AW115" si="336">SUM(AT115+AU115+AV115)</f>
        <v>145.94509922860323</v>
      </c>
      <c r="AX115" s="669">
        <f t="shared" ref="AX115" si="337">SUM(AV115+AU115+AT115+AQ115+AP115+AO115+AL115+AK115+AJ115+AC115+AB115+Z115)</f>
        <v>565.45177151925554</v>
      </c>
    </row>
    <row r="116" spans="1:50" ht="18.75" hidden="1">
      <c r="A116" s="44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438"/>
      <c r="U116" s="438"/>
      <c r="V116" s="661">
        <f>SUM(V113*0.18%)</f>
        <v>4.8375151555829854</v>
      </c>
      <c r="W116" s="667"/>
      <c r="X116" s="661">
        <f t="shared" si="319"/>
        <v>4.8375151555829854</v>
      </c>
      <c r="Y116" s="671">
        <f t="shared" si="330"/>
        <v>0</v>
      </c>
      <c r="Z116" s="417">
        <f t="shared" ref="Z116:Z117" si="338">SUM(V116/12)</f>
        <v>0.40312626296524878</v>
      </c>
      <c r="AA116" s="1073"/>
      <c r="AB116" s="417">
        <f t="shared" ref="AB116:AB117" si="339">SUM(Z116)</f>
        <v>0.40312626296524878</v>
      </c>
      <c r="AC116" s="417">
        <f t="shared" ref="AC116:AC117" si="340">SUM(Z116)</f>
        <v>0.40312626296524878</v>
      </c>
      <c r="AD116" s="663">
        <f t="shared" ref="AD116:AD117" si="341">SUM(Z116+AB116+AC116)</f>
        <v>1.2093787888957463</v>
      </c>
      <c r="AE116" s="1080"/>
      <c r="AF116" s="1080"/>
      <c r="AG116" s="1080"/>
      <c r="AH116" s="1080"/>
      <c r="AI116" s="1080"/>
      <c r="AJ116" s="662">
        <f t="shared" ref="AJ116:AJ117" si="342">SUM(Z116)</f>
        <v>0.40312626296524878</v>
      </c>
      <c r="AK116" s="662">
        <f t="shared" ref="AK116:AK117" si="343">SUM(Z116)</f>
        <v>0.40312626296524878</v>
      </c>
      <c r="AL116" s="662">
        <f t="shared" ref="AL116:AL117" si="344">SUM(Z116)</f>
        <v>0.40312626296524878</v>
      </c>
      <c r="AM116" s="663">
        <f t="shared" ref="AM116:AM117" si="345">SUM(AJ116+AK116+AL116)</f>
        <v>1.2093787888957463</v>
      </c>
      <c r="AN116" s="663">
        <f t="shared" si="333"/>
        <v>2.4187575777914927</v>
      </c>
      <c r="AO116" s="662">
        <f t="shared" ref="AO116:AO117" si="346">SUM(Z116)</f>
        <v>0.40312626296524878</v>
      </c>
      <c r="AP116" s="662">
        <f t="shared" ref="AP116:AP117" si="347">SUM(Z116)</f>
        <v>0.40312626296524878</v>
      </c>
      <c r="AQ116" s="662">
        <f t="shared" ref="AQ116:AQ117" si="348">SUM(Z116)</f>
        <v>0.40312626296524878</v>
      </c>
      <c r="AR116" s="663">
        <f t="shared" ref="AR116:AR117" si="349">SUM(AO116+AP116+AQ116)</f>
        <v>1.2093787888957463</v>
      </c>
      <c r="AS116" s="663">
        <f t="shared" si="335"/>
        <v>3.6281363666872393</v>
      </c>
      <c r="AT116" s="662">
        <f t="shared" ref="AT116:AT117" si="350">SUM(Z116)</f>
        <v>0.40312626296524878</v>
      </c>
      <c r="AU116" s="662">
        <f t="shared" ref="AU116:AU117" si="351">SUM(Z116)</f>
        <v>0.40312626296524878</v>
      </c>
      <c r="AV116" s="662">
        <f t="shared" ref="AV116:AV117" si="352">SUM(Z116)</f>
        <v>0.40312626296524878</v>
      </c>
      <c r="AW116" s="663">
        <f t="shared" ref="AW116:AW117" si="353">SUM(AT116+AU116+AV116)</f>
        <v>1.2093787888957463</v>
      </c>
      <c r="AX116" s="669">
        <f t="shared" si="74"/>
        <v>4.8375151555829872</v>
      </c>
    </row>
    <row r="117" spans="1:50" ht="18.75" hidden="1">
      <c r="A117" s="444" t="s">
        <v>606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438"/>
      <c r="U117" s="438"/>
      <c r="V117" s="661">
        <f>SUM(V113*6.19%)</f>
        <v>166.35677118365936</v>
      </c>
      <c r="W117" s="667"/>
      <c r="X117" s="661">
        <f t="shared" si="319"/>
        <v>166.35677118365936</v>
      </c>
      <c r="Y117" s="671">
        <f t="shared" si="330"/>
        <v>0</v>
      </c>
      <c r="Z117" s="417">
        <f t="shared" si="338"/>
        <v>13.863064265304947</v>
      </c>
      <c r="AA117" s="1073"/>
      <c r="AB117" s="417">
        <f t="shared" si="339"/>
        <v>13.863064265304947</v>
      </c>
      <c r="AC117" s="417">
        <f t="shared" si="340"/>
        <v>13.863064265304947</v>
      </c>
      <c r="AD117" s="663">
        <f t="shared" si="341"/>
        <v>41.58919279591484</v>
      </c>
      <c r="AE117" s="1080"/>
      <c r="AF117" s="1080"/>
      <c r="AG117" s="1080"/>
      <c r="AH117" s="1080"/>
      <c r="AI117" s="1080"/>
      <c r="AJ117" s="662">
        <f t="shared" si="342"/>
        <v>13.863064265304947</v>
      </c>
      <c r="AK117" s="662">
        <f t="shared" si="343"/>
        <v>13.863064265304947</v>
      </c>
      <c r="AL117" s="662">
        <f t="shared" si="344"/>
        <v>13.863064265304947</v>
      </c>
      <c r="AM117" s="663">
        <f t="shared" si="345"/>
        <v>41.58919279591484</v>
      </c>
      <c r="AN117" s="663">
        <f t="shared" si="333"/>
        <v>83.178385591829681</v>
      </c>
      <c r="AO117" s="662">
        <f t="shared" si="346"/>
        <v>13.863064265304947</v>
      </c>
      <c r="AP117" s="662">
        <f t="shared" si="347"/>
        <v>13.863064265304947</v>
      </c>
      <c r="AQ117" s="662">
        <f t="shared" si="348"/>
        <v>13.863064265304947</v>
      </c>
      <c r="AR117" s="663">
        <f t="shared" si="349"/>
        <v>41.58919279591484</v>
      </c>
      <c r="AS117" s="663">
        <f t="shared" si="335"/>
        <v>124.76757838774452</v>
      </c>
      <c r="AT117" s="662">
        <f t="shared" si="350"/>
        <v>13.863064265304947</v>
      </c>
      <c r="AU117" s="662">
        <f t="shared" si="351"/>
        <v>13.863064265304947</v>
      </c>
      <c r="AV117" s="662">
        <f t="shared" si="352"/>
        <v>13.863064265304947</v>
      </c>
      <c r="AW117" s="663">
        <f t="shared" si="353"/>
        <v>41.58919279591484</v>
      </c>
      <c r="AX117" s="669">
        <f t="shared" si="74"/>
        <v>166.35677118365936</v>
      </c>
    </row>
    <row r="118" spans="1:50" ht="18.75" hidden="1">
      <c r="A118" s="444" t="s">
        <v>607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438"/>
      <c r="U118" s="438"/>
      <c r="V118" s="661">
        <f>SUM(V119)</f>
        <v>18.812558938378277</v>
      </c>
      <c r="W118" s="667"/>
      <c r="X118" s="661">
        <f t="shared" si="319"/>
        <v>18.812558938378277</v>
      </c>
      <c r="Y118" s="661">
        <f t="shared" ref="Y118:AL118" si="354">SUM(Y119)</f>
        <v>0</v>
      </c>
      <c r="Z118" s="416">
        <f t="shared" si="354"/>
        <v>1.5677132448648565</v>
      </c>
      <c r="AA118" s="1075"/>
      <c r="AB118" s="416">
        <f t="shared" si="354"/>
        <v>1.5677132448648565</v>
      </c>
      <c r="AC118" s="416">
        <f t="shared" si="354"/>
        <v>1.5677132448648565</v>
      </c>
      <c r="AD118" s="663">
        <f t="shared" ref="AD118:AD124" si="355">SUM(Z118+AB118+AC118)</f>
        <v>4.7031397345945694</v>
      </c>
      <c r="AE118" s="1080"/>
      <c r="AF118" s="1080"/>
      <c r="AG118" s="1080"/>
      <c r="AH118" s="1080"/>
      <c r="AI118" s="1080"/>
      <c r="AJ118" s="416">
        <f t="shared" si="354"/>
        <v>1.5677132448648565</v>
      </c>
      <c r="AK118" s="416">
        <f t="shared" si="354"/>
        <v>1.5677132448648565</v>
      </c>
      <c r="AL118" s="416">
        <f t="shared" si="354"/>
        <v>1.5677132448648565</v>
      </c>
      <c r="AM118" s="663">
        <f t="shared" ref="AM118:AM124" si="356">SUM(AJ118+AK118+AL118)</f>
        <v>4.7031397345945694</v>
      </c>
      <c r="AN118" s="663">
        <f t="shared" si="333"/>
        <v>9.4062794691891387</v>
      </c>
      <c r="AO118" s="416">
        <f t="shared" ref="AO118:AQ118" si="357">SUM(AO119)</f>
        <v>1.5677132448648565</v>
      </c>
      <c r="AP118" s="416">
        <f t="shared" si="357"/>
        <v>1.5677132448648565</v>
      </c>
      <c r="AQ118" s="416">
        <f t="shared" si="357"/>
        <v>1.5677132448648565</v>
      </c>
      <c r="AR118" s="663">
        <f t="shared" ref="AR118:AR124" si="358">SUM(AO118+AP118+AQ118)</f>
        <v>4.7031397345945694</v>
      </c>
      <c r="AS118" s="663">
        <f t="shared" si="335"/>
        <v>14.109419203783709</v>
      </c>
      <c r="AT118" s="416">
        <f t="shared" ref="AT118:AV118" si="359">SUM(AT119)</f>
        <v>1.5677132448648565</v>
      </c>
      <c r="AU118" s="416">
        <f t="shared" si="359"/>
        <v>1.5677132448648565</v>
      </c>
      <c r="AV118" s="416">
        <f t="shared" si="359"/>
        <v>1.5677132448648565</v>
      </c>
      <c r="AW118" s="663">
        <f t="shared" ref="AW118:AW124" si="360">SUM(AT118+AU118+AV118)</f>
        <v>4.7031397345945694</v>
      </c>
      <c r="AX118" s="669">
        <f t="shared" ref="AX118:AX124" si="361">SUM(AV118+AU118+AT118+AQ118+AP118+AO118+AL118+AK118+AJ118+AC118+AB118+Z118)</f>
        <v>18.812558938378277</v>
      </c>
    </row>
    <row r="119" spans="1:50" ht="18.75" hidden="1">
      <c r="A119" s="434" t="s">
        <v>565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438"/>
      <c r="U119" s="438"/>
      <c r="V119" s="661">
        <f>SUM(V113*0.7%)</f>
        <v>18.812558938378277</v>
      </c>
      <c r="W119" s="667"/>
      <c r="X119" s="661">
        <f t="shared" si="319"/>
        <v>18.812558938378277</v>
      </c>
      <c r="Y119" s="671">
        <f t="shared" ref="Y119" si="362">SUM(V119-X119)</f>
        <v>0</v>
      </c>
      <c r="Z119" s="417">
        <f t="shared" ref="Z119" si="363">SUM(V119/12)</f>
        <v>1.5677132448648565</v>
      </c>
      <c r="AA119" s="1073"/>
      <c r="AB119" s="417">
        <f t="shared" ref="AB119" si="364">SUM(Z119)</f>
        <v>1.5677132448648565</v>
      </c>
      <c r="AC119" s="417">
        <f t="shared" ref="AC119" si="365">SUM(Z119)</f>
        <v>1.5677132448648565</v>
      </c>
      <c r="AD119" s="663">
        <f t="shared" si="355"/>
        <v>4.7031397345945694</v>
      </c>
      <c r="AE119" s="1080"/>
      <c r="AF119" s="1080"/>
      <c r="AG119" s="1080"/>
      <c r="AH119" s="1080"/>
      <c r="AI119" s="1080"/>
      <c r="AJ119" s="417">
        <f t="shared" ref="AJ119" si="366">SUM(Z119)</f>
        <v>1.5677132448648565</v>
      </c>
      <c r="AK119" s="417">
        <f t="shared" ref="AK119" si="367">SUM(Z119)</f>
        <v>1.5677132448648565</v>
      </c>
      <c r="AL119" s="417">
        <f t="shared" ref="AL119" si="368">SUM(Z119)</f>
        <v>1.5677132448648565</v>
      </c>
      <c r="AM119" s="663">
        <f t="shared" si="356"/>
        <v>4.7031397345945694</v>
      </c>
      <c r="AN119" s="663">
        <f t="shared" si="333"/>
        <v>9.4062794691891387</v>
      </c>
      <c r="AO119" s="417">
        <f t="shared" ref="AO119" si="369">SUM(Z119)</f>
        <v>1.5677132448648565</v>
      </c>
      <c r="AP119" s="417">
        <f t="shared" ref="AP119" si="370">SUM(Z119)</f>
        <v>1.5677132448648565</v>
      </c>
      <c r="AQ119" s="417">
        <f t="shared" ref="AQ119" si="371">SUM(Z119)</f>
        <v>1.5677132448648565</v>
      </c>
      <c r="AR119" s="663">
        <f t="shared" si="358"/>
        <v>4.7031397345945694</v>
      </c>
      <c r="AS119" s="663">
        <f t="shared" si="335"/>
        <v>14.109419203783709</v>
      </c>
      <c r="AT119" s="417">
        <f t="shared" ref="AT119" si="372">SUM(Z119)</f>
        <v>1.5677132448648565</v>
      </c>
      <c r="AU119" s="417">
        <f t="shared" ref="AU119" si="373">SUM(Z119)</f>
        <v>1.5677132448648565</v>
      </c>
      <c r="AV119" s="417">
        <f t="shared" ref="AV119" si="374">SUM(Z119)</f>
        <v>1.5677132448648565</v>
      </c>
      <c r="AW119" s="663">
        <f t="shared" si="360"/>
        <v>4.7031397345945694</v>
      </c>
      <c r="AX119" s="669">
        <f t="shared" si="361"/>
        <v>18.812558938378277</v>
      </c>
    </row>
    <row r="120" spans="1:50" ht="18.75" hidden="1">
      <c r="A120" s="444" t="s">
        <v>610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38"/>
      <c r="U120" s="438"/>
      <c r="V120" s="661">
        <f>SUM(V121:V122)</f>
        <v>50.525158291644523</v>
      </c>
      <c r="W120" s="667"/>
      <c r="X120" s="661">
        <f t="shared" si="319"/>
        <v>50.525158291644523</v>
      </c>
      <c r="Y120" s="661">
        <f>SUM(Y121:Y122)</f>
        <v>0</v>
      </c>
      <c r="Z120" s="416">
        <f>SUM(Z121:Z122)</f>
        <v>3.6988895050183404</v>
      </c>
      <c r="AA120" s="1075"/>
      <c r="AB120" s="416">
        <f>SUM(AB121:AB122)</f>
        <v>3.6988895050183404</v>
      </c>
      <c r="AC120" s="416">
        <f>SUM(AC121:AC122)</f>
        <v>3.6988895050183404</v>
      </c>
      <c r="AD120" s="663">
        <f t="shared" si="355"/>
        <v>11.096668515055022</v>
      </c>
      <c r="AE120" s="1080"/>
      <c r="AF120" s="1080"/>
      <c r="AG120" s="1080"/>
      <c r="AH120" s="1080"/>
      <c r="AI120" s="1080"/>
      <c r="AJ120" s="416">
        <f>SUM(AJ121:AJ122)</f>
        <v>3.7438783959652628</v>
      </c>
      <c r="AK120" s="416">
        <f>SUM(AK121:AK122)</f>
        <v>4.4886944794198564</v>
      </c>
      <c r="AL120" s="416">
        <f>SUM(AL121:AL122)</f>
        <v>5.138534015319836</v>
      </c>
      <c r="AM120" s="663">
        <f t="shared" si="356"/>
        <v>13.371106890704956</v>
      </c>
      <c r="AN120" s="663">
        <f t="shared" si="333"/>
        <v>24.46777540575998</v>
      </c>
      <c r="AO120" s="416">
        <f>SUM(AO121:AO122)</f>
        <v>5.3334858760898314</v>
      </c>
      <c r="AP120" s="416">
        <f>SUM(AP121:AP122)</f>
        <v>5.138534015319836</v>
      </c>
      <c r="AQ120" s="416">
        <f>SUM(AQ121:AQ122)</f>
        <v>4.4886944794198564</v>
      </c>
      <c r="AR120" s="663">
        <f t="shared" si="358"/>
        <v>14.960714370829525</v>
      </c>
      <c r="AS120" s="663">
        <f t="shared" si="335"/>
        <v>39.428489776589501</v>
      </c>
      <c r="AT120" s="416">
        <f>SUM(AT121:AT122)</f>
        <v>3.6988895050183404</v>
      </c>
      <c r="AU120" s="416">
        <f>SUM(AU121:AU122)</f>
        <v>3.6988895050183404</v>
      </c>
      <c r="AV120" s="416">
        <f>SUM(AV121:AV122)</f>
        <v>3.6988895050183404</v>
      </c>
      <c r="AW120" s="663">
        <f t="shared" si="360"/>
        <v>11.096668515055022</v>
      </c>
      <c r="AX120" s="669">
        <f t="shared" si="361"/>
        <v>50.525158291644523</v>
      </c>
    </row>
    <row r="121" spans="1:50" ht="18.75" hidden="1">
      <c r="A121" s="434" t="s">
        <v>552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38"/>
      <c r="U121" s="438"/>
      <c r="V121" s="661">
        <f>SUM(V113*1.86%)</f>
        <v>49.987656607690859</v>
      </c>
      <c r="W121" s="667"/>
      <c r="X121" s="661">
        <f t="shared" si="319"/>
        <v>49.987656607690859</v>
      </c>
      <c r="Y121" s="671">
        <f t="shared" ref="Y121:Y122" si="375">SUM(V121-X121)</f>
        <v>0</v>
      </c>
      <c r="Z121" s="417">
        <f>SUM(V121*7.31%)</f>
        <v>3.6540976980222015</v>
      </c>
      <c r="AA121" s="1073"/>
      <c r="AB121" s="417">
        <f>SUM(V121*7.31%)</f>
        <v>3.6540976980222015</v>
      </c>
      <c r="AC121" s="417">
        <f>SUM(V121*7.31%)</f>
        <v>3.6540976980222015</v>
      </c>
      <c r="AD121" s="663">
        <f t="shared" ref="AD121:AD122" si="376">SUM(Z121+AB121+AC121)</f>
        <v>10.962293094066604</v>
      </c>
      <c r="AE121" s="1080"/>
      <c r="AF121" s="1080"/>
      <c r="AG121" s="1080"/>
      <c r="AH121" s="1080"/>
      <c r="AI121" s="1080"/>
      <c r="AJ121" s="417">
        <f>SUM(V121*7.4%)</f>
        <v>3.699086588969124</v>
      </c>
      <c r="AK121" s="417">
        <f>SUM(V121*8.89%)</f>
        <v>4.4439026724237181</v>
      </c>
      <c r="AL121" s="417">
        <f>SUM(V121*10.19%)</f>
        <v>5.0937422083236976</v>
      </c>
      <c r="AM121" s="663">
        <f t="shared" ref="AM121:AM122" si="377">SUM(AJ121+AK121+AL121)</f>
        <v>13.236731469716538</v>
      </c>
      <c r="AN121" s="663">
        <f t="shared" si="333"/>
        <v>24.199024563783141</v>
      </c>
      <c r="AO121" s="417">
        <f>SUM(V121*10.58%)</f>
        <v>5.288694069093693</v>
      </c>
      <c r="AP121" s="417">
        <f>SUM(V121*10.19%)</f>
        <v>5.0937422083236976</v>
      </c>
      <c r="AQ121" s="417">
        <f>SUM(V121*8.89%)</f>
        <v>4.4439026724237181</v>
      </c>
      <c r="AR121" s="663">
        <f t="shared" ref="AR121:AR122" si="378">SUM(AO121+AP121+AQ121)</f>
        <v>14.826338949841109</v>
      </c>
      <c r="AS121" s="663">
        <f t="shared" si="335"/>
        <v>39.025363513624249</v>
      </c>
      <c r="AT121" s="417">
        <f>SUM(V121*7.31%)</f>
        <v>3.6540976980222015</v>
      </c>
      <c r="AU121" s="417">
        <f>SUM(V121*7.31%)</f>
        <v>3.6540976980222015</v>
      </c>
      <c r="AV121" s="417">
        <f>SUM(V121*7.31%)</f>
        <v>3.6540976980222015</v>
      </c>
      <c r="AW121" s="663">
        <f t="shared" ref="AW121:AW122" si="379">SUM(AT121+AU121+AV121)</f>
        <v>10.962293094066604</v>
      </c>
      <c r="AX121" s="669">
        <f t="shared" si="361"/>
        <v>49.987656607690852</v>
      </c>
    </row>
    <row r="122" spans="1:50" ht="18.75" hidden="1">
      <c r="A122" s="677" t="s">
        <v>614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38"/>
      <c r="U122" s="438"/>
      <c r="V122" s="661">
        <f>SUM(V113*0.02%)</f>
        <v>0.53750168395366515</v>
      </c>
      <c r="W122" s="667"/>
      <c r="X122" s="661">
        <f t="shared" si="319"/>
        <v>0.53750168395366515</v>
      </c>
      <c r="Y122" s="678">
        <f t="shared" si="375"/>
        <v>0</v>
      </c>
      <c r="Z122" s="425">
        <f t="shared" ref="Z122" si="380">SUM(V122/12)</f>
        <v>4.4791806996138765E-2</v>
      </c>
      <c r="AA122" s="1076"/>
      <c r="AB122" s="425">
        <f t="shared" ref="AB122" si="381">SUM(Z122)</f>
        <v>4.4791806996138765E-2</v>
      </c>
      <c r="AC122" s="425">
        <f t="shared" ref="AC122" si="382">SUM(Z122)</f>
        <v>4.4791806996138765E-2</v>
      </c>
      <c r="AD122" s="679">
        <f t="shared" si="376"/>
        <v>0.13437542098841629</v>
      </c>
      <c r="AE122" s="1082"/>
      <c r="AF122" s="1082"/>
      <c r="AG122" s="1082"/>
      <c r="AH122" s="1082"/>
      <c r="AI122" s="1082"/>
      <c r="AJ122" s="680">
        <f t="shared" ref="AJ122" si="383">SUM(Z122)</f>
        <v>4.4791806996138765E-2</v>
      </c>
      <c r="AK122" s="680">
        <f t="shared" ref="AK122" si="384">SUM(Z122)</f>
        <v>4.4791806996138765E-2</v>
      </c>
      <c r="AL122" s="680">
        <f t="shared" ref="AL122" si="385">SUM(Z122)</f>
        <v>4.4791806996138765E-2</v>
      </c>
      <c r="AM122" s="679">
        <f t="shared" si="377"/>
        <v>0.13437542098841629</v>
      </c>
      <c r="AN122" s="679">
        <f t="shared" si="333"/>
        <v>0.26875084197683258</v>
      </c>
      <c r="AO122" s="680">
        <f t="shared" ref="AO122" si="386">SUM(Z122)</f>
        <v>4.4791806996138765E-2</v>
      </c>
      <c r="AP122" s="680">
        <f t="shared" ref="AP122" si="387">SUM(Z122)</f>
        <v>4.4791806996138765E-2</v>
      </c>
      <c r="AQ122" s="680">
        <f t="shared" ref="AQ122" si="388">SUM(Z122)</f>
        <v>4.4791806996138765E-2</v>
      </c>
      <c r="AR122" s="679">
        <f t="shared" si="378"/>
        <v>0.13437542098841629</v>
      </c>
      <c r="AS122" s="679">
        <f t="shared" si="335"/>
        <v>0.40312626296524889</v>
      </c>
      <c r="AT122" s="680">
        <f t="shared" ref="AT122" si="389">SUM(Z122)</f>
        <v>4.4791806996138765E-2</v>
      </c>
      <c r="AU122" s="680">
        <f t="shared" ref="AU122" si="390">SUM(Z122)</f>
        <v>4.4791806996138765E-2</v>
      </c>
      <c r="AV122" s="680">
        <f t="shared" ref="AV122" si="391">SUM(Z122)</f>
        <v>4.4791806996138765E-2</v>
      </c>
      <c r="AW122" s="679">
        <f t="shared" si="379"/>
        <v>0.13437542098841629</v>
      </c>
      <c r="AX122" s="669">
        <f t="shared" si="361"/>
        <v>0.53750168395366515</v>
      </c>
    </row>
    <row r="123" spans="1:50" ht="19.5" hidden="1">
      <c r="A123" s="44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38"/>
      <c r="U123" s="438"/>
      <c r="V123" s="664">
        <f>SUM(V64+V74+V100+V113)</f>
        <v>11755.79772460473</v>
      </c>
      <c r="W123" s="681"/>
      <c r="X123" s="664">
        <f>SUM(X64+X74+X100+X113)</f>
        <v>11695.19538809931</v>
      </c>
      <c r="Y123" s="664">
        <f>SUM(Y64+Y74+Y100+Y113)</f>
        <v>60.602336505419999</v>
      </c>
      <c r="Z123" s="414">
        <f>SUM(Z64+Z74+Z100+Z113)</f>
        <v>989.79003757873875</v>
      </c>
      <c r="AA123" s="1072"/>
      <c r="AB123" s="414">
        <f>SUM(AB64+AB74+AB100+AB113)</f>
        <v>980.2341365006896</v>
      </c>
      <c r="AC123" s="414">
        <f>SUM(AC64+AC74+AC100+AC113)</f>
        <v>976.09571048255566</v>
      </c>
      <c r="AD123" s="672">
        <f t="shared" si="355"/>
        <v>2946.1198845619838</v>
      </c>
      <c r="AE123" s="1079"/>
      <c r="AF123" s="1079"/>
      <c r="AG123" s="1079"/>
      <c r="AH123" s="1079"/>
      <c r="AI123" s="1079"/>
      <c r="AJ123" s="414">
        <f>SUM(AJ64+AJ74+AJ100+AJ113)</f>
        <v>961.88407502519533</v>
      </c>
      <c r="AK123" s="414">
        <f>SUM(AK64+AK74+AK100+AK113)</f>
        <v>936.40253740927494</v>
      </c>
      <c r="AL123" s="414">
        <f>SUM(AL64+AL74+AL100+AL113)</f>
        <v>930.66897430976155</v>
      </c>
      <c r="AM123" s="672">
        <f t="shared" si="356"/>
        <v>2828.9555867442318</v>
      </c>
      <c r="AN123" s="672">
        <f t="shared" si="333"/>
        <v>5775.0754713062161</v>
      </c>
      <c r="AO123" s="414">
        <f>SUM(AO64+AO74+AO100+AO113)</f>
        <v>974.07458770089181</v>
      </c>
      <c r="AP123" s="414">
        <f>SUM(AP64+AP74+AP100+AP113)</f>
        <v>973.09645462035189</v>
      </c>
      <c r="AQ123" s="414">
        <f>SUM(AQ64+AQ74+AQ100+AQ113)</f>
        <v>985.84212684091722</v>
      </c>
      <c r="AR123" s="672">
        <f t="shared" si="358"/>
        <v>2933.0131691621609</v>
      </c>
      <c r="AS123" s="672">
        <f t="shared" si="335"/>
        <v>8708.088640468377</v>
      </c>
      <c r="AT123" s="414">
        <f>SUM(AT64+AT74+AT100+AT113)</f>
        <v>1005.2184191536765</v>
      </c>
      <c r="AU123" s="414">
        <f>SUM(AU64+AU74+AU100+AU113)</f>
        <v>1015.3477851966146</v>
      </c>
      <c r="AV123" s="414">
        <f>SUM(AV64+AV74+AV100+AV113)</f>
        <v>1027.1359780365581</v>
      </c>
      <c r="AW123" s="672">
        <f t="shared" si="360"/>
        <v>3047.702182386849</v>
      </c>
      <c r="AX123" s="669">
        <f t="shared" si="361"/>
        <v>11755.790822855226</v>
      </c>
    </row>
    <row r="124" spans="1:50" ht="19.5" hidden="1">
      <c r="A124" s="445" t="s">
        <v>611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38"/>
      <c r="U124" s="438"/>
      <c r="V124" s="682">
        <f>SUM(V123-V87-V88)</f>
        <v>11755.79772460473</v>
      </c>
      <c r="W124" s="681"/>
      <c r="X124" s="682">
        <f>SUM(X123-X87-X88)</f>
        <v>11695.19538809931</v>
      </c>
      <c r="Y124" s="682">
        <f>SUM(Y123-Y87-Y88)</f>
        <v>60.602336505419999</v>
      </c>
      <c r="Z124" s="683">
        <f>SUM(Z123-Z87-Z88)</f>
        <v>989.79003757873875</v>
      </c>
      <c r="AA124" s="1077"/>
      <c r="AB124" s="683">
        <f>SUM(AB123-AB87-AB88)</f>
        <v>980.2341365006896</v>
      </c>
      <c r="AC124" s="683">
        <f>SUM(AC123-AC87-AC88)</f>
        <v>976.09571048255566</v>
      </c>
      <c r="AD124" s="672">
        <f t="shared" si="355"/>
        <v>2946.1198845619838</v>
      </c>
      <c r="AE124" s="1079"/>
      <c r="AF124" s="1079"/>
      <c r="AG124" s="1079"/>
      <c r="AH124" s="1079"/>
      <c r="AI124" s="1079"/>
      <c r="AJ124" s="683">
        <f>SUM(AJ123-AJ87-AJ88)</f>
        <v>961.88407502519533</v>
      </c>
      <c r="AK124" s="683">
        <f>SUM(AK123-AK87-AK88)</f>
        <v>936.40253740927494</v>
      </c>
      <c r="AL124" s="683">
        <f>SUM(AL123-AL87-AL88)</f>
        <v>930.66897430976155</v>
      </c>
      <c r="AM124" s="672">
        <f t="shared" si="356"/>
        <v>2828.9555867442318</v>
      </c>
      <c r="AN124" s="672">
        <f t="shared" si="333"/>
        <v>5775.0754713062161</v>
      </c>
      <c r="AO124" s="683">
        <f>SUM(AO123-AO87-AO88)</f>
        <v>974.07458770089181</v>
      </c>
      <c r="AP124" s="683">
        <f>SUM(AP123-AP87-AP88)</f>
        <v>973.09645462035189</v>
      </c>
      <c r="AQ124" s="683">
        <f>SUM(AQ123-AQ87-AQ88)</f>
        <v>985.84212684091722</v>
      </c>
      <c r="AR124" s="672">
        <f t="shared" si="358"/>
        <v>2933.0131691621609</v>
      </c>
      <c r="AS124" s="672">
        <f t="shared" si="335"/>
        <v>8708.088640468377</v>
      </c>
      <c r="AT124" s="683">
        <f>SUM(AT123-AT87-AT88)</f>
        <v>1005.2184191536765</v>
      </c>
      <c r="AU124" s="683">
        <f>SUM(AU123-AU87-AU88)</f>
        <v>1015.3477851966146</v>
      </c>
      <c r="AV124" s="683">
        <f>SUM(AV123-AV87-AV88)</f>
        <v>1027.1359780365581</v>
      </c>
      <c r="AW124" s="672">
        <f t="shared" si="360"/>
        <v>3047.702182386849</v>
      </c>
      <c r="AX124" s="669">
        <f t="shared" si="361"/>
        <v>11755.790822855226</v>
      </c>
    </row>
    <row r="125" spans="1:50" hidden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438"/>
      <c r="T125" s="438"/>
      <c r="U125" s="438"/>
      <c r="V125" s="441"/>
      <c r="W125" s="5"/>
      <c r="X125" s="441"/>
      <c r="Y125" s="441"/>
      <c r="Z125" s="441"/>
      <c r="AA125" s="441"/>
      <c r="AB125" s="441"/>
      <c r="AC125" s="441"/>
      <c r="AD125" s="5"/>
      <c r="AE125" s="5"/>
      <c r="AF125" s="5"/>
      <c r="AG125" s="5"/>
      <c r="AH125" s="5"/>
      <c r="AI125" s="5"/>
      <c r="AJ125" s="5"/>
    </row>
    <row r="126" spans="1:50" hidden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438"/>
      <c r="T126" s="438"/>
      <c r="U126" s="438"/>
      <c r="V126" s="441"/>
      <c r="W126" s="5"/>
      <c r="X126" s="441"/>
      <c r="Y126" s="441"/>
      <c r="Z126" s="441"/>
      <c r="AA126" s="441"/>
      <c r="AB126" s="441"/>
      <c r="AC126" s="441"/>
      <c r="AD126" s="5"/>
      <c r="AE126" s="5"/>
      <c r="AF126" s="5"/>
      <c r="AG126" s="5"/>
      <c r="AH126" s="5"/>
      <c r="AI126" s="5"/>
      <c r="AJ126" s="5"/>
    </row>
    <row r="127" spans="1:50" hidden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438"/>
      <c r="T127" s="438"/>
      <c r="U127" s="438"/>
      <c r="V127" s="441"/>
      <c r="W127" s="5"/>
      <c r="X127" s="696"/>
      <c r="Y127" s="696"/>
      <c r="Z127" s="696"/>
      <c r="AA127" s="696"/>
      <c r="AB127" s="441"/>
      <c r="AC127" s="441"/>
      <c r="AD127" s="5"/>
      <c r="AE127" s="5"/>
      <c r="AF127" s="5"/>
      <c r="AG127" s="5"/>
      <c r="AH127" s="5"/>
      <c r="AI127" s="5"/>
      <c r="AJ127" s="5"/>
    </row>
    <row r="128" spans="1:50" hidden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438"/>
      <c r="T128" s="438"/>
      <c r="U128" s="438"/>
      <c r="V128" s="441"/>
      <c r="W128" s="5"/>
      <c r="X128" s="441"/>
      <c r="Y128" s="441"/>
      <c r="Z128" s="441"/>
      <c r="AA128" s="441"/>
      <c r="AB128" s="441"/>
      <c r="AC128" s="441"/>
      <c r="AD128" s="5"/>
      <c r="AE128" s="5"/>
      <c r="AF128" s="5"/>
      <c r="AG128" s="5"/>
      <c r="AH128" s="5"/>
      <c r="AI128" s="5"/>
      <c r="AJ128" s="5"/>
    </row>
    <row r="129" spans="1:36" hidden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438"/>
      <c r="T129" s="438"/>
      <c r="U129" s="438"/>
      <c r="V129" s="441"/>
      <c r="W129" s="5"/>
      <c r="X129" s="441"/>
      <c r="Y129" s="441"/>
      <c r="Z129" s="441"/>
      <c r="AA129" s="441"/>
      <c r="AB129" s="441"/>
      <c r="AC129" s="441"/>
      <c r="AD129" s="5"/>
      <c r="AE129" s="5"/>
      <c r="AF129" s="5"/>
      <c r="AG129" s="5"/>
      <c r="AH129" s="5"/>
      <c r="AI129" s="5"/>
      <c r="AJ129" s="5"/>
    </row>
    <row r="130" spans="1:36" hidden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438"/>
      <c r="T130" s="438"/>
      <c r="U130" s="438"/>
      <c r="V130" s="441"/>
      <c r="W130" s="5"/>
      <c r="X130" s="441"/>
      <c r="Y130" s="441"/>
      <c r="Z130" s="441"/>
      <c r="AA130" s="441"/>
      <c r="AB130" s="441"/>
      <c r="AC130" s="441"/>
      <c r="AD130" s="5"/>
      <c r="AE130" s="5"/>
      <c r="AF130" s="5"/>
      <c r="AG130" s="5"/>
      <c r="AH130" s="5"/>
      <c r="AI130" s="5"/>
      <c r="AJ130" s="5"/>
    </row>
    <row r="131" spans="1:36" ht="18.75" hidden="1">
      <c r="A131" s="5364" t="s">
        <v>649</v>
      </c>
      <c r="B131" s="5365"/>
      <c r="C131" s="5365"/>
      <c r="D131" s="5365"/>
      <c r="E131" s="5365"/>
      <c r="F131" s="5365"/>
      <c r="G131" s="5365"/>
      <c r="H131" s="5365"/>
      <c r="I131" s="5365"/>
      <c r="J131" s="5365"/>
      <c r="K131" s="5365"/>
      <c r="L131" s="5365"/>
      <c r="M131" s="5365"/>
      <c r="N131" s="5365"/>
      <c r="O131" s="5365"/>
      <c r="P131" s="5365"/>
      <c r="Q131" s="5365"/>
      <c r="R131" s="5365"/>
      <c r="S131" s="5365"/>
      <c r="T131" s="5365"/>
      <c r="U131" s="5365"/>
      <c r="V131" s="5365"/>
      <c r="W131" s="5365"/>
      <c r="X131" s="5365"/>
      <c r="Y131" s="5365"/>
      <c r="Z131" s="5366"/>
      <c r="AA131" s="1224"/>
      <c r="AB131" s="441"/>
      <c r="AC131" s="441"/>
      <c r="AD131" s="5"/>
      <c r="AE131" s="5"/>
      <c r="AF131" s="5"/>
      <c r="AG131" s="5"/>
      <c r="AH131" s="5"/>
      <c r="AI131" s="5"/>
      <c r="AJ131" s="5"/>
    </row>
    <row r="132" spans="1:36" ht="18.75" hidden="1">
      <c r="A132" s="689" t="s">
        <v>624</v>
      </c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90" t="s">
        <v>625</v>
      </c>
      <c r="W132" s="690"/>
      <c r="X132" s="690" t="s">
        <v>628</v>
      </c>
      <c r="Y132" s="690" t="s">
        <v>293</v>
      </c>
      <c r="Z132" s="690" t="s">
        <v>44</v>
      </c>
      <c r="AA132" s="1225"/>
      <c r="AB132" s="441"/>
      <c r="AC132" s="441"/>
      <c r="AD132" s="5"/>
      <c r="AE132" s="5"/>
      <c r="AF132" s="5"/>
      <c r="AG132" s="5"/>
      <c r="AH132" s="5"/>
      <c r="AI132" s="5"/>
      <c r="AJ132" s="5"/>
    </row>
    <row r="133" spans="1:36" ht="18.75" hidden="1">
      <c r="A133" s="688" t="s">
        <v>626</v>
      </c>
      <c r="B133" s="688"/>
      <c r="C133" s="688"/>
      <c r="D133" s="688"/>
      <c r="E133" s="688"/>
      <c r="F133" s="688"/>
      <c r="G133" s="688"/>
      <c r="H133" s="688"/>
      <c r="I133" s="688"/>
      <c r="J133" s="688"/>
      <c r="K133" s="688"/>
      <c r="L133" s="688"/>
      <c r="M133" s="688"/>
      <c r="N133" s="688"/>
      <c r="O133" s="688"/>
      <c r="P133" s="688"/>
      <c r="Q133" s="688"/>
      <c r="R133" s="688"/>
      <c r="S133" s="688"/>
      <c r="T133" s="688"/>
      <c r="U133" s="688"/>
      <c r="V133" s="688">
        <v>544342.37</v>
      </c>
      <c r="W133" s="688"/>
      <c r="X133" s="688"/>
      <c r="Y133" s="688">
        <f>SUM(V133:X133)</f>
        <v>544342.37</v>
      </c>
      <c r="Z133" s="691">
        <f>SUM(Y133/Y140)</f>
        <v>0.6974668420563781</v>
      </c>
      <c r="AA133" s="1226"/>
      <c r="AB133" s="441"/>
      <c r="AC133" s="441"/>
      <c r="AD133" s="5"/>
      <c r="AE133" s="5"/>
      <c r="AF133" s="5"/>
      <c r="AG133" s="5"/>
      <c r="AH133" s="5"/>
      <c r="AI133" s="5"/>
      <c r="AJ133" s="5"/>
    </row>
    <row r="134" spans="1:36" ht="18.75" hidden="1">
      <c r="A134" s="688" t="s">
        <v>627</v>
      </c>
      <c r="B134" s="688"/>
      <c r="C134" s="688"/>
      <c r="D134" s="688"/>
      <c r="E134" s="688"/>
      <c r="F134" s="688"/>
      <c r="G134" s="688"/>
      <c r="H134" s="688"/>
      <c r="I134" s="688"/>
      <c r="J134" s="688"/>
      <c r="K134" s="688"/>
      <c r="L134" s="688"/>
      <c r="M134" s="688"/>
      <c r="N134" s="688"/>
      <c r="O134" s="688"/>
      <c r="P134" s="688"/>
      <c r="Q134" s="688"/>
      <c r="R134" s="688"/>
      <c r="S134" s="688"/>
      <c r="T134" s="688"/>
      <c r="U134" s="688"/>
      <c r="V134" s="688">
        <v>164391.41</v>
      </c>
      <c r="W134" s="688"/>
      <c r="X134" s="688"/>
      <c r="Y134" s="688">
        <f t="shared" ref="Y134:Y139" si="392">SUM(V134:X134)</f>
        <v>164391.41</v>
      </c>
      <c r="Z134" s="691">
        <f>SUM(Y134/Y140)</f>
        <v>0.21063500457238943</v>
      </c>
      <c r="AA134" s="1226"/>
      <c r="AB134" s="441"/>
      <c r="AC134" s="441"/>
      <c r="AD134" s="5"/>
      <c r="AE134" s="5"/>
      <c r="AF134" s="5"/>
      <c r="AG134" s="5"/>
      <c r="AH134" s="5"/>
      <c r="AI134" s="5"/>
      <c r="AJ134" s="5"/>
    </row>
    <row r="135" spans="1:36" ht="18.75" hidden="1">
      <c r="A135" s="688" t="s">
        <v>629</v>
      </c>
      <c r="B135" s="688"/>
      <c r="C135" s="688"/>
      <c r="D135" s="688"/>
      <c r="E135" s="688"/>
      <c r="F135" s="688"/>
      <c r="G135" s="688"/>
      <c r="H135" s="688"/>
      <c r="I135" s="688"/>
      <c r="J135" s="688"/>
      <c r="K135" s="688"/>
      <c r="L135" s="688"/>
      <c r="M135" s="688"/>
      <c r="N135" s="688"/>
      <c r="O135" s="688"/>
      <c r="P135" s="688"/>
      <c r="Q135" s="688"/>
      <c r="R135" s="688"/>
      <c r="S135" s="688"/>
      <c r="T135" s="688"/>
      <c r="U135" s="688"/>
      <c r="V135" s="688"/>
      <c r="W135" s="688"/>
      <c r="X135" s="688">
        <v>3667.86</v>
      </c>
      <c r="Y135" s="688">
        <f t="shared" si="392"/>
        <v>3667.86</v>
      </c>
      <c r="Z135" s="691">
        <f>SUM(Y135/Y140)</f>
        <v>4.6996355093668479E-3</v>
      </c>
      <c r="AA135" s="1226"/>
      <c r="AB135" s="441"/>
      <c r="AC135" s="441"/>
      <c r="AD135" s="5"/>
      <c r="AE135" s="5"/>
      <c r="AF135" s="5"/>
      <c r="AG135" s="5"/>
      <c r="AH135" s="5"/>
      <c r="AI135" s="5"/>
      <c r="AJ135" s="5"/>
    </row>
    <row r="136" spans="1:36" ht="18.75" hidden="1">
      <c r="A136" s="688" t="s">
        <v>606</v>
      </c>
      <c r="B136" s="688"/>
      <c r="C136" s="688"/>
      <c r="D136" s="688"/>
      <c r="E136" s="688"/>
      <c r="F136" s="688"/>
      <c r="G136" s="688"/>
      <c r="H136" s="688"/>
      <c r="I136" s="688"/>
      <c r="J136" s="688"/>
      <c r="K136" s="688"/>
      <c r="L136" s="688"/>
      <c r="M136" s="688"/>
      <c r="N136" s="688"/>
      <c r="O136" s="688"/>
      <c r="P136" s="688"/>
      <c r="Q136" s="688"/>
      <c r="R136" s="688"/>
      <c r="S136" s="688"/>
      <c r="T136" s="688"/>
      <c r="U136" s="688"/>
      <c r="V136" s="688"/>
      <c r="W136" s="688"/>
      <c r="X136" s="688">
        <v>16761.7</v>
      </c>
      <c r="Y136" s="688">
        <f t="shared" si="392"/>
        <v>16761.7</v>
      </c>
      <c r="Z136" s="691">
        <f>SUM(Y136/Y140)</f>
        <v>2.1476795874802827E-2</v>
      </c>
      <c r="AA136" s="1226"/>
      <c r="AB136" s="441"/>
      <c r="AC136" s="441"/>
      <c r="AD136" s="5"/>
      <c r="AE136" s="5"/>
      <c r="AF136" s="5"/>
      <c r="AG136" s="5"/>
      <c r="AH136" s="5"/>
      <c r="AI136" s="5"/>
      <c r="AJ136" s="5"/>
    </row>
    <row r="137" spans="1:36" ht="18.75" hidden="1">
      <c r="A137" s="688" t="s">
        <v>630</v>
      </c>
      <c r="B137" s="688"/>
      <c r="C137" s="688"/>
      <c r="D137" s="688"/>
      <c r="E137" s="688"/>
      <c r="F137" s="688"/>
      <c r="G137" s="688"/>
      <c r="H137" s="688"/>
      <c r="I137" s="688"/>
      <c r="J137" s="688"/>
      <c r="K137" s="688"/>
      <c r="L137" s="688"/>
      <c r="M137" s="688"/>
      <c r="N137" s="688"/>
      <c r="O137" s="688"/>
      <c r="P137" s="688"/>
      <c r="Q137" s="688"/>
      <c r="R137" s="688"/>
      <c r="S137" s="688"/>
      <c r="T137" s="688"/>
      <c r="U137" s="688"/>
      <c r="V137" s="688"/>
      <c r="W137" s="688"/>
      <c r="X137" s="688">
        <v>25135.3</v>
      </c>
      <c r="Y137" s="688">
        <f t="shared" si="392"/>
        <v>25135.3</v>
      </c>
      <c r="Z137" s="691">
        <f>SUM(Y137/Y140)</f>
        <v>3.2205904374373207E-2</v>
      </c>
      <c r="AA137" s="1226"/>
      <c r="AB137" s="441"/>
      <c r="AC137" s="441"/>
      <c r="AD137" s="5"/>
      <c r="AE137" s="5"/>
      <c r="AF137" s="5"/>
      <c r="AG137" s="5"/>
      <c r="AH137" s="5"/>
      <c r="AI137" s="5"/>
      <c r="AJ137" s="5"/>
    </row>
    <row r="138" spans="1:36" ht="18.75" hidden="1">
      <c r="A138" s="688" t="s">
        <v>34</v>
      </c>
      <c r="B138" s="688"/>
      <c r="C138" s="688"/>
      <c r="D138" s="688"/>
      <c r="E138" s="688"/>
      <c r="F138" s="688"/>
      <c r="G138" s="688"/>
      <c r="H138" s="688"/>
      <c r="I138" s="688"/>
      <c r="J138" s="688"/>
      <c r="K138" s="688"/>
      <c r="L138" s="688"/>
      <c r="M138" s="688"/>
      <c r="N138" s="688"/>
      <c r="O138" s="688"/>
      <c r="P138" s="688"/>
      <c r="Q138" s="688"/>
      <c r="R138" s="688"/>
      <c r="S138" s="688"/>
      <c r="T138" s="688"/>
      <c r="U138" s="688"/>
      <c r="V138" s="688"/>
      <c r="W138" s="688"/>
      <c r="X138" s="688">
        <v>10460.129999999999</v>
      </c>
      <c r="Y138" s="688">
        <f t="shared" si="392"/>
        <v>10460.129999999999</v>
      </c>
      <c r="Z138" s="691">
        <f>SUM(Y138/Y140)</f>
        <v>1.3402583081304478E-2</v>
      </c>
      <c r="AA138" s="1226"/>
      <c r="AB138" s="441"/>
      <c r="AC138" s="441"/>
      <c r="AD138" s="5"/>
      <c r="AE138" s="5"/>
      <c r="AF138" s="5"/>
      <c r="AG138" s="5"/>
      <c r="AH138" s="5"/>
      <c r="AI138" s="5"/>
      <c r="AJ138" s="5"/>
    </row>
    <row r="139" spans="1:36" ht="18.75" hidden="1">
      <c r="A139" s="688" t="s">
        <v>52</v>
      </c>
      <c r="B139" s="688"/>
      <c r="C139" s="688"/>
      <c r="D139" s="688"/>
      <c r="E139" s="688"/>
      <c r="F139" s="688"/>
      <c r="G139" s="688"/>
      <c r="H139" s="688"/>
      <c r="I139" s="688"/>
      <c r="J139" s="688"/>
      <c r="K139" s="688"/>
      <c r="L139" s="688"/>
      <c r="M139" s="688"/>
      <c r="N139" s="688"/>
      <c r="O139" s="688"/>
      <c r="P139" s="688"/>
      <c r="Q139" s="688"/>
      <c r="R139" s="688"/>
      <c r="S139" s="688"/>
      <c r="T139" s="688"/>
      <c r="U139" s="688"/>
      <c r="V139" s="688"/>
      <c r="W139" s="688"/>
      <c r="X139" s="688">
        <v>15697.5</v>
      </c>
      <c r="Y139" s="688">
        <f t="shared" si="392"/>
        <v>15697.5</v>
      </c>
      <c r="Z139" s="691">
        <f>SUM(Y139/Y140)</f>
        <v>2.0113234531385082E-2</v>
      </c>
      <c r="AA139" s="1226"/>
      <c r="AB139" s="441"/>
      <c r="AC139" s="441"/>
      <c r="AD139" s="5"/>
      <c r="AE139" s="5"/>
      <c r="AF139" s="5"/>
      <c r="AG139" s="5"/>
      <c r="AH139" s="5"/>
      <c r="AI139" s="5"/>
      <c r="AJ139" s="5"/>
    </row>
    <row r="140" spans="1:36" ht="18.75" hidden="1">
      <c r="A140" s="689" t="s">
        <v>632</v>
      </c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  <c r="L140" s="689"/>
      <c r="M140" s="689"/>
      <c r="N140" s="689"/>
      <c r="O140" s="689"/>
      <c r="P140" s="689"/>
      <c r="Q140" s="689"/>
      <c r="R140" s="689"/>
      <c r="S140" s="689"/>
      <c r="T140" s="689"/>
      <c r="U140" s="689"/>
      <c r="V140" s="689">
        <f>SUM(V133:V139)</f>
        <v>708733.78</v>
      </c>
      <c r="W140" s="689"/>
      <c r="X140" s="689">
        <f>SUM(X133:X139)</f>
        <v>71722.489999999991</v>
      </c>
      <c r="Y140" s="689">
        <f>SUM(Y133:Y139)</f>
        <v>780456.27</v>
      </c>
      <c r="Z140" s="692">
        <f>SUM(Z133:Z139)</f>
        <v>1</v>
      </c>
      <c r="AA140" s="1227"/>
      <c r="AB140" s="441"/>
      <c r="AC140" s="441"/>
      <c r="AD140" s="5"/>
      <c r="AE140" s="5"/>
      <c r="AF140" s="5"/>
      <c r="AG140" s="5"/>
      <c r="AH140" s="5"/>
      <c r="AI140" s="5"/>
      <c r="AJ140" s="5"/>
    </row>
    <row r="141" spans="1:36" ht="18.75" hidden="1">
      <c r="A141" s="689" t="s">
        <v>633</v>
      </c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  <c r="L141" s="689"/>
      <c r="M141" s="689"/>
      <c r="N141" s="689"/>
      <c r="O141" s="689"/>
      <c r="P141" s="689"/>
      <c r="Q141" s="689"/>
      <c r="R141" s="689"/>
      <c r="S141" s="689"/>
      <c r="T141" s="689"/>
      <c r="U141" s="689"/>
      <c r="V141" s="693" t="s">
        <v>635</v>
      </c>
      <c r="W141" s="693"/>
      <c r="X141" s="693" t="s">
        <v>634</v>
      </c>
      <c r="Y141" s="693" t="s">
        <v>293</v>
      </c>
      <c r="Z141" s="693" t="s">
        <v>44</v>
      </c>
      <c r="AA141" s="1225"/>
      <c r="AB141" s="441"/>
      <c r="AC141" s="441"/>
      <c r="AD141" s="5"/>
      <c r="AE141" s="5"/>
      <c r="AF141" s="5"/>
      <c r="AG141" s="5"/>
      <c r="AH141" s="5"/>
      <c r="AI141" s="5"/>
      <c r="AJ141" s="5"/>
    </row>
    <row r="142" spans="1:36" ht="18.75" hidden="1">
      <c r="A142" s="688" t="s">
        <v>626</v>
      </c>
      <c r="B142" s="688"/>
      <c r="C142" s="688"/>
      <c r="D142" s="688"/>
      <c r="E142" s="688"/>
      <c r="F142" s="688"/>
      <c r="G142" s="688"/>
      <c r="H142" s="688"/>
      <c r="I142" s="688"/>
      <c r="J142" s="688"/>
      <c r="K142" s="688"/>
      <c r="L142" s="688"/>
      <c r="M142" s="688"/>
      <c r="N142" s="688"/>
      <c r="O142" s="688"/>
      <c r="P142" s="688"/>
      <c r="Q142" s="688"/>
      <c r="R142" s="688"/>
      <c r="S142" s="688"/>
      <c r="T142" s="688"/>
      <c r="U142" s="688"/>
      <c r="V142" s="688">
        <v>2420280.5099999998</v>
      </c>
      <c r="W142" s="688"/>
      <c r="X142" s="688"/>
      <c r="Y142" s="688">
        <f>SUM(V142:X142)</f>
        <v>2420280.5099999998</v>
      </c>
      <c r="Z142" s="691">
        <f>SUM(Y142/Y164)</f>
        <v>0.46536359043589531</v>
      </c>
      <c r="AA142" s="1226"/>
      <c r="AB142" s="441"/>
      <c r="AC142" s="441"/>
      <c r="AD142" s="5"/>
      <c r="AE142" s="5"/>
      <c r="AF142" s="5"/>
      <c r="AG142" s="5"/>
      <c r="AH142" s="5"/>
      <c r="AI142" s="5"/>
      <c r="AJ142" s="5"/>
    </row>
    <row r="143" spans="1:36" ht="18.75" hidden="1">
      <c r="A143" s="688" t="s">
        <v>627</v>
      </c>
      <c r="B143" s="688"/>
      <c r="C143" s="688"/>
      <c r="D143" s="688"/>
      <c r="E143" s="688"/>
      <c r="F143" s="688"/>
      <c r="G143" s="688"/>
      <c r="H143" s="688"/>
      <c r="I143" s="688"/>
      <c r="J143" s="688"/>
      <c r="K143" s="688"/>
      <c r="L143" s="688"/>
      <c r="M143" s="688"/>
      <c r="N143" s="688"/>
      <c r="O143" s="688"/>
      <c r="P143" s="688"/>
      <c r="Q143" s="688"/>
      <c r="R143" s="688"/>
      <c r="S143" s="688"/>
      <c r="T143" s="688"/>
      <c r="U143" s="688"/>
      <c r="V143" s="688">
        <v>724985.49</v>
      </c>
      <c r="W143" s="688"/>
      <c r="X143" s="688"/>
      <c r="Y143" s="688">
        <f t="shared" ref="Y143:Y163" si="393">SUM(V143:X143)</f>
        <v>724985.49</v>
      </c>
      <c r="Z143" s="691">
        <f>SUM(Y143/Y164)</f>
        <v>0.1393978298161509</v>
      </c>
      <c r="AA143" s="1226"/>
      <c r="AB143" s="441"/>
      <c r="AC143" s="441"/>
      <c r="AD143" s="5"/>
      <c r="AE143" s="5"/>
      <c r="AF143" s="5"/>
      <c r="AG143" s="5"/>
      <c r="AH143" s="5"/>
      <c r="AI143" s="5"/>
      <c r="AJ143" s="5"/>
    </row>
    <row r="144" spans="1:36" ht="18.75" hidden="1">
      <c r="A144" s="688" t="s">
        <v>608</v>
      </c>
      <c r="B144" s="688"/>
      <c r="C144" s="688"/>
      <c r="D144" s="688"/>
      <c r="E144" s="688"/>
      <c r="F144" s="688"/>
      <c r="G144" s="688"/>
      <c r="H144" s="688"/>
      <c r="I144" s="688"/>
      <c r="J144" s="688"/>
      <c r="K144" s="688"/>
      <c r="L144" s="688"/>
      <c r="M144" s="688"/>
      <c r="N144" s="688"/>
      <c r="O144" s="688"/>
      <c r="P144" s="688"/>
      <c r="Q144" s="688"/>
      <c r="R144" s="688"/>
      <c r="S144" s="688"/>
      <c r="T144" s="688"/>
      <c r="U144" s="688"/>
      <c r="V144" s="688"/>
      <c r="W144" s="688"/>
      <c r="X144" s="688">
        <v>75600</v>
      </c>
      <c r="Y144" s="688">
        <f t="shared" si="393"/>
        <v>75600</v>
      </c>
      <c r="Z144" s="691">
        <f>SUM(Y144/Y164)</f>
        <v>1.4536119797516235E-2</v>
      </c>
      <c r="AA144" s="1226"/>
      <c r="AB144" s="441"/>
      <c r="AC144" s="441"/>
      <c r="AD144" s="5"/>
      <c r="AE144" s="5"/>
      <c r="AF144" s="5"/>
      <c r="AG144" s="5"/>
      <c r="AH144" s="5"/>
      <c r="AI144" s="5"/>
      <c r="AJ144" s="5"/>
    </row>
    <row r="145" spans="1:36" ht="18.75" hidden="1">
      <c r="A145" s="688" t="s">
        <v>636</v>
      </c>
      <c r="B145" s="688"/>
      <c r="C145" s="688"/>
      <c r="D145" s="688"/>
      <c r="E145" s="688"/>
      <c r="F145" s="688"/>
      <c r="G145" s="688"/>
      <c r="H145" s="688"/>
      <c r="I145" s="688"/>
      <c r="J145" s="688"/>
      <c r="K145" s="688"/>
      <c r="L145" s="688"/>
      <c r="M145" s="688"/>
      <c r="N145" s="688"/>
      <c r="O145" s="688"/>
      <c r="P145" s="688"/>
      <c r="Q145" s="688"/>
      <c r="R145" s="688"/>
      <c r="S145" s="688"/>
      <c r="T145" s="688"/>
      <c r="U145" s="688"/>
      <c r="V145" s="688"/>
      <c r="W145" s="688"/>
      <c r="X145" s="688">
        <v>300</v>
      </c>
      <c r="Y145" s="688">
        <f t="shared" si="393"/>
        <v>300</v>
      </c>
      <c r="Z145" s="691">
        <f>SUM(Y145/Y164)</f>
        <v>5.768301506950887E-5</v>
      </c>
      <c r="AA145" s="1226"/>
      <c r="AB145" s="441"/>
      <c r="AC145" s="441"/>
      <c r="AD145" s="5"/>
      <c r="AE145" s="5"/>
      <c r="AF145" s="5"/>
      <c r="AG145" s="5"/>
      <c r="AH145" s="5"/>
      <c r="AI145" s="5"/>
      <c r="AJ145" s="5"/>
    </row>
    <row r="146" spans="1:36" ht="18.75" hidden="1">
      <c r="A146" s="688" t="s">
        <v>32</v>
      </c>
      <c r="B146" s="688"/>
      <c r="C146" s="688"/>
      <c r="D146" s="688"/>
      <c r="E146" s="688"/>
      <c r="F146" s="688"/>
      <c r="G146" s="688"/>
      <c r="H146" s="688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>
        <v>15305</v>
      </c>
      <c r="Y146" s="688">
        <f t="shared" si="393"/>
        <v>15305</v>
      </c>
      <c r="Z146" s="691">
        <f>SUM(Y146/Y164)</f>
        <v>2.9427951521294442E-3</v>
      </c>
      <c r="AA146" s="1226"/>
      <c r="AB146" s="441"/>
      <c r="AC146" s="441"/>
      <c r="AD146" s="5"/>
      <c r="AE146" s="5"/>
      <c r="AF146" s="5"/>
      <c r="AG146" s="5"/>
      <c r="AH146" s="5"/>
      <c r="AI146" s="5"/>
      <c r="AJ146" s="5"/>
    </row>
    <row r="147" spans="1:36" ht="18.75" hidden="1">
      <c r="A147" s="688" t="s">
        <v>76</v>
      </c>
      <c r="B147" s="688"/>
      <c r="C147" s="688"/>
      <c r="D147" s="688"/>
      <c r="E147" s="688"/>
      <c r="F147" s="688"/>
      <c r="G147" s="688"/>
      <c r="H147" s="688"/>
      <c r="I147" s="688"/>
      <c r="J147" s="688"/>
      <c r="K147" s="688"/>
      <c r="L147" s="688"/>
      <c r="M147" s="688"/>
      <c r="N147" s="688"/>
      <c r="O147" s="688"/>
      <c r="P147" s="688"/>
      <c r="Q147" s="688"/>
      <c r="R147" s="688"/>
      <c r="S147" s="688"/>
      <c r="T147" s="688"/>
      <c r="U147" s="688"/>
      <c r="V147" s="688"/>
      <c r="W147" s="688"/>
      <c r="X147" s="688">
        <v>129</v>
      </c>
      <c r="Y147" s="688">
        <f t="shared" si="393"/>
        <v>129</v>
      </c>
      <c r="Z147" s="694">
        <f>SUM(Y147/Y164)</f>
        <v>2.4803696479888814E-5</v>
      </c>
      <c r="AA147" s="1228"/>
      <c r="AB147" s="441"/>
      <c r="AC147" s="441"/>
      <c r="AD147" s="5"/>
      <c r="AE147" s="5"/>
      <c r="AF147" s="5"/>
      <c r="AG147" s="5"/>
      <c r="AH147" s="5"/>
      <c r="AI147" s="5"/>
      <c r="AJ147" s="5"/>
    </row>
    <row r="148" spans="1:36" ht="18.75" hidden="1">
      <c r="A148" s="688" t="s">
        <v>650</v>
      </c>
      <c r="B148" s="688"/>
      <c r="C148" s="688"/>
      <c r="D148" s="688"/>
      <c r="E148" s="688"/>
      <c r="F148" s="688"/>
      <c r="G148" s="688"/>
      <c r="H148" s="688"/>
      <c r="I148" s="688"/>
      <c r="J148" s="688"/>
      <c r="K148" s="688"/>
      <c r="L148" s="688"/>
      <c r="M148" s="688"/>
      <c r="N148" s="688"/>
      <c r="O148" s="688"/>
      <c r="P148" s="688"/>
      <c r="Q148" s="688"/>
      <c r="R148" s="688"/>
      <c r="S148" s="688"/>
      <c r="T148" s="688"/>
      <c r="U148" s="688"/>
      <c r="V148" s="688"/>
      <c r="W148" s="688"/>
      <c r="X148" s="688">
        <v>3814.4</v>
      </c>
      <c r="Y148" s="688">
        <f t="shared" si="393"/>
        <v>3814.4</v>
      </c>
      <c r="Z148" s="691">
        <f>SUM(Y148/Y164)</f>
        <v>7.3342030893711551E-4</v>
      </c>
      <c r="AA148" s="1226"/>
      <c r="AB148" s="441"/>
      <c r="AC148" s="441"/>
      <c r="AD148" s="5"/>
      <c r="AE148" s="5"/>
      <c r="AF148" s="5"/>
      <c r="AG148" s="5"/>
      <c r="AH148" s="5"/>
      <c r="AI148" s="5"/>
      <c r="AJ148" s="5"/>
    </row>
    <row r="149" spans="1:36" ht="18.75" hidden="1">
      <c r="A149" s="688" t="s">
        <v>637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>
        <v>642468.41</v>
      </c>
      <c r="Y149" s="688">
        <v>0</v>
      </c>
      <c r="Z149" s="691">
        <f>SUM(Y149/Y164)</f>
        <v>0</v>
      </c>
      <c r="AA149" s="1226"/>
      <c r="AB149" s="441"/>
      <c r="AC149" s="441"/>
      <c r="AD149" s="5"/>
      <c r="AE149" s="5"/>
      <c r="AF149" s="5"/>
      <c r="AG149" s="5"/>
      <c r="AH149" s="5"/>
      <c r="AI149" s="5"/>
      <c r="AJ149" s="5"/>
    </row>
    <row r="150" spans="1:36" ht="18.75" hidden="1">
      <c r="A150" s="688" t="s">
        <v>638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>
        <v>507107.49</v>
      </c>
      <c r="Y150" s="688">
        <f t="shared" si="393"/>
        <v>507107.49</v>
      </c>
      <c r="Z150" s="691">
        <f>SUM(Y150/Y164)</f>
        <v>9.75049632917694E-2</v>
      </c>
      <c r="AA150" s="1226"/>
      <c r="AB150" s="441"/>
      <c r="AC150" s="441"/>
      <c r="AD150" s="5"/>
      <c r="AE150" s="5"/>
      <c r="AF150" s="5"/>
      <c r="AG150" s="5"/>
      <c r="AH150" s="5"/>
      <c r="AI150" s="5"/>
      <c r="AJ150" s="5"/>
    </row>
    <row r="151" spans="1:36" ht="18.75" hidden="1">
      <c r="A151" s="688" t="s">
        <v>42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688"/>
      <c r="X151" s="688">
        <v>29333.21</v>
      </c>
      <c r="Y151" s="688">
        <f t="shared" si="393"/>
        <v>29333.21</v>
      </c>
      <c r="Z151" s="691">
        <f>SUM(Y151/Y164)</f>
        <v>5.6400933148902273E-3</v>
      </c>
      <c r="AA151" s="1226"/>
      <c r="AB151" s="441"/>
      <c r="AC151" s="441"/>
      <c r="AD151" s="5"/>
      <c r="AE151" s="5"/>
      <c r="AF151" s="5"/>
      <c r="AG151" s="5"/>
      <c r="AH151" s="5"/>
      <c r="AI151" s="5"/>
      <c r="AJ151" s="5"/>
    </row>
    <row r="152" spans="1:36" ht="18.75" hidden="1">
      <c r="A152" s="688" t="s">
        <v>609</v>
      </c>
      <c r="B152" s="688"/>
      <c r="C152" s="688"/>
      <c r="D152" s="688"/>
      <c r="E152" s="688"/>
      <c r="F152" s="688"/>
      <c r="G152" s="688"/>
      <c r="H152" s="688"/>
      <c r="I152" s="688"/>
      <c r="J152" s="688"/>
      <c r="K152" s="688"/>
      <c r="L152" s="688"/>
      <c r="M152" s="688"/>
      <c r="N152" s="688"/>
      <c r="O152" s="688"/>
      <c r="P152" s="688"/>
      <c r="Q152" s="688"/>
      <c r="R152" s="688"/>
      <c r="S152" s="688"/>
      <c r="T152" s="688"/>
      <c r="U152" s="688"/>
      <c r="V152" s="688"/>
      <c r="W152" s="688"/>
      <c r="X152" s="688">
        <v>50424.09</v>
      </c>
      <c r="Y152" s="688">
        <f t="shared" si="393"/>
        <v>50424.09</v>
      </c>
      <c r="Z152" s="691">
        <f>SUM(Y152/Y164)</f>
        <v>9.6953784777875709E-3</v>
      </c>
      <c r="AA152" s="1226"/>
      <c r="AB152" s="441"/>
      <c r="AC152" s="441"/>
      <c r="AD152" s="5"/>
      <c r="AE152" s="5"/>
      <c r="AF152" s="5"/>
      <c r="AG152" s="5"/>
      <c r="AH152" s="5"/>
      <c r="AI152" s="5"/>
      <c r="AJ152" s="5"/>
    </row>
    <row r="153" spans="1:36" ht="18.75" hidden="1">
      <c r="A153" s="688" t="s">
        <v>639</v>
      </c>
      <c r="B153" s="688"/>
      <c r="C153" s="688"/>
      <c r="D153" s="688"/>
      <c r="E153" s="688"/>
      <c r="F153" s="688"/>
      <c r="G153" s="688"/>
      <c r="H153" s="688"/>
      <c r="I153" s="688"/>
      <c r="J153" s="688"/>
      <c r="K153" s="688"/>
      <c r="L153" s="688"/>
      <c r="M153" s="688"/>
      <c r="N153" s="688"/>
      <c r="O153" s="688"/>
      <c r="P153" s="688"/>
      <c r="Q153" s="688"/>
      <c r="R153" s="688"/>
      <c r="S153" s="688"/>
      <c r="T153" s="688"/>
      <c r="U153" s="688"/>
      <c r="V153" s="688"/>
      <c r="W153" s="688"/>
      <c r="X153" s="688">
        <v>278861.53999999998</v>
      </c>
      <c r="Y153" s="688">
        <f t="shared" si="393"/>
        <v>278861.53999999998</v>
      </c>
      <c r="Z153" s="691">
        <f>SUM(Y153/Y164)</f>
        <v>5.3618581380421498E-2</v>
      </c>
      <c r="AA153" s="1226"/>
      <c r="AB153" s="441"/>
      <c r="AC153" s="441"/>
      <c r="AD153" s="5"/>
      <c r="AE153" s="5"/>
      <c r="AF153" s="5"/>
      <c r="AG153" s="5"/>
      <c r="AH153" s="5"/>
      <c r="AI153" s="5"/>
      <c r="AJ153" s="5"/>
    </row>
    <row r="154" spans="1:36" ht="18.75" hidden="1">
      <c r="A154" s="688" t="s">
        <v>640</v>
      </c>
      <c r="B154" s="688"/>
      <c r="C154" s="688"/>
      <c r="D154" s="688"/>
      <c r="E154" s="688"/>
      <c r="F154" s="688"/>
      <c r="G154" s="688"/>
      <c r="H154" s="688"/>
      <c r="I154" s="688"/>
      <c r="J154" s="688"/>
      <c r="K154" s="688"/>
      <c r="L154" s="688"/>
      <c r="M154" s="688"/>
      <c r="N154" s="688"/>
      <c r="O154" s="688"/>
      <c r="P154" s="688"/>
      <c r="Q154" s="688"/>
      <c r="R154" s="688"/>
      <c r="S154" s="688"/>
      <c r="T154" s="688"/>
      <c r="U154" s="688"/>
      <c r="V154" s="688"/>
      <c r="W154" s="688"/>
      <c r="X154" s="688">
        <v>73375.820000000007</v>
      </c>
      <c r="Y154" s="688">
        <f t="shared" si="393"/>
        <v>73375.820000000007</v>
      </c>
      <c r="Z154" s="691">
        <f>SUM(Y154/Y164)</f>
        <v>1.4108461769325236E-2</v>
      </c>
      <c r="AA154" s="1226"/>
      <c r="AB154" s="441"/>
      <c r="AC154" s="441"/>
      <c r="AD154" s="5"/>
      <c r="AE154" s="5"/>
      <c r="AF154" s="5"/>
      <c r="AG154" s="5"/>
      <c r="AH154" s="5"/>
      <c r="AI154" s="5"/>
      <c r="AJ154" s="5"/>
    </row>
    <row r="155" spans="1:36" ht="18.75" hidden="1">
      <c r="A155" s="688" t="s">
        <v>643</v>
      </c>
      <c r="B155" s="688"/>
      <c r="C155" s="688"/>
      <c r="D155" s="688"/>
      <c r="E155" s="688"/>
      <c r="F155" s="688"/>
      <c r="G155" s="688"/>
      <c r="H155" s="688"/>
      <c r="I155" s="688"/>
      <c r="J155" s="688"/>
      <c r="K155" s="688"/>
      <c r="L155" s="688"/>
      <c r="M155" s="688"/>
      <c r="N155" s="688"/>
      <c r="O155" s="688"/>
      <c r="P155" s="688"/>
      <c r="Q155" s="688"/>
      <c r="R155" s="688"/>
      <c r="S155" s="688"/>
      <c r="T155" s="688"/>
      <c r="U155" s="688"/>
      <c r="V155" s="688"/>
      <c r="W155" s="688"/>
      <c r="X155" s="688">
        <v>217500.95</v>
      </c>
      <c r="Y155" s="688">
        <f t="shared" si="393"/>
        <v>217500.95</v>
      </c>
      <c r="Z155" s="691">
        <f>SUM(Y155/Y164)</f>
        <v>4.1820368588274988E-2</v>
      </c>
      <c r="AA155" s="1226"/>
      <c r="AB155" s="441"/>
      <c r="AC155" s="441"/>
      <c r="AD155" s="5"/>
      <c r="AE155" s="5"/>
      <c r="AF155" s="5"/>
      <c r="AG155" s="5"/>
      <c r="AH155" s="5"/>
      <c r="AI155" s="5"/>
      <c r="AJ155" s="5"/>
    </row>
    <row r="156" spans="1:36" ht="18.75" hidden="1">
      <c r="A156" s="688" t="s">
        <v>613</v>
      </c>
      <c r="B156" s="688"/>
      <c r="C156" s="688"/>
      <c r="D156" s="688"/>
      <c r="E156" s="688"/>
      <c r="F156" s="688"/>
      <c r="G156" s="688"/>
      <c r="H156" s="688"/>
      <c r="I156" s="688"/>
      <c r="J156" s="688"/>
      <c r="K156" s="688"/>
      <c r="L156" s="688"/>
      <c r="M156" s="688"/>
      <c r="N156" s="688"/>
      <c r="O156" s="688"/>
      <c r="P156" s="688"/>
      <c r="Q156" s="688"/>
      <c r="R156" s="688"/>
      <c r="S156" s="688"/>
      <c r="T156" s="688"/>
      <c r="U156" s="688"/>
      <c r="V156" s="688"/>
      <c r="W156" s="688"/>
      <c r="X156" s="688">
        <v>45758.37</v>
      </c>
      <c r="Y156" s="688">
        <v>0</v>
      </c>
      <c r="Z156" s="691">
        <f>SUM(Y156/Y164)</f>
        <v>0</v>
      </c>
      <c r="AA156" s="1226"/>
      <c r="AB156" s="441"/>
      <c r="AC156" s="441"/>
      <c r="AD156" s="5"/>
      <c r="AE156" s="5"/>
      <c r="AF156" s="5"/>
      <c r="AG156" s="5"/>
      <c r="AH156" s="5"/>
      <c r="AI156" s="5"/>
      <c r="AJ156" s="5"/>
    </row>
    <row r="157" spans="1:36" ht="18.75" hidden="1">
      <c r="A157" s="688" t="s">
        <v>629</v>
      </c>
      <c r="B157" s="688"/>
      <c r="C157" s="688"/>
      <c r="D157" s="688"/>
      <c r="E157" s="688"/>
      <c r="F157" s="688"/>
      <c r="G157" s="688"/>
      <c r="H157" s="688"/>
      <c r="I157" s="688"/>
      <c r="J157" s="688"/>
      <c r="K157" s="688"/>
      <c r="L157" s="688"/>
      <c r="M157" s="688"/>
      <c r="N157" s="688"/>
      <c r="O157" s="688"/>
      <c r="P157" s="688"/>
      <c r="Q157" s="688"/>
      <c r="R157" s="688"/>
      <c r="S157" s="688"/>
      <c r="T157" s="688"/>
      <c r="U157" s="688"/>
      <c r="V157" s="688"/>
      <c r="W157" s="688"/>
      <c r="X157" s="688">
        <v>20840.04</v>
      </c>
      <c r="Y157" s="688">
        <f t="shared" si="393"/>
        <v>20840.04</v>
      </c>
      <c r="Z157" s="691">
        <f>SUM(Y157/Y164)</f>
        <v>4.0070544712305593E-3</v>
      </c>
      <c r="AA157" s="1226"/>
      <c r="AB157" s="441"/>
      <c r="AC157" s="441"/>
      <c r="AD157" s="5"/>
      <c r="AE157" s="5"/>
      <c r="AF157" s="5"/>
      <c r="AG157" s="5"/>
      <c r="AH157" s="5"/>
      <c r="AI157" s="5"/>
      <c r="AJ157" s="5"/>
    </row>
    <row r="158" spans="1:36" ht="18.75" hidden="1">
      <c r="A158" s="688" t="s">
        <v>606</v>
      </c>
      <c r="B158" s="688"/>
      <c r="C158" s="688"/>
      <c r="D158" s="688"/>
      <c r="E158" s="688"/>
      <c r="F158" s="688"/>
      <c r="G158" s="688"/>
      <c r="H158" s="688"/>
      <c r="I158" s="688"/>
      <c r="J158" s="688"/>
      <c r="K158" s="688"/>
      <c r="L158" s="688"/>
      <c r="M158" s="688"/>
      <c r="N158" s="688"/>
      <c r="O158" s="688"/>
      <c r="P158" s="688"/>
      <c r="Q158" s="688"/>
      <c r="R158" s="688"/>
      <c r="S158" s="688"/>
      <c r="T158" s="688"/>
      <c r="U158" s="688"/>
      <c r="V158" s="688"/>
      <c r="W158" s="688"/>
      <c r="X158" s="688">
        <v>461471.7</v>
      </c>
      <c r="Y158" s="688">
        <f t="shared" si="393"/>
        <v>461471.7</v>
      </c>
      <c r="Z158" s="691">
        <f>SUM(Y158/Y164)</f>
        <v>8.8730263417506255E-2</v>
      </c>
      <c r="AA158" s="1226"/>
      <c r="AB158" s="441"/>
      <c r="AC158" s="441"/>
      <c r="AD158" s="5"/>
      <c r="AE158" s="5"/>
      <c r="AF158" s="5"/>
      <c r="AG158" s="5"/>
      <c r="AH158" s="5"/>
      <c r="AI158" s="5"/>
      <c r="AJ158" s="5"/>
    </row>
    <row r="159" spans="1:36" ht="18.75" hidden="1">
      <c r="A159" s="688" t="s">
        <v>630</v>
      </c>
      <c r="B159" s="688"/>
      <c r="C159" s="688"/>
      <c r="D159" s="688"/>
      <c r="E159" s="688"/>
      <c r="F159" s="688"/>
      <c r="G159" s="688"/>
      <c r="H159" s="688"/>
      <c r="I159" s="688"/>
      <c r="J159" s="688"/>
      <c r="K159" s="688"/>
      <c r="L159" s="688"/>
      <c r="M159" s="688"/>
      <c r="N159" s="688"/>
      <c r="O159" s="688"/>
      <c r="P159" s="688"/>
      <c r="Q159" s="688"/>
      <c r="R159" s="688"/>
      <c r="S159" s="688"/>
      <c r="T159" s="688"/>
      <c r="U159" s="688"/>
      <c r="V159" s="688"/>
      <c r="W159" s="688"/>
      <c r="X159" s="688">
        <v>117843.4</v>
      </c>
      <c r="Y159" s="688">
        <f t="shared" si="393"/>
        <v>117843.4</v>
      </c>
      <c r="Z159" s="691">
        <f>SUM(Y159/Y164)</f>
        <v>2.2658542060140539E-2</v>
      </c>
      <c r="AA159" s="1226"/>
      <c r="AB159" s="441"/>
      <c r="AC159" s="441"/>
      <c r="AD159" s="5"/>
      <c r="AE159" s="5"/>
      <c r="AF159" s="5"/>
      <c r="AG159" s="5"/>
      <c r="AH159" s="5"/>
      <c r="AI159" s="5"/>
      <c r="AJ159" s="5"/>
    </row>
    <row r="160" spans="1:36" ht="18.75" hidden="1">
      <c r="A160" s="688" t="s">
        <v>34</v>
      </c>
      <c r="B160" s="688"/>
      <c r="C160" s="688"/>
      <c r="D160" s="688"/>
      <c r="E160" s="688"/>
      <c r="F160" s="688"/>
      <c r="G160" s="688"/>
      <c r="H160" s="688"/>
      <c r="I160" s="688"/>
      <c r="J160" s="688"/>
      <c r="K160" s="688"/>
      <c r="L160" s="688"/>
      <c r="M160" s="688"/>
      <c r="N160" s="688"/>
      <c r="O160" s="688"/>
      <c r="P160" s="688"/>
      <c r="Q160" s="688"/>
      <c r="R160" s="688"/>
      <c r="S160" s="688"/>
      <c r="T160" s="688"/>
      <c r="U160" s="688"/>
      <c r="V160" s="688"/>
      <c r="W160" s="688"/>
      <c r="X160" s="688">
        <v>98309.37</v>
      </c>
      <c r="Y160" s="688">
        <f t="shared" si="393"/>
        <v>98309.37</v>
      </c>
      <c r="Z160" s="691">
        <f>SUM(Y160/Y164)</f>
        <v>1.8902602903946408E-2</v>
      </c>
      <c r="AA160" s="1226"/>
      <c r="AB160" s="441"/>
      <c r="AC160" s="441"/>
      <c r="AD160" s="5"/>
      <c r="AE160" s="5"/>
      <c r="AF160" s="5"/>
      <c r="AG160" s="5"/>
      <c r="AH160" s="5"/>
      <c r="AI160" s="5"/>
      <c r="AJ160" s="5"/>
    </row>
    <row r="161" spans="1:36" ht="18.75" hidden="1">
      <c r="A161" s="688" t="s">
        <v>645</v>
      </c>
      <c r="B161" s="688"/>
      <c r="C161" s="688"/>
      <c r="D161" s="688"/>
      <c r="E161" s="688"/>
      <c r="F161" s="688"/>
      <c r="G161" s="688"/>
      <c r="H161" s="688"/>
      <c r="I161" s="688"/>
      <c r="J161" s="688"/>
      <c r="K161" s="688"/>
      <c r="L161" s="688"/>
      <c r="M161" s="688"/>
      <c r="N161" s="688"/>
      <c r="O161" s="688"/>
      <c r="P161" s="688"/>
      <c r="Q161" s="688"/>
      <c r="R161" s="688"/>
      <c r="S161" s="688"/>
      <c r="T161" s="688"/>
      <c r="U161" s="688"/>
      <c r="V161" s="688"/>
      <c r="W161" s="688"/>
      <c r="X161" s="688">
        <v>20291.66</v>
      </c>
      <c r="Y161" s="688">
        <f t="shared" si="393"/>
        <v>20291.66</v>
      </c>
      <c r="Z161" s="691">
        <f>SUM(Y161/Y164)</f>
        <v>3.9016137652178344E-3</v>
      </c>
      <c r="AA161" s="1226"/>
      <c r="AB161" s="441"/>
      <c r="AC161" s="441"/>
      <c r="AD161" s="5"/>
      <c r="AE161" s="5"/>
      <c r="AF161" s="5"/>
      <c r="AG161" s="5"/>
      <c r="AH161" s="5"/>
      <c r="AI161" s="5"/>
      <c r="AJ161" s="5"/>
    </row>
    <row r="162" spans="1:36" ht="18.75" hidden="1">
      <c r="A162" s="688" t="s">
        <v>52</v>
      </c>
      <c r="B162" s="688"/>
      <c r="C162" s="688"/>
      <c r="D162" s="688"/>
      <c r="E162" s="688"/>
      <c r="F162" s="688"/>
      <c r="G162" s="688"/>
      <c r="H162" s="688"/>
      <c r="I162" s="688"/>
      <c r="J162" s="688"/>
      <c r="K162" s="688"/>
      <c r="L162" s="688"/>
      <c r="M162" s="688"/>
      <c r="N162" s="688"/>
      <c r="O162" s="688"/>
      <c r="P162" s="688"/>
      <c r="Q162" s="688"/>
      <c r="R162" s="688"/>
      <c r="S162" s="688"/>
      <c r="T162" s="688"/>
      <c r="U162" s="688"/>
      <c r="V162" s="688"/>
      <c r="W162" s="688"/>
      <c r="X162" s="688">
        <v>18635.04</v>
      </c>
      <c r="Y162" s="688">
        <f t="shared" si="393"/>
        <v>18635.04</v>
      </c>
      <c r="Z162" s="691">
        <f>SUM(Y162/Y164)</f>
        <v>3.5830843104696689E-3</v>
      </c>
      <c r="AA162" s="1226"/>
      <c r="AB162" s="441"/>
      <c r="AC162" s="441"/>
      <c r="AD162" s="5"/>
      <c r="AE162" s="5"/>
      <c r="AF162" s="5"/>
      <c r="AG162" s="5"/>
      <c r="AH162" s="5"/>
      <c r="AI162" s="5"/>
      <c r="AJ162" s="5"/>
    </row>
    <row r="163" spans="1:36" ht="18.75" hidden="1">
      <c r="A163" s="688" t="s">
        <v>98</v>
      </c>
      <c r="B163" s="688"/>
      <c r="C163" s="688"/>
      <c r="D163" s="688"/>
      <c r="E163" s="688"/>
      <c r="F163" s="688"/>
      <c r="G163" s="688"/>
      <c r="H163" s="688"/>
      <c r="I163" s="688"/>
      <c r="J163" s="688"/>
      <c r="K163" s="688"/>
      <c r="L163" s="688"/>
      <c r="M163" s="688"/>
      <c r="N163" s="688"/>
      <c r="O163" s="688"/>
      <c r="P163" s="688"/>
      <c r="Q163" s="688"/>
      <c r="R163" s="688"/>
      <c r="S163" s="688"/>
      <c r="T163" s="688"/>
      <c r="U163" s="688"/>
      <c r="V163" s="688"/>
      <c r="W163" s="688"/>
      <c r="X163" s="688">
        <v>66429</v>
      </c>
      <c r="Y163" s="688">
        <f t="shared" si="393"/>
        <v>66429</v>
      </c>
      <c r="Z163" s="691">
        <f>SUM(Y163/Y164)</f>
        <v>1.277275002684135E-2</v>
      </c>
      <c r="AA163" s="1226"/>
      <c r="AB163" s="441"/>
      <c r="AC163" s="441"/>
      <c r="AD163" s="5"/>
      <c r="AE163" s="5"/>
      <c r="AF163" s="5"/>
      <c r="AG163" s="5"/>
      <c r="AH163" s="5"/>
      <c r="AI163" s="5"/>
      <c r="AJ163" s="5"/>
    </row>
    <row r="164" spans="1:36" ht="18.75" hidden="1">
      <c r="A164" s="689" t="s">
        <v>632</v>
      </c>
      <c r="B164" s="689"/>
      <c r="C164" s="689"/>
      <c r="D164" s="689"/>
      <c r="E164" s="689"/>
      <c r="F164" s="689"/>
      <c r="G164" s="689"/>
      <c r="H164" s="689"/>
      <c r="I164" s="689"/>
      <c r="J164" s="689"/>
      <c r="K164" s="689"/>
      <c r="L164" s="689"/>
      <c r="M164" s="689"/>
      <c r="N164" s="689"/>
      <c r="O164" s="689"/>
      <c r="P164" s="689"/>
      <c r="Q164" s="689"/>
      <c r="R164" s="689"/>
      <c r="S164" s="689"/>
      <c r="T164" s="689"/>
      <c r="U164" s="689"/>
      <c r="V164" s="689">
        <f t="shared" ref="V164:X164" si="394">SUM(V142:V163)</f>
        <v>3145266</v>
      </c>
      <c r="W164" s="689">
        <f t="shared" si="394"/>
        <v>0</v>
      </c>
      <c r="X164" s="689">
        <f t="shared" si="394"/>
        <v>2743798.4900000007</v>
      </c>
      <c r="Y164" s="689">
        <f>SUM(Y142:Y163)</f>
        <v>5200837.71</v>
      </c>
      <c r="Z164" s="692">
        <f>SUM(Z142:Z163)</f>
        <v>0.99999999999999967</v>
      </c>
      <c r="AA164" s="1227"/>
      <c r="AB164" s="441"/>
      <c r="AC164" s="441"/>
      <c r="AD164" s="5"/>
      <c r="AE164" s="5"/>
      <c r="AF164" s="5"/>
      <c r="AG164" s="5"/>
      <c r="AH164" s="5"/>
      <c r="AI164" s="5"/>
      <c r="AJ164" s="5"/>
    </row>
    <row r="165" spans="1:36" ht="18.75" hidden="1">
      <c r="A165" s="689" t="s">
        <v>641</v>
      </c>
      <c r="B165" s="689"/>
      <c r="C165" s="689"/>
      <c r="D165" s="689"/>
      <c r="E165" s="689"/>
      <c r="F165" s="689"/>
      <c r="G165" s="689"/>
      <c r="H165" s="689"/>
      <c r="I165" s="689"/>
      <c r="J165" s="689"/>
      <c r="K165" s="689"/>
      <c r="L165" s="689"/>
      <c r="M165" s="689"/>
      <c r="N165" s="689"/>
      <c r="O165" s="689"/>
      <c r="P165" s="689"/>
      <c r="Q165" s="689"/>
      <c r="R165" s="689"/>
      <c r="S165" s="689"/>
      <c r="T165" s="689"/>
      <c r="U165" s="689"/>
      <c r="V165" s="693" t="s">
        <v>651</v>
      </c>
      <c r="W165" s="693"/>
      <c r="X165" s="693" t="s">
        <v>646</v>
      </c>
      <c r="Y165" s="693" t="s">
        <v>293</v>
      </c>
      <c r="Z165" s="693" t="s">
        <v>44</v>
      </c>
      <c r="AA165" s="1225"/>
      <c r="AB165" s="441"/>
      <c r="AC165" s="441"/>
      <c r="AD165" s="5"/>
      <c r="AE165" s="5"/>
      <c r="AF165" s="5"/>
      <c r="AG165" s="5"/>
      <c r="AH165" s="5"/>
      <c r="AI165" s="5"/>
      <c r="AJ165" s="5"/>
    </row>
    <row r="166" spans="1:36" ht="18.75" hidden="1">
      <c r="A166" s="688" t="s">
        <v>626</v>
      </c>
      <c r="B166" s="688"/>
      <c r="C166" s="688"/>
      <c r="D166" s="688"/>
      <c r="E166" s="688"/>
      <c r="F166" s="688"/>
      <c r="G166" s="688"/>
      <c r="H166" s="688"/>
      <c r="I166" s="688"/>
      <c r="J166" s="688"/>
      <c r="K166" s="688"/>
      <c r="L166" s="688"/>
      <c r="M166" s="688"/>
      <c r="N166" s="688"/>
      <c r="O166" s="688"/>
      <c r="P166" s="688"/>
      <c r="Q166" s="688"/>
      <c r="R166" s="688"/>
      <c r="S166" s="688"/>
      <c r="T166" s="688"/>
      <c r="U166" s="688"/>
      <c r="V166" s="688"/>
      <c r="W166" s="688"/>
      <c r="X166" s="688"/>
      <c r="Y166" s="688">
        <f>SUM(V166:X166)</f>
        <v>0</v>
      </c>
      <c r="Z166" s="691">
        <f>SUM(Y166/Y175)</f>
        <v>0</v>
      </c>
      <c r="AA166" s="1226"/>
      <c r="AB166" s="441"/>
      <c r="AC166" s="441"/>
      <c r="AD166" s="5"/>
      <c r="AE166" s="5"/>
      <c r="AF166" s="5"/>
      <c r="AG166" s="5"/>
      <c r="AH166" s="5"/>
      <c r="AI166" s="5"/>
      <c r="AJ166" s="5"/>
    </row>
    <row r="167" spans="1:36" ht="18.75" hidden="1">
      <c r="A167" s="688" t="s">
        <v>627</v>
      </c>
      <c r="B167" s="688"/>
      <c r="C167" s="688"/>
      <c r="D167" s="688"/>
      <c r="E167" s="688"/>
      <c r="F167" s="688"/>
      <c r="G167" s="688"/>
      <c r="H167" s="688"/>
      <c r="I167" s="688"/>
      <c r="J167" s="688"/>
      <c r="K167" s="688"/>
      <c r="L167" s="688"/>
      <c r="M167" s="688"/>
      <c r="N167" s="688"/>
      <c r="O167" s="688"/>
      <c r="P167" s="688"/>
      <c r="Q167" s="688"/>
      <c r="R167" s="688"/>
      <c r="S167" s="688"/>
      <c r="T167" s="688"/>
      <c r="U167" s="688"/>
      <c r="V167" s="688"/>
      <c r="W167" s="688"/>
      <c r="X167" s="688"/>
      <c r="Y167" s="688">
        <f t="shared" ref="Y167:Y172" si="395">SUM(V167:X167)</f>
        <v>0</v>
      </c>
      <c r="Z167" s="691">
        <f>SUM(Y167/Y175)</f>
        <v>0</v>
      </c>
      <c r="AA167" s="1226"/>
      <c r="AB167" s="441"/>
      <c r="AC167" s="441"/>
      <c r="AD167" s="5"/>
      <c r="AE167" s="5"/>
      <c r="AF167" s="5"/>
      <c r="AG167" s="5"/>
      <c r="AH167" s="5"/>
      <c r="AI167" s="5"/>
      <c r="AJ167" s="5"/>
    </row>
    <row r="168" spans="1:36" ht="18.75" hidden="1">
      <c r="A168" s="688" t="s">
        <v>32</v>
      </c>
      <c r="B168" s="688"/>
      <c r="C168" s="688"/>
      <c r="D168" s="688"/>
      <c r="E168" s="688"/>
      <c r="F168" s="688"/>
      <c r="G168" s="688"/>
      <c r="H168" s="688"/>
      <c r="I168" s="688"/>
      <c r="J168" s="688"/>
      <c r="K168" s="688"/>
      <c r="L168" s="688"/>
      <c r="M168" s="688"/>
      <c r="N168" s="688"/>
      <c r="O168" s="688"/>
      <c r="P168" s="688"/>
      <c r="Q168" s="688"/>
      <c r="R168" s="688"/>
      <c r="S168" s="688"/>
      <c r="T168" s="688"/>
      <c r="U168" s="688"/>
      <c r="V168" s="688"/>
      <c r="W168" s="688"/>
      <c r="X168" s="688">
        <v>5084.76</v>
      </c>
      <c r="Y168" s="688">
        <f t="shared" si="395"/>
        <v>5084.76</v>
      </c>
      <c r="Z168" s="691">
        <f>SUM(Y168/Y175)</f>
        <v>7.5773820222306302E-3</v>
      </c>
      <c r="AA168" s="1226"/>
      <c r="AB168" s="441"/>
      <c r="AC168" s="441"/>
      <c r="AD168" s="5"/>
      <c r="AE168" s="5"/>
      <c r="AF168" s="5"/>
      <c r="AG168" s="5"/>
      <c r="AH168" s="5"/>
      <c r="AI168" s="5"/>
      <c r="AJ168" s="5"/>
    </row>
    <row r="169" spans="1:36" ht="18.75" hidden="1">
      <c r="A169" s="688" t="s">
        <v>76</v>
      </c>
      <c r="B169" s="688"/>
      <c r="C169" s="688"/>
      <c r="D169" s="688"/>
      <c r="E169" s="688"/>
      <c r="F169" s="688"/>
      <c r="G169" s="688"/>
      <c r="H169" s="688"/>
      <c r="I169" s="688"/>
      <c r="J169" s="688"/>
      <c r="K169" s="688"/>
      <c r="L169" s="688"/>
      <c r="M169" s="688"/>
      <c r="N169" s="688"/>
      <c r="O169" s="688"/>
      <c r="P169" s="688"/>
      <c r="Q169" s="688"/>
      <c r="R169" s="688"/>
      <c r="S169" s="688"/>
      <c r="T169" s="688"/>
      <c r="U169" s="688"/>
      <c r="V169" s="688"/>
      <c r="W169" s="688"/>
      <c r="X169" s="688">
        <v>150</v>
      </c>
      <c r="Y169" s="688">
        <f t="shared" si="395"/>
        <v>150</v>
      </c>
      <c r="Z169" s="691">
        <f>SUM(Y169/Y175)</f>
        <v>2.2353214376580105E-4</v>
      </c>
      <c r="AA169" s="1226"/>
      <c r="AB169" s="441"/>
      <c r="AC169" s="441"/>
      <c r="AD169" s="5"/>
      <c r="AE169" s="5"/>
      <c r="AF169" s="5"/>
      <c r="AG169" s="5"/>
      <c r="AH169" s="5"/>
      <c r="AI169" s="5"/>
      <c r="AJ169" s="5"/>
    </row>
    <row r="170" spans="1:36" ht="18.75" hidden="1">
      <c r="A170" s="688" t="s">
        <v>653</v>
      </c>
      <c r="B170" s="688"/>
      <c r="C170" s="688"/>
      <c r="D170" s="688"/>
      <c r="E170" s="688"/>
      <c r="F170" s="688"/>
      <c r="G170" s="688"/>
      <c r="H170" s="688"/>
      <c r="I170" s="688"/>
      <c r="J170" s="688"/>
      <c r="K170" s="688"/>
      <c r="L170" s="688"/>
      <c r="M170" s="688"/>
      <c r="N170" s="688"/>
      <c r="O170" s="688"/>
      <c r="P170" s="688"/>
      <c r="Q170" s="688"/>
      <c r="R170" s="688"/>
      <c r="S170" s="688"/>
      <c r="T170" s="688"/>
      <c r="U170" s="688"/>
      <c r="V170" s="688"/>
      <c r="W170" s="688"/>
      <c r="X170" s="688">
        <v>15308.21</v>
      </c>
      <c r="Y170" s="688">
        <f t="shared" si="395"/>
        <v>15308.21</v>
      </c>
      <c r="Z170" s="691">
        <f>SUM(Y170/Y175)</f>
        <v>2.2812513323447154E-2</v>
      </c>
      <c r="AA170" s="1226"/>
      <c r="AB170" s="441"/>
      <c r="AC170" s="441"/>
      <c r="AD170" s="5"/>
      <c r="AE170" s="5"/>
      <c r="AF170" s="5"/>
      <c r="AG170" s="5"/>
      <c r="AH170" s="5"/>
      <c r="AI170" s="5"/>
      <c r="AJ170" s="5"/>
    </row>
    <row r="171" spans="1:36" ht="18.75" hidden="1">
      <c r="A171" s="688" t="s">
        <v>631</v>
      </c>
      <c r="B171" s="688"/>
      <c r="C171" s="688"/>
      <c r="D171" s="688"/>
      <c r="E171" s="688"/>
      <c r="F171" s="688"/>
      <c r="G171" s="688"/>
      <c r="H171" s="688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>
        <v>594746.84</v>
      </c>
      <c r="Y171" s="688">
        <f t="shared" si="395"/>
        <v>594746.84</v>
      </c>
      <c r="Z171" s="691">
        <f>SUM(Y171/Y175)</f>
        <v>0.88630024095423909</v>
      </c>
      <c r="AA171" s="1226"/>
      <c r="AB171" s="441"/>
      <c r="AC171" s="441"/>
      <c r="AD171" s="5"/>
      <c r="AE171" s="5"/>
      <c r="AF171" s="5"/>
      <c r="AG171" s="5"/>
      <c r="AH171" s="5"/>
      <c r="AI171" s="5"/>
      <c r="AJ171" s="5"/>
    </row>
    <row r="172" spans="1:36" ht="18.75" hidden="1">
      <c r="A172" s="688" t="s">
        <v>642</v>
      </c>
      <c r="B172" s="688"/>
      <c r="C172" s="688"/>
      <c r="D172" s="688"/>
      <c r="E172" s="688"/>
      <c r="F172" s="688"/>
      <c r="G172" s="688"/>
      <c r="H172" s="688"/>
      <c r="I172" s="688"/>
      <c r="J172" s="688"/>
      <c r="K172" s="688"/>
      <c r="L172" s="688"/>
      <c r="M172" s="688"/>
      <c r="N172" s="688"/>
      <c r="O172" s="688"/>
      <c r="P172" s="688"/>
      <c r="Q172" s="688"/>
      <c r="R172" s="688"/>
      <c r="S172" s="688"/>
      <c r="T172" s="688"/>
      <c r="U172" s="688"/>
      <c r="V172" s="688"/>
      <c r="W172" s="688"/>
      <c r="X172" s="688">
        <v>7460</v>
      </c>
      <c r="Y172" s="688">
        <f t="shared" si="395"/>
        <v>7460</v>
      </c>
      <c r="Z172" s="691">
        <f>SUM(Y172/Y175)</f>
        <v>1.1116998616619172E-2</v>
      </c>
      <c r="AA172" s="1226"/>
      <c r="AB172" s="441"/>
      <c r="AC172" s="441"/>
      <c r="AD172" s="5"/>
      <c r="AE172" s="5"/>
      <c r="AF172" s="5"/>
      <c r="AG172" s="5"/>
      <c r="AH172" s="5"/>
      <c r="AI172" s="5"/>
      <c r="AJ172" s="5"/>
    </row>
    <row r="173" spans="1:36" ht="18.75" hidden="1">
      <c r="A173" s="688" t="s">
        <v>606</v>
      </c>
      <c r="B173" s="688"/>
      <c r="C173" s="688"/>
      <c r="D173" s="688"/>
      <c r="E173" s="688"/>
      <c r="F173" s="688"/>
      <c r="G173" s="688"/>
      <c r="H173" s="688"/>
      <c r="I173" s="688"/>
      <c r="J173" s="688"/>
      <c r="K173" s="688"/>
      <c r="L173" s="688"/>
      <c r="M173" s="688"/>
      <c r="N173" s="688"/>
      <c r="O173" s="688"/>
      <c r="P173" s="688"/>
      <c r="Q173" s="688"/>
      <c r="R173" s="688"/>
      <c r="S173" s="688"/>
      <c r="T173" s="688"/>
      <c r="U173" s="688"/>
      <c r="V173" s="688"/>
      <c r="W173" s="688"/>
      <c r="X173" s="688">
        <v>46310.07</v>
      </c>
      <c r="Y173" s="688">
        <f t="shared" ref="Y173:Y174" si="396">SUM(V173:X173)</f>
        <v>46310.07</v>
      </c>
      <c r="Z173" s="691">
        <f>SUM(Y173/Y175)</f>
        <v>6.9011928166962069E-2</v>
      </c>
      <c r="AA173" s="1226"/>
      <c r="AB173" s="441"/>
      <c r="AC173" s="441"/>
      <c r="AD173" s="5"/>
      <c r="AE173" s="5"/>
      <c r="AF173" s="5"/>
      <c r="AG173" s="5"/>
      <c r="AH173" s="5"/>
      <c r="AI173" s="5"/>
      <c r="AJ173" s="5"/>
    </row>
    <row r="174" spans="1:36" ht="18.75" hidden="1">
      <c r="A174" s="688" t="s">
        <v>34</v>
      </c>
      <c r="B174" s="688"/>
      <c r="C174" s="688"/>
      <c r="D174" s="688"/>
      <c r="E174" s="688"/>
      <c r="F174" s="688"/>
      <c r="G174" s="688"/>
      <c r="H174" s="688"/>
      <c r="I174" s="688"/>
      <c r="J174" s="688"/>
      <c r="K174" s="688"/>
      <c r="L174" s="688"/>
      <c r="M174" s="688"/>
      <c r="N174" s="688"/>
      <c r="O174" s="688"/>
      <c r="P174" s="688"/>
      <c r="Q174" s="688"/>
      <c r="R174" s="688"/>
      <c r="S174" s="688"/>
      <c r="T174" s="688"/>
      <c r="U174" s="688"/>
      <c r="V174" s="688"/>
      <c r="W174" s="688"/>
      <c r="X174" s="688">
        <v>1984.55</v>
      </c>
      <c r="Y174" s="688">
        <f t="shared" si="396"/>
        <v>1984.55</v>
      </c>
      <c r="Z174" s="691">
        <f>SUM(Y174/Y175)</f>
        <v>2.9574047727361362E-3</v>
      </c>
      <c r="AA174" s="1226"/>
      <c r="AB174" s="441"/>
      <c r="AC174" s="441"/>
      <c r="AD174" s="5"/>
      <c r="AE174" s="5"/>
      <c r="AF174" s="5"/>
      <c r="AG174" s="5"/>
      <c r="AH174" s="5"/>
      <c r="AI174" s="5"/>
      <c r="AJ174" s="5"/>
    </row>
    <row r="175" spans="1:36" ht="18.75" hidden="1">
      <c r="A175" s="689" t="s">
        <v>632</v>
      </c>
      <c r="B175" s="689"/>
      <c r="C175" s="689"/>
      <c r="D175" s="689"/>
      <c r="E175" s="689"/>
      <c r="F175" s="689"/>
      <c r="G175" s="689"/>
      <c r="H175" s="689"/>
      <c r="I175" s="689"/>
      <c r="J175" s="689"/>
      <c r="K175" s="689"/>
      <c r="L175" s="689"/>
      <c r="M175" s="689"/>
      <c r="N175" s="689"/>
      <c r="O175" s="689"/>
      <c r="P175" s="689"/>
      <c r="Q175" s="689"/>
      <c r="R175" s="689"/>
      <c r="S175" s="689"/>
      <c r="T175" s="689"/>
      <c r="U175" s="689"/>
      <c r="V175" s="689">
        <f t="shared" ref="V175:X175" si="397">SUM(V166:V174)</f>
        <v>0</v>
      </c>
      <c r="W175" s="689">
        <f t="shared" si="397"/>
        <v>0</v>
      </c>
      <c r="X175" s="689">
        <f t="shared" si="397"/>
        <v>671044.42999999993</v>
      </c>
      <c r="Y175" s="689">
        <f>SUM(Y166:Y174)</f>
        <v>671044.42999999993</v>
      </c>
      <c r="Z175" s="692">
        <f>SUM(Z166:Z174)</f>
        <v>1.0000000000000002</v>
      </c>
      <c r="AA175" s="1227"/>
      <c r="AB175" s="441"/>
      <c r="AC175" s="441"/>
      <c r="AD175" s="5"/>
      <c r="AE175" s="5"/>
      <c r="AF175" s="5"/>
      <c r="AG175" s="5"/>
      <c r="AH175" s="5"/>
      <c r="AI175" s="5"/>
      <c r="AJ175" s="5"/>
    </row>
    <row r="176" spans="1:36" ht="18.75" hidden="1">
      <c r="A176" s="689" t="s">
        <v>647</v>
      </c>
      <c r="B176" s="689"/>
      <c r="C176" s="689"/>
      <c r="D176" s="689"/>
      <c r="E176" s="689"/>
      <c r="F176" s="689"/>
      <c r="G176" s="689"/>
      <c r="H176" s="689"/>
      <c r="I176" s="689"/>
      <c r="J176" s="689"/>
      <c r="K176" s="689"/>
      <c r="L176" s="689"/>
      <c r="M176" s="689"/>
      <c r="N176" s="689"/>
      <c r="O176" s="689"/>
      <c r="P176" s="689"/>
      <c r="Q176" s="689"/>
      <c r="R176" s="689"/>
      <c r="S176" s="689"/>
      <c r="T176" s="689"/>
      <c r="U176" s="689"/>
      <c r="V176" s="693" t="s">
        <v>648</v>
      </c>
      <c r="W176" s="693"/>
      <c r="X176" s="693" t="s">
        <v>157</v>
      </c>
      <c r="Y176" s="693" t="s">
        <v>293</v>
      </c>
      <c r="Z176" s="693" t="s">
        <v>44</v>
      </c>
      <c r="AA176" s="1225"/>
      <c r="AB176" s="441"/>
      <c r="AC176" s="441"/>
      <c r="AD176" s="5"/>
      <c r="AE176" s="5"/>
      <c r="AF176" s="5"/>
      <c r="AG176" s="5"/>
      <c r="AH176" s="5"/>
      <c r="AI176" s="5"/>
      <c r="AJ176" s="5"/>
    </row>
    <row r="177" spans="1:36" ht="18.75" hidden="1">
      <c r="A177" s="688" t="s">
        <v>626</v>
      </c>
      <c r="B177" s="688"/>
      <c r="C177" s="688"/>
      <c r="D177" s="688"/>
      <c r="E177" s="688"/>
      <c r="F177" s="688"/>
      <c r="G177" s="688"/>
      <c r="H177" s="688"/>
      <c r="I177" s="688"/>
      <c r="J177" s="688"/>
      <c r="K177" s="688"/>
      <c r="L177" s="688"/>
      <c r="M177" s="688"/>
      <c r="N177" s="688"/>
      <c r="O177" s="688"/>
      <c r="P177" s="688"/>
      <c r="Q177" s="688"/>
      <c r="R177" s="688"/>
      <c r="S177" s="688"/>
      <c r="T177" s="688"/>
      <c r="U177" s="688"/>
      <c r="V177" s="688">
        <v>1594083.26</v>
      </c>
      <c r="W177" s="688"/>
      <c r="X177" s="688"/>
      <c r="Y177" s="688">
        <f>SUM(V177:X177)</f>
        <v>1594083.26</v>
      </c>
      <c r="Z177" s="691">
        <f>SUM(Y177/Y184)</f>
        <v>0.70013013790776046</v>
      </c>
      <c r="AA177" s="1226"/>
      <c r="AB177" s="441"/>
      <c r="AC177" s="441"/>
      <c r="AD177" s="5"/>
      <c r="AE177" s="5"/>
      <c r="AF177" s="5"/>
      <c r="AG177" s="5"/>
      <c r="AH177" s="5"/>
      <c r="AI177" s="5"/>
      <c r="AJ177" s="5"/>
    </row>
    <row r="178" spans="1:36" ht="18.75" hidden="1">
      <c r="A178" s="688" t="s">
        <v>627</v>
      </c>
      <c r="B178" s="688"/>
      <c r="C178" s="688"/>
      <c r="D178" s="688"/>
      <c r="E178" s="688"/>
      <c r="F178" s="688"/>
      <c r="G178" s="688"/>
      <c r="H178" s="688"/>
      <c r="I178" s="688"/>
      <c r="J178" s="688"/>
      <c r="K178" s="688"/>
      <c r="L178" s="688"/>
      <c r="M178" s="688"/>
      <c r="N178" s="688"/>
      <c r="O178" s="688"/>
      <c r="P178" s="688"/>
      <c r="Q178" s="688"/>
      <c r="R178" s="688"/>
      <c r="S178" s="688"/>
      <c r="T178" s="688"/>
      <c r="U178" s="688"/>
      <c r="V178" s="688">
        <v>479160.57</v>
      </c>
      <c r="W178" s="688"/>
      <c r="X178" s="688"/>
      <c r="Y178" s="688">
        <f t="shared" ref="Y178:Y179" si="398">SUM(V178:X178)</f>
        <v>479160.57</v>
      </c>
      <c r="Z178" s="691">
        <f>SUM(Y178/Y184)</f>
        <v>0.21044995852604406</v>
      </c>
      <c r="AA178" s="1226"/>
      <c r="AB178" s="441"/>
      <c r="AC178" s="441"/>
      <c r="AD178" s="5"/>
      <c r="AE178" s="5"/>
      <c r="AF178" s="5"/>
      <c r="AG178" s="5"/>
      <c r="AH178" s="5"/>
      <c r="AI178" s="5"/>
      <c r="AJ178" s="5"/>
    </row>
    <row r="179" spans="1:36" ht="18.75" hidden="1">
      <c r="A179" s="688" t="s">
        <v>76</v>
      </c>
      <c r="B179" s="688"/>
      <c r="C179" s="688"/>
      <c r="D179" s="688"/>
      <c r="E179" s="688"/>
      <c r="F179" s="688"/>
      <c r="G179" s="688"/>
      <c r="H179" s="688"/>
      <c r="I179" s="688"/>
      <c r="J179" s="688"/>
      <c r="K179" s="688"/>
      <c r="L179" s="688"/>
      <c r="M179" s="688"/>
      <c r="N179" s="688"/>
      <c r="O179" s="688"/>
      <c r="P179" s="688"/>
      <c r="Q179" s="688"/>
      <c r="R179" s="688"/>
      <c r="S179" s="688"/>
      <c r="T179" s="688"/>
      <c r="U179" s="688"/>
      <c r="V179" s="688"/>
      <c r="W179" s="688"/>
      <c r="X179" s="688">
        <v>60</v>
      </c>
      <c r="Y179" s="688">
        <f t="shared" si="398"/>
        <v>60</v>
      </c>
      <c r="Z179" s="694">
        <f>SUM(Y179/Y184)</f>
        <v>2.6352330100038579E-5</v>
      </c>
      <c r="AA179" s="1228"/>
      <c r="AB179" s="441"/>
      <c r="AC179" s="441"/>
      <c r="AD179" s="5"/>
      <c r="AE179" s="5"/>
      <c r="AF179" s="5"/>
      <c r="AG179" s="5"/>
      <c r="AH179" s="5"/>
      <c r="AI179" s="5"/>
      <c r="AJ179" s="5"/>
    </row>
    <row r="180" spans="1:36" ht="18.75" hidden="1">
      <c r="A180" s="688" t="s">
        <v>606</v>
      </c>
      <c r="B180" s="688"/>
      <c r="C180" s="688"/>
      <c r="D180" s="688"/>
      <c r="E180" s="688"/>
      <c r="F180" s="688"/>
      <c r="G180" s="688"/>
      <c r="H180" s="688"/>
      <c r="I180" s="688"/>
      <c r="J180" s="688"/>
      <c r="K180" s="688"/>
      <c r="L180" s="688"/>
      <c r="M180" s="688"/>
      <c r="N180" s="688"/>
      <c r="O180" s="688"/>
      <c r="P180" s="688"/>
      <c r="Q180" s="688"/>
      <c r="R180" s="688"/>
      <c r="S180" s="688"/>
      <c r="T180" s="688"/>
      <c r="U180" s="688"/>
      <c r="V180" s="688"/>
      <c r="W180" s="688"/>
      <c r="X180" s="688">
        <v>140992.44</v>
      </c>
      <c r="Y180" s="688">
        <f t="shared" ref="Y180:Y183" si="399">SUM(V180:X180)</f>
        <v>140992.44</v>
      </c>
      <c r="Z180" s="691">
        <f>SUM(Y180/Y184)</f>
        <v>6.1924655341498061E-2</v>
      </c>
      <c r="AA180" s="1226"/>
      <c r="AB180" s="441"/>
      <c r="AC180" s="441"/>
      <c r="AD180" s="5"/>
      <c r="AE180" s="5"/>
      <c r="AF180" s="5"/>
      <c r="AG180" s="5"/>
      <c r="AH180" s="5"/>
      <c r="AI180" s="5"/>
      <c r="AJ180" s="5"/>
    </row>
    <row r="181" spans="1:36" ht="18.75" hidden="1">
      <c r="A181" s="688" t="s">
        <v>630</v>
      </c>
      <c r="B181" s="688"/>
      <c r="C181" s="688"/>
      <c r="D181" s="688"/>
      <c r="E181" s="688"/>
      <c r="F181" s="688"/>
      <c r="G181" s="688"/>
      <c r="H181" s="688"/>
      <c r="I181" s="688"/>
      <c r="J181" s="688"/>
      <c r="K181" s="688"/>
      <c r="L181" s="688"/>
      <c r="M181" s="688"/>
      <c r="N181" s="688"/>
      <c r="O181" s="688"/>
      <c r="P181" s="688"/>
      <c r="Q181" s="688"/>
      <c r="R181" s="688"/>
      <c r="S181" s="688"/>
      <c r="T181" s="688"/>
      <c r="U181" s="688"/>
      <c r="V181" s="688"/>
      <c r="W181" s="688"/>
      <c r="X181" s="688">
        <v>42438</v>
      </c>
      <c r="Y181" s="688">
        <f t="shared" si="399"/>
        <v>42438</v>
      </c>
      <c r="Z181" s="691">
        <f>SUM(Y181/Y184)</f>
        <v>1.8639003079757289E-2</v>
      </c>
      <c r="AA181" s="1226"/>
      <c r="AB181" s="441"/>
      <c r="AC181" s="441"/>
      <c r="AD181" s="5"/>
      <c r="AE181" s="5"/>
      <c r="AF181" s="5"/>
      <c r="AG181" s="5"/>
      <c r="AH181" s="5"/>
      <c r="AI181" s="5"/>
      <c r="AJ181" s="5"/>
    </row>
    <row r="182" spans="1:36" ht="18.75" hidden="1">
      <c r="A182" s="688" t="s">
        <v>34</v>
      </c>
      <c r="B182" s="688"/>
      <c r="C182" s="688"/>
      <c r="D182" s="688"/>
      <c r="E182" s="688"/>
      <c r="F182" s="688"/>
      <c r="G182" s="688"/>
      <c r="H182" s="688"/>
      <c r="I182" s="688"/>
      <c r="J182" s="688"/>
      <c r="K182" s="688"/>
      <c r="L182" s="688"/>
      <c r="M182" s="688"/>
      <c r="N182" s="688"/>
      <c r="O182" s="688"/>
      <c r="P182" s="688"/>
      <c r="Q182" s="688"/>
      <c r="R182" s="688"/>
      <c r="S182" s="688"/>
      <c r="T182" s="688"/>
      <c r="U182" s="688"/>
      <c r="V182" s="688"/>
      <c r="W182" s="688"/>
      <c r="X182" s="688">
        <v>15905.29</v>
      </c>
      <c r="Y182" s="688">
        <f t="shared" si="399"/>
        <v>15905.29</v>
      </c>
      <c r="Z182" s="691">
        <f>SUM(Y182/Y184)</f>
        <v>6.9856908736140441E-3</v>
      </c>
      <c r="AA182" s="1226"/>
      <c r="AB182" s="441"/>
      <c r="AC182" s="441"/>
      <c r="AD182" s="5"/>
      <c r="AE182" s="5"/>
      <c r="AF182" s="5"/>
      <c r="AG182" s="5"/>
      <c r="AH182" s="5"/>
      <c r="AI182" s="5"/>
      <c r="AJ182" s="5"/>
    </row>
    <row r="183" spans="1:36" ht="18.75" hidden="1">
      <c r="A183" s="688" t="s">
        <v>52</v>
      </c>
      <c r="B183" s="688"/>
      <c r="C183" s="688"/>
      <c r="D183" s="688"/>
      <c r="E183" s="688"/>
      <c r="F183" s="688"/>
      <c r="G183" s="688"/>
      <c r="H183" s="688"/>
      <c r="I183" s="688"/>
      <c r="J183" s="688"/>
      <c r="K183" s="688"/>
      <c r="L183" s="688"/>
      <c r="M183" s="688"/>
      <c r="N183" s="688"/>
      <c r="O183" s="688"/>
      <c r="P183" s="688"/>
      <c r="Q183" s="688"/>
      <c r="R183" s="688"/>
      <c r="S183" s="688"/>
      <c r="T183" s="688"/>
      <c r="U183" s="688"/>
      <c r="V183" s="688"/>
      <c r="W183" s="688"/>
      <c r="X183" s="688">
        <v>4198.95</v>
      </c>
      <c r="Y183" s="688">
        <f t="shared" si="399"/>
        <v>4198.95</v>
      </c>
      <c r="Z183" s="691">
        <f>SUM(Y183/Y184)</f>
        <v>1.84420194122595E-3</v>
      </c>
      <c r="AA183" s="1226"/>
      <c r="AB183" s="441"/>
      <c r="AC183" s="441"/>
      <c r="AD183" s="5"/>
      <c r="AE183" s="5"/>
      <c r="AF183" s="5"/>
      <c r="AG183" s="5"/>
      <c r="AH183" s="5"/>
      <c r="AI183" s="5"/>
      <c r="AJ183" s="5"/>
    </row>
    <row r="184" spans="1:36" ht="18.75" hidden="1">
      <c r="A184" s="689" t="s">
        <v>632</v>
      </c>
      <c r="B184" s="689"/>
      <c r="C184" s="689"/>
      <c r="D184" s="689"/>
      <c r="E184" s="689"/>
      <c r="F184" s="689"/>
      <c r="G184" s="689"/>
      <c r="H184" s="689"/>
      <c r="I184" s="689"/>
      <c r="J184" s="689"/>
      <c r="K184" s="689"/>
      <c r="L184" s="689"/>
      <c r="M184" s="689"/>
      <c r="N184" s="689"/>
      <c r="O184" s="689"/>
      <c r="P184" s="689"/>
      <c r="Q184" s="689"/>
      <c r="R184" s="689"/>
      <c r="S184" s="689"/>
      <c r="T184" s="689"/>
      <c r="U184" s="689"/>
      <c r="V184" s="689">
        <f t="shared" ref="V184:X184" si="400">SUM(V177:V183)</f>
        <v>2073243.83</v>
      </c>
      <c r="W184" s="689">
        <f t="shared" si="400"/>
        <v>0</v>
      </c>
      <c r="X184" s="689">
        <f t="shared" si="400"/>
        <v>203594.68000000002</v>
      </c>
      <c r="Y184" s="689">
        <f>SUM(Y177:Y183)</f>
        <v>2276838.5100000002</v>
      </c>
      <c r="Z184" s="692">
        <f>SUM(Z177:Z183)</f>
        <v>0.99999999999999989</v>
      </c>
      <c r="AA184" s="1227"/>
      <c r="AB184" s="441"/>
      <c r="AC184" s="441"/>
      <c r="AD184" s="5"/>
      <c r="AE184" s="5"/>
      <c r="AF184" s="5"/>
      <c r="AG184" s="5"/>
      <c r="AH184" s="5"/>
      <c r="AI184" s="5"/>
      <c r="AJ184" s="5"/>
    </row>
    <row r="185" spans="1:36" hidden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438"/>
      <c r="T185" s="438"/>
      <c r="U185" s="438"/>
      <c r="V185" s="441"/>
      <c r="W185" s="5"/>
      <c r="X185" s="441"/>
      <c r="Y185" s="441"/>
      <c r="Z185" s="441"/>
      <c r="AA185" s="441"/>
      <c r="AB185" s="441"/>
      <c r="AC185" s="441"/>
      <c r="AD185" s="5"/>
      <c r="AE185" s="5"/>
      <c r="AF185" s="5"/>
      <c r="AG185" s="5"/>
      <c r="AH185" s="5"/>
      <c r="AI185" s="5"/>
      <c r="AJ185" s="5"/>
    </row>
    <row r="186" spans="1:36" hidden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438"/>
      <c r="T186" s="438"/>
      <c r="U186" s="438"/>
      <c r="V186" s="441"/>
      <c r="W186" s="5"/>
      <c r="X186" s="441"/>
      <c r="Y186" s="441"/>
      <c r="Z186" s="441"/>
      <c r="AA186" s="441"/>
      <c r="AB186" s="441"/>
      <c r="AC186" s="441"/>
      <c r="AD186" s="5"/>
      <c r="AE186" s="5"/>
      <c r="AF186" s="5"/>
      <c r="AG186" s="5"/>
      <c r="AH186" s="5"/>
      <c r="AI186" s="5"/>
      <c r="AJ186" s="5"/>
    </row>
    <row r="187" spans="1:36" hidden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438"/>
      <c r="T187" s="438"/>
      <c r="U187" s="438"/>
      <c r="V187" s="441"/>
      <c r="W187" s="5"/>
      <c r="X187" s="441"/>
      <c r="Y187" s="441"/>
      <c r="Z187" s="441"/>
      <c r="AA187" s="441"/>
      <c r="AB187" s="441"/>
      <c r="AC187" s="441"/>
      <c r="AD187" s="5"/>
      <c r="AE187" s="5"/>
      <c r="AF187" s="5"/>
      <c r="AG187" s="5"/>
      <c r="AH187" s="5"/>
      <c r="AI187" s="5"/>
      <c r="AJ187" s="5"/>
    </row>
    <row r="188" spans="1:36" hidden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438"/>
      <c r="T188" s="438"/>
      <c r="U188" s="438"/>
      <c r="V188" s="441"/>
      <c r="W188" s="5"/>
      <c r="X188" s="441"/>
      <c r="Y188" s="441"/>
      <c r="Z188" s="441"/>
      <c r="AA188" s="441"/>
      <c r="AB188" s="441"/>
      <c r="AC188" s="441"/>
      <c r="AD188" s="5"/>
      <c r="AE188" s="5"/>
      <c r="AF188" s="5"/>
      <c r="AG188" s="5"/>
      <c r="AH188" s="5"/>
      <c r="AI188" s="5"/>
      <c r="AJ188" s="5"/>
    </row>
    <row r="189" spans="1:36" hidden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438"/>
      <c r="T189" s="438"/>
      <c r="U189" s="438"/>
      <c r="V189" s="441"/>
      <c r="W189" s="5"/>
      <c r="X189" s="441"/>
      <c r="Y189" s="441"/>
      <c r="Z189" s="441"/>
      <c r="AA189" s="441"/>
      <c r="AB189" s="441"/>
      <c r="AC189" s="441"/>
      <c r="AD189" s="5"/>
      <c r="AE189" s="5"/>
      <c r="AF189" s="5"/>
      <c r="AG189" s="5"/>
      <c r="AH189" s="5"/>
      <c r="AI189" s="5"/>
      <c r="AJ189" s="5"/>
    </row>
    <row r="190" spans="1:36" hidden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438"/>
      <c r="T190" s="438"/>
      <c r="U190" s="438"/>
      <c r="V190" s="441"/>
      <c r="W190" s="5"/>
      <c r="X190" s="441"/>
      <c r="Y190" s="441"/>
      <c r="Z190" s="441"/>
      <c r="AA190" s="441"/>
      <c r="AB190" s="441"/>
      <c r="AC190" s="441"/>
      <c r="AD190" s="5"/>
      <c r="AE190" s="5"/>
      <c r="AF190" s="5"/>
      <c r="AG190" s="5"/>
      <c r="AH190" s="5"/>
      <c r="AI190" s="5"/>
      <c r="AJ190" s="5"/>
    </row>
    <row r="191" spans="1:36" hidden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438"/>
      <c r="T191" s="438"/>
      <c r="U191" s="438"/>
      <c r="V191" s="441"/>
      <c r="W191" s="5"/>
      <c r="X191" s="441"/>
      <c r="Y191" s="441"/>
      <c r="Z191" s="441"/>
      <c r="AA191" s="441"/>
      <c r="AB191" s="441"/>
      <c r="AC191" s="441"/>
      <c r="AD191" s="5"/>
      <c r="AE191" s="5"/>
      <c r="AF191" s="5"/>
      <c r="AG191" s="5"/>
      <c r="AH191" s="5"/>
      <c r="AI191" s="5"/>
      <c r="AJ191" s="5"/>
    </row>
    <row r="192" spans="1:36" hidden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438"/>
      <c r="T192" s="438"/>
      <c r="U192" s="438"/>
      <c r="V192" s="441"/>
      <c r="W192" s="5"/>
      <c r="X192" s="441"/>
      <c r="Y192" s="441"/>
      <c r="Z192" s="441"/>
      <c r="AA192" s="441"/>
      <c r="AB192" s="441"/>
      <c r="AC192" s="441"/>
      <c r="AD192" s="5"/>
      <c r="AE192" s="5"/>
      <c r="AF192" s="5"/>
      <c r="AG192" s="5"/>
      <c r="AH192" s="5"/>
      <c r="AI192" s="5"/>
      <c r="AJ192" s="5"/>
    </row>
    <row r="193" spans="1:46" ht="20.25">
      <c r="A193" s="4982" t="s">
        <v>1790</v>
      </c>
      <c r="B193" s="5168"/>
      <c r="C193" s="5168"/>
      <c r="D193" s="5168"/>
      <c r="E193" s="5168"/>
      <c r="F193" s="5168"/>
      <c r="G193" s="5168"/>
      <c r="H193" s="5168"/>
      <c r="I193" s="5168"/>
      <c r="J193" s="5168"/>
      <c r="K193" s="5168"/>
      <c r="L193" s="5168"/>
      <c r="M193" s="5168"/>
      <c r="N193" s="5168"/>
      <c r="O193" s="5168"/>
      <c r="P193" s="5168"/>
      <c r="Q193" s="5168"/>
      <c r="R193" s="5168"/>
      <c r="S193" s="5168"/>
      <c r="T193" s="5168"/>
      <c r="U193" s="5168"/>
      <c r="V193" s="5168"/>
      <c r="W193" s="5168"/>
      <c r="X193" s="5168"/>
      <c r="Y193" s="5168"/>
      <c r="Z193" s="5168"/>
      <c r="AA193" s="5168"/>
      <c r="AB193" s="5168"/>
      <c r="AC193" s="5168"/>
      <c r="AD193" s="5168"/>
      <c r="AE193" s="5168"/>
      <c r="AF193" s="5168"/>
      <c r="AG193" s="5168"/>
      <c r="AH193" s="5168"/>
      <c r="AI193" s="5168"/>
      <c r="AJ193" s="5168"/>
      <c r="AK193" s="5168"/>
      <c r="AL193" s="5168"/>
      <c r="AM193" s="5168"/>
      <c r="AN193" s="5168"/>
      <c r="AO193" s="5168"/>
      <c r="AP193" s="5168"/>
      <c r="AQ193" s="4356"/>
      <c r="AR193" s="4356"/>
      <c r="AS193" s="4356"/>
    </row>
    <row r="194" spans="1:4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438"/>
      <c r="T194" s="438"/>
      <c r="U194" s="438"/>
      <c r="V194" s="441"/>
      <c r="W194" s="5"/>
      <c r="X194" s="441"/>
      <c r="Y194" s="441"/>
      <c r="Z194" s="441"/>
      <c r="AA194" s="441"/>
      <c r="AB194" s="441"/>
      <c r="AC194" s="5"/>
      <c r="AD194" s="5"/>
    </row>
    <row r="195" spans="1:46" ht="18.75" customHeight="1">
      <c r="A195" s="5169" t="s">
        <v>546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438"/>
      <c r="U195" s="438"/>
      <c r="V195" s="5171" t="s">
        <v>1594</v>
      </c>
      <c r="W195" s="667"/>
      <c r="X195" s="5370" t="s">
        <v>576</v>
      </c>
      <c r="Y195" s="5371"/>
      <c r="Z195" s="5371"/>
      <c r="AA195" s="5372"/>
      <c r="AB195" s="5172" t="s">
        <v>587</v>
      </c>
      <c r="AC195" s="5172" t="s">
        <v>588</v>
      </c>
      <c r="AD195" s="5172" t="s">
        <v>589</v>
      </c>
      <c r="AE195" s="5165" t="s">
        <v>601</v>
      </c>
      <c r="AF195" s="5172" t="s">
        <v>590</v>
      </c>
      <c r="AG195" s="5172" t="s">
        <v>591</v>
      </c>
      <c r="AH195" s="5172" t="s">
        <v>592</v>
      </c>
      <c r="AI195" s="5165" t="s">
        <v>600</v>
      </c>
      <c r="AJ195" s="5165" t="s">
        <v>599</v>
      </c>
      <c r="AK195" s="5172" t="s">
        <v>593</v>
      </c>
      <c r="AL195" s="5172" t="s">
        <v>594</v>
      </c>
      <c r="AM195" s="5172" t="s">
        <v>595</v>
      </c>
      <c r="AN195" s="5165" t="s">
        <v>225</v>
      </c>
      <c r="AO195" s="5165" t="s">
        <v>229</v>
      </c>
      <c r="AP195" s="5172" t="s">
        <v>596</v>
      </c>
      <c r="AQ195" s="5172" t="s">
        <v>597</v>
      </c>
      <c r="AR195" s="5172" t="s">
        <v>598</v>
      </c>
      <c r="AS195" s="5165" t="s">
        <v>135</v>
      </c>
      <c r="AT195" s="5164" t="s">
        <v>602</v>
      </c>
    </row>
    <row r="196" spans="1:46" ht="38.25" customHeight="1">
      <c r="A196" s="517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438"/>
      <c r="U196" s="438"/>
      <c r="V196" s="5171"/>
      <c r="W196" s="667"/>
      <c r="X196" s="2562" t="s">
        <v>352</v>
      </c>
      <c r="Y196" s="2562" t="s">
        <v>654</v>
      </c>
      <c r="Z196" s="2600"/>
      <c r="AA196" s="2562" t="s">
        <v>654</v>
      </c>
      <c r="AB196" s="5172"/>
      <c r="AC196" s="5172"/>
      <c r="AD196" s="5172"/>
      <c r="AE196" s="5165"/>
      <c r="AF196" s="5172"/>
      <c r="AG196" s="5172"/>
      <c r="AH196" s="5172"/>
      <c r="AI196" s="5165"/>
      <c r="AJ196" s="5165"/>
      <c r="AK196" s="5172"/>
      <c r="AL196" s="5172"/>
      <c r="AM196" s="5172"/>
      <c r="AN196" s="5165"/>
      <c r="AO196" s="5165"/>
      <c r="AP196" s="5172"/>
      <c r="AQ196" s="5172"/>
      <c r="AR196" s="5172"/>
      <c r="AS196" s="5165"/>
      <c r="AT196" s="5164"/>
    </row>
    <row r="197" spans="1:46" ht="18.75">
      <c r="A197" s="2563" t="s">
        <v>620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438"/>
      <c r="U197" s="438"/>
      <c r="V197" s="2564">
        <f>SUM(AR47)</f>
        <v>816.88550636427806</v>
      </c>
      <c r="W197" s="667"/>
      <c r="X197" s="2564">
        <f>SUM(V197:W197)</f>
        <v>816.88550636427806</v>
      </c>
      <c r="Y197" s="2565">
        <f>SUM(V197-X197)</f>
        <v>0</v>
      </c>
      <c r="Z197" s="2566">
        <f>SUM(Z198+Z199+Z200+Z201+Z203+Z206)</f>
        <v>50.815152779615808</v>
      </c>
      <c r="AA197" s="2565">
        <f>SUM(V197-X197)</f>
        <v>0</v>
      </c>
      <c r="AB197" s="2566">
        <f>SUM(AB198+AB199+AB200+AB201+AB202+AB203+AB206)</f>
        <v>66.556238308374674</v>
      </c>
      <c r="AC197" s="2566">
        <f t="shared" ref="AC197:AD197" si="401">SUM(AC198+AC199+AC200+AC201+AC202+AC203+AC206)</f>
        <v>66.556238308374674</v>
      </c>
      <c r="AD197" s="2566">
        <f t="shared" si="401"/>
        <v>66.556238308374674</v>
      </c>
      <c r="AE197" s="2567">
        <f>SUM(AB197+AC197+AD197)</f>
        <v>199.66871492512402</v>
      </c>
      <c r="AF197" s="2566">
        <f t="shared" ref="AF197" si="402">SUM(AF198+AF199+AF200+AF201+AF202+AF203+AF206)</f>
        <v>66.565207711234549</v>
      </c>
      <c r="AG197" s="2566">
        <f t="shared" ref="AG197" si="403">SUM(AG198+AG199+AG200+AG201+AG202+AG203+AG206)</f>
        <v>66.713701158581443</v>
      </c>
      <c r="AH197" s="2566">
        <f t="shared" ref="AH197" si="404">SUM(AH198+AH199+AH200+AH201+AH202+AH203+AH206)</f>
        <v>66.843259199890824</v>
      </c>
      <c r="AI197" s="2567">
        <f>SUM(AF197+AG197+AH197)</f>
        <v>200.12216806970685</v>
      </c>
      <c r="AJ197" s="2567">
        <f>SUM(AE197+AI197)</f>
        <v>399.79088299483089</v>
      </c>
      <c r="AK197" s="2566">
        <f t="shared" ref="AK197" si="405">SUM(AK198+AK199+AK200+AK201+AK202+AK203+AK206)</f>
        <v>69.713263524544843</v>
      </c>
      <c r="AL197" s="2566">
        <f t="shared" ref="AL197" si="406">SUM(AL198+AL199+AL200+AL201+AL202+AL203+AL206)</f>
        <v>69.674396112152039</v>
      </c>
      <c r="AM197" s="2566">
        <f t="shared" ref="AM197" si="407">SUM(AM198+AM199+AM200+AM201+AM202+AM203+AM206)</f>
        <v>69.544838070842658</v>
      </c>
      <c r="AN197" s="2567">
        <f>SUM(AK197+AL197+AM197)</f>
        <v>208.93249770753954</v>
      </c>
      <c r="AO197" s="2567">
        <f>SUM(AJ197+AN197)</f>
        <v>608.72338070237038</v>
      </c>
      <c r="AP197" s="2566">
        <f t="shared" ref="AP197" si="408">SUM(AP198+AP199+AP200+AP201+AP202+AP203+AP206)</f>
        <v>69.387375220635889</v>
      </c>
      <c r="AQ197" s="2566">
        <f t="shared" ref="AQ197" si="409">SUM(AQ198+AQ199+AQ200+AQ201+AQ202+AQ203+AQ206)</f>
        <v>69.387375220635889</v>
      </c>
      <c r="AR197" s="2566">
        <f t="shared" ref="AR197" si="410">SUM(AR198+AR199+AR200+AR201+AR202+AR203+AR206)</f>
        <v>69.387375220635889</v>
      </c>
      <c r="AS197" s="2567">
        <f>SUM(AP197+AQ197+AR197)</f>
        <v>208.16212566190768</v>
      </c>
      <c r="AT197" s="669">
        <f>SUM(AR197+AQ197+AP197+AM197+AL197+AK197+AH197+AG197+AF197+AD197+AC197+AB197)</f>
        <v>816.88550636427794</v>
      </c>
    </row>
    <row r="198" spans="1:46" ht="18.75">
      <c r="A198" s="2568" t="s">
        <v>72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438"/>
      <c r="U198" s="438"/>
      <c r="V198" s="2569">
        <f>SUM(V197*54.57%)</f>
        <v>445.77442082298649</v>
      </c>
      <c r="W198" s="667"/>
      <c r="X198" s="2569">
        <f>SUM(V198)</f>
        <v>445.77442082298649</v>
      </c>
      <c r="Y198" s="2570">
        <f>SUM(V198-X198)</f>
        <v>0</v>
      </c>
      <c r="Z198" s="2556">
        <f>SUM(V198/2)/(1+(106.7%*100-100)/2/100)/6</f>
        <v>35.943752686904254</v>
      </c>
      <c r="AA198" s="2570">
        <f>SUM(V198-X198)</f>
        <v>0</v>
      </c>
      <c r="AB198" s="2556">
        <f>SUM(V198/2)/(1+(106.03%*100-100)/2/100)/6</f>
        <v>36.060640102815654</v>
      </c>
      <c r="AC198" s="2571">
        <f>SUM(AB198)</f>
        <v>36.060640102815654</v>
      </c>
      <c r="AD198" s="2556">
        <f>SUM(AB198)</f>
        <v>36.060640102815654</v>
      </c>
      <c r="AE198" s="2555">
        <f>SUM(AB198+AC198+AD198)</f>
        <v>108.18192030844696</v>
      </c>
      <c r="AF198" s="2572">
        <f>SUM(AB198)</f>
        <v>36.060640102815654</v>
      </c>
      <c r="AG198" s="2572">
        <f>SUM(AB198)</f>
        <v>36.060640102815654</v>
      </c>
      <c r="AH198" s="2572">
        <f>SUM(AB198)</f>
        <v>36.060640102815654</v>
      </c>
      <c r="AI198" s="2555">
        <f>SUM(AF198+AG198+AH198)</f>
        <v>108.18192030844696</v>
      </c>
      <c r="AJ198" s="2555">
        <f>SUM(AE198+AI198)</f>
        <v>216.36384061689392</v>
      </c>
      <c r="AK198" s="2572">
        <f>SUM(V198-AJ198)/6</f>
        <v>38.235096701015429</v>
      </c>
      <c r="AL198" s="2572">
        <f>SUM(AK198)</f>
        <v>38.235096701015429</v>
      </c>
      <c r="AM198" s="2572">
        <f>SUM(AK198)</f>
        <v>38.235096701015429</v>
      </c>
      <c r="AN198" s="2555">
        <f>SUM(AK198+AL198+AM198)</f>
        <v>114.70529010304628</v>
      </c>
      <c r="AO198" s="2555">
        <f>SUM(AJ198+AN198)</f>
        <v>331.06913071994018</v>
      </c>
      <c r="AP198" s="2572">
        <f>SUM(AK198)</f>
        <v>38.235096701015429</v>
      </c>
      <c r="AQ198" s="2572">
        <f>SUM(AK198)</f>
        <v>38.235096701015429</v>
      </c>
      <c r="AR198" s="2572">
        <f>SUM(AK198)</f>
        <v>38.235096701015429</v>
      </c>
      <c r="AS198" s="2555">
        <f>SUM(AP198+AQ198+AR198)</f>
        <v>114.70529010304628</v>
      </c>
      <c r="AT198" s="669">
        <f>SUM(AR198+AQ198+AP198+AM198+AL198+AK198+AH198+AG198+AF198+AD198+AC198+AB198)</f>
        <v>445.7744208229866</v>
      </c>
    </row>
    <row r="199" spans="1:46" ht="18.75">
      <c r="A199" s="2568" t="s">
        <v>121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438"/>
      <c r="U199" s="438"/>
      <c r="V199" s="2569">
        <f>SUM(V197*16.48%)</f>
        <v>134.62273144883304</v>
      </c>
      <c r="W199" s="667"/>
      <c r="X199" s="2569">
        <f t="shared" ref="X199:X207" si="411">SUM(V199)</f>
        <v>134.62273144883304</v>
      </c>
      <c r="Y199" s="2570">
        <f t="shared" ref="Y199:Y207" si="412">SUM(V199-X199)</f>
        <v>0</v>
      </c>
      <c r="Z199" s="2556">
        <f>SUM(Z198*(V199/V198))</f>
        <v>10.854921097309552</v>
      </c>
      <c r="AA199" s="2570">
        <f t="shared" ref="AA199:AA207" si="413">SUM(V199-X199)</f>
        <v>0</v>
      </c>
      <c r="AB199" s="2556">
        <f>SUM(AB198*(V199/V198))</f>
        <v>10.890220797038703</v>
      </c>
      <c r="AC199" s="2556">
        <f>SUM(AB199)</f>
        <v>10.890220797038703</v>
      </c>
      <c r="AD199" s="2571">
        <f>SUM(AB199)</f>
        <v>10.890220797038703</v>
      </c>
      <c r="AE199" s="2555">
        <f t="shared" ref="AE199:AE247" si="414">SUM(AB199+AC199+AD199)</f>
        <v>32.67066239111611</v>
      </c>
      <c r="AF199" s="2572">
        <f>SUM(AB199)</f>
        <v>10.890220797038703</v>
      </c>
      <c r="AG199" s="2572">
        <f>SUM(AB199)</f>
        <v>10.890220797038703</v>
      </c>
      <c r="AH199" s="2572">
        <f>SUM(AB199)</f>
        <v>10.890220797038703</v>
      </c>
      <c r="AI199" s="2555">
        <f t="shared" ref="AI199:AI247" si="415">SUM(AF199+AG199+AH199)</f>
        <v>32.67066239111611</v>
      </c>
      <c r="AJ199" s="2555">
        <f t="shared" ref="AJ199:AJ247" si="416">SUM(AE199+AI199)</f>
        <v>65.341324782232221</v>
      </c>
      <c r="AK199" s="2572">
        <f>SUM(V199-AJ199)/6</f>
        <v>11.546901111100135</v>
      </c>
      <c r="AL199" s="2572">
        <f>SUM(AK199)</f>
        <v>11.546901111100135</v>
      </c>
      <c r="AM199" s="2572">
        <f>SUM(AK199)</f>
        <v>11.546901111100135</v>
      </c>
      <c r="AN199" s="2555">
        <f t="shared" ref="AN199:AN247" si="417">SUM(AK199+AL199+AM199)</f>
        <v>34.640703333300408</v>
      </c>
      <c r="AO199" s="2555">
        <f t="shared" ref="AO199:AO247" si="418">SUM(AJ199+AN199)</f>
        <v>99.982028115532628</v>
      </c>
      <c r="AP199" s="2572">
        <f>SUM(AK199)</f>
        <v>11.546901111100135</v>
      </c>
      <c r="AQ199" s="2572">
        <f>SUM(AK199)</f>
        <v>11.546901111100135</v>
      </c>
      <c r="AR199" s="2572">
        <f>SUM(AK199)</f>
        <v>11.546901111100135</v>
      </c>
      <c r="AS199" s="2555">
        <f t="shared" ref="AS199:AS247" si="419">SUM(AP199+AQ199+AR199)</f>
        <v>34.640703333300408</v>
      </c>
      <c r="AT199" s="669">
        <f t="shared" ref="AT199:AT258" si="420">SUM(AR199+AQ199+AP199+AM199+AL199+AK199+AH199+AG199+AF199+AD199+AC199+AB199)</f>
        <v>134.62273144883306</v>
      </c>
    </row>
    <row r="200" spans="1:46" ht="18.75">
      <c r="A200" s="2568" t="s">
        <v>52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438"/>
      <c r="U200" s="438"/>
      <c r="V200" s="2569">
        <f>SUM(V197*1.86%)</f>
        <v>15.194070418375574</v>
      </c>
      <c r="W200" s="667"/>
      <c r="X200" s="2569">
        <f t="shared" si="411"/>
        <v>15.194070418375574</v>
      </c>
      <c r="Y200" s="2570">
        <f t="shared" si="412"/>
        <v>0</v>
      </c>
      <c r="Z200" s="2556">
        <f t="shared" ref="Z200:Z201" si="421">SUM(V200/12)</f>
        <v>1.2661725348646311</v>
      </c>
      <c r="AA200" s="2570">
        <f t="shared" si="413"/>
        <v>0</v>
      </c>
      <c r="AB200" s="2556">
        <f>SUM(V200/12)</f>
        <v>1.2661725348646311</v>
      </c>
      <c r="AC200" s="2556">
        <f t="shared" ref="AC200:AC205" si="422">SUM(AB200)</f>
        <v>1.2661725348646311</v>
      </c>
      <c r="AD200" s="2556">
        <f t="shared" ref="AD200:AD201" si="423">SUM(AB200)</f>
        <v>1.2661725348646311</v>
      </c>
      <c r="AE200" s="2555">
        <f t="shared" ref="AE200:AE201" si="424">SUM(AB200+AC200+AD200)</f>
        <v>3.7985176045938935</v>
      </c>
      <c r="AF200" s="2572">
        <f t="shared" ref="AF200:AF201" si="425">SUM(AB200)</f>
        <v>1.2661725348646311</v>
      </c>
      <c r="AG200" s="2572">
        <f t="shared" ref="AG200:AG201" si="426">SUM(AB200)</f>
        <v>1.2661725348646311</v>
      </c>
      <c r="AH200" s="2572">
        <f t="shared" ref="AH200:AH201" si="427">SUM(AB200)</f>
        <v>1.2661725348646311</v>
      </c>
      <c r="AI200" s="2555">
        <f t="shared" ref="AI200:AI201" si="428">SUM(AF200+AG200+AH200)</f>
        <v>3.7985176045938935</v>
      </c>
      <c r="AJ200" s="2555">
        <f t="shared" si="416"/>
        <v>7.5970352091877871</v>
      </c>
      <c r="AK200" s="2572">
        <f t="shared" ref="AK200:AK201" si="429">SUM(AB200)</f>
        <v>1.2661725348646311</v>
      </c>
      <c r="AL200" s="2572">
        <f t="shared" ref="AL200:AL201" si="430">SUM(AB200)</f>
        <v>1.2661725348646311</v>
      </c>
      <c r="AM200" s="2572">
        <f t="shared" ref="AM200:AM201" si="431">SUM(AB200)</f>
        <v>1.2661725348646311</v>
      </c>
      <c r="AN200" s="2555">
        <f t="shared" ref="AN200:AN201" si="432">SUM(AK200+AL200+AM200)</f>
        <v>3.7985176045938935</v>
      </c>
      <c r="AO200" s="2555">
        <f t="shared" si="418"/>
        <v>11.395552813781681</v>
      </c>
      <c r="AP200" s="2572">
        <f t="shared" ref="AP200:AP201" si="433">SUM(AB200)</f>
        <v>1.2661725348646311</v>
      </c>
      <c r="AQ200" s="2572">
        <f t="shared" ref="AQ200:AQ201" si="434">SUM(AB200)</f>
        <v>1.2661725348646311</v>
      </c>
      <c r="AR200" s="2572">
        <f t="shared" ref="AR200:AR201" si="435">SUM(AB200)</f>
        <v>1.2661725348646311</v>
      </c>
      <c r="AS200" s="2555">
        <f t="shared" ref="AS200:AS201" si="436">SUM(AP200+AQ200+AR200)</f>
        <v>3.7985176045938935</v>
      </c>
      <c r="AT200" s="669">
        <f t="shared" si="420"/>
        <v>15.194070418375576</v>
      </c>
    </row>
    <row r="201" spans="1:46" ht="18.75">
      <c r="A201" s="2568" t="s">
        <v>606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438"/>
      <c r="U201" s="438"/>
      <c r="V201" s="2569">
        <f>SUM(V197*1.8%)</f>
        <v>14.703939114557008</v>
      </c>
      <c r="W201" s="667"/>
      <c r="X201" s="2569">
        <f t="shared" si="411"/>
        <v>14.703939114557008</v>
      </c>
      <c r="Y201" s="2570">
        <f t="shared" si="412"/>
        <v>0</v>
      </c>
      <c r="Z201" s="2556">
        <f t="shared" si="421"/>
        <v>1.2253282595464172</v>
      </c>
      <c r="AA201" s="2570">
        <f t="shared" si="413"/>
        <v>0</v>
      </c>
      <c r="AB201" s="2556">
        <f>SUM(V201/12)</f>
        <v>1.2253282595464172</v>
      </c>
      <c r="AC201" s="2556">
        <f t="shared" si="422"/>
        <v>1.2253282595464172</v>
      </c>
      <c r="AD201" s="2556">
        <f t="shared" si="423"/>
        <v>1.2253282595464172</v>
      </c>
      <c r="AE201" s="2555">
        <f t="shared" si="424"/>
        <v>3.6759847786392514</v>
      </c>
      <c r="AF201" s="2572">
        <f t="shared" si="425"/>
        <v>1.2253282595464172</v>
      </c>
      <c r="AG201" s="2572">
        <f t="shared" si="426"/>
        <v>1.2253282595464172</v>
      </c>
      <c r="AH201" s="2572">
        <f t="shared" si="427"/>
        <v>1.2253282595464172</v>
      </c>
      <c r="AI201" s="2555">
        <f t="shared" si="428"/>
        <v>3.6759847786392514</v>
      </c>
      <c r="AJ201" s="2555">
        <f t="shared" si="416"/>
        <v>7.3519695572785029</v>
      </c>
      <c r="AK201" s="2572">
        <f t="shared" si="429"/>
        <v>1.2253282595464172</v>
      </c>
      <c r="AL201" s="2572">
        <f t="shared" si="430"/>
        <v>1.2253282595464172</v>
      </c>
      <c r="AM201" s="2572">
        <f t="shared" si="431"/>
        <v>1.2253282595464172</v>
      </c>
      <c r="AN201" s="2555">
        <f t="shared" si="432"/>
        <v>3.6759847786392514</v>
      </c>
      <c r="AO201" s="2555">
        <f t="shared" si="418"/>
        <v>11.027954335917755</v>
      </c>
      <c r="AP201" s="2572">
        <f t="shared" si="433"/>
        <v>1.2253282595464172</v>
      </c>
      <c r="AQ201" s="2572">
        <f t="shared" si="434"/>
        <v>1.2253282595464172</v>
      </c>
      <c r="AR201" s="2572">
        <f t="shared" si="435"/>
        <v>1.2253282595464172</v>
      </c>
      <c r="AS201" s="2555">
        <f t="shared" si="436"/>
        <v>3.6759847786392514</v>
      </c>
      <c r="AT201" s="669">
        <f t="shared" si="420"/>
        <v>14.703939114557008</v>
      </c>
    </row>
    <row r="202" spans="1:46" ht="18.75">
      <c r="A202" s="2633" t="s">
        <v>1595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438"/>
      <c r="U202" s="438"/>
      <c r="V202" s="2569">
        <f>SUM(V197*22.9%)</f>
        <v>187.06678095741967</v>
      </c>
      <c r="W202" s="667"/>
      <c r="X202" s="2569">
        <f t="shared" si="411"/>
        <v>187.06678095741967</v>
      </c>
      <c r="Y202" s="2634"/>
      <c r="Z202" s="2635"/>
      <c r="AA202" s="2570">
        <f t="shared" si="413"/>
        <v>0</v>
      </c>
      <c r="AB202" s="2556">
        <f>SUM(V202/12)</f>
        <v>15.588898413118306</v>
      </c>
      <c r="AC202" s="2556">
        <f t="shared" ref="AC202" si="437">SUM(AB202)</f>
        <v>15.588898413118306</v>
      </c>
      <c r="AD202" s="2556">
        <f t="shared" ref="AD202" si="438">SUM(AB202)</f>
        <v>15.588898413118306</v>
      </c>
      <c r="AE202" s="2555">
        <f t="shared" ref="AE202" si="439">SUM(AB202+AC202+AD202)</f>
        <v>46.766695239354917</v>
      </c>
      <c r="AF202" s="2572">
        <f t="shared" ref="AF202" si="440">SUM(AB202)</f>
        <v>15.588898413118306</v>
      </c>
      <c r="AG202" s="2572">
        <f t="shared" ref="AG202" si="441">SUM(AB202)</f>
        <v>15.588898413118306</v>
      </c>
      <c r="AH202" s="2572">
        <f t="shared" ref="AH202" si="442">SUM(AB202)</f>
        <v>15.588898413118306</v>
      </c>
      <c r="AI202" s="2555">
        <f t="shared" ref="AI202" si="443">SUM(AF202+AG202+AH202)</f>
        <v>46.766695239354917</v>
      </c>
      <c r="AJ202" s="2555">
        <f t="shared" ref="AJ202" si="444">SUM(AE202+AI202)</f>
        <v>93.533390478709833</v>
      </c>
      <c r="AK202" s="2572">
        <f t="shared" ref="AK202" si="445">SUM(AB202)</f>
        <v>15.588898413118306</v>
      </c>
      <c r="AL202" s="2572">
        <f t="shared" ref="AL202" si="446">SUM(AB202)</f>
        <v>15.588898413118306</v>
      </c>
      <c r="AM202" s="2572">
        <f t="shared" ref="AM202" si="447">SUM(AB202)</f>
        <v>15.588898413118306</v>
      </c>
      <c r="AN202" s="2555">
        <f t="shared" ref="AN202" si="448">SUM(AK202+AL202+AM202)</f>
        <v>46.766695239354917</v>
      </c>
      <c r="AO202" s="2555">
        <f t="shared" ref="AO202" si="449">SUM(AJ202+AN202)</f>
        <v>140.30008571806474</v>
      </c>
      <c r="AP202" s="2572">
        <f t="shared" ref="AP202" si="450">SUM(AB202)</f>
        <v>15.588898413118306</v>
      </c>
      <c r="AQ202" s="2572">
        <f t="shared" ref="AQ202" si="451">SUM(AB202)</f>
        <v>15.588898413118306</v>
      </c>
      <c r="AR202" s="2572">
        <f t="shared" ref="AR202" si="452">SUM(AB202)</f>
        <v>15.588898413118306</v>
      </c>
      <c r="AS202" s="2555">
        <f t="shared" ref="AS202" si="453">SUM(AP202+AQ202+AR202)</f>
        <v>46.766695239354917</v>
      </c>
      <c r="AT202" s="669">
        <f t="shared" ref="AT202" si="454">SUM(AR202+AQ202+AP202+AM202+AL202+AK202+AH202+AG202+AF202+AD202+AC202+AB202)</f>
        <v>187.06678095741964</v>
      </c>
    </row>
    <row r="203" spans="1:46" ht="18.75">
      <c r="A203" s="2568" t="s">
        <v>607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438"/>
      <c r="U203" s="438"/>
      <c r="V203" s="2569">
        <f>SUM(V204:V205)</f>
        <v>9.5575604244620536</v>
      </c>
      <c r="W203" s="667"/>
      <c r="X203" s="2569">
        <f t="shared" si="411"/>
        <v>9.5575604244620536</v>
      </c>
      <c r="Y203" s="2570">
        <f t="shared" si="412"/>
        <v>0</v>
      </c>
      <c r="Z203" s="2556">
        <f>SUM(Z204:Z205)</f>
        <v>0.79646336870517109</v>
      </c>
      <c r="AA203" s="2570">
        <f t="shared" si="413"/>
        <v>0</v>
      </c>
      <c r="AB203" s="2556">
        <f>SUM(AB204:AB205)</f>
        <v>0.79646336870517109</v>
      </c>
      <c r="AC203" s="2556">
        <f>SUM(AC204:AC205)</f>
        <v>0.79646336870517109</v>
      </c>
      <c r="AD203" s="2556">
        <f>SUM(AD204:AD205)</f>
        <v>0.79646336870517109</v>
      </c>
      <c r="AE203" s="2555">
        <f t="shared" si="414"/>
        <v>2.3893901061155134</v>
      </c>
      <c r="AF203" s="2556">
        <f>SUM(AF204:AF205)</f>
        <v>0.79646336870517109</v>
      </c>
      <c r="AG203" s="2556">
        <f>SUM(AG204:AG205)</f>
        <v>0.79646336870517109</v>
      </c>
      <c r="AH203" s="2556">
        <f>SUM(AH204:AH205)</f>
        <v>0.79646336870517109</v>
      </c>
      <c r="AI203" s="2555">
        <f t="shared" si="415"/>
        <v>2.3893901061155134</v>
      </c>
      <c r="AJ203" s="2555">
        <f t="shared" si="416"/>
        <v>4.7787802122310268</v>
      </c>
      <c r="AK203" s="2556">
        <f>SUM(AK204:AK205)</f>
        <v>0.79646336870517109</v>
      </c>
      <c r="AL203" s="2556">
        <f>SUM(AL204:AL205)</f>
        <v>0.79646336870517109</v>
      </c>
      <c r="AM203" s="2556">
        <f>SUM(AM204:AM205)</f>
        <v>0.79646336870517109</v>
      </c>
      <c r="AN203" s="2555">
        <f t="shared" si="417"/>
        <v>2.3893901061155134</v>
      </c>
      <c r="AO203" s="2555">
        <f t="shared" si="418"/>
        <v>7.1681703183465402</v>
      </c>
      <c r="AP203" s="2556">
        <f>SUM(AP204:AP205)</f>
        <v>0.79646336870517109</v>
      </c>
      <c r="AQ203" s="2556">
        <f>SUM(AQ204:AQ205)</f>
        <v>0.79646336870517109</v>
      </c>
      <c r="AR203" s="2556">
        <f>SUM(AR204:AR205)</f>
        <v>0.79646336870517109</v>
      </c>
      <c r="AS203" s="2555">
        <f t="shared" si="419"/>
        <v>2.3893901061155134</v>
      </c>
      <c r="AT203" s="669">
        <f t="shared" si="420"/>
        <v>9.5575604244620536</v>
      </c>
    </row>
    <row r="204" spans="1:46" ht="18.75">
      <c r="A204" s="2573" t="s">
        <v>565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438"/>
      <c r="U204" s="438"/>
      <c r="V204" s="2569">
        <f>SUM(V197*0.8%)</f>
        <v>6.5350840509142243</v>
      </c>
      <c r="W204" s="667"/>
      <c r="X204" s="2569">
        <f t="shared" si="411"/>
        <v>6.5350840509142243</v>
      </c>
      <c r="Y204" s="2570">
        <f t="shared" si="412"/>
        <v>0</v>
      </c>
      <c r="Z204" s="2556">
        <f t="shared" ref="Z204:Z205" si="455">SUM(V204/12)</f>
        <v>0.54459033757618536</v>
      </c>
      <c r="AA204" s="2570">
        <f t="shared" si="413"/>
        <v>0</v>
      </c>
      <c r="AB204" s="2556">
        <f>SUM(V204/12)</f>
        <v>0.54459033757618536</v>
      </c>
      <c r="AC204" s="2556">
        <f t="shared" si="422"/>
        <v>0.54459033757618536</v>
      </c>
      <c r="AD204" s="2556">
        <f t="shared" ref="AD204:AD205" si="456">SUM(AB204)</f>
        <v>0.54459033757618536</v>
      </c>
      <c r="AE204" s="2555">
        <f t="shared" si="414"/>
        <v>1.6337710127285561</v>
      </c>
      <c r="AF204" s="2572">
        <f t="shared" ref="AF204" si="457">SUM(AB204)</f>
        <v>0.54459033757618536</v>
      </c>
      <c r="AG204" s="2572">
        <f t="shared" ref="AG204" si="458">SUM(AB204)</f>
        <v>0.54459033757618536</v>
      </c>
      <c r="AH204" s="2572">
        <f t="shared" ref="AH204" si="459">SUM(AB204)</f>
        <v>0.54459033757618536</v>
      </c>
      <c r="AI204" s="2555">
        <f t="shared" si="415"/>
        <v>1.6337710127285561</v>
      </c>
      <c r="AJ204" s="2555">
        <f t="shared" si="416"/>
        <v>3.2675420254571121</v>
      </c>
      <c r="AK204" s="2572">
        <f t="shared" ref="AK204" si="460">SUM(AB204)</f>
        <v>0.54459033757618536</v>
      </c>
      <c r="AL204" s="2572">
        <f t="shared" ref="AL204" si="461">SUM(AB204)</f>
        <v>0.54459033757618536</v>
      </c>
      <c r="AM204" s="2572">
        <f t="shared" ref="AM204" si="462">SUM(AB204)</f>
        <v>0.54459033757618536</v>
      </c>
      <c r="AN204" s="2555">
        <f t="shared" si="417"/>
        <v>1.6337710127285561</v>
      </c>
      <c r="AO204" s="2555">
        <f t="shared" si="418"/>
        <v>4.901313038185668</v>
      </c>
      <c r="AP204" s="2572">
        <f t="shared" ref="AP204" si="463">SUM(AB204)</f>
        <v>0.54459033757618536</v>
      </c>
      <c r="AQ204" s="2572">
        <f t="shared" ref="AQ204" si="464">SUM(AB204)</f>
        <v>0.54459033757618536</v>
      </c>
      <c r="AR204" s="2572">
        <f t="shared" ref="AR204" si="465">SUM(AB204)</f>
        <v>0.54459033757618536</v>
      </c>
      <c r="AS204" s="2555">
        <f t="shared" si="419"/>
        <v>1.6337710127285561</v>
      </c>
      <c r="AT204" s="669">
        <f t="shared" si="420"/>
        <v>6.5350840509142225</v>
      </c>
    </row>
    <row r="205" spans="1:46" ht="18.75">
      <c r="A205" s="2573" t="s">
        <v>566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438"/>
      <c r="U205" s="438"/>
      <c r="V205" s="2569">
        <f>SUM(V197*0.37%)</f>
        <v>3.0224763735478288</v>
      </c>
      <c r="W205" s="667"/>
      <c r="X205" s="2569">
        <f t="shared" si="411"/>
        <v>3.0224763735478288</v>
      </c>
      <c r="Y205" s="2570">
        <f t="shared" si="412"/>
        <v>0</v>
      </c>
      <c r="Z205" s="2556">
        <f t="shared" si="455"/>
        <v>0.25187303112898574</v>
      </c>
      <c r="AA205" s="2570">
        <f t="shared" si="413"/>
        <v>0</v>
      </c>
      <c r="AB205" s="2556">
        <f>SUM(V205/12)</f>
        <v>0.25187303112898574</v>
      </c>
      <c r="AC205" s="2556">
        <f t="shared" si="422"/>
        <v>0.25187303112898574</v>
      </c>
      <c r="AD205" s="2556">
        <f t="shared" si="456"/>
        <v>0.25187303112898574</v>
      </c>
      <c r="AE205" s="2555">
        <f t="shared" ref="AE205" si="466">SUM(AB205+AC205+AD205)</f>
        <v>0.75561909338695721</v>
      </c>
      <c r="AF205" s="2572">
        <f t="shared" ref="AF205" si="467">SUM(AB205)</f>
        <v>0.25187303112898574</v>
      </c>
      <c r="AG205" s="2572">
        <f t="shared" ref="AG205" si="468">SUM(AB205)</f>
        <v>0.25187303112898574</v>
      </c>
      <c r="AH205" s="2572">
        <f t="shared" ref="AH205" si="469">SUM(AB205)</f>
        <v>0.25187303112898574</v>
      </c>
      <c r="AI205" s="2555">
        <f t="shared" ref="AI205" si="470">SUM(AF205+AG205+AH205)</f>
        <v>0.75561909338695721</v>
      </c>
      <c r="AJ205" s="2555">
        <f t="shared" si="416"/>
        <v>1.5112381867739144</v>
      </c>
      <c r="AK205" s="2572">
        <f t="shared" ref="AK205" si="471">SUM(AB205)</f>
        <v>0.25187303112898574</v>
      </c>
      <c r="AL205" s="2572">
        <f t="shared" ref="AL205" si="472">SUM(AB205)</f>
        <v>0.25187303112898574</v>
      </c>
      <c r="AM205" s="2572">
        <f t="shared" ref="AM205" si="473">SUM(AB205)</f>
        <v>0.25187303112898574</v>
      </c>
      <c r="AN205" s="2555">
        <f t="shared" ref="AN205" si="474">SUM(AK205+AL205+AM205)</f>
        <v>0.75561909338695721</v>
      </c>
      <c r="AO205" s="2555">
        <f t="shared" si="418"/>
        <v>2.2668572801608717</v>
      </c>
      <c r="AP205" s="2572">
        <f t="shared" ref="AP205" si="475">SUM(AB205)</f>
        <v>0.25187303112898574</v>
      </c>
      <c r="AQ205" s="2572">
        <f t="shared" ref="AQ205" si="476">SUM(AB205)</f>
        <v>0.25187303112898574</v>
      </c>
      <c r="AR205" s="2572">
        <f t="shared" ref="AR205" si="477">SUM(AB205)</f>
        <v>0.25187303112898574</v>
      </c>
      <c r="AS205" s="2555">
        <f t="shared" ref="AS205" si="478">SUM(AP205+AQ205+AR205)</f>
        <v>0.75561909338695721</v>
      </c>
      <c r="AT205" s="669">
        <f t="shared" si="420"/>
        <v>3.0224763735478297</v>
      </c>
    </row>
    <row r="206" spans="1:46" ht="18.75">
      <c r="A206" s="2568" t="s">
        <v>610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438"/>
      <c r="U206" s="438"/>
      <c r="V206" s="2569">
        <f>SUM(V207:V207)</f>
        <v>9.9660031776441915</v>
      </c>
      <c r="W206" s="667"/>
      <c r="X206" s="2569">
        <f t="shared" si="411"/>
        <v>9.9660031776441915</v>
      </c>
      <c r="Y206" s="2570">
        <f t="shared" si="412"/>
        <v>0</v>
      </c>
      <c r="Z206" s="2556">
        <f>SUM(Z207:Z207)</f>
        <v>0.72851483228579039</v>
      </c>
      <c r="AA206" s="2570">
        <f t="shared" si="413"/>
        <v>0</v>
      </c>
      <c r="AB206" s="2556">
        <f>SUM(AB207:AB207)</f>
        <v>0.72851483228579039</v>
      </c>
      <c r="AC206" s="2556">
        <f>SUM(AC207:AC207)</f>
        <v>0.72851483228579039</v>
      </c>
      <c r="AD206" s="2556">
        <f>SUM(AD207:AD207)</f>
        <v>0.72851483228579039</v>
      </c>
      <c r="AE206" s="2555">
        <f t="shared" si="414"/>
        <v>2.1855444968573714</v>
      </c>
      <c r="AF206" s="2556">
        <f>SUM(AF207:AF207)</f>
        <v>0.7374842351456703</v>
      </c>
      <c r="AG206" s="2556">
        <f>SUM(AG207:AG207)</f>
        <v>0.8859776824925687</v>
      </c>
      <c r="AH206" s="2556">
        <f>SUM(AH207:AH207)</f>
        <v>1.0155357238019431</v>
      </c>
      <c r="AI206" s="2555">
        <f t="shared" si="415"/>
        <v>2.6389976414401821</v>
      </c>
      <c r="AJ206" s="2555">
        <f t="shared" si="416"/>
        <v>4.824542138297554</v>
      </c>
      <c r="AK206" s="2556">
        <f>SUM(AK207:AK207)</f>
        <v>1.0544031361947555</v>
      </c>
      <c r="AL206" s="2556">
        <f>SUM(AL207:AL207)</f>
        <v>1.0155357238019431</v>
      </c>
      <c r="AM206" s="2556">
        <f>SUM(AM207:AM207)</f>
        <v>0.8859776824925687</v>
      </c>
      <c r="AN206" s="2555">
        <f t="shared" si="417"/>
        <v>2.9559165424892671</v>
      </c>
      <c r="AO206" s="2555">
        <f t="shared" si="418"/>
        <v>7.780458680786821</v>
      </c>
      <c r="AP206" s="2556">
        <f>SUM(AP207:AP207)</f>
        <v>0.72851483228579039</v>
      </c>
      <c r="AQ206" s="2556">
        <f>SUM(AQ207:AQ207)</f>
        <v>0.72851483228579039</v>
      </c>
      <c r="AR206" s="2556">
        <f>SUM(AR207:AR207)</f>
        <v>0.72851483228579039</v>
      </c>
      <c r="AS206" s="2555">
        <f t="shared" si="419"/>
        <v>2.1855444968573714</v>
      </c>
      <c r="AT206" s="669">
        <f t="shared" si="420"/>
        <v>9.9660031776441933</v>
      </c>
    </row>
    <row r="207" spans="1:46" ht="18.75">
      <c r="A207" s="2573" t="s">
        <v>552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438"/>
      <c r="U207" s="438"/>
      <c r="V207" s="2569">
        <f>SUM(V197*1.22%)</f>
        <v>9.9660031776441915</v>
      </c>
      <c r="W207" s="667"/>
      <c r="X207" s="2569">
        <f t="shared" si="411"/>
        <v>9.9660031776441915</v>
      </c>
      <c r="Y207" s="2570">
        <f t="shared" si="412"/>
        <v>0</v>
      </c>
      <c r="Z207" s="2556">
        <f>SUM(V207*7.31%)</f>
        <v>0.72851483228579039</v>
      </c>
      <c r="AA207" s="2570">
        <f t="shared" si="413"/>
        <v>0</v>
      </c>
      <c r="AB207" s="2556">
        <f>SUM(V207*7.31%)</f>
        <v>0.72851483228579039</v>
      </c>
      <c r="AC207" s="2556">
        <f>SUM(X207*7.31%)</f>
        <v>0.72851483228579039</v>
      </c>
      <c r="AD207" s="2556">
        <f>SUM(X207*7.31%)</f>
        <v>0.72851483228579039</v>
      </c>
      <c r="AE207" s="2555">
        <f t="shared" si="414"/>
        <v>2.1855444968573714</v>
      </c>
      <c r="AF207" s="2556">
        <f>SUM(X207*7.4%)</f>
        <v>0.7374842351456703</v>
      </c>
      <c r="AG207" s="2556">
        <f>SUM(X207*8.89%)</f>
        <v>0.8859776824925687</v>
      </c>
      <c r="AH207" s="2556">
        <f>SUM(X207*10.19%)</f>
        <v>1.0155357238019431</v>
      </c>
      <c r="AI207" s="2555">
        <f t="shared" si="415"/>
        <v>2.6389976414401821</v>
      </c>
      <c r="AJ207" s="2555">
        <f t="shared" si="416"/>
        <v>4.824542138297554</v>
      </c>
      <c r="AK207" s="2556">
        <f>SUM(V207*10.58%)</f>
        <v>1.0544031361947555</v>
      </c>
      <c r="AL207" s="2556">
        <f>SUM(X207*10.19%)</f>
        <v>1.0155357238019431</v>
      </c>
      <c r="AM207" s="2556">
        <f>SUM(X207*8.89%)</f>
        <v>0.8859776824925687</v>
      </c>
      <c r="AN207" s="2555">
        <f t="shared" si="417"/>
        <v>2.9559165424892671</v>
      </c>
      <c r="AO207" s="2555">
        <f t="shared" si="418"/>
        <v>7.780458680786821</v>
      </c>
      <c r="AP207" s="2556">
        <f>SUM(X207*7.31%)</f>
        <v>0.72851483228579039</v>
      </c>
      <c r="AQ207" s="2556">
        <f>SUM(X207*7.31%)</f>
        <v>0.72851483228579039</v>
      </c>
      <c r="AR207" s="2556">
        <f>SUM(X207*7.31%)</f>
        <v>0.72851483228579039</v>
      </c>
      <c r="AS207" s="2555">
        <f t="shared" si="419"/>
        <v>2.1855444968573714</v>
      </c>
      <c r="AT207" s="669">
        <f t="shared" si="420"/>
        <v>9.9660031776441933</v>
      </c>
    </row>
    <row r="208" spans="1:46" ht="18.75">
      <c r="A208" s="2574" t="s">
        <v>621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438"/>
      <c r="U208" s="438"/>
      <c r="V208" s="2564">
        <f>SUM(AR48)</f>
        <v>7072.5275761536359</v>
      </c>
      <c r="W208" s="667"/>
      <c r="X208" s="2564">
        <f>SUM(стоки!BW26)</f>
        <v>7023.1706363822532</v>
      </c>
      <c r="Y208" s="2565">
        <f t="shared" ref="Y208:Y230" si="479">SUM(V208-X208)</f>
        <v>49.356939771382713</v>
      </c>
      <c r="Z208" s="2566">
        <f>SUM(Z209+Z210+Z211+Z212+Z213+Z214+Z215+Z217+Z216+Z218+Z219+Z220+Z221+Z222+Z223+Z224+Z229)</f>
        <v>615.4900290255647</v>
      </c>
      <c r="AA208" s="2565">
        <f>SUM(V208-X208)</f>
        <v>49.356939771382713</v>
      </c>
      <c r="AB208" s="2566">
        <f>SUM(AB209+AB210+AB211+AB212+AB213+AB214+AB215+AB217+AB216+AB218+AB219+AB220+AB221+AB222+AB223+AB224+AB229)</f>
        <v>609.40134144452998</v>
      </c>
      <c r="AC208" s="2566">
        <f t="shared" ref="AC208:AD208" si="480">SUM(AC209+AC210+AC211+AC212+AC213+AC214+AC215+AC217+AC216+AC218+AC219+AC220+AC221+AC222+AC223+AC224+AC229)</f>
        <v>600.22771287821706</v>
      </c>
      <c r="AD208" s="2566">
        <f t="shared" si="480"/>
        <v>596.25483969446952</v>
      </c>
      <c r="AE208" s="2567">
        <f t="shared" si="414"/>
        <v>1805.8838940172163</v>
      </c>
      <c r="AF208" s="2566">
        <f t="shared" ref="AF208:AH208" si="481">SUM(AF209+AF210+AF211+AF212+AF213+AF214+AF215+AF217+AF216+AF218+AF219+AF220+AF221+AF222+AF223+AF224+AF229)</f>
        <v>582.53952239388116</v>
      </c>
      <c r="AG208" s="2566">
        <f t="shared" si="481"/>
        <v>556.8820076171869</v>
      </c>
      <c r="AH208" s="2566">
        <f t="shared" si="481"/>
        <v>550.33489839588105</v>
      </c>
      <c r="AI208" s="2567">
        <f t="shared" si="415"/>
        <v>1689.7564284069492</v>
      </c>
      <c r="AJ208" s="2567">
        <f t="shared" si="416"/>
        <v>3495.6403224241658</v>
      </c>
      <c r="AK208" s="2566">
        <f t="shared" ref="AK208:AM208" si="482">SUM(AK209+AK210+AK211+AK212+AK213+AK214+AK215+AK217+AK216+AK218+AK219+AK220+AK221+AK222+AK223+AK224+AK229)</f>
        <v>571.82620424374443</v>
      </c>
      <c r="AL208" s="2566">
        <f t="shared" si="482"/>
        <v>571.20007337742754</v>
      </c>
      <c r="AM208" s="2566">
        <f t="shared" si="482"/>
        <v>584.93519079544353</v>
      </c>
      <c r="AN208" s="2567">
        <f t="shared" si="417"/>
        <v>1727.9614684166156</v>
      </c>
      <c r="AO208" s="2567">
        <f t="shared" si="418"/>
        <v>5223.6017908407812</v>
      </c>
      <c r="AP208" s="2566">
        <f t="shared" ref="AP208:AR208" si="483">SUM(AP209+AP210+AP211+AP212+AP213+AP214+AP215+AP217+AP216+AP218+AP219+AP220+AP221+AP222+AP223+AP224+AP229)</f>
        <v>605.46939993302408</v>
      </c>
      <c r="AQ208" s="2566">
        <f t="shared" si="483"/>
        <v>615.48238889721108</v>
      </c>
      <c r="AR208" s="2566">
        <f t="shared" si="483"/>
        <v>627.97399648261876</v>
      </c>
      <c r="AS208" s="2567">
        <f t="shared" si="419"/>
        <v>1848.925785312854</v>
      </c>
      <c r="AT208" s="669">
        <f t="shared" si="420"/>
        <v>7072.527576153635</v>
      </c>
    </row>
    <row r="209" spans="1:48" ht="18.75">
      <c r="A209" s="2568" t="s">
        <v>72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438"/>
      <c r="U209" s="438"/>
      <c r="V209" s="2569">
        <f>SUM(V208*46.54%)</f>
        <v>3291.5543339419019</v>
      </c>
      <c r="W209" s="667"/>
      <c r="X209" s="2569">
        <f>SUM(V209*стоки!BW51/стоки!BU51)</f>
        <v>3268.5836141723007</v>
      </c>
      <c r="Y209" s="2570">
        <f t="shared" si="479"/>
        <v>22.970719769601146</v>
      </c>
      <c r="Z209" s="2556">
        <f>SUM(V209/2)/(1+(106.7%*100-100)/2/100)/6</f>
        <v>265.40512287872133</v>
      </c>
      <c r="AA209" s="2570">
        <f>SUM(V209-X209)</f>
        <v>22.970719769601146</v>
      </c>
      <c r="AB209" s="2556">
        <f>SUM(V209/2)/(1+(106.03%*100-100)/2/100)/6</f>
        <v>266.26820802325727</v>
      </c>
      <c r="AC209" s="2571">
        <f>SUM(AB209)</f>
        <v>266.26820802325727</v>
      </c>
      <c r="AD209" s="2556">
        <f>SUM(AB209)</f>
        <v>266.26820802325727</v>
      </c>
      <c r="AE209" s="2555">
        <f>SUM(AB209+AC209+AD209)</f>
        <v>798.80462406977176</v>
      </c>
      <c r="AF209" s="2572">
        <f>SUM(AB209)</f>
        <v>266.26820802325727</v>
      </c>
      <c r="AG209" s="2572">
        <f>SUM(AB209)</f>
        <v>266.26820802325727</v>
      </c>
      <c r="AH209" s="2572">
        <f>SUM(AB209)</f>
        <v>266.26820802325727</v>
      </c>
      <c r="AI209" s="2555">
        <f>SUM(AF209+AG209+AH209)</f>
        <v>798.80462406977176</v>
      </c>
      <c r="AJ209" s="2555">
        <f>SUM(AE209+AI209)</f>
        <v>1597.6092481395435</v>
      </c>
      <c r="AK209" s="2572">
        <f>SUM(V209-AJ209)/6</f>
        <v>282.3241809670597</v>
      </c>
      <c r="AL209" s="2572">
        <f>SUM(AK209)</f>
        <v>282.3241809670597</v>
      </c>
      <c r="AM209" s="2572">
        <f>SUM(AK209)</f>
        <v>282.3241809670597</v>
      </c>
      <c r="AN209" s="2555">
        <f>SUM(AK209+AL209+AM209)</f>
        <v>846.97254290117917</v>
      </c>
      <c r="AO209" s="2555">
        <f>SUM(AJ209+AN209)</f>
        <v>2444.5817910407227</v>
      </c>
      <c r="AP209" s="2572">
        <f>SUM(AK209)</f>
        <v>282.3241809670597</v>
      </c>
      <c r="AQ209" s="2572">
        <f>SUM(AK209)</f>
        <v>282.3241809670597</v>
      </c>
      <c r="AR209" s="2572">
        <f>SUM(AK209)</f>
        <v>282.3241809670597</v>
      </c>
      <c r="AS209" s="2555">
        <f>SUM(AP209+AQ209+AR209)</f>
        <v>846.97254290117917</v>
      </c>
      <c r="AT209" s="669">
        <f>SUM(AR209+AQ209+AP209+AM209+AL209+AK209+AH209+AG209+AF209+AD209+AC209+AB209)</f>
        <v>3291.5543339419009</v>
      </c>
      <c r="AU209" s="645"/>
      <c r="AV209" s="645"/>
    </row>
    <row r="210" spans="1:48" ht="18.75">
      <c r="A210" s="2568" t="s">
        <v>121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438"/>
      <c r="U210" s="438"/>
      <c r="V210" s="2569">
        <f>SUM(V208*13.94%)</f>
        <v>985.91034411581677</v>
      </c>
      <c r="W210" s="667"/>
      <c r="X210" s="2569">
        <f>SUM(V210*стоки!BE51/стоки!BC51)</f>
        <v>980.52150796175499</v>
      </c>
      <c r="Y210" s="2570">
        <f t="shared" ref="Y210:Y223" si="484">SUM(V210-X210)</f>
        <v>5.388836154061778</v>
      </c>
      <c r="Z210" s="2556">
        <f t="shared" ref="Z210:Z223" si="485">SUM(V210/2)/(1+(106.7%*100-100)/2/100)/6</f>
        <v>79.496076771151181</v>
      </c>
      <c r="AA210" s="2570">
        <f t="shared" ref="AA210:AA225" si="486">SUM(V210-X210)</f>
        <v>5.388836154061778</v>
      </c>
      <c r="AB210" s="2556">
        <f>SUM(AB209*(V210/V209))</f>
        <v>79.75459432411273</v>
      </c>
      <c r="AC210" s="2556">
        <f>SUM(AB210)</f>
        <v>79.75459432411273</v>
      </c>
      <c r="AD210" s="2571">
        <f>SUM(AB210)</f>
        <v>79.75459432411273</v>
      </c>
      <c r="AE210" s="2555">
        <f t="shared" ref="AE210" si="487">SUM(AB210+AC210+AD210)</f>
        <v>239.26378297233819</v>
      </c>
      <c r="AF210" s="2572">
        <f>SUM(AB210)</f>
        <v>79.75459432411273</v>
      </c>
      <c r="AG210" s="2572">
        <f>SUM(AB210)</f>
        <v>79.75459432411273</v>
      </c>
      <c r="AH210" s="2572">
        <f>SUM(AB210)</f>
        <v>79.75459432411273</v>
      </c>
      <c r="AI210" s="2555">
        <f t="shared" ref="AI210" si="488">SUM(AF210+AG210+AH210)</f>
        <v>239.26378297233819</v>
      </c>
      <c r="AJ210" s="2555">
        <f t="shared" ref="AJ210:AJ222" si="489">SUM(AE210+AI210)</f>
        <v>478.52756594467638</v>
      </c>
      <c r="AK210" s="2572">
        <f>SUM(V210-AJ210)/6</f>
        <v>84.563796361856731</v>
      </c>
      <c r="AL210" s="2572">
        <f>SUM(AK210)</f>
        <v>84.563796361856731</v>
      </c>
      <c r="AM210" s="2572">
        <f>SUM(AK210)</f>
        <v>84.563796361856731</v>
      </c>
      <c r="AN210" s="2555">
        <f t="shared" ref="AN210" si="490">SUM(AK210+AL210+AM210)</f>
        <v>253.69138908557019</v>
      </c>
      <c r="AO210" s="2555">
        <f t="shared" ref="AO210:AO222" si="491">SUM(AJ210+AN210)</f>
        <v>732.21895503024655</v>
      </c>
      <c r="AP210" s="2572">
        <f>SUM(AK210)</f>
        <v>84.563796361856731</v>
      </c>
      <c r="AQ210" s="2572">
        <f>SUM(AK210)</f>
        <v>84.563796361856731</v>
      </c>
      <c r="AR210" s="2572">
        <f>SUM(AK210)</f>
        <v>84.563796361856731</v>
      </c>
      <c r="AS210" s="2555">
        <f t="shared" ref="AS210" si="492">SUM(AP210+AQ210+AR210)</f>
        <v>253.69138908557019</v>
      </c>
      <c r="AT210" s="669">
        <f t="shared" ref="AT210" si="493">SUM(AR210+AQ210+AP210+AM210+AL210+AK210+AH210+AG210+AF210+AD210+AC210+AB210)</f>
        <v>985.91034411581688</v>
      </c>
      <c r="AU210" s="645"/>
      <c r="AV210" s="645"/>
    </row>
    <row r="211" spans="1:48" ht="18.75">
      <c r="A211" s="2568" t="s">
        <v>52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438"/>
      <c r="U211" s="438"/>
      <c r="V211" s="2569">
        <f>SUM(V208*0.36%)</f>
        <v>25.461099274153089</v>
      </c>
      <c r="W211" s="667"/>
      <c r="X211" s="2569">
        <f>SUM(V211*стоки!BE51/стоки!BC51)</f>
        <v>25.321932773761251</v>
      </c>
      <c r="Y211" s="2570">
        <f t="shared" si="484"/>
        <v>0.13916650039183764</v>
      </c>
      <c r="Z211" s="2556">
        <f t="shared" si="485"/>
        <v>2.0529833312492412</v>
      </c>
      <c r="AA211" s="2570">
        <f t="shared" si="486"/>
        <v>0.13916650039183764</v>
      </c>
      <c r="AB211" s="2556">
        <f t="shared" ref="AB211:AB223" si="494">SUM(V211/12)</f>
        <v>2.1217582728460909</v>
      </c>
      <c r="AC211" s="2556">
        <f t="shared" ref="AC211:AC223" si="495">SUM(AB211)</f>
        <v>2.1217582728460909</v>
      </c>
      <c r="AD211" s="2556">
        <f t="shared" ref="AD211:AD223" si="496">SUM(AB211)</f>
        <v>2.1217582728460909</v>
      </c>
      <c r="AE211" s="2555">
        <f t="shared" ref="AE211:AE223" si="497">SUM(AB211+AC211+AD211)</f>
        <v>6.365274818538273</v>
      </c>
      <c r="AF211" s="2572">
        <f t="shared" ref="AF211:AF223" si="498">SUM(AB211)</f>
        <v>2.1217582728460909</v>
      </c>
      <c r="AG211" s="2572">
        <f t="shared" ref="AG211:AG223" si="499">SUM(AB211)</f>
        <v>2.1217582728460909</v>
      </c>
      <c r="AH211" s="2572">
        <f t="shared" ref="AH211:AH223" si="500">SUM(AB211)</f>
        <v>2.1217582728460909</v>
      </c>
      <c r="AI211" s="2555">
        <f t="shared" ref="AI211:AI223" si="501">SUM(AF211+AG211+AH211)</f>
        <v>6.365274818538273</v>
      </c>
      <c r="AJ211" s="2555">
        <f t="shared" si="489"/>
        <v>12.730549637076546</v>
      </c>
      <c r="AK211" s="2572">
        <f t="shared" ref="AK211:AK223" si="502">SUM(AB211)</f>
        <v>2.1217582728460909</v>
      </c>
      <c r="AL211" s="2572">
        <f t="shared" ref="AL211:AL223" si="503">SUM(AB211)</f>
        <v>2.1217582728460909</v>
      </c>
      <c r="AM211" s="2572">
        <f t="shared" ref="AM211:AM223" si="504">SUM(AB211)</f>
        <v>2.1217582728460909</v>
      </c>
      <c r="AN211" s="2555">
        <f t="shared" ref="AN211:AN223" si="505">SUM(AK211+AL211+AM211)</f>
        <v>6.365274818538273</v>
      </c>
      <c r="AO211" s="2555">
        <f t="shared" si="491"/>
        <v>19.095824455614817</v>
      </c>
      <c r="AP211" s="2572">
        <f t="shared" ref="AP211:AP223" si="506">SUM(AB211)</f>
        <v>2.1217582728460909</v>
      </c>
      <c r="AQ211" s="2572">
        <f t="shared" ref="AQ211:AQ223" si="507">SUM(AB211)</f>
        <v>2.1217582728460909</v>
      </c>
      <c r="AR211" s="2572">
        <f t="shared" ref="AR211:AR223" si="508">SUM(AB211)</f>
        <v>2.1217582728460909</v>
      </c>
      <c r="AS211" s="2555">
        <f t="shared" ref="AS211:AS223" si="509">SUM(AP211+AQ211+AR211)</f>
        <v>6.365274818538273</v>
      </c>
      <c r="AT211" s="669">
        <f t="shared" si="420"/>
        <v>25.461099274153089</v>
      </c>
      <c r="AU211" s="645"/>
      <c r="AV211" s="645"/>
    </row>
    <row r="212" spans="1:48" ht="18.75">
      <c r="A212" s="2568" t="s">
        <v>638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438"/>
      <c r="U212" s="438"/>
      <c r="V212" s="2569">
        <f>SUM(V208*9.75%)</f>
        <v>689.5714386749795</v>
      </c>
      <c r="W212" s="667"/>
      <c r="X212" s="2569">
        <f>SUM(V212*стоки!BE51/стоки!BC51)</f>
        <v>685.80234595603395</v>
      </c>
      <c r="Y212" s="2570">
        <f t="shared" si="484"/>
        <v>3.7690927189455579</v>
      </c>
      <c r="Z212" s="2556">
        <f t="shared" si="485"/>
        <v>55.601631888000291</v>
      </c>
      <c r="AA212" s="2570">
        <f t="shared" si="486"/>
        <v>3.7690927189455579</v>
      </c>
      <c r="AB212" s="2556">
        <f t="shared" si="494"/>
        <v>57.46428655624829</v>
      </c>
      <c r="AC212" s="2556">
        <f t="shared" si="495"/>
        <v>57.46428655624829</v>
      </c>
      <c r="AD212" s="2556">
        <f t="shared" si="496"/>
        <v>57.46428655624829</v>
      </c>
      <c r="AE212" s="2555">
        <f t="shared" si="497"/>
        <v>172.39285966874488</v>
      </c>
      <c r="AF212" s="2572">
        <f t="shared" si="498"/>
        <v>57.46428655624829</v>
      </c>
      <c r="AG212" s="2572">
        <f t="shared" si="499"/>
        <v>57.46428655624829</v>
      </c>
      <c r="AH212" s="2572">
        <f t="shared" si="500"/>
        <v>57.46428655624829</v>
      </c>
      <c r="AI212" s="2555">
        <f t="shared" si="501"/>
        <v>172.39285966874488</v>
      </c>
      <c r="AJ212" s="2555">
        <f t="shared" si="489"/>
        <v>344.78571933748975</v>
      </c>
      <c r="AK212" s="2572">
        <f t="shared" si="502"/>
        <v>57.46428655624829</v>
      </c>
      <c r="AL212" s="2572">
        <f t="shared" si="503"/>
        <v>57.46428655624829</v>
      </c>
      <c r="AM212" s="2572">
        <f t="shared" si="504"/>
        <v>57.46428655624829</v>
      </c>
      <c r="AN212" s="2555">
        <f t="shared" si="505"/>
        <v>172.39285966874488</v>
      </c>
      <c r="AO212" s="2555">
        <f t="shared" si="491"/>
        <v>517.1785790062346</v>
      </c>
      <c r="AP212" s="2572">
        <f t="shared" si="506"/>
        <v>57.46428655624829</v>
      </c>
      <c r="AQ212" s="2572">
        <f t="shared" si="507"/>
        <v>57.46428655624829</v>
      </c>
      <c r="AR212" s="2572">
        <f t="shared" si="508"/>
        <v>57.46428655624829</v>
      </c>
      <c r="AS212" s="2555">
        <f t="shared" si="509"/>
        <v>172.39285966874488</v>
      </c>
      <c r="AT212" s="669">
        <f t="shared" si="420"/>
        <v>689.57143867497962</v>
      </c>
      <c r="AU212" s="645"/>
      <c r="AV212" s="645"/>
    </row>
    <row r="213" spans="1:48" ht="18.75">
      <c r="A213" s="2568" t="s">
        <v>640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438"/>
      <c r="U213" s="438"/>
      <c r="V213" s="2569">
        <f>SUM(V208*1.41%)</f>
        <v>99.72263882376626</v>
      </c>
      <c r="W213" s="667"/>
      <c r="X213" s="2569">
        <f>SUM(V213*стоки!BE51/стоки!BC51)</f>
        <v>99.177570030564894</v>
      </c>
      <c r="Y213" s="2570">
        <f t="shared" si="484"/>
        <v>0.54506879320136647</v>
      </c>
      <c r="Z213" s="2556">
        <f t="shared" si="485"/>
        <v>8.0408513807261954</v>
      </c>
      <c r="AA213" s="2570">
        <f t="shared" si="486"/>
        <v>0.54506879320136647</v>
      </c>
      <c r="AB213" s="2556">
        <f t="shared" si="494"/>
        <v>8.3102199019805223</v>
      </c>
      <c r="AC213" s="2556">
        <f t="shared" si="495"/>
        <v>8.3102199019805223</v>
      </c>
      <c r="AD213" s="2556">
        <f t="shared" si="496"/>
        <v>8.3102199019805223</v>
      </c>
      <c r="AE213" s="2555">
        <f t="shared" si="497"/>
        <v>24.930659705941565</v>
      </c>
      <c r="AF213" s="2572">
        <f t="shared" si="498"/>
        <v>8.3102199019805223</v>
      </c>
      <c r="AG213" s="2572">
        <f t="shared" si="499"/>
        <v>8.3102199019805223</v>
      </c>
      <c r="AH213" s="2572">
        <f t="shared" si="500"/>
        <v>8.3102199019805223</v>
      </c>
      <c r="AI213" s="2555">
        <f t="shared" si="501"/>
        <v>24.930659705941565</v>
      </c>
      <c r="AJ213" s="2555">
        <f t="shared" si="489"/>
        <v>49.86131941188313</v>
      </c>
      <c r="AK213" s="2572">
        <f t="shared" si="502"/>
        <v>8.3102199019805223</v>
      </c>
      <c r="AL213" s="2572">
        <f t="shared" si="503"/>
        <v>8.3102199019805223</v>
      </c>
      <c r="AM213" s="2572">
        <f t="shared" si="504"/>
        <v>8.3102199019805223</v>
      </c>
      <c r="AN213" s="2555">
        <f t="shared" si="505"/>
        <v>24.930659705941565</v>
      </c>
      <c r="AO213" s="2555">
        <f t="shared" si="491"/>
        <v>74.791979117824695</v>
      </c>
      <c r="AP213" s="2572">
        <f t="shared" si="506"/>
        <v>8.3102199019805223</v>
      </c>
      <c r="AQ213" s="2572">
        <f t="shared" si="507"/>
        <v>8.3102199019805223</v>
      </c>
      <c r="AR213" s="2572">
        <f t="shared" si="508"/>
        <v>8.3102199019805223</v>
      </c>
      <c r="AS213" s="2555">
        <f t="shared" si="509"/>
        <v>24.930659705941565</v>
      </c>
      <c r="AT213" s="669">
        <f t="shared" si="420"/>
        <v>99.722638823766246</v>
      </c>
      <c r="AU213" s="645"/>
      <c r="AV213" s="645"/>
    </row>
    <row r="214" spans="1:48" ht="18.75">
      <c r="A214" s="2568" t="s">
        <v>606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438"/>
      <c r="U214" s="438"/>
      <c r="V214" s="2569">
        <f>SUM(V208*8.87%)</f>
        <v>627.33319600482741</v>
      </c>
      <c r="W214" s="667"/>
      <c r="X214" s="2569">
        <f>SUM(V214*стоки!BE51/стоки!BC51)</f>
        <v>623.90428806461739</v>
      </c>
      <c r="Y214" s="2570">
        <f t="shared" si="484"/>
        <v>3.4289079402100242</v>
      </c>
      <c r="Z214" s="2556">
        <f t="shared" si="485"/>
        <v>50.583228189391029</v>
      </c>
      <c r="AA214" s="2570">
        <f t="shared" si="486"/>
        <v>3.4289079402100242</v>
      </c>
      <c r="AB214" s="2556">
        <f t="shared" si="494"/>
        <v>52.27776633373562</v>
      </c>
      <c r="AC214" s="2556">
        <f t="shared" si="495"/>
        <v>52.27776633373562</v>
      </c>
      <c r="AD214" s="2556">
        <f t="shared" si="496"/>
        <v>52.27776633373562</v>
      </c>
      <c r="AE214" s="2555">
        <f t="shared" si="497"/>
        <v>156.83329900120685</v>
      </c>
      <c r="AF214" s="2572">
        <f t="shared" si="498"/>
        <v>52.27776633373562</v>
      </c>
      <c r="AG214" s="2572">
        <f t="shared" si="499"/>
        <v>52.27776633373562</v>
      </c>
      <c r="AH214" s="2572">
        <f t="shared" si="500"/>
        <v>52.27776633373562</v>
      </c>
      <c r="AI214" s="2555">
        <f t="shared" si="501"/>
        <v>156.83329900120685</v>
      </c>
      <c r="AJ214" s="2555">
        <f t="shared" si="489"/>
        <v>313.66659800241371</v>
      </c>
      <c r="AK214" s="2572">
        <f t="shared" si="502"/>
        <v>52.27776633373562</v>
      </c>
      <c r="AL214" s="2572">
        <f t="shared" si="503"/>
        <v>52.27776633373562</v>
      </c>
      <c r="AM214" s="2572">
        <f t="shared" si="504"/>
        <v>52.27776633373562</v>
      </c>
      <c r="AN214" s="2555">
        <f t="shared" si="505"/>
        <v>156.83329900120685</v>
      </c>
      <c r="AO214" s="2555">
        <f t="shared" si="491"/>
        <v>470.49989700362056</v>
      </c>
      <c r="AP214" s="2572">
        <f t="shared" si="506"/>
        <v>52.27776633373562</v>
      </c>
      <c r="AQ214" s="2572">
        <f t="shared" si="507"/>
        <v>52.27776633373562</v>
      </c>
      <c r="AR214" s="2572">
        <f t="shared" si="508"/>
        <v>52.27776633373562</v>
      </c>
      <c r="AS214" s="2555">
        <f t="shared" si="509"/>
        <v>156.83329900120685</v>
      </c>
      <c r="AT214" s="669">
        <f t="shared" si="420"/>
        <v>627.3331960048273</v>
      </c>
      <c r="AU214" s="645"/>
      <c r="AV214" s="645"/>
    </row>
    <row r="215" spans="1:48" ht="18.75">
      <c r="A215" s="2568" t="s">
        <v>42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438"/>
      <c r="U215" s="438"/>
      <c r="V215" s="2569">
        <f>SUM(V208*0.56%)</f>
        <v>39.606154426460364</v>
      </c>
      <c r="W215" s="667"/>
      <c r="X215" s="2569">
        <f>SUM(V215*стоки!BE51/стоки!BC51)</f>
        <v>39.389673203628618</v>
      </c>
      <c r="Y215" s="2570">
        <f t="shared" si="484"/>
        <v>0.21648122283174587</v>
      </c>
      <c r="Z215" s="2556">
        <f t="shared" si="485"/>
        <v>3.1935296263877091</v>
      </c>
      <c r="AA215" s="2570">
        <f t="shared" si="486"/>
        <v>0.21648122283174587</v>
      </c>
      <c r="AB215" s="2556">
        <f t="shared" si="494"/>
        <v>3.3005128688716971</v>
      </c>
      <c r="AC215" s="2556">
        <f t="shared" si="495"/>
        <v>3.3005128688716971</v>
      </c>
      <c r="AD215" s="2556">
        <f t="shared" si="496"/>
        <v>3.3005128688716971</v>
      </c>
      <c r="AE215" s="2555">
        <f t="shared" si="497"/>
        <v>9.901538606615091</v>
      </c>
      <c r="AF215" s="2572">
        <f t="shared" si="498"/>
        <v>3.3005128688716971</v>
      </c>
      <c r="AG215" s="2572">
        <f t="shared" si="499"/>
        <v>3.3005128688716971</v>
      </c>
      <c r="AH215" s="2572">
        <f t="shared" si="500"/>
        <v>3.3005128688716971</v>
      </c>
      <c r="AI215" s="2555">
        <f t="shared" si="501"/>
        <v>9.901538606615091</v>
      </c>
      <c r="AJ215" s="2555">
        <f t="shared" si="489"/>
        <v>19.803077213230182</v>
      </c>
      <c r="AK215" s="2572">
        <f t="shared" si="502"/>
        <v>3.3005128688716971</v>
      </c>
      <c r="AL215" s="2572">
        <f t="shared" si="503"/>
        <v>3.3005128688716971</v>
      </c>
      <c r="AM215" s="2572">
        <f t="shared" si="504"/>
        <v>3.3005128688716971</v>
      </c>
      <c r="AN215" s="2555">
        <f t="shared" si="505"/>
        <v>9.901538606615091</v>
      </c>
      <c r="AO215" s="2555">
        <f t="shared" si="491"/>
        <v>29.704615819845273</v>
      </c>
      <c r="AP215" s="2572">
        <f t="shared" si="506"/>
        <v>3.3005128688716971</v>
      </c>
      <c r="AQ215" s="2572">
        <f t="shared" si="507"/>
        <v>3.3005128688716971</v>
      </c>
      <c r="AR215" s="2572">
        <f t="shared" si="508"/>
        <v>3.3005128688716971</v>
      </c>
      <c r="AS215" s="2555">
        <f t="shared" si="509"/>
        <v>9.901538606615091</v>
      </c>
      <c r="AT215" s="669">
        <f t="shared" si="420"/>
        <v>39.606154426460364</v>
      </c>
      <c r="AU215" s="645"/>
      <c r="AV215" s="645"/>
    </row>
    <row r="216" spans="1:48" ht="18.75">
      <c r="A216" s="2568" t="s">
        <v>38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438"/>
      <c r="U216" s="438"/>
      <c r="V216" s="2569">
        <f>SUM(AH34)</f>
        <v>0</v>
      </c>
      <c r="W216" s="667"/>
      <c r="X216" s="2569">
        <f>SUM(V216*стоки!BE51/стоки!BC51)</f>
        <v>0</v>
      </c>
      <c r="Y216" s="2570"/>
      <c r="Z216" s="2556"/>
      <c r="AA216" s="2570">
        <f t="shared" si="486"/>
        <v>0</v>
      </c>
      <c r="AB216" s="2556">
        <f t="shared" si="494"/>
        <v>0</v>
      </c>
      <c r="AC216" s="2556">
        <f t="shared" si="495"/>
        <v>0</v>
      </c>
      <c r="AD216" s="2556">
        <f t="shared" si="496"/>
        <v>0</v>
      </c>
      <c r="AE216" s="2555">
        <f t="shared" si="497"/>
        <v>0</v>
      </c>
      <c r="AF216" s="2572">
        <f t="shared" ref="AF216" si="510">SUM(AB216)</f>
        <v>0</v>
      </c>
      <c r="AG216" s="2572">
        <f t="shared" ref="AG216" si="511">SUM(AB216)</f>
        <v>0</v>
      </c>
      <c r="AH216" s="2572">
        <f t="shared" ref="AH216" si="512">SUM(AB216)</f>
        <v>0</v>
      </c>
      <c r="AI216" s="2555">
        <f t="shared" ref="AI216" si="513">SUM(AF216+AG216+AH216)</f>
        <v>0</v>
      </c>
      <c r="AJ216" s="2555">
        <f t="shared" si="489"/>
        <v>0</v>
      </c>
      <c r="AK216" s="2572">
        <f t="shared" si="502"/>
        <v>0</v>
      </c>
      <c r="AL216" s="2572">
        <f t="shared" si="503"/>
        <v>0</v>
      </c>
      <c r="AM216" s="2572">
        <f t="shared" si="504"/>
        <v>0</v>
      </c>
      <c r="AN216" s="2555">
        <f t="shared" si="505"/>
        <v>0</v>
      </c>
      <c r="AO216" s="2555">
        <f t="shared" si="491"/>
        <v>0</v>
      </c>
      <c r="AP216" s="2572">
        <f t="shared" si="506"/>
        <v>0</v>
      </c>
      <c r="AQ216" s="2572">
        <f t="shared" si="507"/>
        <v>0</v>
      </c>
      <c r="AR216" s="2572">
        <f t="shared" si="508"/>
        <v>0</v>
      </c>
      <c r="AS216" s="2555">
        <f t="shared" si="509"/>
        <v>0</v>
      </c>
      <c r="AT216" s="669">
        <f t="shared" si="420"/>
        <v>0</v>
      </c>
      <c r="AU216" s="645"/>
      <c r="AV216" s="645"/>
    </row>
    <row r="217" spans="1:48" ht="18.75">
      <c r="A217" s="2568" t="s">
        <v>608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438"/>
      <c r="U217" s="438"/>
      <c r="V217" s="2569">
        <f>SUM(V208*1.45%)</f>
        <v>102.55164985422772</v>
      </c>
      <c r="W217" s="667"/>
      <c r="X217" s="2569">
        <f>SUM(V217*стоки!BE51/стоки!BC51)</f>
        <v>101.99111811653837</v>
      </c>
      <c r="Y217" s="2570">
        <f t="shared" si="484"/>
        <v>0.56053173768934528</v>
      </c>
      <c r="Z217" s="2556">
        <f t="shared" si="485"/>
        <v>8.2689606397538888</v>
      </c>
      <c r="AA217" s="2570">
        <f t="shared" si="486"/>
        <v>0.56053173768934528</v>
      </c>
      <c r="AB217" s="2556">
        <f t="shared" si="494"/>
        <v>8.5459708211856427</v>
      </c>
      <c r="AC217" s="2556">
        <f t="shared" si="495"/>
        <v>8.5459708211856427</v>
      </c>
      <c r="AD217" s="2556">
        <f t="shared" si="496"/>
        <v>8.5459708211856427</v>
      </c>
      <c r="AE217" s="2555">
        <f t="shared" si="497"/>
        <v>25.63791246355693</v>
      </c>
      <c r="AF217" s="2572">
        <f t="shared" si="498"/>
        <v>8.5459708211856427</v>
      </c>
      <c r="AG217" s="2572">
        <f t="shared" si="499"/>
        <v>8.5459708211856427</v>
      </c>
      <c r="AH217" s="2572">
        <f t="shared" si="500"/>
        <v>8.5459708211856427</v>
      </c>
      <c r="AI217" s="2555">
        <f t="shared" si="501"/>
        <v>25.63791246355693</v>
      </c>
      <c r="AJ217" s="2555">
        <f t="shared" si="489"/>
        <v>51.27582492711386</v>
      </c>
      <c r="AK217" s="2572">
        <f t="shared" si="502"/>
        <v>8.5459708211856427</v>
      </c>
      <c r="AL217" s="2572">
        <f t="shared" si="503"/>
        <v>8.5459708211856427</v>
      </c>
      <c r="AM217" s="2572">
        <f t="shared" si="504"/>
        <v>8.5459708211856427</v>
      </c>
      <c r="AN217" s="2555">
        <f t="shared" si="505"/>
        <v>25.63791246355693</v>
      </c>
      <c r="AO217" s="2555">
        <f t="shared" si="491"/>
        <v>76.913737390670789</v>
      </c>
      <c r="AP217" s="2572">
        <f t="shared" si="506"/>
        <v>8.5459708211856427</v>
      </c>
      <c r="AQ217" s="2572">
        <f t="shared" si="507"/>
        <v>8.5459708211856427</v>
      </c>
      <c r="AR217" s="2572">
        <f t="shared" si="508"/>
        <v>8.5459708211856427</v>
      </c>
      <c r="AS217" s="2555">
        <f t="shared" si="509"/>
        <v>25.63791246355693</v>
      </c>
      <c r="AT217" s="669">
        <f t="shared" si="420"/>
        <v>102.55164985422773</v>
      </c>
      <c r="AU217" s="645"/>
      <c r="AV217" s="645"/>
    </row>
    <row r="218" spans="1:48" ht="18.75">
      <c r="A218" s="2568" t="s">
        <v>98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438"/>
      <c r="U218" s="438"/>
      <c r="V218" s="2569">
        <f>SUM(V208*1.28%)</f>
        <v>90.528352974766548</v>
      </c>
      <c r="W218" s="667"/>
      <c r="X218" s="2569">
        <f>SUM(V218*стоки!BE51/стоки!BC51)</f>
        <v>90.033538751151127</v>
      </c>
      <c r="Y218" s="2570">
        <f t="shared" si="484"/>
        <v>0.49481422361542116</v>
      </c>
      <c r="Z218" s="2556">
        <f t="shared" si="485"/>
        <v>7.2994962888861927</v>
      </c>
      <c r="AA218" s="2570">
        <f t="shared" si="486"/>
        <v>0.49481422361542116</v>
      </c>
      <c r="AB218" s="2556">
        <f t="shared" si="494"/>
        <v>7.5440294145638793</v>
      </c>
      <c r="AC218" s="2556">
        <f t="shared" si="495"/>
        <v>7.5440294145638793</v>
      </c>
      <c r="AD218" s="2556">
        <f t="shared" si="496"/>
        <v>7.5440294145638793</v>
      </c>
      <c r="AE218" s="2555">
        <f t="shared" si="497"/>
        <v>22.632088243691637</v>
      </c>
      <c r="AF218" s="2572">
        <f t="shared" si="498"/>
        <v>7.5440294145638793</v>
      </c>
      <c r="AG218" s="2572">
        <f t="shared" si="499"/>
        <v>7.5440294145638793</v>
      </c>
      <c r="AH218" s="2572">
        <f t="shared" si="500"/>
        <v>7.5440294145638793</v>
      </c>
      <c r="AI218" s="2555">
        <f t="shared" si="501"/>
        <v>22.632088243691637</v>
      </c>
      <c r="AJ218" s="2555">
        <f t="shared" si="489"/>
        <v>45.264176487383274</v>
      </c>
      <c r="AK218" s="2572">
        <f t="shared" si="502"/>
        <v>7.5440294145638793</v>
      </c>
      <c r="AL218" s="2572">
        <f t="shared" si="503"/>
        <v>7.5440294145638793</v>
      </c>
      <c r="AM218" s="2572">
        <f t="shared" si="504"/>
        <v>7.5440294145638793</v>
      </c>
      <c r="AN218" s="2555">
        <f t="shared" si="505"/>
        <v>22.632088243691637</v>
      </c>
      <c r="AO218" s="2555">
        <f t="shared" si="491"/>
        <v>67.896264731074908</v>
      </c>
      <c r="AP218" s="2572">
        <f t="shared" si="506"/>
        <v>7.5440294145638793</v>
      </c>
      <c r="AQ218" s="2572">
        <f t="shared" si="507"/>
        <v>7.5440294145638793</v>
      </c>
      <c r="AR218" s="2572">
        <f t="shared" si="508"/>
        <v>7.5440294145638793</v>
      </c>
      <c r="AS218" s="2555">
        <f t="shared" si="509"/>
        <v>22.632088243691637</v>
      </c>
      <c r="AT218" s="669">
        <f t="shared" si="420"/>
        <v>90.528352974766548</v>
      </c>
      <c r="AU218" s="645"/>
      <c r="AV218" s="645"/>
    </row>
    <row r="219" spans="1:48" ht="18.75">
      <c r="A219" s="2568" t="s">
        <v>609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438"/>
      <c r="U219" s="438"/>
      <c r="V219" s="2569">
        <f>SUM(V208*0.97%)</f>
        <v>68.603517488690272</v>
      </c>
      <c r="W219" s="667"/>
      <c r="X219" s="2569">
        <f>SUM(V219*стоки!BE51/стоки!BC51)</f>
        <v>68.228541084856701</v>
      </c>
      <c r="Y219" s="2570">
        <f t="shared" si="484"/>
        <v>0.37497640383357123</v>
      </c>
      <c r="Z219" s="2556">
        <f t="shared" si="485"/>
        <v>5.5316495314215679</v>
      </c>
      <c r="AA219" s="2570">
        <f t="shared" si="486"/>
        <v>0.37497640383357123</v>
      </c>
      <c r="AB219" s="2556">
        <f t="shared" si="494"/>
        <v>5.7169597907241894</v>
      </c>
      <c r="AC219" s="2556">
        <f t="shared" si="495"/>
        <v>5.7169597907241894</v>
      </c>
      <c r="AD219" s="2556">
        <f t="shared" si="496"/>
        <v>5.7169597907241894</v>
      </c>
      <c r="AE219" s="2555">
        <f t="shared" si="497"/>
        <v>17.150879372172568</v>
      </c>
      <c r="AF219" s="2572">
        <f t="shared" si="498"/>
        <v>5.7169597907241894</v>
      </c>
      <c r="AG219" s="2572">
        <f t="shared" si="499"/>
        <v>5.7169597907241894</v>
      </c>
      <c r="AH219" s="2572">
        <f t="shared" si="500"/>
        <v>5.7169597907241894</v>
      </c>
      <c r="AI219" s="2555">
        <f t="shared" si="501"/>
        <v>17.150879372172568</v>
      </c>
      <c r="AJ219" s="2555">
        <f t="shared" si="489"/>
        <v>34.301758744345136</v>
      </c>
      <c r="AK219" s="2572">
        <f t="shared" si="502"/>
        <v>5.7169597907241894</v>
      </c>
      <c r="AL219" s="2572">
        <f t="shared" si="503"/>
        <v>5.7169597907241894</v>
      </c>
      <c r="AM219" s="2572">
        <f t="shared" si="504"/>
        <v>5.7169597907241894</v>
      </c>
      <c r="AN219" s="2555">
        <f t="shared" si="505"/>
        <v>17.150879372172568</v>
      </c>
      <c r="AO219" s="2555">
        <f t="shared" si="491"/>
        <v>51.452638116517704</v>
      </c>
      <c r="AP219" s="2572">
        <f t="shared" si="506"/>
        <v>5.7169597907241894</v>
      </c>
      <c r="AQ219" s="2572">
        <f t="shared" si="507"/>
        <v>5.7169597907241894</v>
      </c>
      <c r="AR219" s="2572">
        <f t="shared" si="508"/>
        <v>5.7169597907241894</v>
      </c>
      <c r="AS219" s="2555">
        <f t="shared" si="509"/>
        <v>17.150879372172568</v>
      </c>
      <c r="AT219" s="669">
        <f t="shared" si="420"/>
        <v>68.603517488690272</v>
      </c>
      <c r="AU219" s="645"/>
      <c r="AV219" s="645"/>
    </row>
    <row r="220" spans="1:48" ht="18.75">
      <c r="A220" s="2568" t="s">
        <v>612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438"/>
      <c r="U220" s="438"/>
      <c r="V220" s="2569">
        <f>SUM(V208*0.39%)</f>
        <v>27.582857546999183</v>
      </c>
      <c r="W220" s="667"/>
      <c r="X220" s="2569">
        <f>SUM(V220*стоки!BE51/стоки!BC51)</f>
        <v>27.432093838241361</v>
      </c>
      <c r="Y220" s="2570">
        <f t="shared" si="484"/>
        <v>0.15076370875782175</v>
      </c>
      <c r="Z220" s="2556">
        <f t="shared" si="485"/>
        <v>2.2240652755200117</v>
      </c>
      <c r="AA220" s="2570">
        <f t="shared" si="486"/>
        <v>0.15076370875782175</v>
      </c>
      <c r="AB220" s="2556">
        <f t="shared" si="494"/>
        <v>2.298571462249932</v>
      </c>
      <c r="AC220" s="2556">
        <f t="shared" si="495"/>
        <v>2.298571462249932</v>
      </c>
      <c r="AD220" s="2556">
        <f t="shared" si="496"/>
        <v>2.298571462249932</v>
      </c>
      <c r="AE220" s="2555">
        <f t="shared" si="497"/>
        <v>6.8957143867497965</v>
      </c>
      <c r="AF220" s="2572">
        <f t="shared" si="498"/>
        <v>2.298571462249932</v>
      </c>
      <c r="AG220" s="2572">
        <f t="shared" si="499"/>
        <v>2.298571462249932</v>
      </c>
      <c r="AH220" s="2572">
        <f t="shared" si="500"/>
        <v>2.298571462249932</v>
      </c>
      <c r="AI220" s="2555">
        <f t="shared" si="501"/>
        <v>6.8957143867497965</v>
      </c>
      <c r="AJ220" s="2555">
        <f t="shared" si="489"/>
        <v>13.791428773499593</v>
      </c>
      <c r="AK220" s="2572">
        <f t="shared" si="502"/>
        <v>2.298571462249932</v>
      </c>
      <c r="AL220" s="2572">
        <f t="shared" si="503"/>
        <v>2.298571462249932</v>
      </c>
      <c r="AM220" s="2572">
        <f t="shared" si="504"/>
        <v>2.298571462249932</v>
      </c>
      <c r="AN220" s="2555">
        <f t="shared" si="505"/>
        <v>6.8957143867497965</v>
      </c>
      <c r="AO220" s="2555">
        <f t="shared" si="491"/>
        <v>20.687143160249391</v>
      </c>
      <c r="AP220" s="2572">
        <f t="shared" si="506"/>
        <v>2.298571462249932</v>
      </c>
      <c r="AQ220" s="2572">
        <f t="shared" si="507"/>
        <v>2.298571462249932</v>
      </c>
      <c r="AR220" s="2572">
        <f t="shared" si="508"/>
        <v>2.298571462249932</v>
      </c>
      <c r="AS220" s="2555">
        <f t="shared" si="509"/>
        <v>6.8957143867497965</v>
      </c>
      <c r="AT220" s="669">
        <f t="shared" si="420"/>
        <v>27.582857546999183</v>
      </c>
      <c r="AU220" s="645"/>
      <c r="AV220" s="645"/>
    </row>
    <row r="221" spans="1:48" ht="18.75">
      <c r="A221" s="2568" t="s">
        <v>616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438"/>
      <c r="U221" s="438"/>
      <c r="V221" s="2575">
        <v>0</v>
      </c>
      <c r="W221" s="673"/>
      <c r="X221" s="2569">
        <f>SUM(V221*стоки!BE51/стоки!BC51)</f>
        <v>0</v>
      </c>
      <c r="Y221" s="2570">
        <f t="shared" si="484"/>
        <v>0</v>
      </c>
      <c r="Z221" s="2556">
        <f t="shared" si="485"/>
        <v>0</v>
      </c>
      <c r="AA221" s="2570">
        <f t="shared" si="486"/>
        <v>0</v>
      </c>
      <c r="AB221" s="2576">
        <f t="shared" si="494"/>
        <v>0</v>
      </c>
      <c r="AC221" s="2576">
        <f t="shared" si="495"/>
        <v>0</v>
      </c>
      <c r="AD221" s="2576">
        <f t="shared" si="496"/>
        <v>0</v>
      </c>
      <c r="AE221" s="2577">
        <f t="shared" si="497"/>
        <v>0</v>
      </c>
      <c r="AF221" s="2578">
        <f t="shared" si="498"/>
        <v>0</v>
      </c>
      <c r="AG221" s="2578">
        <f t="shared" si="499"/>
        <v>0</v>
      </c>
      <c r="AH221" s="2578">
        <f t="shared" si="500"/>
        <v>0</v>
      </c>
      <c r="AI221" s="2577">
        <f t="shared" si="501"/>
        <v>0</v>
      </c>
      <c r="AJ221" s="2577">
        <f t="shared" si="489"/>
        <v>0</v>
      </c>
      <c r="AK221" s="2578">
        <f t="shared" si="502"/>
        <v>0</v>
      </c>
      <c r="AL221" s="2578">
        <f t="shared" si="503"/>
        <v>0</v>
      </c>
      <c r="AM221" s="2578">
        <f t="shared" si="504"/>
        <v>0</v>
      </c>
      <c r="AN221" s="2577">
        <f t="shared" si="505"/>
        <v>0</v>
      </c>
      <c r="AO221" s="2577">
        <f t="shared" si="491"/>
        <v>0</v>
      </c>
      <c r="AP221" s="2578">
        <f t="shared" si="506"/>
        <v>0</v>
      </c>
      <c r="AQ221" s="2578">
        <f t="shared" si="507"/>
        <v>0</v>
      </c>
      <c r="AR221" s="2578">
        <f t="shared" si="508"/>
        <v>0</v>
      </c>
      <c r="AS221" s="2577">
        <f t="shared" si="509"/>
        <v>0</v>
      </c>
      <c r="AT221" s="676">
        <f t="shared" si="420"/>
        <v>0</v>
      </c>
      <c r="AU221" s="645"/>
      <c r="AV221" s="645"/>
    </row>
    <row r="222" spans="1:48" ht="18.75">
      <c r="A222" s="2568" t="s">
        <v>613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438"/>
      <c r="U222" s="438"/>
      <c r="V222" s="2575">
        <v>0</v>
      </c>
      <c r="W222" s="673"/>
      <c r="X222" s="2569">
        <f>SUM(V222*стоки!BE51/стоки!BC51)</f>
        <v>0</v>
      </c>
      <c r="Y222" s="2570">
        <f t="shared" si="484"/>
        <v>0</v>
      </c>
      <c r="Z222" s="2556">
        <f t="shared" si="485"/>
        <v>0</v>
      </c>
      <c r="AA222" s="2570">
        <f t="shared" si="486"/>
        <v>0</v>
      </c>
      <c r="AB222" s="2576">
        <f t="shared" si="494"/>
        <v>0</v>
      </c>
      <c r="AC222" s="2576">
        <f t="shared" si="495"/>
        <v>0</v>
      </c>
      <c r="AD222" s="2576">
        <f t="shared" si="496"/>
        <v>0</v>
      </c>
      <c r="AE222" s="2577">
        <f t="shared" si="497"/>
        <v>0</v>
      </c>
      <c r="AF222" s="2578">
        <f t="shared" si="498"/>
        <v>0</v>
      </c>
      <c r="AG222" s="2578">
        <f t="shared" si="499"/>
        <v>0</v>
      </c>
      <c r="AH222" s="2578">
        <f t="shared" si="500"/>
        <v>0</v>
      </c>
      <c r="AI222" s="2577">
        <f t="shared" si="501"/>
        <v>0</v>
      </c>
      <c r="AJ222" s="2577">
        <f t="shared" si="489"/>
        <v>0</v>
      </c>
      <c r="AK222" s="2578">
        <f t="shared" si="502"/>
        <v>0</v>
      </c>
      <c r="AL222" s="2578">
        <f t="shared" si="503"/>
        <v>0</v>
      </c>
      <c r="AM222" s="2578">
        <f t="shared" si="504"/>
        <v>0</v>
      </c>
      <c r="AN222" s="2577">
        <f t="shared" si="505"/>
        <v>0</v>
      </c>
      <c r="AO222" s="2577">
        <f t="shared" si="491"/>
        <v>0</v>
      </c>
      <c r="AP222" s="2578">
        <f t="shared" si="506"/>
        <v>0</v>
      </c>
      <c r="AQ222" s="2578">
        <f t="shared" si="507"/>
        <v>0</v>
      </c>
      <c r="AR222" s="2578">
        <f t="shared" si="508"/>
        <v>0</v>
      </c>
      <c r="AS222" s="2577">
        <f t="shared" si="509"/>
        <v>0</v>
      </c>
      <c r="AT222" s="676">
        <f t="shared" si="420"/>
        <v>0</v>
      </c>
      <c r="AU222" s="645"/>
      <c r="AV222" s="645"/>
    </row>
    <row r="223" spans="1:48" ht="18.75">
      <c r="A223" s="2568" t="s">
        <v>32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438"/>
      <c r="U223" s="438"/>
      <c r="V223" s="2569">
        <f>SUM(V208*0.29%)</f>
        <v>20.510329970845543</v>
      </c>
      <c r="W223" s="667"/>
      <c r="X223" s="2569">
        <f>SUM(V223*стоки!BE51/стоки!BC51)</f>
        <v>20.398223623307672</v>
      </c>
      <c r="Y223" s="2570">
        <f t="shared" si="484"/>
        <v>0.11210634753787119</v>
      </c>
      <c r="Z223" s="2556">
        <f t="shared" si="485"/>
        <v>1.6537921279507779</v>
      </c>
      <c r="AA223" s="2570">
        <f t="shared" si="486"/>
        <v>0.11210634753787119</v>
      </c>
      <c r="AB223" s="2556">
        <f t="shared" si="494"/>
        <v>1.7091941642371287</v>
      </c>
      <c r="AC223" s="2556">
        <f t="shared" si="495"/>
        <v>1.7091941642371287</v>
      </c>
      <c r="AD223" s="2556">
        <f t="shared" si="496"/>
        <v>1.7091941642371287</v>
      </c>
      <c r="AE223" s="2555">
        <f t="shared" si="497"/>
        <v>5.1275824927113858</v>
      </c>
      <c r="AF223" s="2572">
        <f t="shared" si="498"/>
        <v>1.7091941642371287</v>
      </c>
      <c r="AG223" s="2572">
        <f t="shared" si="499"/>
        <v>1.7091941642371287</v>
      </c>
      <c r="AH223" s="2572">
        <f t="shared" si="500"/>
        <v>1.7091941642371287</v>
      </c>
      <c r="AI223" s="2555">
        <f t="shared" si="501"/>
        <v>5.1275824927113858</v>
      </c>
      <c r="AJ223" s="2555">
        <f t="shared" si="416"/>
        <v>10.255164985422772</v>
      </c>
      <c r="AK223" s="2572">
        <f t="shared" si="502"/>
        <v>1.7091941642371287</v>
      </c>
      <c r="AL223" s="2572">
        <f t="shared" si="503"/>
        <v>1.7091941642371287</v>
      </c>
      <c r="AM223" s="2572">
        <f t="shared" si="504"/>
        <v>1.7091941642371287</v>
      </c>
      <c r="AN223" s="2555">
        <f t="shared" si="505"/>
        <v>5.1275824927113858</v>
      </c>
      <c r="AO223" s="2555">
        <f t="shared" si="418"/>
        <v>15.382747478134156</v>
      </c>
      <c r="AP223" s="2572">
        <f t="shared" si="506"/>
        <v>1.7091941642371287</v>
      </c>
      <c r="AQ223" s="2572">
        <f t="shared" si="507"/>
        <v>1.7091941642371287</v>
      </c>
      <c r="AR223" s="2572">
        <f t="shared" si="508"/>
        <v>1.7091941642371287</v>
      </c>
      <c r="AS223" s="2555">
        <f t="shared" si="509"/>
        <v>5.1275824927113858</v>
      </c>
      <c r="AT223" s="669">
        <f t="shared" si="420"/>
        <v>20.510329970845543</v>
      </c>
      <c r="AU223" s="645"/>
      <c r="AV223" s="645"/>
    </row>
    <row r="224" spans="1:48" ht="18.75">
      <c r="A224" s="2568" t="s">
        <v>607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438"/>
      <c r="U224" s="438"/>
      <c r="V224" s="2569">
        <f>SUM(V225:V228)</f>
        <v>541.7556123333685</v>
      </c>
      <c r="W224" s="667"/>
      <c r="X224" s="2569">
        <f>SUM(X225:X228)</f>
        <v>538.79445846392002</v>
      </c>
      <c r="Y224" s="2569">
        <f>SUM(Y225:Y228)</f>
        <v>2.9611538694485278</v>
      </c>
      <c r="Z224" s="2571">
        <f t="shared" ref="Z224" si="514">SUM(Z225:Z228)</f>
        <v>92.378425788566204</v>
      </c>
      <c r="AA224" s="2569">
        <f>SUM(AA225:AA228)</f>
        <v>2.9611538694485278</v>
      </c>
      <c r="AB224" s="2571">
        <f t="shared" ref="AB224:AD224" si="515">SUM(AB225:AB228)</f>
        <v>77.24585653112959</v>
      </c>
      <c r="AC224" s="2571">
        <f t="shared" si="515"/>
        <v>68.072227964816634</v>
      </c>
      <c r="AD224" s="2571">
        <f t="shared" si="515"/>
        <v>64.09935478106911</v>
      </c>
      <c r="AE224" s="2555">
        <f t="shared" si="414"/>
        <v>209.41743927701532</v>
      </c>
      <c r="AF224" s="2571">
        <f t="shared" ref="AF224:AH224" si="516">SUM(AF225:AF228)</f>
        <v>50.239545742099935</v>
      </c>
      <c r="AG224" s="2571">
        <f t="shared" si="516"/>
        <v>22.189889963323264</v>
      </c>
      <c r="AH224" s="2571">
        <f t="shared" si="516"/>
        <v>13.555677854294469</v>
      </c>
      <c r="AI224" s="2555">
        <f t="shared" si="415"/>
        <v>85.985113559717675</v>
      </c>
      <c r="AJ224" s="2555">
        <f t="shared" si="416"/>
        <v>295.40255283673298</v>
      </c>
      <c r="AK224" s="2571">
        <f t="shared" ref="AK224:AM224" si="517">SUM(AK225:AK228)</f>
        <v>13.555677854294469</v>
      </c>
      <c r="AL224" s="2571">
        <f t="shared" si="517"/>
        <v>13.555677854294469</v>
      </c>
      <c r="AM224" s="2571">
        <f t="shared" si="517"/>
        <v>29.377898160033354</v>
      </c>
      <c r="AN224" s="2555">
        <f t="shared" si="417"/>
        <v>56.489253868622292</v>
      </c>
      <c r="AO224" s="2555">
        <f t="shared" si="418"/>
        <v>351.89180670535529</v>
      </c>
      <c r="AP224" s="2571">
        <f t="shared" ref="AP224:AR224" si="518">SUM(AP225:AP228)</f>
        <v>52.448740038077162</v>
      </c>
      <c r="AQ224" s="2571">
        <f t="shared" si="518"/>
        <v>62.46172900226415</v>
      </c>
      <c r="AR224" s="2571">
        <f t="shared" si="518"/>
        <v>74.953336587671885</v>
      </c>
      <c r="AS224" s="2555">
        <f t="shared" si="419"/>
        <v>189.86380562801321</v>
      </c>
      <c r="AT224" s="669">
        <f t="shared" si="420"/>
        <v>541.7556123333685</v>
      </c>
      <c r="AU224" s="645"/>
      <c r="AV224" s="645"/>
    </row>
    <row r="225" spans="1:48" ht="18.75">
      <c r="A225" s="2573" t="s">
        <v>652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438"/>
      <c r="U225" s="438"/>
      <c r="V225" s="2569">
        <f>SUM(V208*5.36%)</f>
        <v>379.08747808183489</v>
      </c>
      <c r="W225" s="667"/>
      <c r="X225" s="2569">
        <f>SUM(V225*стоки!BE51/стоки!BC51)</f>
        <v>377.01544352044533</v>
      </c>
      <c r="Y225" s="2570">
        <f t="shared" si="479"/>
        <v>2.0720345613895574</v>
      </c>
      <c r="Z225" s="2556">
        <f>SUM(V225/2094.54)/(1+(101%*100-100)/2/100)*358.94</f>
        <v>64.640778358578956</v>
      </c>
      <c r="AA225" s="2570">
        <f t="shared" si="486"/>
        <v>2.0720345613895574</v>
      </c>
      <c r="AB225" s="2556">
        <f>SUM(V225/2094.54)/(1+(104%*100-100)/2/100)*358.94</f>
        <v>63.690178676835124</v>
      </c>
      <c r="AC225" s="2556">
        <f>SUM(V225/2094.54)/(1+(104%*100-100)/2/100)*307.24</f>
        <v>54.516550110522161</v>
      </c>
      <c r="AD225" s="2556">
        <f>SUM(V225/2094.54)/(1+(104%*100-100)/2/100)*284.85</f>
        <v>50.543676926774637</v>
      </c>
      <c r="AE225" s="2555">
        <f t="shared" si="414"/>
        <v>168.75040571413194</v>
      </c>
      <c r="AF225" s="2556">
        <f>SUM(V225/2094.54)/(1+(104%*100-100)/2/100)*206.74</f>
        <v>36.683867887805469</v>
      </c>
      <c r="AG225" s="2556">
        <f>SUM(V225/2094.54)/(1+(104%*100-100)/2/100)*48.66</f>
        <v>8.6342121090287982</v>
      </c>
      <c r="AH225" s="2556">
        <v>0</v>
      </c>
      <c r="AI225" s="2555">
        <f t="shared" si="415"/>
        <v>45.318079996834271</v>
      </c>
      <c r="AJ225" s="2555">
        <f t="shared" si="416"/>
        <v>214.06848571096623</v>
      </c>
      <c r="AK225" s="2556">
        <v>0</v>
      </c>
      <c r="AL225" s="2556">
        <v>0</v>
      </c>
      <c r="AM225" s="2556">
        <f>SUM(V225/2094.54)/(1+(104%*100-100)/2/100)*104%*85.74</f>
        <v>15.82222030573889</v>
      </c>
      <c r="AN225" s="2555">
        <f t="shared" si="417"/>
        <v>15.82222030573889</v>
      </c>
      <c r="AO225" s="2555">
        <f t="shared" si="418"/>
        <v>229.89070601670511</v>
      </c>
      <c r="AP225" s="2556">
        <f>SUM(V225/2094.54)/(1+(104%*100-100)/2/100)*104%*210.76</f>
        <v>38.893062183782696</v>
      </c>
      <c r="AQ225" s="2556">
        <f>SUM(V225/2094.54)/(1+(104%*100-100)/2/100)*104%*265.02</f>
        <v>48.906051147969684</v>
      </c>
      <c r="AR225" s="2556">
        <f>SUM(V225-AO225-AP225-AQ225)</f>
        <v>61.397658733377405</v>
      </c>
      <c r="AS225" s="2555">
        <f t="shared" si="419"/>
        <v>149.19677206512978</v>
      </c>
      <c r="AT225" s="669">
        <f t="shared" si="420"/>
        <v>379.08747808183477</v>
      </c>
      <c r="AU225" s="645"/>
      <c r="AV225" s="645"/>
    </row>
    <row r="226" spans="1:48" ht="18.75">
      <c r="A226" s="2573" t="s">
        <v>565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438"/>
      <c r="U226" s="438"/>
      <c r="V226" s="2569">
        <f>SUM(V208*1.89%)</f>
        <v>133.67077118930371</v>
      </c>
      <c r="W226" s="667"/>
      <c r="X226" s="2569">
        <f>SUM(V226*стоки!BE51/стоки!BC51)</f>
        <v>132.94014706224655</v>
      </c>
      <c r="Y226" s="2570">
        <f t="shared" ref="Y226:Y228" si="519">SUM(V226-X226)</f>
        <v>0.73062412705715474</v>
      </c>
      <c r="Z226" s="2556">
        <f t="shared" ref="Z226:Z228" si="520">SUM(V226/2094.54)/(1+(101%*100-100)/2/100)*358.94</f>
        <v>22.79311027942429</v>
      </c>
      <c r="AA226" s="2570">
        <f t="shared" ref="AA226:AA230" si="521">SUM(V226-X226)</f>
        <v>0.73062412705715474</v>
      </c>
      <c r="AB226" s="2556">
        <f>SUM(V226/12)</f>
        <v>11.139230932441976</v>
      </c>
      <c r="AC226" s="2556">
        <f t="shared" ref="AC226:AC228" si="522">SUM(AB226)</f>
        <v>11.139230932441976</v>
      </c>
      <c r="AD226" s="2556">
        <f t="shared" ref="AD226:AD228" si="523">SUM(AB226)</f>
        <v>11.139230932441976</v>
      </c>
      <c r="AE226" s="2555">
        <f t="shared" ref="AE226:AE228" si="524">SUM(AB226+AC226+AD226)</f>
        <v>33.417692797325927</v>
      </c>
      <c r="AF226" s="2572">
        <f t="shared" ref="AF226:AF228" si="525">SUM(AB226)</f>
        <v>11.139230932441976</v>
      </c>
      <c r="AG226" s="2572">
        <f t="shared" ref="AG226:AG228" si="526">SUM(AB226)</f>
        <v>11.139230932441976</v>
      </c>
      <c r="AH226" s="2572">
        <f t="shared" ref="AH226:AH228" si="527">SUM(AB226)</f>
        <v>11.139230932441976</v>
      </c>
      <c r="AI226" s="2555">
        <f t="shared" ref="AI226:AI228" si="528">SUM(AF226+AG226+AH226)</f>
        <v>33.417692797325927</v>
      </c>
      <c r="AJ226" s="2555">
        <f t="shared" si="416"/>
        <v>66.835385594651854</v>
      </c>
      <c r="AK226" s="2572">
        <f t="shared" ref="AK226:AK228" si="529">SUM(AB226)</f>
        <v>11.139230932441976</v>
      </c>
      <c r="AL226" s="2572">
        <f t="shared" ref="AL226:AL228" si="530">SUM(AB226)</f>
        <v>11.139230932441976</v>
      </c>
      <c r="AM226" s="2572">
        <f t="shared" ref="AM226:AM228" si="531">SUM(AB226)</f>
        <v>11.139230932441976</v>
      </c>
      <c r="AN226" s="2555">
        <f t="shared" ref="AN226:AN228" si="532">SUM(AK226+AL226+AM226)</f>
        <v>33.417692797325927</v>
      </c>
      <c r="AO226" s="2555">
        <f t="shared" si="418"/>
        <v>100.25307839197778</v>
      </c>
      <c r="AP226" s="2572">
        <f t="shared" ref="AP226:AP228" si="533">SUM(AB226)</f>
        <v>11.139230932441976</v>
      </c>
      <c r="AQ226" s="2572">
        <f t="shared" ref="AQ226:AQ228" si="534">SUM(AB226)</f>
        <v>11.139230932441976</v>
      </c>
      <c r="AR226" s="2572">
        <f t="shared" ref="AR226:AR228" si="535">SUM(AB226)</f>
        <v>11.139230932441976</v>
      </c>
      <c r="AS226" s="2555">
        <f t="shared" ref="AS226:AS228" si="536">SUM(AP226+AQ226+AR226)</f>
        <v>33.417692797325927</v>
      </c>
      <c r="AT226" s="669">
        <f t="shared" si="420"/>
        <v>133.67077118930371</v>
      </c>
      <c r="AU226" s="645"/>
      <c r="AV226" s="645"/>
    </row>
    <row r="227" spans="1:48" ht="18.75">
      <c r="A227" s="2573" t="s">
        <v>564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438"/>
      <c r="U227" s="438"/>
      <c r="V227" s="2569">
        <f>SUM(V208*0.01%)</f>
        <v>0.70725275761536366</v>
      </c>
      <c r="W227" s="667"/>
      <c r="X227" s="2569">
        <f>SUM(V227*стоки!BE51/стоки!BC51)</f>
        <v>0.70338702149336818</v>
      </c>
      <c r="Y227" s="2570">
        <f t="shared" si="519"/>
        <v>3.8657361219954778E-3</v>
      </c>
      <c r="Z227" s="2556">
        <f t="shared" si="520"/>
        <v>0.12059846708690104</v>
      </c>
      <c r="AA227" s="2570">
        <f t="shared" si="521"/>
        <v>3.8657361219954778E-3</v>
      </c>
      <c r="AB227" s="2556">
        <f>SUM(V227/12)</f>
        <v>5.8937729801280307E-2</v>
      </c>
      <c r="AC227" s="2556">
        <f t="shared" si="522"/>
        <v>5.8937729801280307E-2</v>
      </c>
      <c r="AD227" s="2556">
        <f t="shared" si="523"/>
        <v>5.8937729801280307E-2</v>
      </c>
      <c r="AE227" s="2555">
        <f t="shared" si="524"/>
        <v>0.17681318940384091</v>
      </c>
      <c r="AF227" s="2572">
        <f t="shared" si="525"/>
        <v>5.8937729801280307E-2</v>
      </c>
      <c r="AG227" s="2572">
        <f t="shared" si="526"/>
        <v>5.8937729801280307E-2</v>
      </c>
      <c r="AH227" s="2572">
        <f t="shared" si="527"/>
        <v>5.8937729801280307E-2</v>
      </c>
      <c r="AI227" s="2555">
        <f t="shared" si="528"/>
        <v>0.17681318940384091</v>
      </c>
      <c r="AJ227" s="2555">
        <f t="shared" si="416"/>
        <v>0.35362637880768183</v>
      </c>
      <c r="AK227" s="2572">
        <f t="shared" si="529"/>
        <v>5.8937729801280307E-2</v>
      </c>
      <c r="AL227" s="2572">
        <f t="shared" si="530"/>
        <v>5.8937729801280307E-2</v>
      </c>
      <c r="AM227" s="2572">
        <f t="shared" si="531"/>
        <v>5.8937729801280307E-2</v>
      </c>
      <c r="AN227" s="2555">
        <f t="shared" si="532"/>
        <v>0.17681318940384091</v>
      </c>
      <c r="AO227" s="2555">
        <f t="shared" si="418"/>
        <v>0.53043956821152272</v>
      </c>
      <c r="AP227" s="2572">
        <f t="shared" si="533"/>
        <v>5.8937729801280307E-2</v>
      </c>
      <c r="AQ227" s="2572">
        <f t="shared" si="534"/>
        <v>5.8937729801280307E-2</v>
      </c>
      <c r="AR227" s="2572">
        <f t="shared" si="535"/>
        <v>5.8937729801280307E-2</v>
      </c>
      <c r="AS227" s="2555">
        <f t="shared" si="536"/>
        <v>0.17681318940384091</v>
      </c>
      <c r="AT227" s="669">
        <f t="shared" si="420"/>
        <v>0.70725275761536366</v>
      </c>
    </row>
    <row r="228" spans="1:48" ht="18.75">
      <c r="A228" s="2573" t="s">
        <v>566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438"/>
      <c r="U228" s="438"/>
      <c r="V228" s="2569">
        <f>SUM(V208*0.4%)</f>
        <v>28.290110304614544</v>
      </c>
      <c r="W228" s="667"/>
      <c r="X228" s="2569">
        <f>SUM(V228*стоки!BE51/стоки!BC51)</f>
        <v>28.135480859734724</v>
      </c>
      <c r="Y228" s="2570">
        <f t="shared" si="519"/>
        <v>0.15462944487982</v>
      </c>
      <c r="Z228" s="2556">
        <f t="shared" si="520"/>
        <v>4.8239386834760403</v>
      </c>
      <c r="AA228" s="2570">
        <f t="shared" si="521"/>
        <v>0.15462944487982</v>
      </c>
      <c r="AB228" s="2556">
        <f>SUM(V228/12)</f>
        <v>2.3575091920512121</v>
      </c>
      <c r="AC228" s="2556">
        <f t="shared" si="522"/>
        <v>2.3575091920512121</v>
      </c>
      <c r="AD228" s="2556">
        <f t="shared" si="523"/>
        <v>2.3575091920512121</v>
      </c>
      <c r="AE228" s="2555">
        <f t="shared" si="524"/>
        <v>7.0725275761536359</v>
      </c>
      <c r="AF228" s="2572">
        <f t="shared" si="525"/>
        <v>2.3575091920512121</v>
      </c>
      <c r="AG228" s="2572">
        <f t="shared" si="526"/>
        <v>2.3575091920512121</v>
      </c>
      <c r="AH228" s="2572">
        <f t="shared" si="527"/>
        <v>2.3575091920512121</v>
      </c>
      <c r="AI228" s="2555">
        <f t="shared" si="528"/>
        <v>7.0725275761536359</v>
      </c>
      <c r="AJ228" s="2555">
        <f t="shared" si="416"/>
        <v>14.145055152307272</v>
      </c>
      <c r="AK228" s="2572">
        <f t="shared" si="529"/>
        <v>2.3575091920512121</v>
      </c>
      <c r="AL228" s="2572">
        <f t="shared" si="530"/>
        <v>2.3575091920512121</v>
      </c>
      <c r="AM228" s="2572">
        <f t="shared" si="531"/>
        <v>2.3575091920512121</v>
      </c>
      <c r="AN228" s="2555">
        <f t="shared" si="532"/>
        <v>7.0725275761536359</v>
      </c>
      <c r="AO228" s="2555">
        <f t="shared" si="418"/>
        <v>21.217582728460908</v>
      </c>
      <c r="AP228" s="2572">
        <f t="shared" si="533"/>
        <v>2.3575091920512121</v>
      </c>
      <c r="AQ228" s="2572">
        <f t="shared" si="534"/>
        <v>2.3575091920512121</v>
      </c>
      <c r="AR228" s="2572">
        <f t="shared" si="535"/>
        <v>2.3575091920512121</v>
      </c>
      <c r="AS228" s="2555">
        <f t="shared" si="536"/>
        <v>7.0725275761536359</v>
      </c>
      <c r="AT228" s="669">
        <f t="shared" si="420"/>
        <v>28.29011030461454</v>
      </c>
    </row>
    <row r="229" spans="1:48" ht="18.75">
      <c r="A229" s="2568" t="s">
        <v>610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438"/>
      <c r="U229" s="438"/>
      <c r="V229" s="2569">
        <f>SUM(V230:V233)</f>
        <v>461.8360507228324</v>
      </c>
      <c r="W229" s="667"/>
      <c r="X229" s="2569">
        <f>SUM(X230:X233)</f>
        <v>459.31172503516939</v>
      </c>
      <c r="Y229" s="2570">
        <f t="shared" si="479"/>
        <v>2.5243256876630085</v>
      </c>
      <c r="Z229" s="2571">
        <f t="shared" ref="Z229" si="537">SUM(Z230:Z233)</f>
        <v>33.760215307839047</v>
      </c>
      <c r="AA229" s="2569">
        <f>SUM(AA230:AA233)</f>
        <v>2.5243256876630147</v>
      </c>
      <c r="AB229" s="2571">
        <f t="shared" ref="AB229:AD229" si="538">SUM(AB230:AB233)</f>
        <v>36.843412979387459</v>
      </c>
      <c r="AC229" s="2571">
        <f t="shared" si="538"/>
        <v>36.843412979387459</v>
      </c>
      <c r="AD229" s="2571">
        <f t="shared" si="538"/>
        <v>36.843412979387459</v>
      </c>
      <c r="AE229" s="2555">
        <f t="shared" si="414"/>
        <v>110.53023893816237</v>
      </c>
      <c r="AF229" s="2571">
        <f t="shared" ref="AF229:AH229" si="539">SUM(AF230:AF233)</f>
        <v>36.987904717768281</v>
      </c>
      <c r="AG229" s="2571">
        <f t="shared" si="539"/>
        <v>39.380045719850727</v>
      </c>
      <c r="AH229" s="2571">
        <f t="shared" si="539"/>
        <v>41.467148607573662</v>
      </c>
      <c r="AI229" s="2555">
        <f t="shared" si="415"/>
        <v>117.83509904519268</v>
      </c>
      <c r="AJ229" s="2555">
        <f t="shared" si="416"/>
        <v>228.36533798335506</v>
      </c>
      <c r="AK229" s="2571">
        <f t="shared" ref="AK229:AM229" si="540">SUM(AK230:AK233)</f>
        <v>42.09327947389054</v>
      </c>
      <c r="AL229" s="2571">
        <f t="shared" si="540"/>
        <v>41.467148607573662</v>
      </c>
      <c r="AM229" s="2571">
        <f t="shared" si="540"/>
        <v>39.380045719850727</v>
      </c>
      <c r="AN229" s="2555">
        <f t="shared" si="417"/>
        <v>122.94047380131494</v>
      </c>
      <c r="AO229" s="2555">
        <f t="shared" si="418"/>
        <v>351.30581178467003</v>
      </c>
      <c r="AP229" s="2571">
        <f t="shared" ref="AP229:AR229" si="541">SUM(AP230:AP233)</f>
        <v>36.843412979387459</v>
      </c>
      <c r="AQ229" s="2571">
        <f t="shared" si="541"/>
        <v>36.843412979387459</v>
      </c>
      <c r="AR229" s="2571">
        <f t="shared" si="541"/>
        <v>36.843412979387459</v>
      </c>
      <c r="AS229" s="2555">
        <f t="shared" si="419"/>
        <v>110.53023893816237</v>
      </c>
      <c r="AT229" s="669">
        <f t="shared" si="420"/>
        <v>461.83605072283228</v>
      </c>
    </row>
    <row r="230" spans="1:48" ht="18.75">
      <c r="A230" s="2573" t="s">
        <v>552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438"/>
      <c r="U230" s="438"/>
      <c r="V230" s="2569">
        <f>SUM(V208*2.27%)</f>
        <v>160.54637597868754</v>
      </c>
      <c r="W230" s="667"/>
      <c r="X230" s="2569">
        <f>SUM(V230*стоки!BE51/стоки!BC51)</f>
        <v>159.66885387899458</v>
      </c>
      <c r="Y230" s="2570">
        <f t="shared" si="479"/>
        <v>0.87752209969295336</v>
      </c>
      <c r="Z230" s="2556">
        <f>SUM(V230*7.31%)</f>
        <v>11.735940084042058</v>
      </c>
      <c r="AA230" s="2570">
        <f t="shared" si="521"/>
        <v>0.87752209969295336</v>
      </c>
      <c r="AB230" s="2556">
        <f>SUM(V230*7.31%)</f>
        <v>11.735940084042058</v>
      </c>
      <c r="AC230" s="2556">
        <f>SUM(V230*7.31%)</f>
        <v>11.735940084042058</v>
      </c>
      <c r="AD230" s="2556">
        <f>SUM(V230*7.31%)</f>
        <v>11.735940084042058</v>
      </c>
      <c r="AE230" s="2555">
        <f t="shared" ref="AE230:AE233" si="542">SUM(AB230+AC230+AD230)</f>
        <v>35.207820252126176</v>
      </c>
      <c r="AF230" s="2556">
        <f>SUM(V230*7.4%)</f>
        <v>11.88043182242288</v>
      </c>
      <c r="AG230" s="2556">
        <f>SUM(V230*8.89%)</f>
        <v>14.272572824505323</v>
      </c>
      <c r="AH230" s="2556">
        <f>SUM(V230*10.19%)</f>
        <v>16.35967571222826</v>
      </c>
      <c r="AI230" s="2555">
        <f t="shared" ref="AI230:AI233" si="543">SUM(AF230+AG230+AH230)</f>
        <v>42.512680359156462</v>
      </c>
      <c r="AJ230" s="2555">
        <f t="shared" si="416"/>
        <v>77.720500611282631</v>
      </c>
      <c r="AK230" s="2556">
        <f>SUM(V230*10.58%)</f>
        <v>16.985806578545141</v>
      </c>
      <c r="AL230" s="2556">
        <f>SUM(V230*10.19%)</f>
        <v>16.35967571222826</v>
      </c>
      <c r="AM230" s="2556">
        <f>SUM(V230*8.89%)</f>
        <v>14.272572824505323</v>
      </c>
      <c r="AN230" s="2555">
        <f t="shared" ref="AN230:AN233" si="544">SUM(AK230+AL230+AM230)</f>
        <v>47.618055115278729</v>
      </c>
      <c r="AO230" s="2555">
        <f t="shared" si="418"/>
        <v>125.33855572656137</v>
      </c>
      <c r="AP230" s="2556">
        <f>SUM(V230*7.31%)</f>
        <v>11.735940084042058</v>
      </c>
      <c r="AQ230" s="2556">
        <f>SUM(V230*7.31%)</f>
        <v>11.735940084042058</v>
      </c>
      <c r="AR230" s="2556">
        <f>SUM(V230*7.31%)</f>
        <v>11.735940084042058</v>
      </c>
      <c r="AS230" s="2555">
        <f t="shared" ref="AS230:AS233" si="545">SUM(AP230+AQ230+AR230)</f>
        <v>35.207820252126176</v>
      </c>
      <c r="AT230" s="669">
        <f t="shared" si="420"/>
        <v>160.54637597868751</v>
      </c>
    </row>
    <row r="231" spans="1:48" ht="18.75">
      <c r="A231" s="2573" t="s">
        <v>644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438"/>
      <c r="U231" s="438"/>
      <c r="V231" s="2569">
        <f>SUM(V208*4.18%)</f>
        <v>295.63165268322194</v>
      </c>
      <c r="W231" s="667"/>
      <c r="X231" s="2569">
        <f>SUM(V231*стоки!BE51/стоки!BC51)</f>
        <v>294.01577498422785</v>
      </c>
      <c r="Y231" s="2570">
        <f t="shared" ref="Y231:Y233" si="546">SUM(V231-X231)</f>
        <v>1.6158776989940975</v>
      </c>
      <c r="Z231" s="2556">
        <f t="shared" ref="Z231:Z233" si="547">SUM(V231*7.31%)</f>
        <v>21.610673811143524</v>
      </c>
      <c r="AA231" s="2570">
        <f t="shared" ref="AA231:AA234" si="548">SUM(V231-X231)</f>
        <v>1.6158776989940975</v>
      </c>
      <c r="AB231" s="2556">
        <f>SUM(V231/12)</f>
        <v>24.635971056935162</v>
      </c>
      <c r="AC231" s="2556">
        <f t="shared" ref="AC231:AC233" si="549">SUM(AB231)</f>
        <v>24.635971056935162</v>
      </c>
      <c r="AD231" s="2556">
        <f t="shared" ref="AD231:AD233" si="550">SUM(AB231)</f>
        <v>24.635971056935162</v>
      </c>
      <c r="AE231" s="2555">
        <f t="shared" si="542"/>
        <v>73.907913170805486</v>
      </c>
      <c r="AF231" s="2572">
        <f t="shared" ref="AF231:AF233" si="551">SUM(AB231)</f>
        <v>24.635971056935162</v>
      </c>
      <c r="AG231" s="2572">
        <f t="shared" ref="AG231:AG233" si="552">SUM(AB231)</f>
        <v>24.635971056935162</v>
      </c>
      <c r="AH231" s="2572">
        <f t="shared" ref="AH231:AH233" si="553">SUM(AB231)</f>
        <v>24.635971056935162</v>
      </c>
      <c r="AI231" s="2555">
        <f t="shared" si="543"/>
        <v>73.907913170805486</v>
      </c>
      <c r="AJ231" s="2555">
        <f t="shared" si="416"/>
        <v>147.81582634161097</v>
      </c>
      <c r="AK231" s="2572">
        <f t="shared" ref="AK231:AK233" si="554">SUM(AB231)</f>
        <v>24.635971056935162</v>
      </c>
      <c r="AL231" s="2572">
        <f t="shared" ref="AL231:AL233" si="555">SUM(AB231)</f>
        <v>24.635971056935162</v>
      </c>
      <c r="AM231" s="2572">
        <f t="shared" ref="AM231:AM233" si="556">SUM(AB231)</f>
        <v>24.635971056935162</v>
      </c>
      <c r="AN231" s="2555">
        <f t="shared" si="544"/>
        <v>73.907913170805486</v>
      </c>
      <c r="AO231" s="2555">
        <f t="shared" si="418"/>
        <v>221.72373951241644</v>
      </c>
      <c r="AP231" s="2572">
        <f t="shared" ref="AP231:AP233" si="557">SUM(AB231)</f>
        <v>24.635971056935162</v>
      </c>
      <c r="AQ231" s="2572">
        <f t="shared" ref="AQ231:AQ233" si="558">SUM(AB231)</f>
        <v>24.635971056935162</v>
      </c>
      <c r="AR231" s="2572">
        <f t="shared" ref="AR231:AR233" si="559">SUM(AB231)</f>
        <v>24.635971056935162</v>
      </c>
      <c r="AS231" s="2555">
        <f t="shared" si="545"/>
        <v>73.907913170805486</v>
      </c>
      <c r="AT231" s="669">
        <f t="shared" si="420"/>
        <v>295.63165268322189</v>
      </c>
    </row>
    <row r="232" spans="1:48" ht="18.75">
      <c r="A232" s="2573" t="s">
        <v>560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438"/>
      <c r="U232" s="438"/>
      <c r="V232" s="2569">
        <f>SUM(V208*0.07%)</f>
        <v>4.9507693033075455</v>
      </c>
      <c r="W232" s="667"/>
      <c r="X232" s="2569">
        <f>SUM(V232*стоки!BE51/стоки!BC51)</f>
        <v>4.9237091504535773</v>
      </c>
      <c r="Y232" s="2570">
        <f t="shared" si="546"/>
        <v>2.7060152853968233E-2</v>
      </c>
      <c r="Z232" s="2556">
        <f t="shared" si="547"/>
        <v>0.36190123607178154</v>
      </c>
      <c r="AA232" s="2570">
        <f t="shared" si="548"/>
        <v>2.7060152853968233E-2</v>
      </c>
      <c r="AB232" s="2556">
        <f>SUM(V232/12)</f>
        <v>0.41256410860896214</v>
      </c>
      <c r="AC232" s="2556">
        <f t="shared" si="549"/>
        <v>0.41256410860896214</v>
      </c>
      <c r="AD232" s="2556">
        <f t="shared" si="550"/>
        <v>0.41256410860896214</v>
      </c>
      <c r="AE232" s="2555">
        <f t="shared" si="542"/>
        <v>1.2376923258268864</v>
      </c>
      <c r="AF232" s="2572">
        <f t="shared" si="551"/>
        <v>0.41256410860896214</v>
      </c>
      <c r="AG232" s="2572">
        <f t="shared" si="552"/>
        <v>0.41256410860896214</v>
      </c>
      <c r="AH232" s="2572">
        <f t="shared" si="553"/>
        <v>0.41256410860896214</v>
      </c>
      <c r="AI232" s="2555">
        <f t="shared" si="543"/>
        <v>1.2376923258268864</v>
      </c>
      <c r="AJ232" s="2555">
        <f t="shared" si="416"/>
        <v>2.4753846516537727</v>
      </c>
      <c r="AK232" s="2572">
        <f t="shared" si="554"/>
        <v>0.41256410860896214</v>
      </c>
      <c r="AL232" s="2572">
        <f t="shared" si="555"/>
        <v>0.41256410860896214</v>
      </c>
      <c r="AM232" s="2572">
        <f t="shared" si="556"/>
        <v>0.41256410860896214</v>
      </c>
      <c r="AN232" s="2555">
        <f t="shared" si="544"/>
        <v>1.2376923258268864</v>
      </c>
      <c r="AO232" s="2555">
        <f t="shared" si="418"/>
        <v>3.7130769774806591</v>
      </c>
      <c r="AP232" s="2572">
        <f t="shared" si="557"/>
        <v>0.41256410860896214</v>
      </c>
      <c r="AQ232" s="2572">
        <f t="shared" si="558"/>
        <v>0.41256410860896214</v>
      </c>
      <c r="AR232" s="2572">
        <f t="shared" si="559"/>
        <v>0.41256410860896214</v>
      </c>
      <c r="AS232" s="2555">
        <f t="shared" si="545"/>
        <v>1.2376923258268864</v>
      </c>
      <c r="AT232" s="669">
        <f t="shared" si="420"/>
        <v>4.9507693033075455</v>
      </c>
    </row>
    <row r="233" spans="1:48" ht="18.75">
      <c r="A233" s="2573" t="s">
        <v>614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438"/>
      <c r="U233" s="438"/>
      <c r="V233" s="2569">
        <f>SUM(V208*0.01%)</f>
        <v>0.70725275761536366</v>
      </c>
      <c r="W233" s="667"/>
      <c r="X233" s="2569">
        <f>SUM(V233*стоки!BE51/стоки!BC51)</f>
        <v>0.70338702149336818</v>
      </c>
      <c r="Y233" s="2570">
        <f t="shared" si="546"/>
        <v>3.8657361219954778E-3</v>
      </c>
      <c r="Z233" s="2556">
        <f t="shared" si="547"/>
        <v>5.1700176581683084E-2</v>
      </c>
      <c r="AA233" s="2570">
        <f t="shared" si="548"/>
        <v>3.8657361219954778E-3</v>
      </c>
      <c r="AB233" s="2556">
        <f>SUM(V233/12)</f>
        <v>5.8937729801280307E-2</v>
      </c>
      <c r="AC233" s="2556">
        <f t="shared" si="549"/>
        <v>5.8937729801280307E-2</v>
      </c>
      <c r="AD233" s="2556">
        <f t="shared" si="550"/>
        <v>5.8937729801280307E-2</v>
      </c>
      <c r="AE233" s="2555">
        <f t="shared" si="542"/>
        <v>0.17681318940384091</v>
      </c>
      <c r="AF233" s="2572">
        <f t="shared" si="551"/>
        <v>5.8937729801280307E-2</v>
      </c>
      <c r="AG233" s="2572">
        <f t="shared" si="552"/>
        <v>5.8937729801280307E-2</v>
      </c>
      <c r="AH233" s="2572">
        <f t="shared" si="553"/>
        <v>5.8937729801280307E-2</v>
      </c>
      <c r="AI233" s="2555">
        <f t="shared" si="543"/>
        <v>0.17681318940384091</v>
      </c>
      <c r="AJ233" s="2555">
        <f t="shared" si="416"/>
        <v>0.35362637880768183</v>
      </c>
      <c r="AK233" s="2572">
        <f t="shared" si="554"/>
        <v>5.8937729801280307E-2</v>
      </c>
      <c r="AL233" s="2572">
        <f t="shared" si="555"/>
        <v>5.8937729801280307E-2</v>
      </c>
      <c r="AM233" s="2572">
        <f t="shared" si="556"/>
        <v>5.8937729801280307E-2</v>
      </c>
      <c r="AN233" s="2555">
        <f t="shared" si="544"/>
        <v>0.17681318940384091</v>
      </c>
      <c r="AO233" s="2555">
        <f t="shared" si="418"/>
        <v>0.53043956821152272</v>
      </c>
      <c r="AP233" s="2572">
        <f t="shared" si="557"/>
        <v>5.8937729801280307E-2</v>
      </c>
      <c r="AQ233" s="2572">
        <f t="shared" si="558"/>
        <v>5.8937729801280307E-2</v>
      </c>
      <c r="AR233" s="2572">
        <f t="shared" si="559"/>
        <v>5.8937729801280307E-2</v>
      </c>
      <c r="AS233" s="2555">
        <f t="shared" si="545"/>
        <v>0.17681318940384091</v>
      </c>
      <c r="AT233" s="669">
        <f t="shared" si="420"/>
        <v>0.70725275761536366</v>
      </c>
    </row>
    <row r="234" spans="1:48" ht="18.75" customHeight="1">
      <c r="A234" s="2574" t="s">
        <v>622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438"/>
      <c r="U234" s="438"/>
      <c r="V234" s="2564">
        <f>SUM(AR49)</f>
        <v>807.36721496218854</v>
      </c>
      <c r="W234" s="667"/>
      <c r="X234" s="2564">
        <f>SUM(стоки!BW33)</f>
        <v>801.73285375635362</v>
      </c>
      <c r="Y234" s="2565">
        <f>SUM(V234-X234)</f>
        <v>5.6343612058349208</v>
      </c>
      <c r="Z234" s="2566">
        <f>SUM(Z235+Z236+Z238+Z239+Z240+Z241+Z242+Z243+Z245)</f>
        <v>59.018543413735976</v>
      </c>
      <c r="AA234" s="2565">
        <f t="shared" si="548"/>
        <v>5.6343612058349208</v>
      </c>
      <c r="AB234" s="2566">
        <f>SUM(AB235+AB236+AB238+AB239+AB240+AB241+AB242+AB243+AB245)</f>
        <v>67.280601246849045</v>
      </c>
      <c r="AC234" s="2566">
        <f t="shared" ref="AC234:AD234" si="560">SUM(AC235+AC236+AC238+AC239+AC240+AC241+AC242+AC243+AC245)</f>
        <v>67.280601246849045</v>
      </c>
      <c r="AD234" s="2566">
        <f t="shared" si="560"/>
        <v>67.280601246849045</v>
      </c>
      <c r="AE234" s="2567">
        <f t="shared" si="414"/>
        <v>201.84180374054714</v>
      </c>
      <c r="AF234" s="2566">
        <f t="shared" ref="AF234:AH234" si="561">SUM(AF235+AF236+AF238+AF239+AF240+AF241+AF242+AF243+AF245)</f>
        <v>67.280601246849045</v>
      </c>
      <c r="AG234" s="2566">
        <f t="shared" si="561"/>
        <v>67.280601246849045</v>
      </c>
      <c r="AH234" s="2566">
        <f t="shared" si="561"/>
        <v>67.280601246849045</v>
      </c>
      <c r="AI234" s="2567">
        <f t="shared" si="415"/>
        <v>201.84180374054714</v>
      </c>
      <c r="AJ234" s="2567">
        <f t="shared" si="416"/>
        <v>403.68360748109427</v>
      </c>
      <c r="AK234" s="2566">
        <f t="shared" ref="AK234:AM234" si="562">SUM(AK235+AK236+AK238+AK239+AK240+AK241+AK242+AK243+AK245)</f>
        <v>67.280601246849045</v>
      </c>
      <c r="AL234" s="2566">
        <f t="shared" si="562"/>
        <v>67.280601246849045</v>
      </c>
      <c r="AM234" s="2566">
        <f t="shared" si="562"/>
        <v>67.280601246849045</v>
      </c>
      <c r="AN234" s="2567">
        <f t="shared" si="417"/>
        <v>201.84180374054714</v>
      </c>
      <c r="AO234" s="2567">
        <f t="shared" si="418"/>
        <v>605.52541122164143</v>
      </c>
      <c r="AP234" s="2566">
        <f t="shared" ref="AP234:AR234" si="563">SUM(AP235+AP236+AP238+AP239+AP240+AP241+AP242+AP243+AP245)</f>
        <v>67.280601246849045</v>
      </c>
      <c r="AQ234" s="2566">
        <f t="shared" si="563"/>
        <v>67.280601246849045</v>
      </c>
      <c r="AR234" s="2566">
        <f t="shared" si="563"/>
        <v>67.280601246849045</v>
      </c>
      <c r="AS234" s="2567">
        <f t="shared" si="419"/>
        <v>201.84180374054714</v>
      </c>
      <c r="AT234" s="669">
        <f t="shared" si="420"/>
        <v>807.36721496218877</v>
      </c>
    </row>
    <row r="235" spans="1:48" ht="18.75">
      <c r="A235" s="2568" t="s">
        <v>72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438"/>
      <c r="U235" s="438"/>
      <c r="V235" s="2569">
        <f>SUM(V234*0%)</f>
        <v>0</v>
      </c>
      <c r="W235" s="667"/>
      <c r="X235" s="2569">
        <f>SUM(V235*стоки!BW51/стоки!BU51)</f>
        <v>0</v>
      </c>
      <c r="Y235" s="2570">
        <f t="shared" ref="Y235:Y242" si="564">SUM(V235-X235)</f>
        <v>0</v>
      </c>
      <c r="Z235" s="2556">
        <f t="shared" ref="Z235:Z242" si="565">SUM(V235*7.31%)</f>
        <v>0</v>
      </c>
      <c r="AA235" s="2570">
        <f t="shared" ref="AA235:AA242" si="566">SUM(V235-X235)</f>
        <v>0</v>
      </c>
      <c r="AB235" s="2556">
        <f>SUM(V235/2)/(1+(107.4%*100-100)/2/100)/6</f>
        <v>0</v>
      </c>
      <c r="AC235" s="2571">
        <f>SUM(AB235)</f>
        <v>0</v>
      </c>
      <c r="AD235" s="2556">
        <f>SUM(AB235)</f>
        <v>0</v>
      </c>
      <c r="AE235" s="2555">
        <f>SUM(AB235+AC235+AD235)</f>
        <v>0</v>
      </c>
      <c r="AF235" s="2572">
        <f>SUM(AB235)</f>
        <v>0</v>
      </c>
      <c r="AG235" s="2572">
        <f>SUM(AB235)</f>
        <v>0</v>
      </c>
      <c r="AH235" s="2572">
        <f>SUM(AB235)</f>
        <v>0</v>
      </c>
      <c r="AI235" s="2555">
        <f>SUM(AF235+AG235+AH235)</f>
        <v>0</v>
      </c>
      <c r="AJ235" s="2555">
        <f>SUM(AE235+AI235)</f>
        <v>0</v>
      </c>
      <c r="AK235" s="2572">
        <f>SUM(V235-AJ235)/6</f>
        <v>0</v>
      </c>
      <c r="AL235" s="2572">
        <f>SUM(AK235)</f>
        <v>0</v>
      </c>
      <c r="AM235" s="2572">
        <f>SUM(AK235)</f>
        <v>0</v>
      </c>
      <c r="AN235" s="2555">
        <f>SUM(AK235+AL235+AM235)</f>
        <v>0</v>
      </c>
      <c r="AO235" s="2555">
        <f>SUM(AJ235+AN235)</f>
        <v>0</v>
      </c>
      <c r="AP235" s="2572">
        <f>SUM(AK235)</f>
        <v>0</v>
      </c>
      <c r="AQ235" s="2572">
        <f>SUM(AK235)</f>
        <v>0</v>
      </c>
      <c r="AR235" s="2572">
        <f>SUM(AK235)</f>
        <v>0</v>
      </c>
      <c r="AS235" s="2555">
        <f>SUM(AP235+AQ235+AR235)</f>
        <v>0</v>
      </c>
      <c r="AT235" s="669">
        <f>SUM(AR235+AQ235+AP235+AM235+AL235+AK235+AH235+AG235+AF235+AD235+AC235+AB235)</f>
        <v>0</v>
      </c>
    </row>
    <row r="236" spans="1:48" ht="18.75">
      <c r="A236" s="2568" t="s">
        <v>121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438"/>
      <c r="U236" s="438"/>
      <c r="V236" s="2569">
        <f>SUM(V234*0%)</f>
        <v>0</v>
      </c>
      <c r="W236" s="667"/>
      <c r="X236" s="2569">
        <f>SUM(V236*стоки!BE51/стоки!BC51)</f>
        <v>0</v>
      </c>
      <c r="Y236" s="2570">
        <f t="shared" si="564"/>
        <v>0</v>
      </c>
      <c r="Z236" s="2556">
        <f t="shared" si="565"/>
        <v>0</v>
      </c>
      <c r="AA236" s="2570">
        <f t="shared" si="566"/>
        <v>0</v>
      </c>
      <c r="AB236" s="2556">
        <v>0</v>
      </c>
      <c r="AC236" s="2556">
        <f>SUM(AB236)</f>
        <v>0</v>
      </c>
      <c r="AD236" s="2571">
        <f>SUM(AB236)</f>
        <v>0</v>
      </c>
      <c r="AE236" s="2555">
        <f t="shared" ref="AE236" si="567">SUM(AB236+AC236+AD236)</f>
        <v>0</v>
      </c>
      <c r="AF236" s="2572">
        <f>SUM(AB236)</f>
        <v>0</v>
      </c>
      <c r="AG236" s="2572">
        <f>SUM(AB236)</f>
        <v>0</v>
      </c>
      <c r="AH236" s="2572">
        <f>SUM(AB236)</f>
        <v>0</v>
      </c>
      <c r="AI236" s="2555">
        <f t="shared" ref="AI236" si="568">SUM(AF236+AG236+AH236)</f>
        <v>0</v>
      </c>
      <c r="AJ236" s="2555">
        <f t="shared" ref="AJ236:AJ242" si="569">SUM(AE236+AI236)</f>
        <v>0</v>
      </c>
      <c r="AK236" s="2572">
        <f>SUM(V236-AJ236)/6</f>
        <v>0</v>
      </c>
      <c r="AL236" s="2572">
        <f>SUM(AK236)</f>
        <v>0</v>
      </c>
      <c r="AM236" s="2572">
        <f>SUM(AK236)</f>
        <v>0</v>
      </c>
      <c r="AN236" s="2555">
        <f t="shared" ref="AN236" si="570">SUM(AK236+AL236+AM236)</f>
        <v>0</v>
      </c>
      <c r="AO236" s="2555">
        <f t="shared" ref="AO236:AO242" si="571">SUM(AJ236+AN236)</f>
        <v>0</v>
      </c>
      <c r="AP236" s="2572">
        <f>SUM(AK236)</f>
        <v>0</v>
      </c>
      <c r="AQ236" s="2572">
        <f>SUM(AK236)</f>
        <v>0</v>
      </c>
      <c r="AR236" s="2572">
        <f>SUM(AK236)</f>
        <v>0</v>
      </c>
      <c r="AS236" s="2555">
        <f t="shared" ref="AS236" si="572">SUM(AP236+AQ236+AR236)</f>
        <v>0</v>
      </c>
      <c r="AT236" s="669">
        <f t="shared" ref="AT236:AT237" si="573">SUM(AR236+AQ236+AP236+AM236+AL236+AK236+AH236+AG236+AF236+AD236+AC236+AB236)</f>
        <v>0</v>
      </c>
    </row>
    <row r="237" spans="1:48" ht="18.75">
      <c r="A237" s="2568" t="s">
        <v>52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438"/>
      <c r="U237" s="438"/>
      <c r="V237" s="2569">
        <v>0</v>
      </c>
      <c r="W237" s="667"/>
      <c r="X237" s="2569">
        <f>SUM(V237*стоки!BE51/стоки!BC51)</f>
        <v>0</v>
      </c>
      <c r="Y237" s="2570">
        <f t="shared" si="564"/>
        <v>0</v>
      </c>
      <c r="Z237" s="2556">
        <f t="shared" si="565"/>
        <v>0</v>
      </c>
      <c r="AA237" s="2570">
        <f t="shared" si="566"/>
        <v>0</v>
      </c>
      <c r="AB237" s="2556">
        <v>0</v>
      </c>
      <c r="AC237" s="2556">
        <f>SUM(AB237)</f>
        <v>0</v>
      </c>
      <c r="AD237" s="2571">
        <f>SUM(AB237)</f>
        <v>0</v>
      </c>
      <c r="AE237" s="2555">
        <f t="shared" ref="AE237" si="574">SUM(AB237+AC237+AD237)</f>
        <v>0</v>
      </c>
      <c r="AF237" s="2572">
        <f>SUM(AB237)</f>
        <v>0</v>
      </c>
      <c r="AG237" s="2572">
        <f>SUM(AB237)</f>
        <v>0</v>
      </c>
      <c r="AH237" s="2572">
        <f>SUM(AB237)</f>
        <v>0</v>
      </c>
      <c r="AI237" s="2555">
        <f t="shared" ref="AI237" si="575">SUM(AF237+AG237+AH237)</f>
        <v>0</v>
      </c>
      <c r="AJ237" s="2555">
        <f t="shared" si="569"/>
        <v>0</v>
      </c>
      <c r="AK237" s="2572">
        <f>SUM(V237-AJ237)/6</f>
        <v>0</v>
      </c>
      <c r="AL237" s="2572">
        <f>SUM(AK237)</f>
        <v>0</v>
      </c>
      <c r="AM237" s="2572">
        <f>SUM(AK237)</f>
        <v>0</v>
      </c>
      <c r="AN237" s="2555">
        <f t="shared" ref="AN237" si="576">SUM(AK237+AL237+AM237)</f>
        <v>0</v>
      </c>
      <c r="AO237" s="2555">
        <f t="shared" si="571"/>
        <v>0</v>
      </c>
      <c r="AP237" s="2572">
        <f>SUM(AK237)</f>
        <v>0</v>
      </c>
      <c r="AQ237" s="2572">
        <f>SUM(AK237)</f>
        <v>0</v>
      </c>
      <c r="AR237" s="2572">
        <f>SUM(AK237)</f>
        <v>0</v>
      </c>
      <c r="AS237" s="2555">
        <f t="shared" ref="AS237" si="577">SUM(AP237+AQ237+AR237)</f>
        <v>0</v>
      </c>
      <c r="AT237" s="669">
        <f t="shared" si="573"/>
        <v>0</v>
      </c>
    </row>
    <row r="238" spans="1:48" ht="18.75">
      <c r="A238" s="2568" t="s">
        <v>604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438"/>
      <c r="U238" s="438"/>
      <c r="V238" s="2569">
        <f>SUM(V234*88.63%)</f>
        <v>715.56956262098765</v>
      </c>
      <c r="W238" s="667"/>
      <c r="X238" s="2569">
        <f>SUM(V238*стоки!BW51/стоки!BU51)</f>
        <v>710.5758282842562</v>
      </c>
      <c r="Y238" s="2570">
        <f t="shared" si="564"/>
        <v>4.9937343367314497</v>
      </c>
      <c r="Z238" s="2556">
        <f t="shared" si="565"/>
        <v>52.308135027594197</v>
      </c>
      <c r="AA238" s="2570">
        <f t="shared" si="566"/>
        <v>4.9937343367314497</v>
      </c>
      <c r="AB238" s="2556">
        <f>SUM(V238/12)</f>
        <v>59.630796885082304</v>
      </c>
      <c r="AC238" s="2556">
        <f t="shared" ref="AC238:AC242" si="578">SUM(AB238)</f>
        <v>59.630796885082304</v>
      </c>
      <c r="AD238" s="2556">
        <f t="shared" ref="AD238:AD242" si="579">SUM(AB238)</f>
        <v>59.630796885082304</v>
      </c>
      <c r="AE238" s="2555">
        <f t="shared" ref="AE238:AE242" si="580">SUM(AB238+AC238+AD238)</f>
        <v>178.89239065524691</v>
      </c>
      <c r="AF238" s="2572">
        <f t="shared" ref="AF238:AF242" si="581">SUM(AB238)</f>
        <v>59.630796885082304</v>
      </c>
      <c r="AG238" s="2572">
        <f t="shared" ref="AG238:AG242" si="582">SUM(AB238)</f>
        <v>59.630796885082304</v>
      </c>
      <c r="AH238" s="2572">
        <f t="shared" ref="AH238:AH242" si="583">SUM(AB238)</f>
        <v>59.630796885082304</v>
      </c>
      <c r="AI238" s="2555">
        <f t="shared" ref="AI238:AI242" si="584">SUM(AF238+AG238+AH238)</f>
        <v>178.89239065524691</v>
      </c>
      <c r="AJ238" s="2555">
        <f t="shared" si="569"/>
        <v>357.78478131049383</v>
      </c>
      <c r="AK238" s="2572">
        <f t="shared" ref="AK238:AK242" si="585">SUM(AB238)</f>
        <v>59.630796885082304</v>
      </c>
      <c r="AL238" s="2572">
        <f t="shared" ref="AL238:AL242" si="586">SUM(AB238)</f>
        <v>59.630796885082304</v>
      </c>
      <c r="AM238" s="2572">
        <f t="shared" ref="AM238:AM242" si="587">SUM(AB238)</f>
        <v>59.630796885082304</v>
      </c>
      <c r="AN238" s="2555">
        <f t="shared" ref="AN238:AN242" si="588">SUM(AK238+AL238+AM238)</f>
        <v>178.89239065524691</v>
      </c>
      <c r="AO238" s="2555">
        <f t="shared" si="571"/>
        <v>536.67717196574074</v>
      </c>
      <c r="AP238" s="2572">
        <f t="shared" ref="AP238:AP242" si="589">SUM(AB238)</f>
        <v>59.630796885082304</v>
      </c>
      <c r="AQ238" s="2572">
        <f t="shared" ref="AQ238:AQ242" si="590">SUM(AB238)</f>
        <v>59.630796885082304</v>
      </c>
      <c r="AR238" s="2572">
        <f t="shared" ref="AR238:AR242" si="591">SUM(AB238)</f>
        <v>59.630796885082304</v>
      </c>
      <c r="AS238" s="2555">
        <f t="shared" ref="AS238:AS242" si="592">SUM(AP238+AQ238+AR238)</f>
        <v>178.89239065524691</v>
      </c>
      <c r="AT238" s="669">
        <f t="shared" si="420"/>
        <v>715.56956262098765</v>
      </c>
    </row>
    <row r="239" spans="1:48" ht="18.75">
      <c r="A239" s="2568" t="s">
        <v>606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438"/>
      <c r="U239" s="438"/>
      <c r="V239" s="2569">
        <f>SUM(V234*6.9%)</f>
        <v>55.708337832391017</v>
      </c>
      <c r="W239" s="667"/>
      <c r="X239" s="2569">
        <f>SUM(V239*стоки!BW51/стоки!BU51)</f>
        <v>55.31956690918841</v>
      </c>
      <c r="Y239" s="2570">
        <f t="shared" si="564"/>
        <v>0.38877092320260687</v>
      </c>
      <c r="Z239" s="2556">
        <f t="shared" si="565"/>
        <v>4.0722794955477832</v>
      </c>
      <c r="AA239" s="2570">
        <f t="shared" si="566"/>
        <v>0.38877092320260687</v>
      </c>
      <c r="AB239" s="2556">
        <f>SUM(V239/12)</f>
        <v>4.642361486032585</v>
      </c>
      <c r="AC239" s="2556">
        <f t="shared" si="578"/>
        <v>4.642361486032585</v>
      </c>
      <c r="AD239" s="2556">
        <f t="shared" si="579"/>
        <v>4.642361486032585</v>
      </c>
      <c r="AE239" s="2555">
        <f t="shared" si="580"/>
        <v>13.927084458097756</v>
      </c>
      <c r="AF239" s="2572">
        <f t="shared" si="581"/>
        <v>4.642361486032585</v>
      </c>
      <c r="AG239" s="2572">
        <f t="shared" si="582"/>
        <v>4.642361486032585</v>
      </c>
      <c r="AH239" s="2572">
        <f t="shared" si="583"/>
        <v>4.642361486032585</v>
      </c>
      <c r="AI239" s="2555">
        <f t="shared" si="584"/>
        <v>13.927084458097756</v>
      </c>
      <c r="AJ239" s="2555">
        <f t="shared" si="569"/>
        <v>27.854168916195512</v>
      </c>
      <c r="AK239" s="2572">
        <f t="shared" si="585"/>
        <v>4.642361486032585</v>
      </c>
      <c r="AL239" s="2572">
        <f t="shared" si="586"/>
        <v>4.642361486032585</v>
      </c>
      <c r="AM239" s="2572">
        <f t="shared" si="587"/>
        <v>4.642361486032585</v>
      </c>
      <c r="AN239" s="2555">
        <f t="shared" si="588"/>
        <v>13.927084458097756</v>
      </c>
      <c r="AO239" s="2555">
        <f t="shared" si="571"/>
        <v>41.781253374293271</v>
      </c>
      <c r="AP239" s="2572">
        <f t="shared" si="589"/>
        <v>4.642361486032585</v>
      </c>
      <c r="AQ239" s="2572">
        <f t="shared" si="590"/>
        <v>4.642361486032585</v>
      </c>
      <c r="AR239" s="2572">
        <f t="shared" si="591"/>
        <v>4.642361486032585</v>
      </c>
      <c r="AS239" s="2555">
        <f t="shared" si="592"/>
        <v>13.927084458097756</v>
      </c>
      <c r="AT239" s="669">
        <f t="shared" si="420"/>
        <v>55.708337832391017</v>
      </c>
    </row>
    <row r="240" spans="1:48" ht="18.75">
      <c r="A240" s="2568" t="s">
        <v>605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438"/>
      <c r="U240" s="438"/>
      <c r="V240" s="2569">
        <f>SUM(V234*2.28%)</f>
        <v>18.407972501137898</v>
      </c>
      <c r="W240" s="667"/>
      <c r="X240" s="2569">
        <f>SUM(V240*стоки!BW51/стоки!BU51)</f>
        <v>18.279509065644863</v>
      </c>
      <c r="Y240" s="2570">
        <f t="shared" si="564"/>
        <v>0.1284634354930354</v>
      </c>
      <c r="Z240" s="2556">
        <f t="shared" si="565"/>
        <v>1.3456227898331803</v>
      </c>
      <c r="AA240" s="2570">
        <f t="shared" si="566"/>
        <v>0.1284634354930354</v>
      </c>
      <c r="AB240" s="2556">
        <f>SUM(V240/12)</f>
        <v>1.5339977084281582</v>
      </c>
      <c r="AC240" s="2556">
        <f t="shared" si="578"/>
        <v>1.5339977084281582</v>
      </c>
      <c r="AD240" s="2556">
        <f t="shared" si="579"/>
        <v>1.5339977084281582</v>
      </c>
      <c r="AE240" s="2555">
        <f t="shared" si="580"/>
        <v>4.6019931252844746</v>
      </c>
      <c r="AF240" s="2572">
        <f t="shared" si="581"/>
        <v>1.5339977084281582</v>
      </c>
      <c r="AG240" s="2572">
        <f t="shared" si="582"/>
        <v>1.5339977084281582</v>
      </c>
      <c r="AH240" s="2572">
        <f t="shared" si="583"/>
        <v>1.5339977084281582</v>
      </c>
      <c r="AI240" s="2555">
        <f t="shared" si="584"/>
        <v>4.6019931252844746</v>
      </c>
      <c r="AJ240" s="2555">
        <f t="shared" si="569"/>
        <v>9.2039862505689491</v>
      </c>
      <c r="AK240" s="2572">
        <f t="shared" si="585"/>
        <v>1.5339977084281582</v>
      </c>
      <c r="AL240" s="2572">
        <f t="shared" si="586"/>
        <v>1.5339977084281582</v>
      </c>
      <c r="AM240" s="2572">
        <f t="shared" si="587"/>
        <v>1.5339977084281582</v>
      </c>
      <c r="AN240" s="2555">
        <f t="shared" si="588"/>
        <v>4.6019931252844746</v>
      </c>
      <c r="AO240" s="2555">
        <f t="shared" si="571"/>
        <v>13.805979375853424</v>
      </c>
      <c r="AP240" s="2572">
        <f t="shared" si="589"/>
        <v>1.5339977084281582</v>
      </c>
      <c r="AQ240" s="2572">
        <f t="shared" si="590"/>
        <v>1.5339977084281582</v>
      </c>
      <c r="AR240" s="2572">
        <f t="shared" si="591"/>
        <v>1.5339977084281582</v>
      </c>
      <c r="AS240" s="2555">
        <f t="shared" si="592"/>
        <v>4.6019931252844746</v>
      </c>
      <c r="AT240" s="669">
        <f t="shared" si="420"/>
        <v>18.407972501137898</v>
      </c>
    </row>
    <row r="241" spans="1:46" ht="18.75">
      <c r="A241" s="2568" t="s">
        <v>615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438"/>
      <c r="U241" s="438"/>
      <c r="V241" s="2569">
        <f>SUM(V234*1.11%)</f>
        <v>8.9617760860802935</v>
      </c>
      <c r="W241" s="667"/>
      <c r="X241" s="2569">
        <f>SUM(V241*стоки!BW51/стоки!BU51)</f>
        <v>8.8992346766955261</v>
      </c>
      <c r="Y241" s="2570">
        <f t="shared" si="564"/>
        <v>6.2541409384767377E-2</v>
      </c>
      <c r="Z241" s="2556">
        <f t="shared" si="565"/>
        <v>0.6551058318924694</v>
      </c>
      <c r="AA241" s="2570">
        <f t="shared" si="566"/>
        <v>6.2541409384767377E-2</v>
      </c>
      <c r="AB241" s="2556">
        <f>SUM(V241/12)</f>
        <v>0.74681467384002442</v>
      </c>
      <c r="AC241" s="2556">
        <f t="shared" si="578"/>
        <v>0.74681467384002442</v>
      </c>
      <c r="AD241" s="2556">
        <f t="shared" si="579"/>
        <v>0.74681467384002442</v>
      </c>
      <c r="AE241" s="2555">
        <f t="shared" si="580"/>
        <v>2.2404440215200734</v>
      </c>
      <c r="AF241" s="2572">
        <f t="shared" si="581"/>
        <v>0.74681467384002442</v>
      </c>
      <c r="AG241" s="2572">
        <f t="shared" si="582"/>
        <v>0.74681467384002442</v>
      </c>
      <c r="AH241" s="2572">
        <f t="shared" si="583"/>
        <v>0.74681467384002442</v>
      </c>
      <c r="AI241" s="2555">
        <f t="shared" si="584"/>
        <v>2.2404440215200734</v>
      </c>
      <c r="AJ241" s="2555">
        <f t="shared" si="569"/>
        <v>4.4808880430401468</v>
      </c>
      <c r="AK241" s="2572">
        <f t="shared" si="585"/>
        <v>0.74681467384002442</v>
      </c>
      <c r="AL241" s="2572">
        <f t="shared" si="586"/>
        <v>0.74681467384002442</v>
      </c>
      <c r="AM241" s="2572">
        <f t="shared" si="587"/>
        <v>0.74681467384002442</v>
      </c>
      <c r="AN241" s="2555">
        <f t="shared" si="588"/>
        <v>2.2404440215200734</v>
      </c>
      <c r="AO241" s="2555">
        <f t="shared" si="571"/>
        <v>6.7213320645602206</v>
      </c>
      <c r="AP241" s="2572">
        <f t="shared" si="589"/>
        <v>0.74681467384002442</v>
      </c>
      <c r="AQ241" s="2572">
        <f t="shared" si="590"/>
        <v>0.74681467384002442</v>
      </c>
      <c r="AR241" s="2572">
        <f t="shared" si="591"/>
        <v>0.74681467384002442</v>
      </c>
      <c r="AS241" s="2555">
        <f t="shared" si="592"/>
        <v>2.2404440215200734</v>
      </c>
      <c r="AT241" s="669">
        <f t="shared" si="420"/>
        <v>8.9617760860802935</v>
      </c>
    </row>
    <row r="242" spans="1:46" ht="18.75">
      <c r="A242" s="2568" t="s">
        <v>32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438"/>
      <c r="U242" s="438"/>
      <c r="V242" s="2569">
        <f>SUM(V234*0.76%)</f>
        <v>6.1359908337126328</v>
      </c>
      <c r="W242" s="667"/>
      <c r="X242" s="2569">
        <f>SUM(V242*стоки!BW51/стоки!BU51)</f>
        <v>6.0931696885482873</v>
      </c>
      <c r="Y242" s="2570">
        <f t="shared" si="564"/>
        <v>4.2821145164345431E-2</v>
      </c>
      <c r="Z242" s="2556">
        <f t="shared" si="565"/>
        <v>0.44854092994439343</v>
      </c>
      <c r="AA242" s="2570">
        <f t="shared" si="566"/>
        <v>4.2821145164345431E-2</v>
      </c>
      <c r="AB242" s="2556">
        <f>SUM(V242/12)</f>
        <v>0.51133256947605277</v>
      </c>
      <c r="AC242" s="2556">
        <f t="shared" si="578"/>
        <v>0.51133256947605277</v>
      </c>
      <c r="AD242" s="2556">
        <f t="shared" si="579"/>
        <v>0.51133256947605277</v>
      </c>
      <c r="AE242" s="2555">
        <f t="shared" si="580"/>
        <v>1.5339977084281582</v>
      </c>
      <c r="AF242" s="2572">
        <f t="shared" si="581"/>
        <v>0.51133256947605277</v>
      </c>
      <c r="AG242" s="2572">
        <f t="shared" si="582"/>
        <v>0.51133256947605277</v>
      </c>
      <c r="AH242" s="2572">
        <f t="shared" si="583"/>
        <v>0.51133256947605277</v>
      </c>
      <c r="AI242" s="2555">
        <f t="shared" si="584"/>
        <v>1.5339977084281582</v>
      </c>
      <c r="AJ242" s="2555">
        <f t="shared" si="569"/>
        <v>3.0679954168563164</v>
      </c>
      <c r="AK242" s="2572">
        <f t="shared" si="585"/>
        <v>0.51133256947605277</v>
      </c>
      <c r="AL242" s="2572">
        <f t="shared" si="586"/>
        <v>0.51133256947605277</v>
      </c>
      <c r="AM242" s="2572">
        <f t="shared" si="587"/>
        <v>0.51133256947605277</v>
      </c>
      <c r="AN242" s="2555">
        <f t="shared" si="588"/>
        <v>1.5339977084281582</v>
      </c>
      <c r="AO242" s="2555">
        <f t="shared" si="571"/>
        <v>4.6019931252844746</v>
      </c>
      <c r="AP242" s="2572">
        <f t="shared" si="589"/>
        <v>0.51133256947605277</v>
      </c>
      <c r="AQ242" s="2572">
        <f t="shared" si="590"/>
        <v>0.51133256947605277</v>
      </c>
      <c r="AR242" s="2572">
        <f t="shared" si="591"/>
        <v>0.51133256947605277</v>
      </c>
      <c r="AS242" s="2555">
        <f t="shared" si="592"/>
        <v>1.5339977084281582</v>
      </c>
      <c r="AT242" s="669">
        <f t="shared" si="420"/>
        <v>6.1359908337126319</v>
      </c>
    </row>
    <row r="243" spans="1:46" ht="18.75">
      <c r="A243" s="2568" t="s">
        <v>607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438"/>
      <c r="U243" s="438"/>
      <c r="V243" s="2569">
        <f>SUM(V244)</f>
        <v>2.4221016448865655</v>
      </c>
      <c r="W243" s="667"/>
      <c r="X243" s="2569">
        <f>SUM(V243*стоки!BW51/стоки!BU51)</f>
        <v>2.405198561269061</v>
      </c>
      <c r="Y243" s="2570">
        <f t="shared" ref="Y243" si="593">SUM(V243-X243)</f>
        <v>1.6903083617504588E-2</v>
      </c>
      <c r="Z243" s="2556">
        <f t="shared" ref="Z243" si="594">SUM(V243*7.31%)</f>
        <v>0.17705563024120793</v>
      </c>
      <c r="AA243" s="2570">
        <f t="shared" ref="AA243" si="595">SUM(V243-X243)</f>
        <v>1.6903083617504588E-2</v>
      </c>
      <c r="AB243" s="2571">
        <f t="shared" ref="AB243:AH243" si="596">SUM(AB244)</f>
        <v>0.20184180374054714</v>
      </c>
      <c r="AC243" s="2571">
        <f t="shared" si="596"/>
        <v>0.20184180374054714</v>
      </c>
      <c r="AD243" s="2571">
        <f t="shared" si="596"/>
        <v>0.20184180374054714</v>
      </c>
      <c r="AE243" s="2555">
        <f t="shared" si="414"/>
        <v>0.60552541122164139</v>
      </c>
      <c r="AF243" s="2571">
        <f t="shared" si="596"/>
        <v>0.20184180374054714</v>
      </c>
      <c r="AG243" s="2571">
        <f t="shared" si="596"/>
        <v>0.20184180374054714</v>
      </c>
      <c r="AH243" s="2571">
        <f t="shared" si="596"/>
        <v>0.20184180374054714</v>
      </c>
      <c r="AI243" s="2555">
        <f t="shared" si="415"/>
        <v>0.60552541122164139</v>
      </c>
      <c r="AJ243" s="2555">
        <f t="shared" si="416"/>
        <v>1.2110508224432828</v>
      </c>
      <c r="AK243" s="2571">
        <f t="shared" ref="AK243:AM243" si="597">SUM(AK244)</f>
        <v>0.20184180374054714</v>
      </c>
      <c r="AL243" s="2571">
        <f t="shared" si="597"/>
        <v>0.20184180374054714</v>
      </c>
      <c r="AM243" s="2571">
        <f t="shared" si="597"/>
        <v>0.20184180374054714</v>
      </c>
      <c r="AN243" s="2555">
        <f t="shared" si="417"/>
        <v>0.60552541122164139</v>
      </c>
      <c r="AO243" s="2555">
        <f t="shared" si="418"/>
        <v>1.8165762336649243</v>
      </c>
      <c r="AP243" s="2571">
        <f t="shared" ref="AP243:AR243" si="598">SUM(AP244)</f>
        <v>0.20184180374054714</v>
      </c>
      <c r="AQ243" s="2571">
        <f t="shared" si="598"/>
        <v>0.20184180374054714</v>
      </c>
      <c r="AR243" s="2571">
        <f t="shared" si="598"/>
        <v>0.20184180374054714</v>
      </c>
      <c r="AS243" s="2555">
        <f t="shared" si="419"/>
        <v>0.60552541122164139</v>
      </c>
      <c r="AT243" s="669">
        <f t="shared" si="420"/>
        <v>2.4221016448865651</v>
      </c>
    </row>
    <row r="244" spans="1:46" ht="18.75">
      <c r="A244" s="2573" t="s">
        <v>565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438"/>
      <c r="U244" s="438"/>
      <c r="V244" s="2569">
        <f>SUM(V234*0.3%)</f>
        <v>2.4221016448865655</v>
      </c>
      <c r="W244" s="667"/>
      <c r="X244" s="2569">
        <f>SUM(V244*стоки!BW57/стоки!BU57)</f>
        <v>2.413108902438363</v>
      </c>
      <c r="Y244" s="2570">
        <f t="shared" ref="Y244" si="599">SUM(V244-X244)</f>
        <v>8.9927424482025842E-3</v>
      </c>
      <c r="Z244" s="2556">
        <f t="shared" ref="Z244" si="600">SUM(V244*7.31%)</f>
        <v>0.17705563024120793</v>
      </c>
      <c r="AA244" s="2570">
        <f t="shared" ref="AA244" si="601">SUM(V244-X244)</f>
        <v>8.9927424482025842E-3</v>
      </c>
      <c r="AB244" s="2556">
        <f>SUM(V244/12)</f>
        <v>0.20184180374054714</v>
      </c>
      <c r="AC244" s="2556">
        <f t="shared" ref="AC244" si="602">SUM(AB244)</f>
        <v>0.20184180374054714</v>
      </c>
      <c r="AD244" s="2556">
        <f t="shared" ref="AD244" si="603">SUM(AB244)</f>
        <v>0.20184180374054714</v>
      </c>
      <c r="AE244" s="2555">
        <f t="shared" ref="AE244" si="604">SUM(AB244+AC244+AD244)</f>
        <v>0.60552541122164139</v>
      </c>
      <c r="AF244" s="2556">
        <f t="shared" ref="AF244" si="605">SUM(AB244)</f>
        <v>0.20184180374054714</v>
      </c>
      <c r="AG244" s="2556">
        <f t="shared" ref="AG244" si="606">SUM(AB244)</f>
        <v>0.20184180374054714</v>
      </c>
      <c r="AH244" s="2556">
        <f t="shared" ref="AH244" si="607">SUM(AB244)</f>
        <v>0.20184180374054714</v>
      </c>
      <c r="AI244" s="2555">
        <f t="shared" ref="AI244" si="608">SUM(AF244+AG244+AH244)</f>
        <v>0.60552541122164139</v>
      </c>
      <c r="AJ244" s="2555">
        <f t="shared" si="416"/>
        <v>1.2110508224432828</v>
      </c>
      <c r="AK244" s="2556">
        <f t="shared" ref="AK244" si="609">SUM(AB244)</f>
        <v>0.20184180374054714</v>
      </c>
      <c r="AL244" s="2556">
        <f t="shared" ref="AL244" si="610">SUM(AB244)</f>
        <v>0.20184180374054714</v>
      </c>
      <c r="AM244" s="2556">
        <f t="shared" ref="AM244" si="611">SUM(AB244)</f>
        <v>0.20184180374054714</v>
      </c>
      <c r="AN244" s="2555">
        <f t="shared" ref="AN244" si="612">SUM(AK244+AL244+AM244)</f>
        <v>0.60552541122164139</v>
      </c>
      <c r="AO244" s="2555">
        <f t="shared" si="418"/>
        <v>1.8165762336649243</v>
      </c>
      <c r="AP244" s="2556">
        <f t="shared" ref="AP244" si="613">SUM(AB244)</f>
        <v>0.20184180374054714</v>
      </c>
      <c r="AQ244" s="2556">
        <f t="shared" ref="AQ244" si="614">SUM(AB244)</f>
        <v>0.20184180374054714</v>
      </c>
      <c r="AR244" s="2556">
        <f t="shared" ref="AR244" si="615">SUM(AB244)</f>
        <v>0.20184180374054714</v>
      </c>
      <c r="AS244" s="2555">
        <f t="shared" ref="AS244" si="616">SUM(AP244+AQ244+AR244)</f>
        <v>0.60552541122164139</v>
      </c>
      <c r="AT244" s="669">
        <f t="shared" si="420"/>
        <v>2.4221016448865651</v>
      </c>
    </row>
    <row r="245" spans="1:46" ht="18.75">
      <c r="A245" s="2568" t="s">
        <v>610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438"/>
      <c r="U245" s="438"/>
      <c r="V245" s="2569">
        <f>SUM(V246:V246)</f>
        <v>0.16147344299243771</v>
      </c>
      <c r="W245" s="667"/>
      <c r="X245" s="2569">
        <f>SUM(V245*стоки!BW58/стоки!BU58)</f>
        <v>0.16087377539358486</v>
      </c>
      <c r="Y245" s="2570">
        <f t="shared" ref="Y245:Y246" si="617">SUM(V245-X245)</f>
        <v>5.9966759885285437E-4</v>
      </c>
      <c r="Z245" s="2556">
        <f t="shared" ref="Z245:Z246" si="618">SUM(V245*7.31%)</f>
        <v>1.1803708682747197E-2</v>
      </c>
      <c r="AA245" s="2570">
        <f t="shared" ref="AA245:AA256" si="619">SUM(V245-X245)</f>
        <v>5.9966759885285437E-4</v>
      </c>
      <c r="AB245" s="2571">
        <f>SUM(AB246)</f>
        <v>1.345612024936981E-2</v>
      </c>
      <c r="AC245" s="2571">
        <f>SUM(AC246)</f>
        <v>1.345612024936981E-2</v>
      </c>
      <c r="AD245" s="2571">
        <f>SUM(AD246)</f>
        <v>1.345612024936981E-2</v>
      </c>
      <c r="AE245" s="2555">
        <f t="shared" si="414"/>
        <v>4.0368360748109428E-2</v>
      </c>
      <c r="AF245" s="2571">
        <f t="shared" ref="AF245:AH245" si="620">SUM(AF246)</f>
        <v>1.345612024936981E-2</v>
      </c>
      <c r="AG245" s="2571">
        <f t="shared" si="620"/>
        <v>1.345612024936981E-2</v>
      </c>
      <c r="AH245" s="2571">
        <f t="shared" si="620"/>
        <v>1.345612024936981E-2</v>
      </c>
      <c r="AI245" s="2555">
        <f t="shared" si="415"/>
        <v>4.0368360748109428E-2</v>
      </c>
      <c r="AJ245" s="2555">
        <f t="shared" si="416"/>
        <v>8.0736721496218855E-2</v>
      </c>
      <c r="AK245" s="2571">
        <f t="shared" ref="AK245:AM245" si="621">SUM(AK246)</f>
        <v>1.345612024936981E-2</v>
      </c>
      <c r="AL245" s="2571">
        <f t="shared" si="621"/>
        <v>1.345612024936981E-2</v>
      </c>
      <c r="AM245" s="2571">
        <f t="shared" si="621"/>
        <v>1.345612024936981E-2</v>
      </c>
      <c r="AN245" s="2555">
        <f t="shared" si="417"/>
        <v>4.0368360748109428E-2</v>
      </c>
      <c r="AO245" s="2555">
        <f t="shared" si="418"/>
        <v>0.12110508224432828</v>
      </c>
      <c r="AP245" s="2571">
        <f t="shared" ref="AP245:AR245" si="622">SUM(AP246)</f>
        <v>1.345612024936981E-2</v>
      </c>
      <c r="AQ245" s="2571">
        <f t="shared" si="622"/>
        <v>1.345612024936981E-2</v>
      </c>
      <c r="AR245" s="2571">
        <f t="shared" si="622"/>
        <v>1.345612024936981E-2</v>
      </c>
      <c r="AS245" s="2555">
        <f t="shared" si="419"/>
        <v>4.0368360748109428E-2</v>
      </c>
      <c r="AT245" s="669">
        <f t="shared" si="420"/>
        <v>0.16147344299243771</v>
      </c>
    </row>
    <row r="246" spans="1:46" ht="18.75">
      <c r="A246" s="2573" t="s">
        <v>614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438"/>
      <c r="U246" s="438"/>
      <c r="V246" s="2569">
        <f>SUM(V234*0.02%)</f>
        <v>0.16147344299243771</v>
      </c>
      <c r="W246" s="667"/>
      <c r="X246" s="2569">
        <f>SUM(V246*стоки!BW59/стоки!BU59)</f>
        <v>0.16200435268609192</v>
      </c>
      <c r="Y246" s="2570">
        <f t="shared" si="617"/>
        <v>-5.3090969365421348E-4</v>
      </c>
      <c r="Z246" s="2556">
        <f t="shared" si="618"/>
        <v>1.1803708682747197E-2</v>
      </c>
      <c r="AA246" s="2570">
        <f t="shared" si="619"/>
        <v>-5.3090969365421348E-4</v>
      </c>
      <c r="AB246" s="2556">
        <f>SUM(V246/12)</f>
        <v>1.345612024936981E-2</v>
      </c>
      <c r="AC246" s="2556">
        <f t="shared" ref="AC246" si="623">SUM(AB246)</f>
        <v>1.345612024936981E-2</v>
      </c>
      <c r="AD246" s="2556">
        <f t="shared" ref="AD246" si="624">SUM(AB246)</f>
        <v>1.345612024936981E-2</v>
      </c>
      <c r="AE246" s="2555">
        <f t="shared" ref="AE246" si="625">SUM(AB246+AC246+AD246)</f>
        <v>4.0368360748109428E-2</v>
      </c>
      <c r="AF246" s="2572">
        <f t="shared" ref="AF246" si="626">SUM(AB246)</f>
        <v>1.345612024936981E-2</v>
      </c>
      <c r="AG246" s="2572">
        <f t="shared" ref="AG246" si="627">SUM(AB246)</f>
        <v>1.345612024936981E-2</v>
      </c>
      <c r="AH246" s="2572">
        <f t="shared" ref="AH246" si="628">SUM(AB246)</f>
        <v>1.345612024936981E-2</v>
      </c>
      <c r="AI246" s="2555">
        <f t="shared" ref="AI246" si="629">SUM(AF246+AG246+AH246)</f>
        <v>4.0368360748109428E-2</v>
      </c>
      <c r="AJ246" s="2555">
        <f t="shared" si="416"/>
        <v>8.0736721496218855E-2</v>
      </c>
      <c r="AK246" s="2572">
        <f t="shared" ref="AK246" si="630">SUM(AB246)</f>
        <v>1.345612024936981E-2</v>
      </c>
      <c r="AL246" s="2572">
        <f t="shared" ref="AL246" si="631">SUM(AB246)</f>
        <v>1.345612024936981E-2</v>
      </c>
      <c r="AM246" s="2572">
        <f t="shared" ref="AM246" si="632">SUM(AB246)</f>
        <v>1.345612024936981E-2</v>
      </c>
      <c r="AN246" s="2555">
        <f t="shared" ref="AN246" si="633">SUM(AK246+AL246+AM246)</f>
        <v>4.0368360748109428E-2</v>
      </c>
      <c r="AO246" s="2555">
        <f t="shared" si="418"/>
        <v>0.12110508224432828</v>
      </c>
      <c r="AP246" s="2572">
        <f t="shared" ref="AP246" si="634">SUM(AB246)</f>
        <v>1.345612024936981E-2</v>
      </c>
      <c r="AQ246" s="2572">
        <f t="shared" ref="AQ246" si="635">SUM(AB246)</f>
        <v>1.345612024936981E-2</v>
      </c>
      <c r="AR246" s="2572">
        <f t="shared" ref="AR246" si="636">SUM(AB246)</f>
        <v>1.345612024936981E-2</v>
      </c>
      <c r="AS246" s="2555">
        <f t="shared" ref="AS246" si="637">SUM(AP246+AQ246+AR246)</f>
        <v>4.0368360748109428E-2</v>
      </c>
      <c r="AT246" s="669">
        <f t="shared" si="420"/>
        <v>0.16147344299243771</v>
      </c>
    </row>
    <row r="247" spans="1:46" ht="18.75" customHeight="1">
      <c r="A247" s="2579" t="s">
        <v>623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438"/>
      <c r="U247" s="438"/>
      <c r="V247" s="2564">
        <f>SUM(AR50)</f>
        <v>2342.738034050521</v>
      </c>
      <c r="W247" s="667"/>
      <c r="X247" s="2564">
        <f t="shared" ref="X247:X256" si="638">SUM(V247)</f>
        <v>2342.738034050521</v>
      </c>
      <c r="Y247" s="2565">
        <f>SUM(V247-X247)</f>
        <v>0</v>
      </c>
      <c r="Z247" s="2566">
        <f>SUM(Z248+Z249+Z250+Z251+Z252+Z254)</f>
        <v>189.02047159617999</v>
      </c>
      <c r="AA247" s="2565">
        <f t="shared" si="619"/>
        <v>0</v>
      </c>
      <c r="AB247" s="2566">
        <f>SUM(AB248+AB249+AB250+AB251+AB252+AB254)</f>
        <v>189.57978637078841</v>
      </c>
      <c r="AC247" s="2566">
        <f t="shared" ref="AC247:AD247" si="639">SUM(AC248+AC249+AC250+AC251+AC252+AC254)</f>
        <v>189.57978637078841</v>
      </c>
      <c r="AD247" s="2566">
        <f t="shared" si="639"/>
        <v>189.57978637078841</v>
      </c>
      <c r="AE247" s="2567">
        <f t="shared" si="414"/>
        <v>568.73935911236526</v>
      </c>
      <c r="AF247" s="2566">
        <f t="shared" ref="AF247:AH247" si="640">SUM(AF248+AF249+AF250+AF251+AF252+AF254)</f>
        <v>189.61900380547843</v>
      </c>
      <c r="AG247" s="2566">
        <f t="shared" si="640"/>
        <v>190.26827022423518</v>
      </c>
      <c r="AH247" s="2566">
        <f t="shared" si="640"/>
        <v>190.83474428086859</v>
      </c>
      <c r="AI247" s="2567">
        <f t="shared" si="415"/>
        <v>570.72201831058214</v>
      </c>
      <c r="AJ247" s="2567">
        <f t="shared" si="416"/>
        <v>1139.4613774229474</v>
      </c>
      <c r="AK247" s="2566">
        <f t="shared" ref="AK247:AM247" si="641">SUM(AK248+AK249+AK250+AK251+AK252+AK254)</f>
        <v>201.40961924989963</v>
      </c>
      <c r="AL247" s="2566">
        <f t="shared" si="641"/>
        <v>201.23967703290961</v>
      </c>
      <c r="AM247" s="2566">
        <f t="shared" si="641"/>
        <v>200.6732029762762</v>
      </c>
      <c r="AN247" s="2567">
        <f t="shared" si="417"/>
        <v>603.32249925908548</v>
      </c>
      <c r="AO247" s="2567">
        <f t="shared" si="418"/>
        <v>1742.7838766820328</v>
      </c>
      <c r="AP247" s="2566">
        <f t="shared" ref="AP247:AR247" si="642">SUM(AP248+AP249+AP250+AP251+AP252+AP254)</f>
        <v>199.98471912282943</v>
      </c>
      <c r="AQ247" s="2566">
        <f t="shared" si="642"/>
        <v>199.98471912282943</v>
      </c>
      <c r="AR247" s="2566">
        <f t="shared" si="642"/>
        <v>199.98471912282943</v>
      </c>
      <c r="AS247" s="2567">
        <f t="shared" si="419"/>
        <v>599.95415736848827</v>
      </c>
      <c r="AT247" s="669">
        <f t="shared" si="420"/>
        <v>2342.7380340505215</v>
      </c>
    </row>
    <row r="248" spans="1:46" ht="18.75">
      <c r="A248" s="2568" t="s">
        <v>72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438"/>
      <c r="U248" s="438"/>
      <c r="V248" s="2569">
        <f>SUM(V247*70.01%)</f>
        <v>1640.1508976387699</v>
      </c>
      <c r="W248" s="667"/>
      <c r="X248" s="2569">
        <f t="shared" si="638"/>
        <v>1640.1508976387699</v>
      </c>
      <c r="Y248" s="2570">
        <f t="shared" ref="Y248:Y251" si="643">SUM(V248-X248)</f>
        <v>0</v>
      </c>
      <c r="Z248" s="2556">
        <f>SUM(V248/2)/(1+(106.7%*100-100)/2/100)/6</f>
        <v>132.24890321228594</v>
      </c>
      <c r="AA248" s="2570">
        <f t="shared" si="619"/>
        <v>0</v>
      </c>
      <c r="AB248" s="2556">
        <f>SUM(V248/2)/(1+(106.03%*100-100)/2/100)/6</f>
        <v>132.67897050904966</v>
      </c>
      <c r="AC248" s="2571">
        <f>SUM(AB248)</f>
        <v>132.67897050904966</v>
      </c>
      <c r="AD248" s="2556">
        <f>SUM(AB248)</f>
        <v>132.67897050904966</v>
      </c>
      <c r="AE248" s="2555">
        <f>SUM(AB248+AC248+AD248)</f>
        <v>398.03691152714896</v>
      </c>
      <c r="AF248" s="2572">
        <f>SUM(AB248)</f>
        <v>132.67897050904966</v>
      </c>
      <c r="AG248" s="2572">
        <f>SUM(AB248)</f>
        <v>132.67897050904966</v>
      </c>
      <c r="AH248" s="2572">
        <f>SUM(AB248)</f>
        <v>132.67897050904966</v>
      </c>
      <c r="AI248" s="2555">
        <f>SUM(AF248+AG248+AH248)</f>
        <v>398.03691152714896</v>
      </c>
      <c r="AJ248" s="2555">
        <f>SUM(AE248+AI248)</f>
        <v>796.07382305429792</v>
      </c>
      <c r="AK248" s="2572">
        <f>SUM(V248-AJ248)/6</f>
        <v>140.67951243074535</v>
      </c>
      <c r="AL248" s="2572">
        <f>SUM(AK248)</f>
        <v>140.67951243074535</v>
      </c>
      <c r="AM248" s="2572">
        <f>SUM(AK248)</f>
        <v>140.67951243074535</v>
      </c>
      <c r="AN248" s="2555">
        <f>SUM(AK248+AL248+AM248)</f>
        <v>422.03853729223601</v>
      </c>
      <c r="AO248" s="2555">
        <f>SUM(AJ248+AN248)</f>
        <v>1218.1123603465339</v>
      </c>
      <c r="AP248" s="2572">
        <f>SUM(AK248)</f>
        <v>140.67951243074535</v>
      </c>
      <c r="AQ248" s="2572">
        <f>SUM(AK248)</f>
        <v>140.67951243074535</v>
      </c>
      <c r="AR248" s="2572">
        <f>SUM(AK248)</f>
        <v>140.67951243074535</v>
      </c>
      <c r="AS248" s="2555">
        <f>SUM(AP248+AQ248+AR248)</f>
        <v>422.03853729223601</v>
      </c>
      <c r="AT248" s="669">
        <f>SUM(AR248+AQ248+AP248+AM248+AL248+AK248+AH248+AG248+AF248+AD248+AC248+AB248)</f>
        <v>1640.1508976387697</v>
      </c>
    </row>
    <row r="249" spans="1:46" ht="18.75">
      <c r="A249" s="2568" t="s">
        <v>121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438"/>
      <c r="U249" s="438"/>
      <c r="V249" s="2569">
        <f>SUM(V247*21.04%)</f>
        <v>492.91208236422966</v>
      </c>
      <c r="W249" s="667"/>
      <c r="X249" s="2569">
        <f t="shared" si="638"/>
        <v>492.91208236422966</v>
      </c>
      <c r="Y249" s="2570">
        <f t="shared" si="643"/>
        <v>0</v>
      </c>
      <c r="Z249" s="2556">
        <f>SUM(Z248*(V249/V248))</f>
        <v>39.744563970668423</v>
      </c>
      <c r="AA249" s="2570">
        <f t="shared" si="619"/>
        <v>0</v>
      </c>
      <c r="AB249" s="2556">
        <f>SUM(AB248*(V249/V248))</f>
        <v>39.873811448513138</v>
      </c>
      <c r="AC249" s="2556">
        <f>SUM(AB249)</f>
        <v>39.873811448513138</v>
      </c>
      <c r="AD249" s="2571">
        <f>SUM(AB249)</f>
        <v>39.873811448513138</v>
      </c>
      <c r="AE249" s="2555">
        <f t="shared" ref="AE249" si="644">SUM(AB249+AC249+AD249)</f>
        <v>119.62143434553941</v>
      </c>
      <c r="AF249" s="2572">
        <f>SUM(AB249)</f>
        <v>39.873811448513138</v>
      </c>
      <c r="AG249" s="2572">
        <f>SUM(AB249)</f>
        <v>39.873811448513138</v>
      </c>
      <c r="AH249" s="2572">
        <f>SUM(AB249)</f>
        <v>39.873811448513138</v>
      </c>
      <c r="AI249" s="2555">
        <f t="shared" ref="AI249" si="645">SUM(AF249+AG249+AH249)</f>
        <v>119.62143434553941</v>
      </c>
      <c r="AJ249" s="2555">
        <f t="shared" ref="AJ249:AJ258" si="646">SUM(AE249+AI249)</f>
        <v>239.24286869107883</v>
      </c>
      <c r="AK249" s="2572">
        <f>SUM(V249-AJ249)/6</f>
        <v>42.278202278858473</v>
      </c>
      <c r="AL249" s="2572">
        <f>SUM(AK249)</f>
        <v>42.278202278858473</v>
      </c>
      <c r="AM249" s="2572">
        <f>SUM(AK249)</f>
        <v>42.278202278858473</v>
      </c>
      <c r="AN249" s="2555">
        <f t="shared" ref="AN249" si="647">SUM(AK249+AL249+AM249)</f>
        <v>126.83460683657542</v>
      </c>
      <c r="AO249" s="2555">
        <f t="shared" ref="AO249:AO258" si="648">SUM(AJ249+AN249)</f>
        <v>366.07747552765426</v>
      </c>
      <c r="AP249" s="2572">
        <f>SUM(AK249)</f>
        <v>42.278202278858473</v>
      </c>
      <c r="AQ249" s="2572">
        <f>SUM(AK249)</f>
        <v>42.278202278858473</v>
      </c>
      <c r="AR249" s="2572">
        <f>SUM(AK249)</f>
        <v>42.278202278858473</v>
      </c>
      <c r="AS249" s="2555">
        <f t="shared" ref="AS249" si="649">SUM(AP249+AQ249+AR249)</f>
        <v>126.83460683657542</v>
      </c>
      <c r="AT249" s="669">
        <f t="shared" ref="AT249" si="650">SUM(AR249+AQ249+AP249+AM249+AL249+AK249+AH249+AG249+AF249+AD249+AC249+AB249)</f>
        <v>492.91208236422978</v>
      </c>
    </row>
    <row r="250" spans="1:46" ht="18.75">
      <c r="A250" s="2568" t="s">
        <v>52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438"/>
      <c r="U250" s="438"/>
      <c r="V250" s="2569">
        <f>SUM(V247*0.18%)</f>
        <v>4.2169284612909381</v>
      </c>
      <c r="W250" s="667"/>
      <c r="X250" s="2569">
        <f t="shared" si="638"/>
        <v>4.2169284612909381</v>
      </c>
      <c r="Y250" s="2570">
        <f t="shared" si="643"/>
        <v>0</v>
      </c>
      <c r="Z250" s="2556">
        <f t="shared" ref="Z250:Z251" si="651">SUM(V250/12)</f>
        <v>0.35141070510757816</v>
      </c>
      <c r="AA250" s="2570">
        <f t="shared" si="619"/>
        <v>0</v>
      </c>
      <c r="AB250" s="2556">
        <f>SUM(V250/12)</f>
        <v>0.35141070510757816</v>
      </c>
      <c r="AC250" s="2556">
        <f t="shared" ref="AC250:AC251" si="652">SUM(AB250)</f>
        <v>0.35141070510757816</v>
      </c>
      <c r="AD250" s="2556">
        <f t="shared" ref="AD250:AD251" si="653">SUM(AB250)</f>
        <v>0.35141070510757816</v>
      </c>
      <c r="AE250" s="2555">
        <f t="shared" ref="AE250:AE258" si="654">SUM(AB250+AC250+AD250)</f>
        <v>1.0542321153227345</v>
      </c>
      <c r="AF250" s="2572">
        <f t="shared" ref="AF250:AF251" si="655">SUM(AB250)</f>
        <v>0.35141070510757816</v>
      </c>
      <c r="AG250" s="2572">
        <f t="shared" ref="AG250:AG251" si="656">SUM(AB250)</f>
        <v>0.35141070510757816</v>
      </c>
      <c r="AH250" s="2572">
        <f t="shared" ref="AH250:AH251" si="657">SUM(AB250)</f>
        <v>0.35141070510757816</v>
      </c>
      <c r="AI250" s="2555">
        <f t="shared" ref="AI250:AI258" si="658">SUM(AF250+AG250+AH250)</f>
        <v>1.0542321153227345</v>
      </c>
      <c r="AJ250" s="2555">
        <f t="shared" si="646"/>
        <v>2.1084642306454691</v>
      </c>
      <c r="AK250" s="2572">
        <f t="shared" ref="AK250:AK251" si="659">SUM(AB250)</f>
        <v>0.35141070510757816</v>
      </c>
      <c r="AL250" s="2572">
        <f t="shared" ref="AL250:AL251" si="660">SUM(AB250)</f>
        <v>0.35141070510757816</v>
      </c>
      <c r="AM250" s="2572">
        <f t="shared" ref="AM250:AM251" si="661">SUM(AB250)</f>
        <v>0.35141070510757816</v>
      </c>
      <c r="AN250" s="2555">
        <f t="shared" ref="AN250:AN258" si="662">SUM(AK250+AL250+AM250)</f>
        <v>1.0542321153227345</v>
      </c>
      <c r="AO250" s="2555">
        <f t="shared" si="648"/>
        <v>3.1626963459682038</v>
      </c>
      <c r="AP250" s="2572">
        <f t="shared" ref="AP250:AP251" si="663">SUM(AB250)</f>
        <v>0.35141070510757816</v>
      </c>
      <c r="AQ250" s="2572">
        <f t="shared" ref="AQ250:AQ251" si="664">SUM(AB250)</f>
        <v>0.35141070510757816</v>
      </c>
      <c r="AR250" s="2572">
        <f t="shared" ref="AR250:AR251" si="665">SUM(AB250)</f>
        <v>0.35141070510757816</v>
      </c>
      <c r="AS250" s="2555">
        <f t="shared" ref="AS250:AS258" si="666">SUM(AP250+AQ250+AR250)</f>
        <v>1.0542321153227345</v>
      </c>
      <c r="AT250" s="669">
        <f t="shared" si="420"/>
        <v>4.2169284612909381</v>
      </c>
    </row>
    <row r="251" spans="1:46" ht="18.75">
      <c r="A251" s="2568" t="s">
        <v>606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438"/>
      <c r="U251" s="438"/>
      <c r="V251" s="2569">
        <f>SUM(V247*6.19%)</f>
        <v>145.01548430772726</v>
      </c>
      <c r="W251" s="667"/>
      <c r="X251" s="2569">
        <f t="shared" si="638"/>
        <v>145.01548430772726</v>
      </c>
      <c r="Y251" s="2570">
        <f t="shared" si="643"/>
        <v>0</v>
      </c>
      <c r="Z251" s="2556">
        <f t="shared" si="651"/>
        <v>12.084623692310606</v>
      </c>
      <c r="AA251" s="2570">
        <f t="shared" si="619"/>
        <v>0</v>
      </c>
      <c r="AB251" s="2556">
        <f>SUM(V251/12)</f>
        <v>12.084623692310606</v>
      </c>
      <c r="AC251" s="2556">
        <f t="shared" si="652"/>
        <v>12.084623692310606</v>
      </c>
      <c r="AD251" s="2556">
        <f t="shared" si="653"/>
        <v>12.084623692310606</v>
      </c>
      <c r="AE251" s="2555">
        <f t="shared" si="654"/>
        <v>36.253871076931816</v>
      </c>
      <c r="AF251" s="2572">
        <f t="shared" si="655"/>
        <v>12.084623692310606</v>
      </c>
      <c r="AG251" s="2572">
        <f t="shared" si="656"/>
        <v>12.084623692310606</v>
      </c>
      <c r="AH251" s="2572">
        <f t="shared" si="657"/>
        <v>12.084623692310606</v>
      </c>
      <c r="AI251" s="2555">
        <f t="shared" si="658"/>
        <v>36.253871076931816</v>
      </c>
      <c r="AJ251" s="2555">
        <f t="shared" si="646"/>
        <v>72.507742153863632</v>
      </c>
      <c r="AK251" s="2572">
        <f t="shared" si="659"/>
        <v>12.084623692310606</v>
      </c>
      <c r="AL251" s="2572">
        <f t="shared" si="660"/>
        <v>12.084623692310606</v>
      </c>
      <c r="AM251" s="2572">
        <f t="shared" si="661"/>
        <v>12.084623692310606</v>
      </c>
      <c r="AN251" s="2555">
        <f t="shared" si="662"/>
        <v>36.253871076931816</v>
      </c>
      <c r="AO251" s="2555">
        <f t="shared" si="648"/>
        <v>108.76161323079545</v>
      </c>
      <c r="AP251" s="2572">
        <f t="shared" si="663"/>
        <v>12.084623692310606</v>
      </c>
      <c r="AQ251" s="2572">
        <f t="shared" si="664"/>
        <v>12.084623692310606</v>
      </c>
      <c r="AR251" s="2572">
        <f t="shared" si="665"/>
        <v>12.084623692310606</v>
      </c>
      <c r="AS251" s="2555">
        <f t="shared" si="666"/>
        <v>36.253871076931816</v>
      </c>
      <c r="AT251" s="669">
        <f t="shared" si="420"/>
        <v>145.01548430772723</v>
      </c>
    </row>
    <row r="252" spans="1:46" ht="18.75">
      <c r="A252" s="2568" t="s">
        <v>607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438"/>
      <c r="U252" s="438"/>
      <c r="V252" s="2569">
        <f>SUM(V253)</f>
        <v>16.399166238353647</v>
      </c>
      <c r="W252" s="667"/>
      <c r="X252" s="2569">
        <f t="shared" si="638"/>
        <v>16.399166238353647</v>
      </c>
      <c r="Y252" s="2569">
        <f t="shared" ref="Y252:AH252" si="667">SUM(Y253)</f>
        <v>0</v>
      </c>
      <c r="Z252" s="2571">
        <f t="shared" si="667"/>
        <v>1.3665971865294706</v>
      </c>
      <c r="AA252" s="2570">
        <f t="shared" si="619"/>
        <v>0</v>
      </c>
      <c r="AB252" s="2571">
        <f t="shared" si="667"/>
        <v>1.3665971865294706</v>
      </c>
      <c r="AC252" s="2571">
        <f t="shared" si="667"/>
        <v>1.3665971865294706</v>
      </c>
      <c r="AD252" s="2571">
        <f t="shared" si="667"/>
        <v>1.3665971865294706</v>
      </c>
      <c r="AE252" s="2555">
        <f t="shared" si="654"/>
        <v>4.0997915595884118</v>
      </c>
      <c r="AF252" s="2571">
        <f t="shared" si="667"/>
        <v>1.3665971865294706</v>
      </c>
      <c r="AG252" s="2571">
        <f t="shared" si="667"/>
        <v>1.3665971865294706</v>
      </c>
      <c r="AH252" s="2571">
        <f t="shared" si="667"/>
        <v>1.3665971865294706</v>
      </c>
      <c r="AI252" s="2555">
        <f t="shared" si="658"/>
        <v>4.0997915595884118</v>
      </c>
      <c r="AJ252" s="2555">
        <f t="shared" si="646"/>
        <v>8.1995831191768236</v>
      </c>
      <c r="AK252" s="2571">
        <f t="shared" ref="AK252:AM252" si="668">SUM(AK253)</f>
        <v>1.3665971865294706</v>
      </c>
      <c r="AL252" s="2571">
        <f t="shared" si="668"/>
        <v>1.3665971865294706</v>
      </c>
      <c r="AM252" s="2571">
        <f t="shared" si="668"/>
        <v>1.3665971865294706</v>
      </c>
      <c r="AN252" s="2555">
        <f t="shared" si="662"/>
        <v>4.0997915595884118</v>
      </c>
      <c r="AO252" s="2555">
        <f t="shared" si="648"/>
        <v>12.299374678765236</v>
      </c>
      <c r="AP252" s="2571">
        <f t="shared" ref="AP252:AR252" si="669">SUM(AP253)</f>
        <v>1.3665971865294706</v>
      </c>
      <c r="AQ252" s="2571">
        <f t="shared" si="669"/>
        <v>1.3665971865294706</v>
      </c>
      <c r="AR252" s="2571">
        <f t="shared" si="669"/>
        <v>1.3665971865294706</v>
      </c>
      <c r="AS252" s="2555">
        <f t="shared" si="666"/>
        <v>4.0997915595884118</v>
      </c>
      <c r="AT252" s="669">
        <f t="shared" si="420"/>
        <v>16.399166238353651</v>
      </c>
    </row>
    <row r="253" spans="1:46" ht="18.75">
      <c r="A253" s="2573" t="s">
        <v>565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438"/>
      <c r="U253" s="438"/>
      <c r="V253" s="2569">
        <f>SUM(V247*0.7%)</f>
        <v>16.399166238353647</v>
      </c>
      <c r="W253" s="667"/>
      <c r="X253" s="2569">
        <f t="shared" si="638"/>
        <v>16.399166238353647</v>
      </c>
      <c r="Y253" s="2570">
        <f t="shared" ref="Y253" si="670">SUM(V253-X253)</f>
        <v>0</v>
      </c>
      <c r="Z253" s="2556">
        <f t="shared" ref="Z253" si="671">SUM(V253/12)</f>
        <v>1.3665971865294706</v>
      </c>
      <c r="AA253" s="2570">
        <f t="shared" si="619"/>
        <v>0</v>
      </c>
      <c r="AB253" s="2556">
        <f>SUM(V253/12)</f>
        <v>1.3665971865294706</v>
      </c>
      <c r="AC253" s="2556">
        <f t="shared" ref="AC253" si="672">SUM(AB253)</f>
        <v>1.3665971865294706</v>
      </c>
      <c r="AD253" s="2556">
        <f t="shared" ref="AD253" si="673">SUM(AB253)</f>
        <v>1.3665971865294706</v>
      </c>
      <c r="AE253" s="2555">
        <f t="shared" si="654"/>
        <v>4.0997915595884118</v>
      </c>
      <c r="AF253" s="2556">
        <f t="shared" ref="AF253" si="674">SUM(AB253)</f>
        <v>1.3665971865294706</v>
      </c>
      <c r="AG253" s="2556">
        <f t="shared" ref="AG253" si="675">SUM(AB253)</f>
        <v>1.3665971865294706</v>
      </c>
      <c r="AH253" s="2556">
        <f t="shared" ref="AH253" si="676">SUM(AB253)</f>
        <v>1.3665971865294706</v>
      </c>
      <c r="AI253" s="2555">
        <f t="shared" si="658"/>
        <v>4.0997915595884118</v>
      </c>
      <c r="AJ253" s="2555">
        <f t="shared" si="646"/>
        <v>8.1995831191768236</v>
      </c>
      <c r="AK253" s="2556">
        <f t="shared" ref="AK253" si="677">SUM(AB253)</f>
        <v>1.3665971865294706</v>
      </c>
      <c r="AL253" s="2556">
        <f t="shared" ref="AL253" si="678">SUM(AB253)</f>
        <v>1.3665971865294706</v>
      </c>
      <c r="AM253" s="2556">
        <f t="shared" ref="AM253" si="679">SUM(AB253)</f>
        <v>1.3665971865294706</v>
      </c>
      <c r="AN253" s="2555">
        <f t="shared" si="662"/>
        <v>4.0997915595884118</v>
      </c>
      <c r="AO253" s="2555">
        <f t="shared" si="648"/>
        <v>12.299374678765236</v>
      </c>
      <c r="AP253" s="2556">
        <f t="shared" ref="AP253" si="680">SUM(AB253)</f>
        <v>1.3665971865294706</v>
      </c>
      <c r="AQ253" s="2556">
        <f t="shared" ref="AQ253" si="681">SUM(AB253)</f>
        <v>1.3665971865294706</v>
      </c>
      <c r="AR253" s="2556">
        <f t="shared" ref="AR253" si="682">SUM(AB253)</f>
        <v>1.3665971865294706</v>
      </c>
      <c r="AS253" s="2555">
        <f t="shared" si="666"/>
        <v>4.0997915595884118</v>
      </c>
      <c r="AT253" s="669">
        <f t="shared" si="420"/>
        <v>16.399166238353651</v>
      </c>
    </row>
    <row r="254" spans="1:46" ht="18.75">
      <c r="A254" s="2568" t="s">
        <v>610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438"/>
      <c r="U254" s="438"/>
      <c r="V254" s="2569">
        <f>SUM(V255:V256)</f>
        <v>44.043475040149801</v>
      </c>
      <c r="W254" s="667"/>
      <c r="X254" s="2569">
        <f t="shared" si="638"/>
        <v>44.043475040149801</v>
      </c>
      <c r="Y254" s="2569">
        <f>SUM(Y255:Y256)</f>
        <v>0</v>
      </c>
      <c r="Z254" s="2571">
        <f>SUM(Z255:Z256)</f>
        <v>3.2243728292779736</v>
      </c>
      <c r="AA254" s="2570">
        <f t="shared" si="619"/>
        <v>0</v>
      </c>
      <c r="AB254" s="2571">
        <f>SUM(AB255:AB256)</f>
        <v>3.2243728292779736</v>
      </c>
      <c r="AC254" s="2571">
        <f>SUM(AC255:AC256)</f>
        <v>3.2243728292779736</v>
      </c>
      <c r="AD254" s="2571">
        <f>SUM(AD255:AD256)</f>
        <v>3.2243728292779736</v>
      </c>
      <c r="AE254" s="2555">
        <f t="shared" si="654"/>
        <v>9.6731184878339214</v>
      </c>
      <c r="AF254" s="2571">
        <f>SUM(AF255:AF256)</f>
        <v>3.2635902639679797</v>
      </c>
      <c r="AG254" s="2571">
        <f>SUM(AG255:AG256)</f>
        <v>3.9128566827247409</v>
      </c>
      <c r="AH254" s="2571">
        <f>SUM(AH255:AH256)</f>
        <v>4.4793307393581561</v>
      </c>
      <c r="AI254" s="2555">
        <f t="shared" si="658"/>
        <v>11.655777686050877</v>
      </c>
      <c r="AJ254" s="2555">
        <f t="shared" si="646"/>
        <v>21.3288961738848</v>
      </c>
      <c r="AK254" s="2571">
        <f>SUM(AK255:AK256)</f>
        <v>4.6492729563481818</v>
      </c>
      <c r="AL254" s="2571">
        <f>SUM(AL255:AL256)</f>
        <v>4.4793307393581561</v>
      </c>
      <c r="AM254" s="2571">
        <f>SUM(AM255:AM256)</f>
        <v>3.9128566827247409</v>
      </c>
      <c r="AN254" s="2555">
        <f t="shared" si="662"/>
        <v>13.041460378431079</v>
      </c>
      <c r="AO254" s="2555">
        <f t="shared" si="648"/>
        <v>34.370356552315883</v>
      </c>
      <c r="AP254" s="2571">
        <f>SUM(AP255:AP256)</f>
        <v>3.2243728292779736</v>
      </c>
      <c r="AQ254" s="2571">
        <f>SUM(AQ255:AQ256)</f>
        <v>3.2243728292779736</v>
      </c>
      <c r="AR254" s="2571">
        <f>SUM(AR255:AR256)</f>
        <v>3.2243728292779736</v>
      </c>
      <c r="AS254" s="2555">
        <f t="shared" si="666"/>
        <v>9.6731184878339214</v>
      </c>
      <c r="AT254" s="669">
        <f t="shared" si="420"/>
        <v>44.043475040149801</v>
      </c>
    </row>
    <row r="255" spans="1:46" ht="18.75">
      <c r="A255" s="2573" t="s">
        <v>552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438"/>
      <c r="U255" s="438"/>
      <c r="V255" s="2569">
        <f>SUM(V247*1.86%)</f>
        <v>43.574927433339695</v>
      </c>
      <c r="W255" s="667"/>
      <c r="X255" s="2569">
        <f t="shared" si="638"/>
        <v>43.574927433339695</v>
      </c>
      <c r="Y255" s="2570">
        <f t="shared" ref="Y255:Y256" si="683">SUM(V255-X255)</f>
        <v>0</v>
      </c>
      <c r="Z255" s="2556">
        <f>SUM(V255*7.31%)</f>
        <v>3.1853271953771318</v>
      </c>
      <c r="AA255" s="2570">
        <f t="shared" si="619"/>
        <v>0</v>
      </c>
      <c r="AB255" s="2556">
        <f>SUM(V255*7.31%)</f>
        <v>3.1853271953771318</v>
      </c>
      <c r="AC255" s="2556">
        <f>SUM(X255*7.31%)</f>
        <v>3.1853271953771318</v>
      </c>
      <c r="AD255" s="2556">
        <f>SUM(X255*7.31%)</f>
        <v>3.1853271953771318</v>
      </c>
      <c r="AE255" s="2555">
        <f t="shared" si="654"/>
        <v>9.555981586131395</v>
      </c>
      <c r="AF255" s="2556">
        <f>SUM(X255*7.4%)</f>
        <v>3.2245446300671379</v>
      </c>
      <c r="AG255" s="2556">
        <f>SUM(X255*8.89%)</f>
        <v>3.873811048823899</v>
      </c>
      <c r="AH255" s="2556">
        <f>SUM(X255*10.19%)</f>
        <v>4.4402851054573143</v>
      </c>
      <c r="AI255" s="2555">
        <f t="shared" si="658"/>
        <v>11.538640784348352</v>
      </c>
      <c r="AJ255" s="2555">
        <f t="shared" si="646"/>
        <v>21.094622370479748</v>
      </c>
      <c r="AK255" s="2556">
        <f>SUM(V255*10.58%)</f>
        <v>4.61022732244734</v>
      </c>
      <c r="AL255" s="2556">
        <f>SUM(X255*10.19%)</f>
        <v>4.4402851054573143</v>
      </c>
      <c r="AM255" s="2556">
        <f>SUM(X255*8.89%)</f>
        <v>3.873811048823899</v>
      </c>
      <c r="AN255" s="2555">
        <f t="shared" si="662"/>
        <v>12.924323476728553</v>
      </c>
      <c r="AO255" s="2555">
        <f t="shared" si="648"/>
        <v>34.0189458472083</v>
      </c>
      <c r="AP255" s="2556">
        <f>SUM(X255*7.31%)</f>
        <v>3.1853271953771318</v>
      </c>
      <c r="AQ255" s="2556">
        <f>SUM(X255*7.31%)</f>
        <v>3.1853271953771318</v>
      </c>
      <c r="AR255" s="2556">
        <f>SUM(X255*7.31%)</f>
        <v>3.1853271953771318</v>
      </c>
      <c r="AS255" s="2555">
        <f t="shared" si="666"/>
        <v>9.555981586131395</v>
      </c>
      <c r="AT255" s="669">
        <f t="shared" si="420"/>
        <v>43.574927433339703</v>
      </c>
    </row>
    <row r="256" spans="1:46" ht="18.75">
      <c r="A256" s="2580" t="s">
        <v>614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438"/>
      <c r="U256" s="438"/>
      <c r="V256" s="2569">
        <f>SUM(V247*0.02%)</f>
        <v>0.46854760681010421</v>
      </c>
      <c r="W256" s="667"/>
      <c r="X256" s="2569">
        <f t="shared" si="638"/>
        <v>0.46854760681010421</v>
      </c>
      <c r="Y256" s="2582">
        <f t="shared" si="683"/>
        <v>0</v>
      </c>
      <c r="Z256" s="2583">
        <f t="shared" ref="Z256" si="684">SUM(V256/12)</f>
        <v>3.9045633900842015E-2</v>
      </c>
      <c r="AA256" s="2570">
        <f t="shared" si="619"/>
        <v>0</v>
      </c>
      <c r="AB256" s="2583">
        <f>SUM(V256/12)</f>
        <v>3.9045633900842015E-2</v>
      </c>
      <c r="AC256" s="2583">
        <f t="shared" ref="AC256" si="685">SUM(AB256)</f>
        <v>3.9045633900842015E-2</v>
      </c>
      <c r="AD256" s="2583">
        <f t="shared" ref="AD256" si="686">SUM(AB256)</f>
        <v>3.9045633900842015E-2</v>
      </c>
      <c r="AE256" s="2557">
        <f t="shared" si="654"/>
        <v>0.11713690170252605</v>
      </c>
      <c r="AF256" s="2584">
        <f t="shared" ref="AF256" si="687">SUM(AB256)</f>
        <v>3.9045633900842015E-2</v>
      </c>
      <c r="AG256" s="2584">
        <f t="shared" ref="AG256" si="688">SUM(AB256)</f>
        <v>3.9045633900842015E-2</v>
      </c>
      <c r="AH256" s="2584">
        <f t="shared" ref="AH256" si="689">SUM(AB256)</f>
        <v>3.9045633900842015E-2</v>
      </c>
      <c r="AI256" s="2557">
        <f t="shared" si="658"/>
        <v>0.11713690170252605</v>
      </c>
      <c r="AJ256" s="2557">
        <f t="shared" si="646"/>
        <v>0.23427380340505211</v>
      </c>
      <c r="AK256" s="2584">
        <f t="shared" ref="AK256" si="690">SUM(AB256)</f>
        <v>3.9045633900842015E-2</v>
      </c>
      <c r="AL256" s="2584">
        <f t="shared" ref="AL256" si="691">SUM(AB256)</f>
        <v>3.9045633900842015E-2</v>
      </c>
      <c r="AM256" s="2584">
        <f t="shared" ref="AM256" si="692">SUM(AB256)</f>
        <v>3.9045633900842015E-2</v>
      </c>
      <c r="AN256" s="2557">
        <f t="shared" si="662"/>
        <v>0.11713690170252605</v>
      </c>
      <c r="AO256" s="2557">
        <f t="shared" si="648"/>
        <v>0.35141070510757816</v>
      </c>
      <c r="AP256" s="2584">
        <f t="shared" ref="AP256" si="693">SUM(AB256)</f>
        <v>3.9045633900842015E-2</v>
      </c>
      <c r="AQ256" s="2584">
        <f t="shared" ref="AQ256" si="694">SUM(AB256)</f>
        <v>3.9045633900842015E-2</v>
      </c>
      <c r="AR256" s="2584">
        <f t="shared" ref="AR256" si="695">SUM(AB256)</f>
        <v>3.9045633900842015E-2</v>
      </c>
      <c r="AS256" s="2557">
        <f t="shared" si="666"/>
        <v>0.11713690170252605</v>
      </c>
      <c r="AT256" s="669">
        <f t="shared" si="420"/>
        <v>0.46854760681010427</v>
      </c>
    </row>
    <row r="257" spans="1:46" ht="19.5">
      <c r="A257" s="2585" t="s">
        <v>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438"/>
      <c r="U257" s="438"/>
      <c r="V257" s="2564">
        <f>SUM(V197+V208+V234+V247)</f>
        <v>11039.518331530622</v>
      </c>
      <c r="W257" s="2587"/>
      <c r="X257" s="2564">
        <f t="shared" ref="X257:AD257" si="696">SUM(X197+X208+X234+X247)</f>
        <v>10984.527030553405</v>
      </c>
      <c r="Y257" s="2564">
        <f t="shared" si="696"/>
        <v>54.991300977217634</v>
      </c>
      <c r="Z257" s="2566">
        <f t="shared" si="696"/>
        <v>914.34419681509644</v>
      </c>
      <c r="AA257" s="2564">
        <f t="shared" si="696"/>
        <v>54.991300977217634</v>
      </c>
      <c r="AB257" s="2566">
        <f t="shared" si="696"/>
        <v>932.81796737054208</v>
      </c>
      <c r="AC257" s="2566">
        <f t="shared" si="696"/>
        <v>923.64433880422916</v>
      </c>
      <c r="AD257" s="2566">
        <f t="shared" si="696"/>
        <v>919.67146562048163</v>
      </c>
      <c r="AE257" s="2567">
        <f t="shared" si="654"/>
        <v>2776.1337717952529</v>
      </c>
      <c r="AF257" s="2566">
        <f>SUM(AF197+AF208+AF234+AF247)</f>
        <v>906.00433515744317</v>
      </c>
      <c r="AG257" s="2566">
        <f>SUM(AG197+AG208+AG234+AG247)</f>
        <v>881.14458024685257</v>
      </c>
      <c r="AH257" s="2566">
        <f>SUM(AH197+AH208+AH234+AH247)</f>
        <v>875.29350312348947</v>
      </c>
      <c r="AI257" s="2567">
        <f t="shared" si="658"/>
        <v>2662.4424185277849</v>
      </c>
      <c r="AJ257" s="2567">
        <f t="shared" si="646"/>
        <v>5438.5761903230377</v>
      </c>
      <c r="AK257" s="2566">
        <f>SUM(AK197+AK208+AK234+AK247)</f>
        <v>910.22968826503791</v>
      </c>
      <c r="AL257" s="2566">
        <f>SUM(AL197+AL208+AL234+AL247)</f>
        <v>909.39474776933832</v>
      </c>
      <c r="AM257" s="2566">
        <f>SUM(AM197+AM208+AM234+AM247)</f>
        <v>922.43383308941145</v>
      </c>
      <c r="AN257" s="2567">
        <f t="shared" si="662"/>
        <v>2742.0582691237878</v>
      </c>
      <c r="AO257" s="2567">
        <f t="shared" si="648"/>
        <v>8180.6344594468255</v>
      </c>
      <c r="AP257" s="2566">
        <f>SUM(AP197+AP208+AP234+AP247)</f>
        <v>942.12209552333854</v>
      </c>
      <c r="AQ257" s="2566">
        <f>SUM(AQ197+AQ208+AQ234+AQ247)</f>
        <v>952.13508448752555</v>
      </c>
      <c r="AR257" s="2566">
        <f>SUM(AR197+AR208+AR234+AR247)</f>
        <v>964.62669207293322</v>
      </c>
      <c r="AS257" s="2567">
        <f t="shared" si="666"/>
        <v>2858.8838720837971</v>
      </c>
      <c r="AT257" s="669">
        <f t="shared" si="420"/>
        <v>11039.518331530624</v>
      </c>
    </row>
    <row r="258" spans="1:46" ht="19.5">
      <c r="A258" s="2585" t="s">
        <v>611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438"/>
      <c r="U258" s="438"/>
      <c r="V258" s="2588">
        <f>SUM(V257-V221-V222)</f>
        <v>11039.518331530622</v>
      </c>
      <c r="W258" s="2587"/>
      <c r="X258" s="2588">
        <f t="shared" ref="X258:AD258" si="697">SUM(X257-X221-X222)</f>
        <v>10984.527030553405</v>
      </c>
      <c r="Y258" s="2588">
        <f t="shared" si="697"/>
        <v>54.991300977217634</v>
      </c>
      <c r="Z258" s="2589">
        <f t="shared" si="697"/>
        <v>914.34419681509644</v>
      </c>
      <c r="AA258" s="2588">
        <f t="shared" si="697"/>
        <v>54.991300977217634</v>
      </c>
      <c r="AB258" s="2589">
        <f t="shared" si="697"/>
        <v>932.81796737054208</v>
      </c>
      <c r="AC258" s="2589">
        <f t="shared" si="697"/>
        <v>923.64433880422916</v>
      </c>
      <c r="AD258" s="2589">
        <f t="shared" si="697"/>
        <v>919.67146562048163</v>
      </c>
      <c r="AE258" s="2567">
        <f t="shared" si="654"/>
        <v>2776.1337717952529</v>
      </c>
      <c r="AF258" s="2589">
        <f>SUM(AF257-AF221-AF222)</f>
        <v>906.00433515744317</v>
      </c>
      <c r="AG258" s="2589">
        <f>SUM(AG257-AG221-AG222)</f>
        <v>881.14458024685257</v>
      </c>
      <c r="AH258" s="2589">
        <f>SUM(AH257-AH221-AH222)</f>
        <v>875.29350312348947</v>
      </c>
      <c r="AI258" s="2567">
        <f t="shared" si="658"/>
        <v>2662.4424185277849</v>
      </c>
      <c r="AJ258" s="2567">
        <f t="shared" si="646"/>
        <v>5438.5761903230377</v>
      </c>
      <c r="AK258" s="2589">
        <f>SUM(AK257-AK221-AK222)</f>
        <v>910.22968826503791</v>
      </c>
      <c r="AL258" s="2589">
        <f>SUM(AL257-AL221-AL222)</f>
        <v>909.39474776933832</v>
      </c>
      <c r="AM258" s="2589">
        <f>SUM(AM257-AM221-AM222)</f>
        <v>922.43383308941145</v>
      </c>
      <c r="AN258" s="2567">
        <f t="shared" si="662"/>
        <v>2742.0582691237878</v>
      </c>
      <c r="AO258" s="2567">
        <f t="shared" si="648"/>
        <v>8180.6344594468255</v>
      </c>
      <c r="AP258" s="2589">
        <f>SUM(AP257-AP221-AP222)</f>
        <v>942.12209552333854</v>
      </c>
      <c r="AQ258" s="2589">
        <f>SUM(AQ257-AQ221-AQ222)</f>
        <v>952.13508448752555</v>
      </c>
      <c r="AR258" s="2589">
        <f>SUM(AR257-AR221-AR222)</f>
        <v>964.62669207293322</v>
      </c>
      <c r="AS258" s="2567">
        <f t="shared" si="666"/>
        <v>2858.8838720837971</v>
      </c>
      <c r="AT258" s="669">
        <f t="shared" si="420"/>
        <v>11039.518331530624</v>
      </c>
    </row>
    <row r="259" spans="1:4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438"/>
      <c r="T259" s="438"/>
      <c r="U259" s="438"/>
      <c r="V259" s="441"/>
      <c r="W259" s="5"/>
      <c r="X259" s="441"/>
      <c r="Y259" s="441"/>
      <c r="Z259" s="441"/>
      <c r="AA259" s="441"/>
      <c r="AB259" s="441"/>
      <c r="AC259" s="5"/>
      <c r="AD259" s="5"/>
    </row>
    <row r="260" spans="1:4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438"/>
      <c r="T260" s="438"/>
      <c r="U260" s="438"/>
      <c r="V260" s="441"/>
      <c r="W260" s="5"/>
      <c r="X260" s="441"/>
      <c r="Y260" s="441"/>
      <c r="Z260" s="441"/>
      <c r="AA260" s="441"/>
      <c r="AB260" s="441"/>
      <c r="AC260" s="5"/>
      <c r="AD260" s="5"/>
    </row>
    <row r="261" spans="1:4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438"/>
      <c r="T261" s="438"/>
      <c r="U261" s="438"/>
      <c r="V261" s="441"/>
      <c r="W261" s="5"/>
      <c r="X261" s="696"/>
      <c r="Y261" s="696"/>
      <c r="Z261" s="696"/>
      <c r="AA261" s="441"/>
      <c r="AB261" s="441"/>
      <c r="AC261" s="5"/>
      <c r="AD261" s="5"/>
    </row>
    <row r="262" spans="1:4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438"/>
      <c r="T262" s="438"/>
      <c r="U262" s="438"/>
      <c r="V262" s="441"/>
      <c r="W262" s="5"/>
      <c r="X262" s="441"/>
      <c r="Y262" s="441"/>
      <c r="Z262" s="441"/>
      <c r="AA262" s="441"/>
      <c r="AB262" s="441"/>
      <c r="AC262" s="5"/>
      <c r="AD262" s="5"/>
    </row>
    <row r="263" spans="1:4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438"/>
      <c r="T263" s="438"/>
      <c r="U263" s="438"/>
      <c r="V263" s="441"/>
      <c r="W263" s="5"/>
      <c r="X263" s="441"/>
      <c r="Y263" s="441"/>
      <c r="Z263" s="441"/>
      <c r="AA263" s="441"/>
      <c r="AB263" s="441"/>
      <c r="AC263" s="5"/>
      <c r="AD263" s="5"/>
    </row>
    <row r="264" spans="1:4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438"/>
      <c r="T264" s="438"/>
      <c r="U264" s="438"/>
      <c r="V264" s="441"/>
      <c r="W264" s="5"/>
      <c r="X264" s="441"/>
      <c r="Y264" s="441"/>
      <c r="Z264" s="441"/>
      <c r="AA264" s="441"/>
      <c r="AB264" s="441"/>
      <c r="AC264" s="5"/>
      <c r="AD264" s="5"/>
    </row>
    <row r="265" spans="1:46" ht="18.75">
      <c r="A265" s="5368" t="s">
        <v>649</v>
      </c>
      <c r="B265" s="5369"/>
      <c r="C265" s="5369"/>
      <c r="D265" s="5369"/>
      <c r="E265" s="5369"/>
      <c r="F265" s="5369"/>
      <c r="G265" s="5369"/>
      <c r="H265" s="5369"/>
      <c r="I265" s="5369"/>
      <c r="J265" s="5369"/>
      <c r="K265" s="5369"/>
      <c r="L265" s="5369"/>
      <c r="M265" s="5369"/>
      <c r="N265" s="5369"/>
      <c r="O265" s="5369"/>
      <c r="P265" s="5369"/>
      <c r="Q265" s="5369"/>
      <c r="R265" s="5369"/>
      <c r="S265" s="5369"/>
      <c r="T265" s="5369"/>
      <c r="U265" s="5369"/>
      <c r="V265" s="5369"/>
      <c r="W265" s="5369"/>
      <c r="X265" s="5369"/>
      <c r="Y265" s="5369"/>
      <c r="Z265" s="5369"/>
      <c r="AA265" s="441"/>
      <c r="AB265" s="441"/>
      <c r="AC265" s="5"/>
      <c r="AD265" s="5"/>
    </row>
    <row r="266" spans="1:46" ht="18.75">
      <c r="A266" s="2586" t="s">
        <v>624</v>
      </c>
      <c r="B266" s="2586"/>
      <c r="C266" s="2586"/>
      <c r="D266" s="2586"/>
      <c r="E266" s="2586"/>
      <c r="F266" s="2586"/>
      <c r="G266" s="2586"/>
      <c r="H266" s="2586"/>
      <c r="I266" s="2586"/>
      <c r="J266" s="2586"/>
      <c r="K266" s="2586"/>
      <c r="L266" s="2586"/>
      <c r="M266" s="2586"/>
      <c r="N266" s="2586"/>
      <c r="O266" s="2586"/>
      <c r="P266" s="2586"/>
      <c r="Q266" s="2586"/>
      <c r="R266" s="2586"/>
      <c r="S266" s="2586"/>
      <c r="T266" s="2586"/>
      <c r="U266" s="2586"/>
      <c r="V266" s="2591" t="s">
        <v>625</v>
      </c>
      <c r="W266" s="2591"/>
      <c r="X266" s="2591" t="s">
        <v>628</v>
      </c>
      <c r="Y266" s="2591" t="s">
        <v>293</v>
      </c>
      <c r="Z266" s="2591" t="s">
        <v>44</v>
      </c>
      <c r="AA266" s="441"/>
      <c r="AB266" s="441"/>
      <c r="AC266" s="5"/>
      <c r="AD266" s="5"/>
    </row>
    <row r="267" spans="1:46" ht="18.75">
      <c r="A267" s="2592" t="s">
        <v>626</v>
      </c>
      <c r="B267" s="2592"/>
      <c r="C267" s="2592"/>
      <c r="D267" s="2592"/>
      <c r="E267" s="2592"/>
      <c r="F267" s="2592"/>
      <c r="G267" s="2592"/>
      <c r="H267" s="2592"/>
      <c r="I267" s="2592"/>
      <c r="J267" s="2592"/>
      <c r="K267" s="2592"/>
      <c r="L267" s="2592"/>
      <c r="M267" s="2592"/>
      <c r="N267" s="2592"/>
      <c r="O267" s="2592"/>
      <c r="P267" s="2592"/>
      <c r="Q267" s="2592"/>
      <c r="R267" s="2592"/>
      <c r="S267" s="2592"/>
      <c r="T267" s="2592"/>
      <c r="U267" s="2592"/>
      <c r="V267" s="2592">
        <v>544342.37</v>
      </c>
      <c r="W267" s="2592"/>
      <c r="X267" s="2592"/>
      <c r="Y267" s="2592">
        <f>SUM(V267:X267)</f>
        <v>544342.37</v>
      </c>
      <c r="Z267" s="2593">
        <f>SUM(Y267/Y274)</f>
        <v>0.6974668420563781</v>
      </c>
      <c r="AA267" s="441"/>
      <c r="AB267" s="441"/>
      <c r="AC267" s="5"/>
      <c r="AD267" s="5"/>
    </row>
    <row r="268" spans="1:46" ht="18.75">
      <c r="A268" s="2592" t="s">
        <v>627</v>
      </c>
      <c r="B268" s="2592"/>
      <c r="C268" s="2592"/>
      <c r="D268" s="2592"/>
      <c r="E268" s="2592"/>
      <c r="F268" s="2592"/>
      <c r="G268" s="2592"/>
      <c r="H268" s="2592"/>
      <c r="I268" s="2592"/>
      <c r="J268" s="2592"/>
      <c r="K268" s="2592"/>
      <c r="L268" s="2592"/>
      <c r="M268" s="2592"/>
      <c r="N268" s="2592"/>
      <c r="O268" s="2592"/>
      <c r="P268" s="2592"/>
      <c r="Q268" s="2592"/>
      <c r="R268" s="2592"/>
      <c r="S268" s="2592"/>
      <c r="T268" s="2592"/>
      <c r="U268" s="2592"/>
      <c r="V268" s="2592">
        <v>164391.41</v>
      </c>
      <c r="W268" s="2592"/>
      <c r="X268" s="2592"/>
      <c r="Y268" s="2592">
        <f t="shared" ref="Y268:Y273" si="698">SUM(V268:X268)</f>
        <v>164391.41</v>
      </c>
      <c r="Z268" s="2593">
        <f>SUM(Y268/Y274)</f>
        <v>0.21063500457238943</v>
      </c>
      <c r="AA268" s="441"/>
      <c r="AB268" s="441"/>
      <c r="AC268" s="5"/>
      <c r="AD268" s="5"/>
    </row>
    <row r="269" spans="1:46" ht="18.75">
      <c r="A269" s="2592" t="s">
        <v>629</v>
      </c>
      <c r="B269" s="2592"/>
      <c r="C269" s="2592"/>
      <c r="D269" s="2592"/>
      <c r="E269" s="2592"/>
      <c r="F269" s="2592"/>
      <c r="G269" s="2592"/>
      <c r="H269" s="2592"/>
      <c r="I269" s="2592"/>
      <c r="J269" s="2592"/>
      <c r="K269" s="2592"/>
      <c r="L269" s="2592"/>
      <c r="M269" s="2592"/>
      <c r="N269" s="2592"/>
      <c r="O269" s="2592"/>
      <c r="P269" s="2592"/>
      <c r="Q269" s="2592"/>
      <c r="R269" s="2592"/>
      <c r="S269" s="2592"/>
      <c r="T269" s="2592"/>
      <c r="U269" s="2592"/>
      <c r="V269" s="2592"/>
      <c r="W269" s="2592"/>
      <c r="X269" s="2592">
        <v>3667.86</v>
      </c>
      <c r="Y269" s="2592">
        <f t="shared" si="698"/>
        <v>3667.86</v>
      </c>
      <c r="Z269" s="2593">
        <f>SUM(Y269/Y274)</f>
        <v>4.6996355093668479E-3</v>
      </c>
      <c r="AA269" s="441"/>
      <c r="AB269" s="441"/>
      <c r="AC269" s="5"/>
      <c r="AD269" s="5"/>
    </row>
    <row r="270" spans="1:46" ht="18.75">
      <c r="A270" s="2592" t="s">
        <v>606</v>
      </c>
      <c r="B270" s="2592"/>
      <c r="C270" s="2592"/>
      <c r="D270" s="2592"/>
      <c r="E270" s="2592"/>
      <c r="F270" s="2592"/>
      <c r="G270" s="2592"/>
      <c r="H270" s="2592"/>
      <c r="I270" s="2592"/>
      <c r="J270" s="2592"/>
      <c r="K270" s="2592"/>
      <c r="L270" s="2592"/>
      <c r="M270" s="2592"/>
      <c r="N270" s="2592"/>
      <c r="O270" s="2592"/>
      <c r="P270" s="2592"/>
      <c r="Q270" s="2592"/>
      <c r="R270" s="2592"/>
      <c r="S270" s="2592"/>
      <c r="T270" s="2592"/>
      <c r="U270" s="2592"/>
      <c r="V270" s="2592"/>
      <c r="W270" s="2592"/>
      <c r="X270" s="2592">
        <v>16761.7</v>
      </c>
      <c r="Y270" s="2592">
        <f t="shared" si="698"/>
        <v>16761.7</v>
      </c>
      <c r="Z270" s="2593">
        <f>SUM(Y270/Y274)</f>
        <v>2.1476795874802827E-2</v>
      </c>
      <c r="AA270" s="441"/>
      <c r="AB270" s="441"/>
      <c r="AC270" s="5"/>
      <c r="AD270" s="5"/>
    </row>
    <row r="271" spans="1:46" ht="18.75">
      <c r="A271" s="2592" t="s">
        <v>630</v>
      </c>
      <c r="B271" s="2592"/>
      <c r="C271" s="2592"/>
      <c r="D271" s="2592"/>
      <c r="E271" s="2592"/>
      <c r="F271" s="2592"/>
      <c r="G271" s="2592"/>
      <c r="H271" s="2592"/>
      <c r="I271" s="2592"/>
      <c r="J271" s="2592"/>
      <c r="K271" s="2592"/>
      <c r="L271" s="2592"/>
      <c r="M271" s="2592"/>
      <c r="N271" s="2592"/>
      <c r="O271" s="2592"/>
      <c r="P271" s="2592"/>
      <c r="Q271" s="2592"/>
      <c r="R271" s="2592"/>
      <c r="S271" s="2592"/>
      <c r="T271" s="2592"/>
      <c r="U271" s="2592"/>
      <c r="V271" s="2592"/>
      <c r="W271" s="2592"/>
      <c r="X271" s="2592">
        <v>25135.3</v>
      </c>
      <c r="Y271" s="2592">
        <f t="shared" si="698"/>
        <v>25135.3</v>
      </c>
      <c r="Z271" s="2593">
        <f>SUM(Y271/Y274)</f>
        <v>3.2205904374373207E-2</v>
      </c>
      <c r="AA271" s="441"/>
      <c r="AB271" s="441"/>
      <c r="AC271" s="5"/>
      <c r="AD271" s="5"/>
    </row>
    <row r="272" spans="1:46" ht="18.75">
      <c r="A272" s="2592" t="s">
        <v>34</v>
      </c>
      <c r="B272" s="2592"/>
      <c r="C272" s="2592"/>
      <c r="D272" s="2592"/>
      <c r="E272" s="2592"/>
      <c r="F272" s="2592"/>
      <c r="G272" s="2592"/>
      <c r="H272" s="2592"/>
      <c r="I272" s="2592"/>
      <c r="J272" s="2592"/>
      <c r="K272" s="2592"/>
      <c r="L272" s="2592"/>
      <c r="M272" s="2592"/>
      <c r="N272" s="2592"/>
      <c r="O272" s="2592"/>
      <c r="P272" s="2592"/>
      <c r="Q272" s="2592"/>
      <c r="R272" s="2592"/>
      <c r="S272" s="2592"/>
      <c r="T272" s="2592"/>
      <c r="U272" s="2592"/>
      <c r="V272" s="2592"/>
      <c r="W272" s="2592"/>
      <c r="X272" s="2592">
        <v>10460.129999999999</v>
      </c>
      <c r="Y272" s="2592">
        <f t="shared" si="698"/>
        <v>10460.129999999999</v>
      </c>
      <c r="Z272" s="2593">
        <f>SUM(Y272/Y274)</f>
        <v>1.3402583081304478E-2</v>
      </c>
      <c r="AA272" s="441"/>
      <c r="AB272" s="441"/>
      <c r="AC272" s="5"/>
      <c r="AD272" s="5"/>
    </row>
    <row r="273" spans="1:30" ht="18.75">
      <c r="A273" s="2592" t="s">
        <v>52</v>
      </c>
      <c r="B273" s="2592"/>
      <c r="C273" s="2592"/>
      <c r="D273" s="2592"/>
      <c r="E273" s="2592"/>
      <c r="F273" s="2592"/>
      <c r="G273" s="2592"/>
      <c r="H273" s="2592"/>
      <c r="I273" s="2592"/>
      <c r="J273" s="2592"/>
      <c r="K273" s="2592"/>
      <c r="L273" s="2592"/>
      <c r="M273" s="2592"/>
      <c r="N273" s="2592"/>
      <c r="O273" s="2592"/>
      <c r="P273" s="2592"/>
      <c r="Q273" s="2592"/>
      <c r="R273" s="2592"/>
      <c r="S273" s="2592"/>
      <c r="T273" s="2592"/>
      <c r="U273" s="2592"/>
      <c r="V273" s="2592"/>
      <c r="W273" s="2592"/>
      <c r="X273" s="2592">
        <v>15697.5</v>
      </c>
      <c r="Y273" s="2592">
        <f t="shared" si="698"/>
        <v>15697.5</v>
      </c>
      <c r="Z273" s="2593">
        <f>SUM(Y273/Y274)</f>
        <v>2.0113234531385082E-2</v>
      </c>
      <c r="AA273" s="441"/>
      <c r="AB273" s="441"/>
      <c r="AC273" s="5"/>
      <c r="AD273" s="5"/>
    </row>
    <row r="274" spans="1:30" ht="18.75">
      <c r="A274" s="2586" t="s">
        <v>632</v>
      </c>
      <c r="B274" s="2586"/>
      <c r="C274" s="2586"/>
      <c r="D274" s="2586"/>
      <c r="E274" s="2586"/>
      <c r="F274" s="2586"/>
      <c r="G274" s="2586"/>
      <c r="H274" s="2586"/>
      <c r="I274" s="2586"/>
      <c r="J274" s="2586"/>
      <c r="K274" s="2586"/>
      <c r="L274" s="2586"/>
      <c r="M274" s="2586"/>
      <c r="N274" s="2586"/>
      <c r="O274" s="2586"/>
      <c r="P274" s="2586"/>
      <c r="Q274" s="2586"/>
      <c r="R274" s="2586"/>
      <c r="S274" s="2586"/>
      <c r="T274" s="2586"/>
      <c r="U274" s="2586"/>
      <c r="V274" s="2586">
        <f>SUM(V267:V273)</f>
        <v>708733.78</v>
      </c>
      <c r="W274" s="2586"/>
      <c r="X274" s="2586">
        <f>SUM(X267:X273)</f>
        <v>71722.489999999991</v>
      </c>
      <c r="Y274" s="2586">
        <f>SUM(Y267:Y273)</f>
        <v>780456.27</v>
      </c>
      <c r="Z274" s="2594">
        <f>SUM(Z267:Z273)</f>
        <v>1</v>
      </c>
      <c r="AA274" s="441"/>
      <c r="AB274" s="441"/>
      <c r="AC274" s="5"/>
      <c r="AD274" s="5"/>
    </row>
    <row r="275" spans="1:30" ht="18.75">
      <c r="A275" s="2586" t="s">
        <v>633</v>
      </c>
      <c r="B275" s="2586"/>
      <c r="C275" s="2586"/>
      <c r="D275" s="2586"/>
      <c r="E275" s="2586"/>
      <c r="F275" s="2586"/>
      <c r="G275" s="2586"/>
      <c r="H275" s="2586"/>
      <c r="I275" s="2586"/>
      <c r="J275" s="2586"/>
      <c r="K275" s="2586"/>
      <c r="L275" s="2586"/>
      <c r="M275" s="2586"/>
      <c r="N275" s="2586"/>
      <c r="O275" s="2586"/>
      <c r="P275" s="2586"/>
      <c r="Q275" s="2586"/>
      <c r="R275" s="2586"/>
      <c r="S275" s="2586"/>
      <c r="T275" s="2586"/>
      <c r="U275" s="2586"/>
      <c r="V275" s="2591" t="s">
        <v>635</v>
      </c>
      <c r="W275" s="2591"/>
      <c r="X275" s="2591" t="s">
        <v>634</v>
      </c>
      <c r="Y275" s="2591" t="s">
        <v>293</v>
      </c>
      <c r="Z275" s="2591" t="s">
        <v>44</v>
      </c>
      <c r="AA275" s="441"/>
      <c r="AB275" s="441"/>
      <c r="AC275" s="5"/>
      <c r="AD275" s="5"/>
    </row>
    <row r="276" spans="1:30" ht="18.75">
      <c r="A276" s="2592" t="s">
        <v>626</v>
      </c>
      <c r="B276" s="2592"/>
      <c r="C276" s="2592"/>
      <c r="D276" s="2592"/>
      <c r="E276" s="2592"/>
      <c r="F276" s="2592"/>
      <c r="G276" s="2592"/>
      <c r="H276" s="2592"/>
      <c r="I276" s="2592"/>
      <c r="J276" s="2592"/>
      <c r="K276" s="2592"/>
      <c r="L276" s="2592"/>
      <c r="M276" s="2592"/>
      <c r="N276" s="2592"/>
      <c r="O276" s="2592"/>
      <c r="P276" s="2592"/>
      <c r="Q276" s="2592"/>
      <c r="R276" s="2592"/>
      <c r="S276" s="2592"/>
      <c r="T276" s="2592"/>
      <c r="U276" s="2592"/>
      <c r="V276" s="2592">
        <v>2420280.5099999998</v>
      </c>
      <c r="W276" s="2592"/>
      <c r="X276" s="2592"/>
      <c r="Y276" s="2592">
        <f>SUM(V276:X276)</f>
        <v>2420280.5099999998</v>
      </c>
      <c r="Z276" s="2593">
        <f>SUM(Y276/Y298)</f>
        <v>0.46536359043589531</v>
      </c>
      <c r="AA276" s="441"/>
      <c r="AB276" s="441"/>
      <c r="AC276" s="5"/>
      <c r="AD276" s="5"/>
    </row>
    <row r="277" spans="1:30" ht="18.75">
      <c r="A277" s="2592" t="s">
        <v>627</v>
      </c>
      <c r="B277" s="2592"/>
      <c r="C277" s="2592"/>
      <c r="D277" s="2592"/>
      <c r="E277" s="2592"/>
      <c r="F277" s="2592"/>
      <c r="G277" s="2592"/>
      <c r="H277" s="2592"/>
      <c r="I277" s="2592"/>
      <c r="J277" s="2592"/>
      <c r="K277" s="2592"/>
      <c r="L277" s="2592"/>
      <c r="M277" s="2592"/>
      <c r="N277" s="2592"/>
      <c r="O277" s="2592"/>
      <c r="P277" s="2592"/>
      <c r="Q277" s="2592"/>
      <c r="R277" s="2592"/>
      <c r="S277" s="2592"/>
      <c r="T277" s="2592"/>
      <c r="U277" s="2592"/>
      <c r="V277" s="2592">
        <v>724985.49</v>
      </c>
      <c r="W277" s="2592"/>
      <c r="X277" s="2592"/>
      <c r="Y277" s="2592">
        <f t="shared" ref="Y277:Y297" si="699">SUM(V277:X277)</f>
        <v>724985.49</v>
      </c>
      <c r="Z277" s="2593">
        <f>SUM(Y277/Y298)</f>
        <v>0.1393978298161509</v>
      </c>
      <c r="AA277" s="441"/>
      <c r="AB277" s="441"/>
      <c r="AC277" s="5"/>
      <c r="AD277" s="5"/>
    </row>
    <row r="278" spans="1:30" ht="18.75">
      <c r="A278" s="2592" t="s">
        <v>608</v>
      </c>
      <c r="B278" s="2592"/>
      <c r="C278" s="2592"/>
      <c r="D278" s="2592"/>
      <c r="E278" s="2592"/>
      <c r="F278" s="2592"/>
      <c r="G278" s="2592"/>
      <c r="H278" s="2592"/>
      <c r="I278" s="2592"/>
      <c r="J278" s="2592"/>
      <c r="K278" s="2592"/>
      <c r="L278" s="2592"/>
      <c r="M278" s="2592"/>
      <c r="N278" s="2592"/>
      <c r="O278" s="2592"/>
      <c r="P278" s="2592"/>
      <c r="Q278" s="2592"/>
      <c r="R278" s="2592"/>
      <c r="S278" s="2592"/>
      <c r="T278" s="2592"/>
      <c r="U278" s="2592"/>
      <c r="V278" s="2592"/>
      <c r="W278" s="2592"/>
      <c r="X278" s="2592">
        <v>75600</v>
      </c>
      <c r="Y278" s="2592">
        <f t="shared" si="699"/>
        <v>75600</v>
      </c>
      <c r="Z278" s="2593">
        <f>SUM(Y278/Y298)</f>
        <v>1.4536119797516235E-2</v>
      </c>
      <c r="AA278" s="441"/>
      <c r="AB278" s="441"/>
      <c r="AC278" s="5"/>
      <c r="AD278" s="5"/>
    </row>
    <row r="279" spans="1:30" ht="18.75">
      <c r="A279" s="2592" t="s">
        <v>636</v>
      </c>
      <c r="B279" s="2592"/>
      <c r="C279" s="2592"/>
      <c r="D279" s="2592"/>
      <c r="E279" s="2592"/>
      <c r="F279" s="2592"/>
      <c r="G279" s="2592"/>
      <c r="H279" s="2592"/>
      <c r="I279" s="2592"/>
      <c r="J279" s="2592"/>
      <c r="K279" s="2592"/>
      <c r="L279" s="2592"/>
      <c r="M279" s="2592"/>
      <c r="N279" s="2592"/>
      <c r="O279" s="2592"/>
      <c r="P279" s="2592"/>
      <c r="Q279" s="2592"/>
      <c r="R279" s="2592"/>
      <c r="S279" s="2592"/>
      <c r="T279" s="2592"/>
      <c r="U279" s="2592"/>
      <c r="V279" s="2592"/>
      <c r="W279" s="2592"/>
      <c r="X279" s="2592">
        <v>300</v>
      </c>
      <c r="Y279" s="2592">
        <f t="shared" si="699"/>
        <v>300</v>
      </c>
      <c r="Z279" s="2593">
        <f>SUM(Y279/Y298)</f>
        <v>5.768301506950887E-5</v>
      </c>
      <c r="AA279" s="441"/>
      <c r="AB279" s="441"/>
      <c r="AC279" s="5"/>
      <c r="AD279" s="5"/>
    </row>
    <row r="280" spans="1:30" ht="18.75">
      <c r="A280" s="2592" t="s">
        <v>32</v>
      </c>
      <c r="B280" s="2592"/>
      <c r="C280" s="2592"/>
      <c r="D280" s="2592"/>
      <c r="E280" s="2592"/>
      <c r="F280" s="2592"/>
      <c r="G280" s="2592"/>
      <c r="H280" s="2592"/>
      <c r="I280" s="2592"/>
      <c r="J280" s="2592"/>
      <c r="K280" s="2592"/>
      <c r="L280" s="2592"/>
      <c r="M280" s="2592"/>
      <c r="N280" s="2592"/>
      <c r="O280" s="2592"/>
      <c r="P280" s="2592"/>
      <c r="Q280" s="2592"/>
      <c r="R280" s="2592"/>
      <c r="S280" s="2592"/>
      <c r="T280" s="2592"/>
      <c r="U280" s="2592"/>
      <c r="V280" s="2592"/>
      <c r="W280" s="2592"/>
      <c r="X280" s="2592">
        <v>15305</v>
      </c>
      <c r="Y280" s="2592">
        <f t="shared" si="699"/>
        <v>15305</v>
      </c>
      <c r="Z280" s="2593">
        <f>SUM(Y280/Y298)</f>
        <v>2.9427951521294442E-3</v>
      </c>
      <c r="AA280" s="441"/>
      <c r="AB280" s="441"/>
      <c r="AC280" s="5"/>
      <c r="AD280" s="5"/>
    </row>
    <row r="281" spans="1:30" ht="18.75">
      <c r="A281" s="2592" t="s">
        <v>76</v>
      </c>
      <c r="B281" s="2592"/>
      <c r="C281" s="2592"/>
      <c r="D281" s="2592"/>
      <c r="E281" s="2592"/>
      <c r="F281" s="2592"/>
      <c r="G281" s="2592"/>
      <c r="H281" s="2592"/>
      <c r="I281" s="2592"/>
      <c r="J281" s="2592"/>
      <c r="K281" s="2592"/>
      <c r="L281" s="2592"/>
      <c r="M281" s="2592"/>
      <c r="N281" s="2592"/>
      <c r="O281" s="2592"/>
      <c r="P281" s="2592"/>
      <c r="Q281" s="2592"/>
      <c r="R281" s="2592"/>
      <c r="S281" s="2592"/>
      <c r="T281" s="2592"/>
      <c r="U281" s="2592"/>
      <c r="V281" s="2592"/>
      <c r="W281" s="2592"/>
      <c r="X281" s="2592">
        <v>129</v>
      </c>
      <c r="Y281" s="2592">
        <f t="shared" si="699"/>
        <v>129</v>
      </c>
      <c r="Z281" s="2595">
        <f>SUM(Y281/Y298)</f>
        <v>2.4803696479888814E-5</v>
      </c>
      <c r="AA281" s="441"/>
      <c r="AB281" s="441"/>
      <c r="AC281" s="5"/>
      <c r="AD281" s="5"/>
    </row>
    <row r="282" spans="1:30" ht="18.75">
      <c r="A282" s="2592" t="s">
        <v>650</v>
      </c>
      <c r="B282" s="2592"/>
      <c r="C282" s="2592"/>
      <c r="D282" s="2592"/>
      <c r="E282" s="2592"/>
      <c r="F282" s="2592"/>
      <c r="G282" s="2592"/>
      <c r="H282" s="2592"/>
      <c r="I282" s="2592"/>
      <c r="J282" s="2592"/>
      <c r="K282" s="2592"/>
      <c r="L282" s="2592"/>
      <c r="M282" s="2592"/>
      <c r="N282" s="2592"/>
      <c r="O282" s="2592"/>
      <c r="P282" s="2592"/>
      <c r="Q282" s="2592"/>
      <c r="R282" s="2592"/>
      <c r="S282" s="2592"/>
      <c r="T282" s="2592"/>
      <c r="U282" s="2592"/>
      <c r="V282" s="2592"/>
      <c r="W282" s="2592"/>
      <c r="X282" s="2592">
        <v>3814.4</v>
      </c>
      <c r="Y282" s="2592">
        <f t="shared" si="699"/>
        <v>3814.4</v>
      </c>
      <c r="Z282" s="2593">
        <f>SUM(Y282/Y298)</f>
        <v>7.3342030893711551E-4</v>
      </c>
      <c r="AA282" s="441"/>
      <c r="AB282" s="441"/>
      <c r="AC282" s="5"/>
      <c r="AD282" s="5"/>
    </row>
    <row r="283" spans="1:30" ht="18.75">
      <c r="A283" s="2592" t="s">
        <v>637</v>
      </c>
      <c r="B283" s="2592"/>
      <c r="C283" s="2592"/>
      <c r="D283" s="2592"/>
      <c r="E283" s="2592"/>
      <c r="F283" s="2592"/>
      <c r="G283" s="2592"/>
      <c r="H283" s="2592"/>
      <c r="I283" s="2592"/>
      <c r="J283" s="2592"/>
      <c r="K283" s="2592"/>
      <c r="L283" s="2592"/>
      <c r="M283" s="2592"/>
      <c r="N283" s="2592"/>
      <c r="O283" s="2592"/>
      <c r="P283" s="2592"/>
      <c r="Q283" s="2592"/>
      <c r="R283" s="2592"/>
      <c r="S283" s="2592"/>
      <c r="T283" s="2592"/>
      <c r="U283" s="2592"/>
      <c r="V283" s="2592"/>
      <c r="W283" s="2592"/>
      <c r="X283" s="2592">
        <v>642468.41</v>
      </c>
      <c r="Y283" s="2592">
        <v>0</v>
      </c>
      <c r="Z283" s="2593">
        <f>SUM(Y283/Y298)</f>
        <v>0</v>
      </c>
      <c r="AA283" s="441"/>
      <c r="AB283" s="441"/>
      <c r="AC283" s="5"/>
      <c r="AD283" s="5"/>
    </row>
    <row r="284" spans="1:30" ht="18.75">
      <c r="A284" s="2592" t="s">
        <v>638</v>
      </c>
      <c r="B284" s="2592"/>
      <c r="C284" s="2592"/>
      <c r="D284" s="2592"/>
      <c r="E284" s="2592"/>
      <c r="F284" s="2592"/>
      <c r="G284" s="2592"/>
      <c r="H284" s="2592"/>
      <c r="I284" s="2592"/>
      <c r="J284" s="2592"/>
      <c r="K284" s="2592"/>
      <c r="L284" s="2592"/>
      <c r="M284" s="2592"/>
      <c r="N284" s="2592"/>
      <c r="O284" s="2592"/>
      <c r="P284" s="2592"/>
      <c r="Q284" s="2592"/>
      <c r="R284" s="2592"/>
      <c r="S284" s="2592"/>
      <c r="T284" s="2592"/>
      <c r="U284" s="2592"/>
      <c r="V284" s="2592"/>
      <c r="W284" s="2592"/>
      <c r="X284" s="2592">
        <v>507107.49</v>
      </c>
      <c r="Y284" s="2592">
        <f t="shared" si="699"/>
        <v>507107.49</v>
      </c>
      <c r="Z284" s="2593">
        <f>SUM(Y284/Y298)</f>
        <v>9.75049632917694E-2</v>
      </c>
      <c r="AA284" s="441"/>
      <c r="AB284" s="441"/>
      <c r="AC284" s="5"/>
      <c r="AD284" s="5"/>
    </row>
    <row r="285" spans="1:30" ht="18.75">
      <c r="A285" s="2592" t="s">
        <v>42</v>
      </c>
      <c r="B285" s="2592"/>
      <c r="C285" s="2592"/>
      <c r="D285" s="2592"/>
      <c r="E285" s="2592"/>
      <c r="F285" s="2592"/>
      <c r="G285" s="2592"/>
      <c r="H285" s="2592"/>
      <c r="I285" s="2592"/>
      <c r="J285" s="2592"/>
      <c r="K285" s="2592"/>
      <c r="L285" s="2592"/>
      <c r="M285" s="2592"/>
      <c r="N285" s="2592"/>
      <c r="O285" s="2592"/>
      <c r="P285" s="2592"/>
      <c r="Q285" s="2592"/>
      <c r="R285" s="2592"/>
      <c r="S285" s="2592"/>
      <c r="T285" s="2592"/>
      <c r="U285" s="2592"/>
      <c r="V285" s="2592"/>
      <c r="W285" s="2592"/>
      <c r="X285" s="2592">
        <v>29333.21</v>
      </c>
      <c r="Y285" s="2592">
        <f t="shared" si="699"/>
        <v>29333.21</v>
      </c>
      <c r="Z285" s="2593">
        <f>SUM(Y285/Y298)</f>
        <v>5.6400933148902273E-3</v>
      </c>
      <c r="AA285" s="441"/>
      <c r="AB285" s="441"/>
      <c r="AC285" s="5"/>
      <c r="AD285" s="5"/>
    </row>
    <row r="286" spans="1:30" ht="18.75">
      <c r="A286" s="2592" t="s">
        <v>609</v>
      </c>
      <c r="B286" s="2592"/>
      <c r="C286" s="2592"/>
      <c r="D286" s="2592"/>
      <c r="E286" s="2592"/>
      <c r="F286" s="2592"/>
      <c r="G286" s="2592"/>
      <c r="H286" s="2592"/>
      <c r="I286" s="2592"/>
      <c r="J286" s="2592"/>
      <c r="K286" s="2592"/>
      <c r="L286" s="2592"/>
      <c r="M286" s="2592"/>
      <c r="N286" s="2592"/>
      <c r="O286" s="2592"/>
      <c r="P286" s="2592"/>
      <c r="Q286" s="2592"/>
      <c r="R286" s="2592"/>
      <c r="S286" s="2592"/>
      <c r="T286" s="2592"/>
      <c r="U286" s="2592"/>
      <c r="V286" s="2592"/>
      <c r="W286" s="2592"/>
      <c r="X286" s="2592">
        <v>50424.09</v>
      </c>
      <c r="Y286" s="2592">
        <f t="shared" si="699"/>
        <v>50424.09</v>
      </c>
      <c r="Z286" s="2593">
        <f>SUM(Y286/Y298)</f>
        <v>9.6953784777875709E-3</v>
      </c>
      <c r="AA286" s="441"/>
      <c r="AB286" s="441"/>
      <c r="AC286" s="5"/>
      <c r="AD286" s="5"/>
    </row>
    <row r="287" spans="1:30" ht="18.75">
      <c r="A287" s="2592" t="s">
        <v>639</v>
      </c>
      <c r="B287" s="2592"/>
      <c r="C287" s="2592"/>
      <c r="D287" s="2592"/>
      <c r="E287" s="2592"/>
      <c r="F287" s="2592"/>
      <c r="G287" s="2592"/>
      <c r="H287" s="2592"/>
      <c r="I287" s="2592"/>
      <c r="J287" s="2592"/>
      <c r="K287" s="2592"/>
      <c r="L287" s="2592"/>
      <c r="M287" s="2592"/>
      <c r="N287" s="2592"/>
      <c r="O287" s="2592"/>
      <c r="P287" s="2592"/>
      <c r="Q287" s="2592"/>
      <c r="R287" s="2592"/>
      <c r="S287" s="2592"/>
      <c r="T287" s="2592"/>
      <c r="U287" s="2592"/>
      <c r="V287" s="2592"/>
      <c r="W287" s="2592"/>
      <c r="X287" s="2592">
        <v>278861.53999999998</v>
      </c>
      <c r="Y287" s="2592">
        <f t="shared" si="699"/>
        <v>278861.53999999998</v>
      </c>
      <c r="Z287" s="2593">
        <f>SUM(Y287/Y298)</f>
        <v>5.3618581380421498E-2</v>
      </c>
      <c r="AA287" s="441"/>
      <c r="AB287" s="441"/>
      <c r="AC287" s="5"/>
      <c r="AD287" s="5"/>
    </row>
    <row r="288" spans="1:30" ht="18.75">
      <c r="A288" s="2592" t="s">
        <v>640</v>
      </c>
      <c r="B288" s="2592"/>
      <c r="C288" s="2592"/>
      <c r="D288" s="2592"/>
      <c r="E288" s="2592"/>
      <c r="F288" s="2592"/>
      <c r="G288" s="2592"/>
      <c r="H288" s="2592"/>
      <c r="I288" s="2592"/>
      <c r="J288" s="2592"/>
      <c r="K288" s="2592"/>
      <c r="L288" s="2592"/>
      <c r="M288" s="2592"/>
      <c r="N288" s="2592"/>
      <c r="O288" s="2592"/>
      <c r="P288" s="2592"/>
      <c r="Q288" s="2592"/>
      <c r="R288" s="2592"/>
      <c r="S288" s="2592"/>
      <c r="T288" s="2592"/>
      <c r="U288" s="2592"/>
      <c r="V288" s="2592"/>
      <c r="W288" s="2592"/>
      <c r="X288" s="2592">
        <v>73375.820000000007</v>
      </c>
      <c r="Y288" s="2592">
        <f t="shared" si="699"/>
        <v>73375.820000000007</v>
      </c>
      <c r="Z288" s="2593">
        <f>SUM(Y288/Y298)</f>
        <v>1.4108461769325236E-2</v>
      </c>
      <c r="AA288" s="441"/>
      <c r="AB288" s="441"/>
      <c r="AC288" s="5"/>
      <c r="AD288" s="5"/>
    </row>
    <row r="289" spans="1:30" ht="18.75">
      <c r="A289" s="2592" t="s">
        <v>643</v>
      </c>
      <c r="B289" s="2592"/>
      <c r="C289" s="2592"/>
      <c r="D289" s="2592"/>
      <c r="E289" s="2592"/>
      <c r="F289" s="2592"/>
      <c r="G289" s="2592"/>
      <c r="H289" s="2592"/>
      <c r="I289" s="2592"/>
      <c r="J289" s="2592"/>
      <c r="K289" s="2592"/>
      <c r="L289" s="2592"/>
      <c r="M289" s="2592"/>
      <c r="N289" s="2592"/>
      <c r="O289" s="2592"/>
      <c r="P289" s="2592"/>
      <c r="Q289" s="2592"/>
      <c r="R289" s="2592"/>
      <c r="S289" s="2592"/>
      <c r="T289" s="2592"/>
      <c r="U289" s="2592"/>
      <c r="V289" s="2592"/>
      <c r="W289" s="2592"/>
      <c r="X289" s="2592">
        <v>217500.95</v>
      </c>
      <c r="Y289" s="2592">
        <f t="shared" si="699"/>
        <v>217500.95</v>
      </c>
      <c r="Z289" s="2593">
        <f>SUM(Y289/Y298)</f>
        <v>4.1820368588274988E-2</v>
      </c>
      <c r="AA289" s="441"/>
      <c r="AB289" s="441"/>
      <c r="AC289" s="5"/>
      <c r="AD289" s="5"/>
    </row>
    <row r="290" spans="1:30" ht="18.75">
      <c r="A290" s="2592" t="s">
        <v>613</v>
      </c>
      <c r="B290" s="2592"/>
      <c r="C290" s="2592"/>
      <c r="D290" s="2592"/>
      <c r="E290" s="2592"/>
      <c r="F290" s="2592"/>
      <c r="G290" s="2592"/>
      <c r="H290" s="2592"/>
      <c r="I290" s="2592"/>
      <c r="J290" s="2592"/>
      <c r="K290" s="2592"/>
      <c r="L290" s="2592"/>
      <c r="M290" s="2592"/>
      <c r="N290" s="2592"/>
      <c r="O290" s="2592"/>
      <c r="P290" s="2592"/>
      <c r="Q290" s="2592"/>
      <c r="R290" s="2592"/>
      <c r="S290" s="2592"/>
      <c r="T290" s="2592"/>
      <c r="U290" s="2592"/>
      <c r="V290" s="2592"/>
      <c r="W290" s="2592"/>
      <c r="X290" s="2592">
        <v>45758.37</v>
      </c>
      <c r="Y290" s="2592">
        <v>0</v>
      </c>
      <c r="Z290" s="2593">
        <f>SUM(Y290/Y298)</f>
        <v>0</v>
      </c>
      <c r="AA290" s="441"/>
      <c r="AB290" s="441"/>
      <c r="AC290" s="5"/>
      <c r="AD290" s="5"/>
    </row>
    <row r="291" spans="1:30" ht="18.75">
      <c r="A291" s="2592" t="s">
        <v>629</v>
      </c>
      <c r="B291" s="2592"/>
      <c r="C291" s="2592"/>
      <c r="D291" s="2592"/>
      <c r="E291" s="2592"/>
      <c r="F291" s="2592"/>
      <c r="G291" s="2592"/>
      <c r="H291" s="2592"/>
      <c r="I291" s="2592"/>
      <c r="J291" s="2592"/>
      <c r="K291" s="2592"/>
      <c r="L291" s="2592"/>
      <c r="M291" s="2592"/>
      <c r="N291" s="2592"/>
      <c r="O291" s="2592"/>
      <c r="P291" s="2592"/>
      <c r="Q291" s="2592"/>
      <c r="R291" s="2592"/>
      <c r="S291" s="2592"/>
      <c r="T291" s="2592"/>
      <c r="U291" s="2592"/>
      <c r="V291" s="2592"/>
      <c r="W291" s="2592"/>
      <c r="X291" s="2592">
        <v>20840.04</v>
      </c>
      <c r="Y291" s="2592">
        <f t="shared" si="699"/>
        <v>20840.04</v>
      </c>
      <c r="Z291" s="2593">
        <f>SUM(Y291/Y298)</f>
        <v>4.0070544712305593E-3</v>
      </c>
      <c r="AA291" s="441"/>
      <c r="AB291" s="441"/>
      <c r="AC291" s="5"/>
      <c r="AD291" s="5"/>
    </row>
    <row r="292" spans="1:30" ht="18.75">
      <c r="A292" s="2592" t="s">
        <v>606</v>
      </c>
      <c r="B292" s="2592"/>
      <c r="C292" s="2592"/>
      <c r="D292" s="2592"/>
      <c r="E292" s="2592"/>
      <c r="F292" s="2592"/>
      <c r="G292" s="2592"/>
      <c r="H292" s="2592"/>
      <c r="I292" s="2592"/>
      <c r="J292" s="2592"/>
      <c r="K292" s="2592"/>
      <c r="L292" s="2592"/>
      <c r="M292" s="2592"/>
      <c r="N292" s="2592"/>
      <c r="O292" s="2592"/>
      <c r="P292" s="2592"/>
      <c r="Q292" s="2592"/>
      <c r="R292" s="2592"/>
      <c r="S292" s="2592"/>
      <c r="T292" s="2592"/>
      <c r="U292" s="2592"/>
      <c r="V292" s="2592"/>
      <c r="W292" s="2592"/>
      <c r="X292" s="2592">
        <v>461471.7</v>
      </c>
      <c r="Y292" s="2592">
        <f t="shared" si="699"/>
        <v>461471.7</v>
      </c>
      <c r="Z292" s="2593">
        <f>SUM(Y292/Y298)</f>
        <v>8.8730263417506255E-2</v>
      </c>
      <c r="AA292" s="441"/>
      <c r="AB292" s="441"/>
      <c r="AC292" s="5"/>
      <c r="AD292" s="5"/>
    </row>
    <row r="293" spans="1:30" ht="18.75">
      <c r="A293" s="2592" t="s">
        <v>630</v>
      </c>
      <c r="B293" s="2592"/>
      <c r="C293" s="2592"/>
      <c r="D293" s="2592"/>
      <c r="E293" s="2592"/>
      <c r="F293" s="2592"/>
      <c r="G293" s="2592"/>
      <c r="H293" s="2592"/>
      <c r="I293" s="2592"/>
      <c r="J293" s="2592"/>
      <c r="K293" s="2592"/>
      <c r="L293" s="2592"/>
      <c r="M293" s="2592"/>
      <c r="N293" s="2592"/>
      <c r="O293" s="2592"/>
      <c r="P293" s="2592"/>
      <c r="Q293" s="2592"/>
      <c r="R293" s="2592"/>
      <c r="S293" s="2592"/>
      <c r="T293" s="2592"/>
      <c r="U293" s="2592"/>
      <c r="V293" s="2592"/>
      <c r="W293" s="2592"/>
      <c r="X293" s="2592">
        <v>117843.4</v>
      </c>
      <c r="Y293" s="2592">
        <f t="shared" si="699"/>
        <v>117843.4</v>
      </c>
      <c r="Z293" s="2593">
        <f>SUM(Y293/Y298)</f>
        <v>2.2658542060140539E-2</v>
      </c>
      <c r="AA293" s="441"/>
      <c r="AB293" s="441"/>
      <c r="AC293" s="5"/>
      <c r="AD293" s="5"/>
    </row>
    <row r="294" spans="1:30" ht="18.75">
      <c r="A294" s="2592" t="s">
        <v>34</v>
      </c>
      <c r="B294" s="2592"/>
      <c r="C294" s="2592"/>
      <c r="D294" s="2592"/>
      <c r="E294" s="2592"/>
      <c r="F294" s="2592"/>
      <c r="G294" s="2592"/>
      <c r="H294" s="2592"/>
      <c r="I294" s="2592"/>
      <c r="J294" s="2592"/>
      <c r="K294" s="2592"/>
      <c r="L294" s="2592"/>
      <c r="M294" s="2592"/>
      <c r="N294" s="2592"/>
      <c r="O294" s="2592"/>
      <c r="P294" s="2592"/>
      <c r="Q294" s="2592"/>
      <c r="R294" s="2592"/>
      <c r="S294" s="2592"/>
      <c r="T294" s="2592"/>
      <c r="U294" s="2592"/>
      <c r="V294" s="2592"/>
      <c r="W294" s="2592"/>
      <c r="X294" s="2592">
        <v>98309.37</v>
      </c>
      <c r="Y294" s="2592">
        <f t="shared" si="699"/>
        <v>98309.37</v>
      </c>
      <c r="Z294" s="2593">
        <f>SUM(Y294/Y298)</f>
        <v>1.8902602903946408E-2</v>
      </c>
      <c r="AA294" s="441"/>
      <c r="AB294" s="441"/>
      <c r="AC294" s="5"/>
      <c r="AD294" s="5"/>
    </row>
    <row r="295" spans="1:30" ht="18.75">
      <c r="A295" s="2592" t="s">
        <v>645</v>
      </c>
      <c r="B295" s="2592"/>
      <c r="C295" s="2592"/>
      <c r="D295" s="2592"/>
      <c r="E295" s="2592"/>
      <c r="F295" s="2592"/>
      <c r="G295" s="2592"/>
      <c r="H295" s="2592"/>
      <c r="I295" s="2592"/>
      <c r="J295" s="2592"/>
      <c r="K295" s="2592"/>
      <c r="L295" s="2592"/>
      <c r="M295" s="2592"/>
      <c r="N295" s="2592"/>
      <c r="O295" s="2592"/>
      <c r="P295" s="2592"/>
      <c r="Q295" s="2592"/>
      <c r="R295" s="2592"/>
      <c r="S295" s="2592"/>
      <c r="T295" s="2592"/>
      <c r="U295" s="2592"/>
      <c r="V295" s="2592"/>
      <c r="W295" s="2592"/>
      <c r="X295" s="2592">
        <v>20291.66</v>
      </c>
      <c r="Y295" s="2592">
        <f t="shared" si="699"/>
        <v>20291.66</v>
      </c>
      <c r="Z295" s="2593">
        <f>SUM(Y295/Y298)</f>
        <v>3.9016137652178344E-3</v>
      </c>
      <c r="AA295" s="441"/>
      <c r="AB295" s="441"/>
      <c r="AC295" s="5"/>
      <c r="AD295" s="5"/>
    </row>
    <row r="296" spans="1:30" ht="18.75">
      <c r="A296" s="2592" t="s">
        <v>52</v>
      </c>
      <c r="B296" s="2592"/>
      <c r="C296" s="2592"/>
      <c r="D296" s="2592"/>
      <c r="E296" s="2592"/>
      <c r="F296" s="2592"/>
      <c r="G296" s="2592"/>
      <c r="H296" s="2592"/>
      <c r="I296" s="2592"/>
      <c r="J296" s="2592"/>
      <c r="K296" s="2592"/>
      <c r="L296" s="2592"/>
      <c r="M296" s="2592"/>
      <c r="N296" s="2592"/>
      <c r="O296" s="2592"/>
      <c r="P296" s="2592"/>
      <c r="Q296" s="2592"/>
      <c r="R296" s="2592"/>
      <c r="S296" s="2592"/>
      <c r="T296" s="2592"/>
      <c r="U296" s="2592"/>
      <c r="V296" s="2592"/>
      <c r="W296" s="2592"/>
      <c r="X296" s="2592">
        <v>18635.04</v>
      </c>
      <c r="Y296" s="2592">
        <f t="shared" si="699"/>
        <v>18635.04</v>
      </c>
      <c r="Z296" s="2593">
        <f>SUM(Y296/Y298)</f>
        <v>3.5830843104696689E-3</v>
      </c>
      <c r="AA296" s="441"/>
      <c r="AB296" s="441"/>
      <c r="AC296" s="5"/>
      <c r="AD296" s="5"/>
    </row>
    <row r="297" spans="1:30" ht="18.75">
      <c r="A297" s="2592" t="s">
        <v>98</v>
      </c>
      <c r="B297" s="2592"/>
      <c r="C297" s="2592"/>
      <c r="D297" s="2592"/>
      <c r="E297" s="2592"/>
      <c r="F297" s="2592"/>
      <c r="G297" s="2592"/>
      <c r="H297" s="2592"/>
      <c r="I297" s="2592"/>
      <c r="J297" s="2592"/>
      <c r="K297" s="2592"/>
      <c r="L297" s="2592"/>
      <c r="M297" s="2592"/>
      <c r="N297" s="2592"/>
      <c r="O297" s="2592"/>
      <c r="P297" s="2592"/>
      <c r="Q297" s="2592"/>
      <c r="R297" s="2592"/>
      <c r="S297" s="2592"/>
      <c r="T297" s="2592"/>
      <c r="U297" s="2592"/>
      <c r="V297" s="2592"/>
      <c r="W297" s="2592"/>
      <c r="X297" s="2592">
        <v>66429</v>
      </c>
      <c r="Y297" s="2592">
        <f t="shared" si="699"/>
        <v>66429</v>
      </c>
      <c r="Z297" s="2593">
        <f>SUM(Y297/Y298)</f>
        <v>1.277275002684135E-2</v>
      </c>
      <c r="AA297" s="441"/>
      <c r="AB297" s="441"/>
      <c r="AC297" s="5"/>
      <c r="AD297" s="5"/>
    </row>
    <row r="298" spans="1:30" ht="18.75">
      <c r="A298" s="2586" t="s">
        <v>632</v>
      </c>
      <c r="B298" s="2586"/>
      <c r="C298" s="2586"/>
      <c r="D298" s="2586"/>
      <c r="E298" s="2586"/>
      <c r="F298" s="2586"/>
      <c r="G298" s="2586"/>
      <c r="H298" s="2586"/>
      <c r="I298" s="2586"/>
      <c r="J298" s="2586"/>
      <c r="K298" s="2586"/>
      <c r="L298" s="2586"/>
      <c r="M298" s="2586"/>
      <c r="N298" s="2586"/>
      <c r="O298" s="2586"/>
      <c r="P298" s="2586"/>
      <c r="Q298" s="2586"/>
      <c r="R298" s="2586"/>
      <c r="S298" s="2586"/>
      <c r="T298" s="2586"/>
      <c r="U298" s="2586"/>
      <c r="V298" s="2586">
        <f t="shared" ref="V298:X298" si="700">SUM(V276:V297)</f>
        <v>3145266</v>
      </c>
      <c r="W298" s="2586">
        <f t="shared" si="700"/>
        <v>0</v>
      </c>
      <c r="X298" s="2586">
        <f t="shared" si="700"/>
        <v>2743798.4900000007</v>
      </c>
      <c r="Y298" s="2586">
        <f>SUM(Y276:Y297)</f>
        <v>5200837.71</v>
      </c>
      <c r="Z298" s="2594">
        <f>SUM(Z276:Z297)</f>
        <v>0.99999999999999967</v>
      </c>
      <c r="AA298" s="441"/>
      <c r="AB298" s="441"/>
      <c r="AC298" s="5"/>
      <c r="AD298" s="5"/>
    </row>
    <row r="299" spans="1:30" ht="18.75">
      <c r="A299" s="2586" t="s">
        <v>641</v>
      </c>
      <c r="B299" s="2586"/>
      <c r="C299" s="2586"/>
      <c r="D299" s="2586"/>
      <c r="E299" s="2586"/>
      <c r="F299" s="2586"/>
      <c r="G299" s="2586"/>
      <c r="H299" s="2586"/>
      <c r="I299" s="2586"/>
      <c r="J299" s="2586"/>
      <c r="K299" s="2586"/>
      <c r="L299" s="2586"/>
      <c r="M299" s="2586"/>
      <c r="N299" s="2586"/>
      <c r="O299" s="2586"/>
      <c r="P299" s="2586"/>
      <c r="Q299" s="2586"/>
      <c r="R299" s="2586"/>
      <c r="S299" s="2586"/>
      <c r="T299" s="2586"/>
      <c r="U299" s="2586"/>
      <c r="V299" s="2591" t="s">
        <v>651</v>
      </c>
      <c r="W299" s="2591"/>
      <c r="X299" s="2591" t="s">
        <v>646</v>
      </c>
      <c r="Y299" s="2591" t="s">
        <v>293</v>
      </c>
      <c r="Z299" s="2591" t="s">
        <v>44</v>
      </c>
      <c r="AA299" s="441"/>
      <c r="AB299" s="441"/>
      <c r="AC299" s="5"/>
      <c r="AD299" s="5"/>
    </row>
    <row r="300" spans="1:30" ht="18.75">
      <c r="A300" s="2592" t="s">
        <v>626</v>
      </c>
      <c r="B300" s="2592"/>
      <c r="C300" s="2592"/>
      <c r="D300" s="2592"/>
      <c r="E300" s="2592"/>
      <c r="F300" s="2592"/>
      <c r="G300" s="2592"/>
      <c r="H300" s="2592"/>
      <c r="I300" s="2592"/>
      <c r="J300" s="2592"/>
      <c r="K300" s="2592"/>
      <c r="L300" s="2592"/>
      <c r="M300" s="2592"/>
      <c r="N300" s="2592"/>
      <c r="O300" s="2592"/>
      <c r="P300" s="2592"/>
      <c r="Q300" s="2592"/>
      <c r="R300" s="2592"/>
      <c r="S300" s="2592"/>
      <c r="T300" s="2592"/>
      <c r="U300" s="2592"/>
      <c r="V300" s="2592"/>
      <c r="W300" s="2592"/>
      <c r="X300" s="2592"/>
      <c r="Y300" s="2592">
        <f>SUM(V300:X300)</f>
        <v>0</v>
      </c>
      <c r="Z300" s="2593">
        <f>SUM(Y300/Y309)</f>
        <v>0</v>
      </c>
      <c r="AA300" s="441"/>
      <c r="AB300" s="441"/>
      <c r="AC300" s="5"/>
      <c r="AD300" s="5"/>
    </row>
    <row r="301" spans="1:30" ht="18.75">
      <c r="A301" s="2592" t="s">
        <v>627</v>
      </c>
      <c r="B301" s="2592"/>
      <c r="C301" s="2592"/>
      <c r="D301" s="2592"/>
      <c r="E301" s="2592"/>
      <c r="F301" s="2592"/>
      <c r="G301" s="2592"/>
      <c r="H301" s="2592"/>
      <c r="I301" s="2592"/>
      <c r="J301" s="2592"/>
      <c r="K301" s="2592"/>
      <c r="L301" s="2592"/>
      <c r="M301" s="2592"/>
      <c r="N301" s="2592"/>
      <c r="O301" s="2592"/>
      <c r="P301" s="2592"/>
      <c r="Q301" s="2592"/>
      <c r="R301" s="2592"/>
      <c r="S301" s="2592"/>
      <c r="T301" s="2592"/>
      <c r="U301" s="2592"/>
      <c r="V301" s="2592"/>
      <c r="W301" s="2592"/>
      <c r="X301" s="2592"/>
      <c r="Y301" s="2592">
        <f t="shared" ref="Y301:Y308" si="701">SUM(V301:X301)</f>
        <v>0</v>
      </c>
      <c r="Z301" s="2593">
        <f>SUM(Y301/Y309)</f>
        <v>0</v>
      </c>
      <c r="AA301" s="441"/>
      <c r="AB301" s="441"/>
      <c r="AC301" s="5"/>
      <c r="AD301" s="5"/>
    </row>
    <row r="302" spans="1:30" ht="18.75">
      <c r="A302" s="2592" t="s">
        <v>32</v>
      </c>
      <c r="B302" s="2592"/>
      <c r="C302" s="2592"/>
      <c r="D302" s="2592"/>
      <c r="E302" s="2592"/>
      <c r="F302" s="2592"/>
      <c r="G302" s="2592"/>
      <c r="H302" s="2592"/>
      <c r="I302" s="2592"/>
      <c r="J302" s="2592"/>
      <c r="K302" s="2592"/>
      <c r="L302" s="2592"/>
      <c r="M302" s="2592"/>
      <c r="N302" s="2592"/>
      <c r="O302" s="2592"/>
      <c r="P302" s="2592"/>
      <c r="Q302" s="2592"/>
      <c r="R302" s="2592"/>
      <c r="S302" s="2592"/>
      <c r="T302" s="2592"/>
      <c r="U302" s="2592"/>
      <c r="V302" s="2592"/>
      <c r="W302" s="2592"/>
      <c r="X302" s="2592">
        <v>5084.76</v>
      </c>
      <c r="Y302" s="2592">
        <f t="shared" si="701"/>
        <v>5084.76</v>
      </c>
      <c r="Z302" s="2593">
        <f>SUM(Y302/Y309)</f>
        <v>7.5773820222306302E-3</v>
      </c>
      <c r="AA302" s="441"/>
      <c r="AB302" s="441"/>
      <c r="AC302" s="5"/>
      <c r="AD302" s="5"/>
    </row>
    <row r="303" spans="1:30" ht="18.75">
      <c r="A303" s="2592" t="s">
        <v>76</v>
      </c>
      <c r="B303" s="2592"/>
      <c r="C303" s="2592"/>
      <c r="D303" s="2592"/>
      <c r="E303" s="2592"/>
      <c r="F303" s="2592"/>
      <c r="G303" s="2592"/>
      <c r="H303" s="2592"/>
      <c r="I303" s="2592"/>
      <c r="J303" s="2592"/>
      <c r="K303" s="2592"/>
      <c r="L303" s="2592"/>
      <c r="M303" s="2592"/>
      <c r="N303" s="2592"/>
      <c r="O303" s="2592"/>
      <c r="P303" s="2592"/>
      <c r="Q303" s="2592"/>
      <c r="R303" s="2592"/>
      <c r="S303" s="2592"/>
      <c r="T303" s="2592"/>
      <c r="U303" s="2592"/>
      <c r="V303" s="2592"/>
      <c r="W303" s="2592"/>
      <c r="X303" s="2592">
        <v>150</v>
      </c>
      <c r="Y303" s="2592">
        <f t="shared" si="701"/>
        <v>150</v>
      </c>
      <c r="Z303" s="2593">
        <f>SUM(Y303/Y309)</f>
        <v>2.2353214376580105E-4</v>
      </c>
      <c r="AA303" s="441"/>
      <c r="AB303" s="441"/>
      <c r="AC303" s="5"/>
      <c r="AD303" s="5"/>
    </row>
    <row r="304" spans="1:30" ht="18.75">
      <c r="A304" s="2592" t="s">
        <v>653</v>
      </c>
      <c r="B304" s="2592"/>
      <c r="C304" s="2592"/>
      <c r="D304" s="2592"/>
      <c r="E304" s="2592"/>
      <c r="F304" s="2592"/>
      <c r="G304" s="2592"/>
      <c r="H304" s="2592"/>
      <c r="I304" s="2592"/>
      <c r="J304" s="2592"/>
      <c r="K304" s="2592"/>
      <c r="L304" s="2592"/>
      <c r="M304" s="2592"/>
      <c r="N304" s="2592"/>
      <c r="O304" s="2592"/>
      <c r="P304" s="2592"/>
      <c r="Q304" s="2592"/>
      <c r="R304" s="2592"/>
      <c r="S304" s="2592"/>
      <c r="T304" s="2592"/>
      <c r="U304" s="2592"/>
      <c r="V304" s="2592"/>
      <c r="W304" s="2592"/>
      <c r="X304" s="2592">
        <v>15308.21</v>
      </c>
      <c r="Y304" s="2592">
        <f t="shared" si="701"/>
        <v>15308.21</v>
      </c>
      <c r="Z304" s="2593">
        <f>SUM(Y304/Y309)</f>
        <v>2.2812513323447154E-2</v>
      </c>
      <c r="AA304" s="441"/>
      <c r="AB304" s="441"/>
      <c r="AC304" s="5"/>
      <c r="AD304" s="5"/>
    </row>
    <row r="305" spans="1:30" ht="18.75">
      <c r="A305" s="2592" t="s">
        <v>631</v>
      </c>
      <c r="B305" s="2592"/>
      <c r="C305" s="2592"/>
      <c r="D305" s="2592"/>
      <c r="E305" s="2592"/>
      <c r="F305" s="2592"/>
      <c r="G305" s="2592"/>
      <c r="H305" s="2592"/>
      <c r="I305" s="2592"/>
      <c r="J305" s="2592"/>
      <c r="K305" s="2592"/>
      <c r="L305" s="2592"/>
      <c r="M305" s="2592"/>
      <c r="N305" s="2592"/>
      <c r="O305" s="2592"/>
      <c r="P305" s="2592"/>
      <c r="Q305" s="2592"/>
      <c r="R305" s="2592"/>
      <c r="S305" s="2592"/>
      <c r="T305" s="2592"/>
      <c r="U305" s="2592"/>
      <c r="V305" s="2592"/>
      <c r="W305" s="2592"/>
      <c r="X305" s="2592">
        <v>594746.84</v>
      </c>
      <c r="Y305" s="2592">
        <f t="shared" si="701"/>
        <v>594746.84</v>
      </c>
      <c r="Z305" s="2593">
        <f>SUM(Y305/Y309)</f>
        <v>0.88630024095423909</v>
      </c>
      <c r="AA305" s="441"/>
      <c r="AB305" s="441"/>
      <c r="AC305" s="5"/>
      <c r="AD305" s="5"/>
    </row>
    <row r="306" spans="1:30" ht="18.75">
      <c r="A306" s="2592" t="s">
        <v>642</v>
      </c>
      <c r="B306" s="2592"/>
      <c r="C306" s="2592"/>
      <c r="D306" s="2592"/>
      <c r="E306" s="2592"/>
      <c r="F306" s="2592"/>
      <c r="G306" s="2592"/>
      <c r="H306" s="2592"/>
      <c r="I306" s="2592"/>
      <c r="J306" s="2592"/>
      <c r="K306" s="2592"/>
      <c r="L306" s="2592"/>
      <c r="M306" s="2592"/>
      <c r="N306" s="2592"/>
      <c r="O306" s="2592"/>
      <c r="P306" s="2592"/>
      <c r="Q306" s="2592"/>
      <c r="R306" s="2592"/>
      <c r="S306" s="2592"/>
      <c r="T306" s="2592"/>
      <c r="U306" s="2592"/>
      <c r="V306" s="2592"/>
      <c r="W306" s="2592"/>
      <c r="X306" s="2592">
        <v>7460</v>
      </c>
      <c r="Y306" s="2592">
        <f t="shared" si="701"/>
        <v>7460</v>
      </c>
      <c r="Z306" s="2593">
        <f>SUM(Y306/Y309)</f>
        <v>1.1116998616619172E-2</v>
      </c>
      <c r="AA306" s="441"/>
      <c r="AB306" s="441"/>
      <c r="AC306" s="5"/>
      <c r="AD306" s="5"/>
    </row>
    <row r="307" spans="1:30" ht="18.75">
      <c r="A307" s="2592" t="s">
        <v>606</v>
      </c>
      <c r="B307" s="2592"/>
      <c r="C307" s="2592"/>
      <c r="D307" s="2592"/>
      <c r="E307" s="2592"/>
      <c r="F307" s="2592"/>
      <c r="G307" s="2592"/>
      <c r="H307" s="2592"/>
      <c r="I307" s="2592"/>
      <c r="J307" s="2592"/>
      <c r="K307" s="2592"/>
      <c r="L307" s="2592"/>
      <c r="M307" s="2592"/>
      <c r="N307" s="2592"/>
      <c r="O307" s="2592"/>
      <c r="P307" s="2592"/>
      <c r="Q307" s="2592"/>
      <c r="R307" s="2592"/>
      <c r="S307" s="2592"/>
      <c r="T307" s="2592"/>
      <c r="U307" s="2592"/>
      <c r="V307" s="2592"/>
      <c r="W307" s="2592"/>
      <c r="X307" s="2592">
        <v>46310.07</v>
      </c>
      <c r="Y307" s="2592">
        <f t="shared" si="701"/>
        <v>46310.07</v>
      </c>
      <c r="Z307" s="2593">
        <f>SUM(Y307/Y309)</f>
        <v>6.9011928166962069E-2</v>
      </c>
      <c r="AA307" s="441"/>
      <c r="AB307" s="441"/>
      <c r="AC307" s="5"/>
      <c r="AD307" s="5"/>
    </row>
    <row r="308" spans="1:30" ht="18.75">
      <c r="A308" s="2592" t="s">
        <v>34</v>
      </c>
      <c r="B308" s="2592"/>
      <c r="C308" s="2592"/>
      <c r="D308" s="2592"/>
      <c r="E308" s="2592"/>
      <c r="F308" s="2592"/>
      <c r="G308" s="2592"/>
      <c r="H308" s="2592"/>
      <c r="I308" s="2592"/>
      <c r="J308" s="2592"/>
      <c r="K308" s="2592"/>
      <c r="L308" s="2592"/>
      <c r="M308" s="2592"/>
      <c r="N308" s="2592"/>
      <c r="O308" s="2592"/>
      <c r="P308" s="2592"/>
      <c r="Q308" s="2592"/>
      <c r="R308" s="2592"/>
      <c r="S308" s="2592"/>
      <c r="T308" s="2592"/>
      <c r="U308" s="2592"/>
      <c r="V308" s="2592"/>
      <c r="W308" s="2592"/>
      <c r="X308" s="2592">
        <v>1984.55</v>
      </c>
      <c r="Y308" s="2592">
        <f t="shared" si="701"/>
        <v>1984.55</v>
      </c>
      <c r="Z308" s="2593">
        <f>SUM(Y308/Y309)</f>
        <v>2.9574047727361362E-3</v>
      </c>
      <c r="AA308" s="441"/>
      <c r="AB308" s="441"/>
      <c r="AC308" s="5"/>
      <c r="AD308" s="5"/>
    </row>
    <row r="309" spans="1:30" ht="18.75">
      <c r="A309" s="2586" t="s">
        <v>632</v>
      </c>
      <c r="B309" s="2586"/>
      <c r="C309" s="2586"/>
      <c r="D309" s="2586"/>
      <c r="E309" s="2586"/>
      <c r="F309" s="2586"/>
      <c r="G309" s="2586"/>
      <c r="H309" s="2586"/>
      <c r="I309" s="2586"/>
      <c r="J309" s="2586"/>
      <c r="K309" s="2586"/>
      <c r="L309" s="2586"/>
      <c r="M309" s="2586"/>
      <c r="N309" s="2586"/>
      <c r="O309" s="2586"/>
      <c r="P309" s="2586"/>
      <c r="Q309" s="2586"/>
      <c r="R309" s="2586"/>
      <c r="S309" s="2586"/>
      <c r="T309" s="2586"/>
      <c r="U309" s="2586"/>
      <c r="V309" s="2586">
        <f t="shared" ref="V309:X309" si="702">SUM(V300:V308)</f>
        <v>0</v>
      </c>
      <c r="W309" s="2586">
        <f t="shared" si="702"/>
        <v>0</v>
      </c>
      <c r="X309" s="2586">
        <f t="shared" si="702"/>
        <v>671044.42999999993</v>
      </c>
      <c r="Y309" s="2586">
        <f>SUM(Y300:Y308)</f>
        <v>671044.42999999993</v>
      </c>
      <c r="Z309" s="2594">
        <f>SUM(Z300:Z308)</f>
        <v>1.0000000000000002</v>
      </c>
      <c r="AA309" s="441"/>
      <c r="AB309" s="441"/>
      <c r="AC309" s="5"/>
      <c r="AD309" s="5"/>
    </row>
    <row r="310" spans="1:30" ht="18.75">
      <c r="A310" s="2586" t="s">
        <v>647</v>
      </c>
      <c r="B310" s="2586"/>
      <c r="C310" s="2586"/>
      <c r="D310" s="2586"/>
      <c r="E310" s="2586"/>
      <c r="F310" s="2586"/>
      <c r="G310" s="2586"/>
      <c r="H310" s="2586"/>
      <c r="I310" s="2586"/>
      <c r="J310" s="2586"/>
      <c r="K310" s="2586"/>
      <c r="L310" s="2586"/>
      <c r="M310" s="2586"/>
      <c r="N310" s="2586"/>
      <c r="O310" s="2586"/>
      <c r="P310" s="2586"/>
      <c r="Q310" s="2586"/>
      <c r="R310" s="2586"/>
      <c r="S310" s="2586"/>
      <c r="T310" s="2586"/>
      <c r="U310" s="2586"/>
      <c r="V310" s="2591" t="s">
        <v>648</v>
      </c>
      <c r="W310" s="2591"/>
      <c r="X310" s="2591" t="s">
        <v>157</v>
      </c>
      <c r="Y310" s="2591" t="s">
        <v>293</v>
      </c>
      <c r="Z310" s="2591" t="s">
        <v>44</v>
      </c>
      <c r="AA310" s="441"/>
      <c r="AB310" s="441"/>
      <c r="AC310" s="5"/>
      <c r="AD310" s="5"/>
    </row>
    <row r="311" spans="1:30" ht="18.75">
      <c r="A311" s="2592" t="s">
        <v>626</v>
      </c>
      <c r="B311" s="2592"/>
      <c r="C311" s="2592"/>
      <c r="D311" s="2592"/>
      <c r="E311" s="2592"/>
      <c r="F311" s="2592"/>
      <c r="G311" s="2592"/>
      <c r="H311" s="2592"/>
      <c r="I311" s="2592"/>
      <c r="J311" s="2592"/>
      <c r="K311" s="2592"/>
      <c r="L311" s="2592"/>
      <c r="M311" s="2592"/>
      <c r="N311" s="2592"/>
      <c r="O311" s="2592"/>
      <c r="P311" s="2592"/>
      <c r="Q311" s="2592"/>
      <c r="R311" s="2592"/>
      <c r="S311" s="2592"/>
      <c r="T311" s="2592"/>
      <c r="U311" s="2592"/>
      <c r="V311" s="2592">
        <v>1594083.26</v>
      </c>
      <c r="W311" s="2592"/>
      <c r="X311" s="2592"/>
      <c r="Y311" s="2592">
        <f>SUM(V311:X311)</f>
        <v>1594083.26</v>
      </c>
      <c r="Z311" s="2593">
        <f>SUM(Y311/Y318)</f>
        <v>0.70013013790776046</v>
      </c>
      <c r="AA311" s="441"/>
      <c r="AB311" s="441"/>
      <c r="AC311" s="5"/>
      <c r="AD311" s="5"/>
    </row>
    <row r="312" spans="1:30" ht="18.75">
      <c r="A312" s="2592" t="s">
        <v>627</v>
      </c>
      <c r="B312" s="2592"/>
      <c r="C312" s="2592"/>
      <c r="D312" s="2592"/>
      <c r="E312" s="2592"/>
      <c r="F312" s="2592"/>
      <c r="G312" s="2592"/>
      <c r="H312" s="2592"/>
      <c r="I312" s="2592"/>
      <c r="J312" s="2592"/>
      <c r="K312" s="2592"/>
      <c r="L312" s="2592"/>
      <c r="M312" s="2592"/>
      <c r="N312" s="2592"/>
      <c r="O312" s="2592"/>
      <c r="P312" s="2592"/>
      <c r="Q312" s="2592"/>
      <c r="R312" s="2592"/>
      <c r="S312" s="2592"/>
      <c r="T312" s="2592"/>
      <c r="U312" s="2592"/>
      <c r="V312" s="2592">
        <v>479160.57</v>
      </c>
      <c r="W312" s="2592"/>
      <c r="X312" s="2592"/>
      <c r="Y312" s="2592">
        <f t="shared" ref="Y312:Y317" si="703">SUM(V312:X312)</f>
        <v>479160.57</v>
      </c>
      <c r="Z312" s="2593">
        <f>SUM(Y312/Y318)</f>
        <v>0.21044995852604406</v>
      </c>
      <c r="AA312" s="441"/>
      <c r="AB312" s="441"/>
      <c r="AC312" s="5"/>
      <c r="AD312" s="5"/>
    </row>
    <row r="313" spans="1:30" ht="18.75">
      <c r="A313" s="2592" t="s">
        <v>76</v>
      </c>
      <c r="B313" s="2592"/>
      <c r="C313" s="2592"/>
      <c r="D313" s="2592"/>
      <c r="E313" s="2592"/>
      <c r="F313" s="2592"/>
      <c r="G313" s="2592"/>
      <c r="H313" s="2592"/>
      <c r="I313" s="2592"/>
      <c r="J313" s="2592"/>
      <c r="K313" s="2592"/>
      <c r="L313" s="2592"/>
      <c r="M313" s="2592"/>
      <c r="N313" s="2592"/>
      <c r="O313" s="2592"/>
      <c r="P313" s="2592"/>
      <c r="Q313" s="2592"/>
      <c r="R313" s="2592"/>
      <c r="S313" s="2592"/>
      <c r="T313" s="2592"/>
      <c r="U313" s="2592"/>
      <c r="V313" s="2592"/>
      <c r="W313" s="2592"/>
      <c r="X313" s="2592">
        <v>60</v>
      </c>
      <c r="Y313" s="2592">
        <f t="shared" si="703"/>
        <v>60</v>
      </c>
      <c r="Z313" s="2595">
        <f>SUM(Y313/Y318)</f>
        <v>2.6352330100038579E-5</v>
      </c>
      <c r="AA313" s="441"/>
      <c r="AB313" s="441"/>
      <c r="AC313" s="5"/>
      <c r="AD313" s="5"/>
    </row>
    <row r="314" spans="1:30" ht="18.75">
      <c r="A314" s="2592" t="s">
        <v>606</v>
      </c>
      <c r="B314" s="2592"/>
      <c r="C314" s="2592"/>
      <c r="D314" s="2592"/>
      <c r="E314" s="2592"/>
      <c r="F314" s="2592"/>
      <c r="G314" s="2592"/>
      <c r="H314" s="2592"/>
      <c r="I314" s="2592"/>
      <c r="J314" s="2592"/>
      <c r="K314" s="2592"/>
      <c r="L314" s="2592"/>
      <c r="M314" s="2592"/>
      <c r="N314" s="2592"/>
      <c r="O314" s="2592"/>
      <c r="P314" s="2592"/>
      <c r="Q314" s="2592"/>
      <c r="R314" s="2592"/>
      <c r="S314" s="2592"/>
      <c r="T314" s="2592"/>
      <c r="U314" s="2592"/>
      <c r="V314" s="2592"/>
      <c r="W314" s="2592"/>
      <c r="X314" s="2592">
        <v>140992.44</v>
      </c>
      <c r="Y314" s="2592">
        <f t="shared" si="703"/>
        <v>140992.44</v>
      </c>
      <c r="Z314" s="2593">
        <f>SUM(Y314/Y318)</f>
        <v>6.1924655341498061E-2</v>
      </c>
      <c r="AA314" s="441"/>
      <c r="AB314" s="441"/>
      <c r="AC314" s="5"/>
      <c r="AD314" s="5"/>
    </row>
    <row r="315" spans="1:30" ht="18.75">
      <c r="A315" s="2592" t="s">
        <v>630</v>
      </c>
      <c r="B315" s="2592"/>
      <c r="C315" s="2592"/>
      <c r="D315" s="2592"/>
      <c r="E315" s="2592"/>
      <c r="F315" s="2592"/>
      <c r="G315" s="2592"/>
      <c r="H315" s="2592"/>
      <c r="I315" s="2592"/>
      <c r="J315" s="2592"/>
      <c r="K315" s="2592"/>
      <c r="L315" s="2592"/>
      <c r="M315" s="2592"/>
      <c r="N315" s="2592"/>
      <c r="O315" s="2592"/>
      <c r="P315" s="2592"/>
      <c r="Q315" s="2592"/>
      <c r="R315" s="2592"/>
      <c r="S315" s="2592"/>
      <c r="T315" s="2592"/>
      <c r="U315" s="2592"/>
      <c r="V315" s="2592"/>
      <c r="W315" s="2592"/>
      <c r="X315" s="2592">
        <v>42438</v>
      </c>
      <c r="Y315" s="2592">
        <f t="shared" si="703"/>
        <v>42438</v>
      </c>
      <c r="Z315" s="2593">
        <f>SUM(Y315/Y318)</f>
        <v>1.8639003079757289E-2</v>
      </c>
      <c r="AA315" s="441"/>
      <c r="AB315" s="441"/>
      <c r="AC315" s="5"/>
      <c r="AD315" s="5"/>
    </row>
    <row r="316" spans="1:30" ht="18.75">
      <c r="A316" s="2592" t="s">
        <v>34</v>
      </c>
      <c r="B316" s="2592"/>
      <c r="C316" s="2592"/>
      <c r="D316" s="2592"/>
      <c r="E316" s="2592"/>
      <c r="F316" s="2592"/>
      <c r="G316" s="2592"/>
      <c r="H316" s="2592"/>
      <c r="I316" s="2592"/>
      <c r="J316" s="2592"/>
      <c r="K316" s="2592"/>
      <c r="L316" s="2592"/>
      <c r="M316" s="2592"/>
      <c r="N316" s="2592"/>
      <c r="O316" s="2592"/>
      <c r="P316" s="2592"/>
      <c r="Q316" s="2592"/>
      <c r="R316" s="2592"/>
      <c r="S316" s="2592"/>
      <c r="T316" s="2592"/>
      <c r="U316" s="2592"/>
      <c r="V316" s="2592"/>
      <c r="W316" s="2592"/>
      <c r="X316" s="2592">
        <v>15905.29</v>
      </c>
      <c r="Y316" s="2592">
        <f t="shared" si="703"/>
        <v>15905.29</v>
      </c>
      <c r="Z316" s="2593">
        <f>SUM(Y316/Y318)</f>
        <v>6.9856908736140441E-3</v>
      </c>
      <c r="AA316" s="441"/>
      <c r="AB316" s="441"/>
      <c r="AC316" s="5"/>
      <c r="AD316" s="5"/>
    </row>
    <row r="317" spans="1:30" ht="18.75">
      <c r="A317" s="2592" t="s">
        <v>52</v>
      </c>
      <c r="B317" s="2592"/>
      <c r="C317" s="2592"/>
      <c r="D317" s="2592"/>
      <c r="E317" s="2592"/>
      <c r="F317" s="2592"/>
      <c r="G317" s="2592"/>
      <c r="H317" s="2592"/>
      <c r="I317" s="2592"/>
      <c r="J317" s="2592"/>
      <c r="K317" s="2592"/>
      <c r="L317" s="2592"/>
      <c r="M317" s="2592"/>
      <c r="N317" s="2592"/>
      <c r="O317" s="2592"/>
      <c r="P317" s="2592"/>
      <c r="Q317" s="2592"/>
      <c r="R317" s="2592"/>
      <c r="S317" s="2592"/>
      <c r="T317" s="2592"/>
      <c r="U317" s="2592"/>
      <c r="V317" s="2592"/>
      <c r="W317" s="2592"/>
      <c r="X317" s="2592">
        <v>4198.95</v>
      </c>
      <c r="Y317" s="2592">
        <f t="shared" si="703"/>
        <v>4198.95</v>
      </c>
      <c r="Z317" s="2593">
        <f>SUM(Y317/Y318)</f>
        <v>1.84420194122595E-3</v>
      </c>
      <c r="AA317" s="441"/>
      <c r="AB317" s="441"/>
      <c r="AC317" s="5"/>
      <c r="AD317" s="5"/>
    </row>
    <row r="318" spans="1:30" ht="18.75">
      <c r="A318" s="2586" t="s">
        <v>632</v>
      </c>
      <c r="B318" s="2586"/>
      <c r="C318" s="2586"/>
      <c r="D318" s="2586"/>
      <c r="E318" s="2586"/>
      <c r="F318" s="2586"/>
      <c r="G318" s="2586"/>
      <c r="H318" s="2586"/>
      <c r="I318" s="2586"/>
      <c r="J318" s="2586"/>
      <c r="K318" s="2586"/>
      <c r="L318" s="2586"/>
      <c r="M318" s="2586"/>
      <c r="N318" s="2586"/>
      <c r="O318" s="2586"/>
      <c r="P318" s="2586"/>
      <c r="Q318" s="2586"/>
      <c r="R318" s="2586"/>
      <c r="S318" s="2586"/>
      <c r="T318" s="2586"/>
      <c r="U318" s="2586"/>
      <c r="V318" s="2586">
        <f t="shared" ref="V318:X318" si="704">SUM(V311:V317)</f>
        <v>2073243.83</v>
      </c>
      <c r="W318" s="2586">
        <f t="shared" si="704"/>
        <v>0</v>
      </c>
      <c r="X318" s="2586">
        <f t="shared" si="704"/>
        <v>203594.68000000002</v>
      </c>
      <c r="Y318" s="2586">
        <f>SUM(Y311:Y317)</f>
        <v>2276838.5100000002</v>
      </c>
      <c r="Z318" s="2594">
        <f>SUM(Z311:Z317)</f>
        <v>0.99999999999999989</v>
      </c>
      <c r="AA318" s="441"/>
      <c r="AB318" s="441"/>
      <c r="AC318" s="5"/>
      <c r="AD318" s="5"/>
    </row>
  </sheetData>
  <mergeCells count="155">
    <mergeCell ref="A193:AS193"/>
    <mergeCell ref="A1:AS1"/>
    <mergeCell ref="AN5:AP5"/>
    <mergeCell ref="AN6:AN8"/>
    <mergeCell ref="AO6:AO8"/>
    <mergeCell ref="AP6:AP8"/>
    <mergeCell ref="AQ6:AQ8"/>
    <mergeCell ref="AR6:AR8"/>
    <mergeCell ref="AS6:AS8"/>
    <mergeCell ref="AQ5:AS5"/>
    <mergeCell ref="A2:AS2"/>
    <mergeCell ref="AM5:AM8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Z6:Z8"/>
    <mergeCell ref="AB6:AB8"/>
    <mergeCell ref="AC6:AC8"/>
    <mergeCell ref="N6:N8"/>
    <mergeCell ref="AQ195:AQ196"/>
    <mergeCell ref="AR195:AR196"/>
    <mergeCell ref="AS195:AS196"/>
    <mergeCell ref="AT195:AT196"/>
    <mergeCell ref="A265:Z265"/>
    <mergeCell ref="A195:A196"/>
    <mergeCell ref="V195:V196"/>
    <mergeCell ref="AB195:AB196"/>
    <mergeCell ref="AC195:AC196"/>
    <mergeCell ref="AD195:AD196"/>
    <mergeCell ref="AE195:AE196"/>
    <mergeCell ref="AF195:AF196"/>
    <mergeCell ref="AG195:AG196"/>
    <mergeCell ref="AH195:AH196"/>
    <mergeCell ref="AI195:AI196"/>
    <mergeCell ref="AJ195:AJ196"/>
    <mergeCell ref="AK195:AK196"/>
    <mergeCell ref="AL195:AL196"/>
    <mergeCell ref="AM195:AM196"/>
    <mergeCell ref="AN195:AN196"/>
    <mergeCell ref="AO195:AO196"/>
    <mergeCell ref="AP195:AP196"/>
    <mergeCell ref="X195:AA195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  <mergeCell ref="E5:F5"/>
    <mergeCell ref="G5:H5"/>
    <mergeCell ref="U6:U8"/>
    <mergeCell ref="AJ5:AL8"/>
    <mergeCell ref="AJ9:AL9"/>
    <mergeCell ref="AJ12:AL12"/>
    <mergeCell ref="W6:W8"/>
    <mergeCell ref="V5:AA5"/>
    <mergeCell ref="AB5:AF5"/>
    <mergeCell ref="AG5:AI5"/>
    <mergeCell ref="AE6:AE8"/>
    <mergeCell ref="AF6:AF8"/>
    <mergeCell ref="AG6:AG8"/>
    <mergeCell ref="AH6:AH8"/>
    <mergeCell ref="AI6:AI8"/>
    <mergeCell ref="AA6:AA8"/>
    <mergeCell ref="AJ10:AL10"/>
    <mergeCell ref="AJ11:AL11"/>
    <mergeCell ref="AJ19:AL19"/>
    <mergeCell ref="AJ20:AL20"/>
    <mergeCell ref="AJ21:AL21"/>
    <mergeCell ref="AJ22:AL22"/>
    <mergeCell ref="AJ13:AL13"/>
    <mergeCell ref="AJ14:AL14"/>
    <mergeCell ref="AJ15:AL15"/>
    <mergeCell ref="AJ16:AL16"/>
    <mergeCell ref="AJ18:AL18"/>
    <mergeCell ref="AJ28:AL28"/>
    <mergeCell ref="AJ29:AL29"/>
    <mergeCell ref="AJ30:AL30"/>
    <mergeCell ref="AJ31:AL31"/>
    <mergeCell ref="AJ32:AL32"/>
    <mergeCell ref="AJ24:AL24"/>
    <mergeCell ref="AJ25:AL25"/>
    <mergeCell ref="AJ26:AL26"/>
    <mergeCell ref="AJ27:AL27"/>
    <mergeCell ref="A60:AV60"/>
    <mergeCell ref="A62:A63"/>
    <mergeCell ref="Z62:Z63"/>
    <mergeCell ref="AB62:AB63"/>
    <mergeCell ref="AC62:AC63"/>
    <mergeCell ref="AD62:AD63"/>
    <mergeCell ref="AJ62:AJ63"/>
    <mergeCell ref="AK62:AK63"/>
    <mergeCell ref="AL62:AL63"/>
    <mergeCell ref="AM62:AM63"/>
    <mergeCell ref="AN62:AN63"/>
    <mergeCell ref="AO62:AO63"/>
    <mergeCell ref="AP62:AP63"/>
    <mergeCell ref="AV62:AV63"/>
    <mergeCell ref="AW62:AW63"/>
    <mergeCell ref="V62:V63"/>
    <mergeCell ref="X62:Y62"/>
    <mergeCell ref="AX62:AX63"/>
    <mergeCell ref="AQ62:AQ63"/>
    <mergeCell ref="AR62:AR63"/>
    <mergeCell ref="AS62:AS63"/>
    <mergeCell ref="AT62:AT63"/>
    <mergeCell ref="AU62:AU63"/>
    <mergeCell ref="AJ53:AL53"/>
    <mergeCell ref="AJ54:AL54"/>
    <mergeCell ref="A51:C51"/>
    <mergeCell ref="A52:C52"/>
    <mergeCell ref="A53:C53"/>
    <mergeCell ref="A54:C54"/>
    <mergeCell ref="AJ43:AL43"/>
    <mergeCell ref="AJ44:AL44"/>
    <mergeCell ref="AJ50:AL50"/>
    <mergeCell ref="AJ45:AL45"/>
    <mergeCell ref="AJ46:AL46"/>
    <mergeCell ref="AJ47:AL47"/>
    <mergeCell ref="AJ48:AL48"/>
    <mergeCell ref="AJ49:AL49"/>
    <mergeCell ref="AJ38:AL38"/>
    <mergeCell ref="AJ39:AL39"/>
    <mergeCell ref="AJ40:AL40"/>
    <mergeCell ref="AJ41:AL41"/>
    <mergeCell ref="AJ42:AL42"/>
    <mergeCell ref="AJ33:AL33"/>
    <mergeCell ref="AJ34:AL34"/>
    <mergeCell ref="AJ51:AL51"/>
    <mergeCell ref="AJ52:AL52"/>
    <mergeCell ref="AJ35:AL35"/>
    <mergeCell ref="AJ36:AL36"/>
    <mergeCell ref="AJ37:AL37"/>
  </mergeCells>
  <phoneticPr fontId="7" type="noConversion"/>
  <printOptions horizontalCentered="1" verticalCentered="1"/>
  <pageMargins left="0.19685039370078741" right="0.19685039370078741" top="0.19685039370078741" bottom="0.19685039370078741" header="0" footer="0"/>
  <pageSetup paperSize="9" scale="4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W66"/>
  <sheetViews>
    <sheetView zoomScale="70" zoomScaleNormal="70" zoomScaleSheetLayoutView="77" workbookViewId="0">
      <pane xSplit="17" ySplit="7" topLeftCell="BB24" activePane="bottomRight" state="frozen"/>
      <selection pane="topRight" activeCell="R1" sqref="R1"/>
      <selection pane="bottomLeft" activeCell="A8" sqref="A8"/>
      <selection pane="bottomRight" activeCell="BL28" sqref="BL28"/>
    </sheetView>
  </sheetViews>
  <sheetFormatPr defaultRowHeight="12.75" outlineLevelCol="1"/>
  <cols>
    <col min="1" max="1" width="30.85546875" style="180" customWidth="1"/>
    <col min="2" max="3" width="9.140625" style="180" hidden="1" customWidth="1"/>
    <col min="4" max="4" width="8.140625" style="180" hidden="1" customWidth="1"/>
    <col min="5" max="5" width="9.28515625" style="180" hidden="1" customWidth="1" outlineLevel="1"/>
    <col min="6" max="7" width="9" style="180" hidden="1" customWidth="1" outlineLevel="1"/>
    <col min="8" max="8" width="7.7109375" style="180" hidden="1" customWidth="1" outlineLevel="1"/>
    <col min="9" max="9" width="12.140625" style="644" hidden="1" customWidth="1" collapsed="1"/>
    <col min="10" max="10" width="11.5703125" style="644" hidden="1" customWidth="1" outlineLevel="1"/>
    <col min="11" max="11" width="9.7109375" style="644" hidden="1" customWidth="1" outlineLevel="1"/>
    <col min="12" max="12" width="11.7109375" style="644" hidden="1" customWidth="1" collapsed="1"/>
    <col min="13" max="13" width="8" style="644" hidden="1" customWidth="1" outlineLevel="1"/>
    <col min="14" max="14" width="11.140625" style="644" hidden="1" customWidth="1" collapsed="1"/>
    <col min="15" max="15" width="10.42578125" style="644" hidden="1" customWidth="1"/>
    <col min="16" max="16" width="10.85546875" style="644" hidden="1" customWidth="1"/>
    <col min="17" max="17" width="13.140625" style="644" hidden="1" customWidth="1"/>
    <col min="18" max="18" width="15" style="644" hidden="1" customWidth="1" collapsed="1"/>
    <col min="19" max="19" width="14.7109375" style="644" hidden="1" customWidth="1"/>
    <col min="20" max="20" width="10.28515625" style="644" hidden="1" customWidth="1" outlineLevel="1"/>
    <col min="21" max="21" width="13.7109375" style="644" hidden="1" customWidth="1" outlineLevel="1"/>
    <col min="22" max="22" width="14.5703125" style="644" hidden="1" customWidth="1" outlineLevel="1"/>
    <col min="23" max="23" width="14.140625" style="644" hidden="1" customWidth="1" collapsed="1"/>
    <col min="24" max="27" width="14.140625" style="644" hidden="1" customWidth="1"/>
    <col min="28" max="29" width="14.140625" style="644" customWidth="1"/>
    <col min="30" max="30" width="15.85546875" style="644" customWidth="1"/>
    <col min="31" max="31" width="14.140625" style="644" customWidth="1"/>
    <col min="32" max="32" width="14.5703125" style="180" customWidth="1"/>
    <col min="33" max="33" width="13.85546875" style="180" customWidth="1"/>
    <col min="34" max="38" width="13" style="180" customWidth="1"/>
    <col min="39" max="48" width="14.140625" style="180" customWidth="1"/>
    <col min="49" max="49" width="14.85546875" style="180" hidden="1" customWidth="1"/>
    <col min="50" max="58" width="9.140625" style="180" customWidth="1"/>
    <col min="59" max="59" width="12.7109375" style="180" customWidth="1"/>
    <col min="60" max="61" width="9.28515625" style="180" bestFit="1" customWidth="1"/>
    <col min="62" max="63" width="9.140625" style="180"/>
    <col min="64" max="64" width="12.5703125" style="180" customWidth="1"/>
    <col min="65" max="66" width="9.28515625" style="180" bestFit="1" customWidth="1"/>
    <col min="67" max="16384" width="9.140625" style="180"/>
  </cols>
  <sheetData>
    <row r="1" spans="1:75">
      <c r="A1" s="5381" t="s">
        <v>1543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  <c r="N1" s="4426"/>
      <c r="O1" s="4426"/>
      <c r="P1" s="4426"/>
      <c r="Q1" s="4426"/>
      <c r="R1" s="4426"/>
      <c r="S1" s="4426"/>
      <c r="T1" s="4426"/>
      <c r="U1" s="4426"/>
      <c r="V1" s="4426"/>
      <c r="W1" s="4426"/>
      <c r="X1" s="4426"/>
      <c r="Y1" s="4426"/>
      <c r="Z1" s="4426"/>
      <c r="AA1" s="4426"/>
      <c r="AB1" s="4426"/>
      <c r="AC1" s="4426"/>
      <c r="AD1" s="4426"/>
      <c r="AE1" s="4426"/>
      <c r="AF1" s="4426"/>
      <c r="AG1" s="4426"/>
      <c r="AH1" s="4426"/>
      <c r="AI1" s="4426"/>
      <c r="AJ1" s="4426"/>
      <c r="AK1" s="4426"/>
      <c r="AL1" s="4426"/>
      <c r="AM1" s="4426"/>
      <c r="AN1" s="4426"/>
      <c r="AO1" s="4426"/>
      <c r="AP1" s="4426"/>
      <c r="AQ1" s="4426"/>
      <c r="AR1" s="4426"/>
      <c r="AS1" s="4426"/>
      <c r="AT1" s="4426"/>
      <c r="AU1" s="4426"/>
      <c r="AV1" s="4426"/>
      <c r="AW1" s="4426"/>
      <c r="AX1" s="4426"/>
      <c r="AY1" s="4426"/>
      <c r="AZ1" s="4426"/>
      <c r="BA1" s="4426"/>
      <c r="BB1" s="4426"/>
      <c r="BC1" s="4426"/>
      <c r="BD1" s="4426"/>
      <c r="BE1" s="4426"/>
      <c r="BF1" s="4426"/>
      <c r="BG1" s="4426"/>
      <c r="BH1" s="4426"/>
      <c r="BI1" s="4426"/>
      <c r="BJ1" s="4426"/>
      <c r="BK1" s="4426"/>
      <c r="BL1" s="4426"/>
      <c r="BM1" s="4426"/>
      <c r="BN1" s="4426"/>
      <c r="BO1" s="4426"/>
      <c r="BP1" s="4426"/>
      <c r="BQ1" s="4426"/>
    </row>
    <row r="2" spans="1:75" ht="27">
      <c r="A2" s="5382" t="s">
        <v>302</v>
      </c>
      <c r="B2" s="5382"/>
      <c r="C2" s="5382"/>
      <c r="D2" s="5382"/>
      <c r="E2" s="5382"/>
      <c r="F2" s="5382"/>
      <c r="G2" s="5382"/>
      <c r="H2" s="5382"/>
      <c r="I2" s="5382"/>
      <c r="J2" s="5382"/>
      <c r="K2" s="5382"/>
      <c r="L2" s="5382"/>
      <c r="M2" s="5382"/>
      <c r="N2" s="5382"/>
      <c r="O2" s="5382"/>
      <c r="P2" s="5382"/>
      <c r="Q2" s="5382"/>
      <c r="R2" s="5382"/>
      <c r="S2" s="5382"/>
      <c r="T2" s="5382"/>
      <c r="U2" s="5382"/>
      <c r="V2" s="5382"/>
      <c r="W2" s="5382"/>
      <c r="X2" s="5382"/>
      <c r="Y2" s="5382"/>
      <c r="Z2" s="5382"/>
      <c r="AA2" s="5382"/>
      <c r="AB2" s="5382"/>
      <c r="AC2" s="5382"/>
      <c r="AD2" s="5382"/>
      <c r="AE2" s="5382"/>
      <c r="AF2" s="5382"/>
      <c r="AG2" s="5382"/>
      <c r="AH2" s="5382"/>
      <c r="AI2" s="5382"/>
      <c r="AJ2" s="5382"/>
      <c r="AK2" s="5382"/>
      <c r="AL2" s="5382"/>
      <c r="AM2" s="5382"/>
      <c r="AN2" s="5382"/>
      <c r="AO2" s="5382"/>
      <c r="AP2" s="5382"/>
      <c r="AQ2" s="5382"/>
      <c r="AR2" s="4356"/>
      <c r="AS2" s="4356"/>
      <c r="AT2" s="4356"/>
      <c r="AU2" s="4356"/>
      <c r="AV2" s="4356"/>
      <c r="AW2" s="4356"/>
      <c r="AX2" s="4356"/>
      <c r="AY2" s="4356"/>
      <c r="AZ2" s="4356"/>
      <c r="BA2" s="4356"/>
      <c r="BB2" s="4356"/>
      <c r="BC2" s="4356"/>
      <c r="BD2" s="4356"/>
      <c r="BE2" s="4356"/>
      <c r="BF2" s="4356"/>
      <c r="BG2" s="4356"/>
      <c r="BH2" s="4356"/>
      <c r="BI2" s="4356"/>
      <c r="BJ2" s="4356"/>
      <c r="BK2" s="4356"/>
      <c r="BL2" s="4356"/>
      <c r="BM2" s="4356"/>
      <c r="BN2" s="4356"/>
      <c r="BO2" s="4356"/>
      <c r="BP2" s="4356"/>
      <c r="BQ2" s="4356"/>
    </row>
    <row r="3" spans="1:75" ht="16.5" thickBot="1">
      <c r="A3" s="629"/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  <c r="AC3" s="629"/>
      <c r="AD3" s="629"/>
      <c r="AE3" s="629"/>
      <c r="AF3" s="644"/>
      <c r="AG3" s="644"/>
      <c r="AH3" s="644"/>
      <c r="AI3" s="644"/>
      <c r="AJ3" s="644"/>
      <c r="AK3" s="644"/>
      <c r="AL3" s="644"/>
      <c r="AM3" s="644"/>
      <c r="AN3" s="644"/>
      <c r="AO3" s="644"/>
      <c r="AP3" s="644"/>
      <c r="AQ3" s="644"/>
      <c r="AR3" s="644"/>
    </row>
    <row r="4" spans="1:75" ht="32.25" customHeight="1">
      <c r="A4" s="5464" t="s">
        <v>17</v>
      </c>
      <c r="B4" s="5467" t="s">
        <v>58</v>
      </c>
      <c r="C4" s="5468" t="s">
        <v>73</v>
      </c>
      <c r="D4" s="5468" t="s">
        <v>74</v>
      </c>
      <c r="E4" s="5486" t="s">
        <v>67</v>
      </c>
      <c r="F4" s="5486"/>
      <c r="G4" s="5487" t="s">
        <v>95</v>
      </c>
      <c r="H4" s="5488"/>
      <c r="I4" s="5489" t="s">
        <v>303</v>
      </c>
      <c r="J4" s="5490"/>
      <c r="K4" s="5490"/>
      <c r="L4" s="5490"/>
      <c r="M4" s="5467"/>
      <c r="N4" s="5489" t="s">
        <v>163</v>
      </c>
      <c r="O4" s="5490"/>
      <c r="P4" s="5490"/>
      <c r="Q4" s="5490"/>
      <c r="R4" s="5475" t="s">
        <v>238</v>
      </c>
      <c r="S4" s="5476"/>
      <c r="T4" s="5476"/>
      <c r="U4" s="5476"/>
      <c r="V4" s="5476"/>
      <c r="W4" s="5476"/>
      <c r="X4" s="5476"/>
      <c r="Y4" s="5476"/>
      <c r="Z4" s="5476"/>
      <c r="AA4" s="5477"/>
      <c r="AB4" s="5493" t="s">
        <v>380</v>
      </c>
      <c r="AC4" s="5494"/>
      <c r="AD4" s="5494"/>
      <c r="AE4" s="5494"/>
      <c r="AF4" s="5494"/>
      <c r="AG4" s="5494"/>
      <c r="AH4" s="5482"/>
      <c r="AI4" s="5482"/>
      <c r="AJ4" s="5482"/>
      <c r="AK4" s="5482"/>
      <c r="AL4" s="4580"/>
      <c r="AM4" s="5407" t="s">
        <v>661</v>
      </c>
      <c r="AN4" s="5408"/>
      <c r="AO4" s="5408"/>
      <c r="AP4" s="5408"/>
      <c r="AQ4" s="5409"/>
      <c r="AR4" s="5437" t="s">
        <v>662</v>
      </c>
      <c r="AS4" s="5438"/>
      <c r="AT4" s="5438"/>
      <c r="AU4" s="5438"/>
      <c r="AV4" s="5438"/>
      <c r="AW4" s="5511"/>
      <c r="AX4" s="5529" t="s">
        <v>1596</v>
      </c>
      <c r="AY4" s="5530"/>
      <c r="AZ4" s="5530"/>
      <c r="BA4" s="5530"/>
      <c r="BB4" s="5530"/>
      <c r="BC4" s="5530"/>
      <c r="BD4" s="5530"/>
      <c r="BE4" s="5530"/>
      <c r="BF4" s="5531"/>
      <c r="BG4" s="5518" t="s">
        <v>1684</v>
      </c>
      <c r="BH4" s="5519"/>
      <c r="BI4" s="5519"/>
      <c r="BJ4" s="5519"/>
      <c r="BK4" s="5520"/>
      <c r="BL4" s="5499" t="s">
        <v>1685</v>
      </c>
      <c r="BM4" s="5500"/>
      <c r="BN4" s="5500"/>
      <c r="BO4" s="5500"/>
      <c r="BP4" s="5500"/>
      <c r="BQ4" s="5501"/>
      <c r="BR4" s="3123"/>
      <c r="BS4" s="3123"/>
      <c r="BT4" s="3123"/>
      <c r="BU4" s="3123"/>
      <c r="BV4" s="3123"/>
      <c r="BW4" s="3123"/>
    </row>
    <row r="5" spans="1:75" ht="21.75" customHeight="1">
      <c r="A5" s="5465"/>
      <c r="B5" s="5467"/>
      <c r="C5" s="5468"/>
      <c r="D5" s="5468"/>
      <c r="E5" s="5463" t="s">
        <v>61</v>
      </c>
      <c r="F5" s="5463" t="s">
        <v>66</v>
      </c>
      <c r="G5" s="5463" t="s">
        <v>61</v>
      </c>
      <c r="H5" s="5463" t="s">
        <v>112</v>
      </c>
      <c r="I5" s="5416" t="s">
        <v>304</v>
      </c>
      <c r="J5" s="5416" t="s">
        <v>110</v>
      </c>
      <c r="K5" s="5416" t="s">
        <v>64</v>
      </c>
      <c r="L5" s="5416" t="s">
        <v>305</v>
      </c>
      <c r="M5" s="5416" t="s">
        <v>123</v>
      </c>
      <c r="N5" s="5416" t="s">
        <v>304</v>
      </c>
      <c r="O5" s="5416" t="s">
        <v>306</v>
      </c>
      <c r="P5" s="5416" t="s">
        <v>307</v>
      </c>
      <c r="Q5" s="5389" t="s">
        <v>305</v>
      </c>
      <c r="R5" s="5411" t="s">
        <v>309</v>
      </c>
      <c r="S5" s="5433" t="s">
        <v>310</v>
      </c>
      <c r="T5" s="630"/>
      <c r="U5" s="5398" t="s">
        <v>126</v>
      </c>
      <c r="V5" s="5398"/>
      <c r="W5" s="5398" t="s">
        <v>127</v>
      </c>
      <c r="X5" s="5398"/>
      <c r="Y5" s="5396" t="s">
        <v>392</v>
      </c>
      <c r="Z5" s="5396" t="s">
        <v>394</v>
      </c>
      <c r="AA5" s="5478" t="s">
        <v>1636</v>
      </c>
      <c r="AB5" s="5411" t="s">
        <v>309</v>
      </c>
      <c r="AC5" s="5433" t="s">
        <v>310</v>
      </c>
      <c r="AD5" s="5398" t="s">
        <v>127</v>
      </c>
      <c r="AE5" s="5398"/>
      <c r="AF5" s="5443" t="s">
        <v>243</v>
      </c>
      <c r="AG5" s="5443"/>
      <c r="AH5" s="5396" t="s">
        <v>392</v>
      </c>
      <c r="AI5" s="5446" t="s">
        <v>394</v>
      </c>
      <c r="AJ5" s="5449" t="s">
        <v>1633</v>
      </c>
      <c r="AK5" s="5450"/>
      <c r="AL5" s="5451"/>
      <c r="AM5" s="5410" t="s">
        <v>659</v>
      </c>
      <c r="AN5" s="5392" t="s">
        <v>50</v>
      </c>
      <c r="AO5" s="5393"/>
      <c r="AP5" s="5394" t="s">
        <v>243</v>
      </c>
      <c r="AQ5" s="5395"/>
      <c r="AR5" s="5411" t="s">
        <v>310</v>
      </c>
      <c r="AS5" s="5398" t="s">
        <v>127</v>
      </c>
      <c r="AT5" s="5398"/>
      <c r="AU5" s="5443" t="s">
        <v>243</v>
      </c>
      <c r="AV5" s="5443"/>
      <c r="AW5" s="5512"/>
      <c r="AX5" s="5496" t="s">
        <v>1679</v>
      </c>
      <c r="AY5" s="5497"/>
      <c r="AZ5" s="5497"/>
      <c r="BA5" s="5532" t="s">
        <v>1673</v>
      </c>
      <c r="BB5" s="5497"/>
      <c r="BC5" s="5497"/>
      <c r="BD5" s="5532" t="s">
        <v>1716</v>
      </c>
      <c r="BE5" s="5497"/>
      <c r="BF5" s="5533"/>
      <c r="BG5" s="5521" t="s">
        <v>659</v>
      </c>
      <c r="BH5" s="5522" t="s">
        <v>50</v>
      </c>
      <c r="BI5" s="5517"/>
      <c r="BJ5" s="5523" t="s">
        <v>243</v>
      </c>
      <c r="BK5" s="5524"/>
      <c r="BL5" s="5504" t="s">
        <v>310</v>
      </c>
      <c r="BM5" s="5506" t="s">
        <v>127</v>
      </c>
      <c r="BN5" s="5506"/>
      <c r="BO5" s="5507" t="s">
        <v>243</v>
      </c>
      <c r="BP5" s="5507"/>
      <c r="BQ5" s="5502"/>
      <c r="BR5" s="3123"/>
      <c r="BS5" s="3123"/>
      <c r="BT5" s="3123"/>
      <c r="BU5" s="3123"/>
      <c r="BV5" s="3123"/>
      <c r="BW5" s="3123"/>
    </row>
    <row r="6" spans="1:75" ht="15.75" customHeight="1">
      <c r="A6" s="5465"/>
      <c r="B6" s="5467"/>
      <c r="C6" s="5468"/>
      <c r="D6" s="5468"/>
      <c r="E6" s="5417"/>
      <c r="F6" s="5417"/>
      <c r="G6" s="5417"/>
      <c r="H6" s="5417"/>
      <c r="I6" s="5417"/>
      <c r="J6" s="5417"/>
      <c r="K6" s="5417"/>
      <c r="L6" s="5417"/>
      <c r="M6" s="5417"/>
      <c r="N6" s="5417"/>
      <c r="O6" s="5417"/>
      <c r="P6" s="5417"/>
      <c r="Q6" s="5491"/>
      <c r="R6" s="5411"/>
      <c r="S6" s="5433"/>
      <c r="T6" s="630"/>
      <c r="U6" s="5398" t="s">
        <v>375</v>
      </c>
      <c r="V6" s="5398" t="s">
        <v>376</v>
      </c>
      <c r="W6" s="5398" t="s">
        <v>375</v>
      </c>
      <c r="X6" s="5398" t="s">
        <v>376</v>
      </c>
      <c r="Y6" s="5444"/>
      <c r="Z6" s="5444"/>
      <c r="AA6" s="5479"/>
      <c r="AB6" s="5411"/>
      <c r="AC6" s="5433"/>
      <c r="AD6" s="5398" t="s">
        <v>375</v>
      </c>
      <c r="AE6" s="5398" t="s">
        <v>376</v>
      </c>
      <c r="AF6" s="5398" t="s">
        <v>375</v>
      </c>
      <c r="AG6" s="5398" t="s">
        <v>376</v>
      </c>
      <c r="AH6" s="5444"/>
      <c r="AI6" s="5447"/>
      <c r="AJ6" s="5454" t="s">
        <v>632</v>
      </c>
      <c r="AK6" s="5454" t="s">
        <v>1634</v>
      </c>
      <c r="AL6" s="5495" t="s">
        <v>1635</v>
      </c>
      <c r="AM6" s="5411"/>
      <c r="AN6" s="5396" t="s">
        <v>46</v>
      </c>
      <c r="AO6" s="5396" t="s">
        <v>47</v>
      </c>
      <c r="AP6" s="5398" t="s">
        <v>375</v>
      </c>
      <c r="AQ6" s="5400" t="s">
        <v>376</v>
      </c>
      <c r="AR6" s="5411"/>
      <c r="AS6" s="5398" t="s">
        <v>375</v>
      </c>
      <c r="AT6" s="5398" t="s">
        <v>376</v>
      </c>
      <c r="AU6" s="5398" t="s">
        <v>375</v>
      </c>
      <c r="AV6" s="5398" t="s">
        <v>376</v>
      </c>
      <c r="AW6" s="5512"/>
      <c r="AX6" s="5509" t="s">
        <v>632</v>
      </c>
      <c r="AY6" s="5498" t="s">
        <v>1634</v>
      </c>
      <c r="AZ6" s="5498" t="s">
        <v>1635</v>
      </c>
      <c r="BA6" s="5498" t="s">
        <v>632</v>
      </c>
      <c r="BB6" s="5498" t="s">
        <v>1634</v>
      </c>
      <c r="BC6" s="5498" t="s">
        <v>1635</v>
      </c>
      <c r="BD6" s="5498" t="s">
        <v>632</v>
      </c>
      <c r="BE6" s="5498" t="s">
        <v>1634</v>
      </c>
      <c r="BF6" s="5534" t="s">
        <v>1635</v>
      </c>
      <c r="BG6" s="5504"/>
      <c r="BH6" s="5525" t="s">
        <v>46</v>
      </c>
      <c r="BI6" s="5525" t="s">
        <v>47</v>
      </c>
      <c r="BJ6" s="5506" t="s">
        <v>375</v>
      </c>
      <c r="BK6" s="5527" t="s">
        <v>376</v>
      </c>
      <c r="BL6" s="5504"/>
      <c r="BM6" s="5506" t="s">
        <v>375</v>
      </c>
      <c r="BN6" s="5506" t="s">
        <v>376</v>
      </c>
      <c r="BO6" s="5506" t="s">
        <v>375</v>
      </c>
      <c r="BP6" s="5506" t="s">
        <v>376</v>
      </c>
      <c r="BQ6" s="5502"/>
      <c r="BR6" s="3123"/>
      <c r="BS6" s="3123"/>
      <c r="BT6" s="3123"/>
      <c r="BU6" s="3123"/>
      <c r="BV6" s="3123"/>
      <c r="BW6" s="3123"/>
    </row>
    <row r="7" spans="1:75" ht="28.5" customHeight="1" thickBot="1">
      <c r="A7" s="5466"/>
      <c r="B7" s="5467"/>
      <c r="C7" s="5468"/>
      <c r="D7" s="5468"/>
      <c r="E7" s="5418"/>
      <c r="F7" s="5418"/>
      <c r="G7" s="5418"/>
      <c r="H7" s="5418"/>
      <c r="I7" s="5418"/>
      <c r="J7" s="5418"/>
      <c r="K7" s="5418"/>
      <c r="L7" s="5418"/>
      <c r="M7" s="5418"/>
      <c r="N7" s="5418"/>
      <c r="O7" s="5418"/>
      <c r="P7" s="5418"/>
      <c r="Q7" s="5492"/>
      <c r="R7" s="5412"/>
      <c r="S7" s="5483"/>
      <c r="T7" s="2209"/>
      <c r="U7" s="5399"/>
      <c r="V7" s="5399"/>
      <c r="W7" s="5399"/>
      <c r="X7" s="5399"/>
      <c r="Y7" s="5445"/>
      <c r="Z7" s="5445"/>
      <c r="AA7" s="5480"/>
      <c r="AB7" s="5412"/>
      <c r="AC7" s="5483"/>
      <c r="AD7" s="5399"/>
      <c r="AE7" s="5399"/>
      <c r="AF7" s="5399"/>
      <c r="AG7" s="5399"/>
      <c r="AH7" s="5445"/>
      <c r="AI7" s="5448"/>
      <c r="AJ7" s="5445"/>
      <c r="AK7" s="5445"/>
      <c r="AL7" s="5480"/>
      <c r="AM7" s="5412"/>
      <c r="AN7" s="5397"/>
      <c r="AO7" s="5397"/>
      <c r="AP7" s="5399"/>
      <c r="AQ7" s="5401"/>
      <c r="AR7" s="5412"/>
      <c r="AS7" s="5399"/>
      <c r="AT7" s="5399"/>
      <c r="AU7" s="5399"/>
      <c r="AV7" s="5399"/>
      <c r="AW7" s="5513"/>
      <c r="AX7" s="5510"/>
      <c r="AY7" s="5445"/>
      <c r="AZ7" s="5445"/>
      <c r="BA7" s="5445"/>
      <c r="BB7" s="5445"/>
      <c r="BC7" s="5445"/>
      <c r="BD7" s="5445"/>
      <c r="BE7" s="5445"/>
      <c r="BF7" s="5480"/>
      <c r="BG7" s="5505"/>
      <c r="BH7" s="5526"/>
      <c r="BI7" s="5526"/>
      <c r="BJ7" s="5508"/>
      <c r="BK7" s="5528"/>
      <c r="BL7" s="5505"/>
      <c r="BM7" s="5508"/>
      <c r="BN7" s="5508"/>
      <c r="BO7" s="5508"/>
      <c r="BP7" s="5508"/>
      <c r="BQ7" s="5503"/>
      <c r="BR7" s="3123"/>
      <c r="BS7" s="3123"/>
      <c r="BT7" s="3123"/>
      <c r="BU7" s="3123"/>
      <c r="BV7" s="3123"/>
      <c r="BW7" s="3123"/>
    </row>
    <row r="8" spans="1:75" ht="15">
      <c r="A8" s="3347" t="s">
        <v>30</v>
      </c>
      <c r="B8" s="731">
        <v>6</v>
      </c>
      <c r="C8" s="2935">
        <v>6.5</v>
      </c>
      <c r="D8" s="632">
        <f>C8/B8*100</f>
        <v>108.33333333333333</v>
      </c>
      <c r="E8" s="2935">
        <v>13.7</v>
      </c>
      <c r="F8" s="632">
        <f>E8/C8*100</f>
        <v>210.76923076923077</v>
      </c>
      <c r="G8" s="183">
        <v>6.4</v>
      </c>
      <c r="H8" s="632">
        <f>G8/E8*100</f>
        <v>46.715328467153292</v>
      </c>
      <c r="I8" s="631">
        <v>9.8000000000000007</v>
      </c>
      <c r="J8" s="187">
        <v>10.7</v>
      </c>
      <c r="K8" s="187">
        <v>10.7</v>
      </c>
      <c r="L8" s="183">
        <v>11.9</v>
      </c>
      <c r="M8" s="632">
        <f>K8/G8*100</f>
        <v>167.18749999999997</v>
      </c>
      <c r="N8" s="631">
        <v>11.224299999999998</v>
      </c>
      <c r="O8" s="187">
        <v>34.700000000000003</v>
      </c>
      <c r="P8" s="631">
        <v>51.447620000000001</v>
      </c>
      <c r="Q8" s="716">
        <v>55.6</v>
      </c>
      <c r="R8" s="724">
        <v>12.36</v>
      </c>
      <c r="S8" s="633">
        <f>R8</f>
        <v>12.36</v>
      </c>
      <c r="T8" s="2208">
        <f>S8/N8</f>
        <v>1.1011822563545166</v>
      </c>
      <c r="U8" s="750" t="e">
        <f>R8*#REF!</f>
        <v>#REF!</v>
      </c>
      <c r="V8" s="750" t="e">
        <f>R8*#REF!</f>
        <v>#REF!</v>
      </c>
      <c r="W8" s="750">
        <f>S8*$Y$56</f>
        <v>7.0573012718600943</v>
      </c>
      <c r="X8" s="750">
        <f>S8*$Y$57</f>
        <v>5.0126530206677247</v>
      </c>
      <c r="Y8" s="750">
        <v>111.34</v>
      </c>
      <c r="Z8" s="750">
        <v>125.94</v>
      </c>
      <c r="AA8" s="751">
        <v>144.41</v>
      </c>
      <c r="AB8" s="2931">
        <v>13.2</v>
      </c>
      <c r="AC8" s="633">
        <f>S8/S13*AC13*1.049</f>
        <v>12.706327199999999</v>
      </c>
      <c r="AD8" s="750">
        <f>AC8*$AG$56</f>
        <v>7.522135289083125</v>
      </c>
      <c r="AE8" s="750">
        <f>AC8*$AG$57</f>
        <v>5.082539079462105</v>
      </c>
      <c r="AF8" s="3124">
        <f t="shared" ref="AF8:AF23" si="0">AD8/W8</f>
        <v>1.0658656899169778</v>
      </c>
      <c r="AG8" s="3124">
        <f t="shared" ref="AG8:AG23" si="1">AE8/X8</f>
        <v>1.0139419302525494</v>
      </c>
      <c r="AH8" s="750">
        <v>3.67</v>
      </c>
      <c r="AI8" s="750">
        <v>9</v>
      </c>
      <c r="AJ8" s="750">
        <f>SUM(AK8:AL8)</f>
        <v>113.18</v>
      </c>
      <c r="AK8" s="750">
        <v>65.84</v>
      </c>
      <c r="AL8" s="751">
        <v>47.34</v>
      </c>
      <c r="AM8" s="793">
        <f>AA8/AA13*AM13*1.1</f>
        <v>158.851</v>
      </c>
      <c r="AN8" s="750">
        <f>AM8*AI56</f>
        <v>94.675196</v>
      </c>
      <c r="AO8" s="750">
        <f>AM8*AI57</f>
        <v>64.175803999999999</v>
      </c>
      <c r="AP8" s="3124">
        <f t="shared" ref="AP8:AP18" si="2">AN8/AD8</f>
        <v>12.586212871949021</v>
      </c>
      <c r="AQ8" s="3125">
        <f t="shared" ref="AQ8:AQ18" si="3">AO8/AE8</f>
        <v>12.626721210925121</v>
      </c>
      <c r="AR8" s="793">
        <f>AI8/3*4*1.062</f>
        <v>12.744</v>
      </c>
      <c r="AS8" s="750">
        <f>AR8*$AO$56</f>
        <v>6.9347111022409402</v>
      </c>
      <c r="AT8" s="750">
        <f>AR8*$AO$57</f>
        <v>5.7406127877638191</v>
      </c>
      <c r="AU8" s="3124">
        <f>AS8/AD8</f>
        <v>0.92190725581674748</v>
      </c>
      <c r="AV8" s="3124">
        <f>AT8/AE8</f>
        <v>1.1294773533490192</v>
      </c>
      <c r="AW8" s="3126"/>
      <c r="AX8" s="3149">
        <f>SUM(AY8:AZ8)</f>
        <v>7.84</v>
      </c>
      <c r="AY8" s="750">
        <v>4.55</v>
      </c>
      <c r="AZ8" s="750">
        <v>3.29</v>
      </c>
      <c r="BA8" s="750">
        <f>SUM(BB8:BC8)</f>
        <v>17.47</v>
      </c>
      <c r="BB8" s="750">
        <v>10</v>
      </c>
      <c r="BC8" s="750">
        <v>7.47</v>
      </c>
      <c r="BD8" s="750">
        <f>SUM(BE8:BF8)</f>
        <v>23.293333333333333</v>
      </c>
      <c r="BE8" s="3646">
        <f>SUM(BB8/9*12)</f>
        <v>13.333333333333334</v>
      </c>
      <c r="BF8" s="3647">
        <f>SUM(BC8/9*12)</f>
        <v>9.9599999999999991</v>
      </c>
      <c r="BG8" s="3348">
        <f>SUM(AJ8*1.074*1.1)</f>
        <v>133.71085200000002</v>
      </c>
      <c r="BH8" s="3349">
        <f>SUM(BG8*AQ56)</f>
        <v>78.889402680000003</v>
      </c>
      <c r="BI8" s="3349">
        <f>SUM(BG8*AQ57)</f>
        <v>54.821449320000006</v>
      </c>
      <c r="BJ8" s="3360">
        <f t="shared" ref="BJ8:BK10" si="4">BH8/AS8</f>
        <v>11.376018628159871</v>
      </c>
      <c r="BK8" s="3361">
        <f t="shared" si="4"/>
        <v>9.5497556352960338</v>
      </c>
      <c r="BL8" s="3348">
        <f>AR8*(1-0.01)*(1+0.071)*(1+0)</f>
        <v>13.512335759999999</v>
      </c>
      <c r="BM8" s="3349">
        <f>SUM(BL8*AO56)</f>
        <v>7.3528048345950463</v>
      </c>
      <c r="BN8" s="3349">
        <f>BL8*$AO$57</f>
        <v>6.086714332738099</v>
      </c>
      <c r="BO8" s="3360">
        <f>BM8/AS8</f>
        <v>1.06029</v>
      </c>
      <c r="BP8" s="3360">
        <f>BN8/AT8</f>
        <v>1.06029</v>
      </c>
      <c r="BQ8" s="3667"/>
      <c r="BR8" s="3123"/>
      <c r="BS8" s="3123"/>
      <c r="BT8" s="3123"/>
      <c r="BU8" s="3123"/>
      <c r="BV8" s="3123"/>
      <c r="BW8" s="3123"/>
    </row>
    <row r="9" spans="1:75" ht="15">
      <c r="A9" s="748" t="s">
        <v>31</v>
      </c>
      <c r="B9" s="731">
        <v>82.2</v>
      </c>
      <c r="C9" s="2935">
        <v>99.2</v>
      </c>
      <c r="D9" s="632">
        <f>C9/B9*100</f>
        <v>120.68126520681265</v>
      </c>
      <c r="E9" s="2935">
        <v>80.400000000000006</v>
      </c>
      <c r="F9" s="632">
        <f>E9/C9*100</f>
        <v>81.048387096774206</v>
      </c>
      <c r="G9" s="183">
        <v>53.9</v>
      </c>
      <c r="H9" s="632">
        <f>G9/E9*100</f>
        <v>67.039800995024862</v>
      </c>
      <c r="I9" s="187">
        <v>99.9</v>
      </c>
      <c r="J9" s="187">
        <v>44.9</v>
      </c>
      <c r="K9" s="187">
        <f>J9/9*12</f>
        <v>59.866666666666667</v>
      </c>
      <c r="L9" s="183">
        <v>52.1</v>
      </c>
      <c r="M9" s="632">
        <f>K9/G9*100</f>
        <v>111.06988249845394</v>
      </c>
      <c r="N9" s="187">
        <v>56.873333333333328</v>
      </c>
      <c r="O9" s="183">
        <v>8.1</v>
      </c>
      <c r="P9" s="183">
        <v>8.0765999999999991</v>
      </c>
      <c r="Q9" s="717">
        <v>14.7</v>
      </c>
      <c r="R9" s="725">
        <v>65</v>
      </c>
      <c r="S9" s="715">
        <f>P9/9*12*1.03</f>
        <v>11.091863999999999</v>
      </c>
      <c r="T9" s="711">
        <f>S9/N9</f>
        <v>0.19502749970695113</v>
      </c>
      <c r="U9" s="749" t="e">
        <f>R9*#REF!</f>
        <v>#REF!</v>
      </c>
      <c r="V9" s="749" t="e">
        <f>R9*#REF!</f>
        <v>#REF!</v>
      </c>
      <c r="W9" s="749">
        <f>S9*$Y$56</f>
        <v>6.3332221613672486</v>
      </c>
      <c r="X9" s="749">
        <f>S9*$Y$57</f>
        <v>4.4983548207472159</v>
      </c>
      <c r="Y9" s="749"/>
      <c r="Z9" s="749"/>
      <c r="AA9" s="752"/>
      <c r="AB9" s="721">
        <v>15.5</v>
      </c>
      <c r="AC9" s="715">
        <f>AB9</f>
        <v>15.5</v>
      </c>
      <c r="AD9" s="749">
        <f>AC9*$AG$56</f>
        <v>9.1759872971623508</v>
      </c>
      <c r="AE9" s="749">
        <f>AC9*$AG$57</f>
        <v>6.2000100022343698</v>
      </c>
      <c r="AF9" s="3127">
        <f t="shared" si="0"/>
        <v>1.4488655321671822</v>
      </c>
      <c r="AG9" s="3127">
        <f t="shared" si="1"/>
        <v>1.3782838947338738</v>
      </c>
      <c r="AH9" s="749">
        <v>0</v>
      </c>
      <c r="AI9" s="2720">
        <v>0</v>
      </c>
      <c r="AJ9" s="2720">
        <f t="shared" ref="AJ9:AJ11" si="5">SUM(AK9:AL9)</f>
        <v>0</v>
      </c>
      <c r="AK9" s="2720">
        <v>0</v>
      </c>
      <c r="AL9" s="2721">
        <v>0</v>
      </c>
      <c r="AM9" s="725">
        <v>17.05</v>
      </c>
      <c r="AN9" s="749">
        <f>AM9*AI56</f>
        <v>10.161799999999999</v>
      </c>
      <c r="AO9" s="749">
        <f>AM9*AI57</f>
        <v>6.8882000000000003</v>
      </c>
      <c r="AP9" s="3127">
        <f t="shared" si="2"/>
        <v>1.1074339655137173</v>
      </c>
      <c r="AQ9" s="3128">
        <f t="shared" si="3"/>
        <v>1.1109982076670231</v>
      </c>
      <c r="AR9" s="2205"/>
      <c r="AS9" s="2203">
        <f>AR9*$AO$56</f>
        <v>0</v>
      </c>
      <c r="AT9" s="2203">
        <f>AR9*$AO$57</f>
        <v>0</v>
      </c>
      <c r="AU9" s="3129"/>
      <c r="AV9" s="3129"/>
      <c r="AW9" s="3130"/>
      <c r="AX9" s="3150">
        <f t="shared" ref="AX9:AX11" si="6">SUM(AY9:AZ9)</f>
        <v>0</v>
      </c>
      <c r="AY9" s="3151">
        <v>0</v>
      </c>
      <c r="AZ9" s="3151">
        <v>0</v>
      </c>
      <c r="BA9" s="3151">
        <f t="shared" ref="BA9:BA11" si="7">SUM(BB9:BC9)</f>
        <v>0</v>
      </c>
      <c r="BB9" s="3151"/>
      <c r="BC9" s="3151"/>
      <c r="BD9" s="3151">
        <f t="shared" ref="BD9:BD11" si="8">SUM(BE9:BF9)</f>
        <v>0</v>
      </c>
      <c r="BE9" s="750">
        <f>SUM(BB9/9*12)</f>
        <v>0</v>
      </c>
      <c r="BF9" s="751">
        <f>SUM(BC9/9*12)</f>
        <v>0</v>
      </c>
      <c r="BG9" s="3350">
        <v>0</v>
      </c>
      <c r="BH9" s="3351">
        <v>0</v>
      </c>
      <c r="BI9" s="3351">
        <v>0</v>
      </c>
      <c r="BJ9" s="3362" t="e">
        <f t="shared" si="4"/>
        <v>#DIV/0!</v>
      </c>
      <c r="BK9" s="3363" t="e">
        <f t="shared" si="4"/>
        <v>#DIV/0!</v>
      </c>
      <c r="BL9" s="3348">
        <f t="shared" ref="BL9:BL11" si="9">AR9*(1-0.01)*(1+0.071)*(1+0)</f>
        <v>0</v>
      </c>
      <c r="BM9" s="3668">
        <f>BL9*$AO$56</f>
        <v>0</v>
      </c>
      <c r="BN9" s="3668">
        <f>BL9*$AO$57</f>
        <v>0</v>
      </c>
      <c r="BO9" s="3669"/>
      <c r="BP9" s="3669"/>
      <c r="BQ9" s="3670"/>
      <c r="BR9" s="3123"/>
      <c r="BS9" s="3123"/>
      <c r="BT9" s="3123"/>
      <c r="BU9" s="3123"/>
      <c r="BV9" s="3123"/>
      <c r="BW9" s="3123"/>
    </row>
    <row r="10" spans="1:75" ht="15">
      <c r="A10" s="748" t="s">
        <v>311</v>
      </c>
      <c r="B10" s="731">
        <v>10325.299999999999</v>
      </c>
      <c r="C10" s="2935">
        <v>12193.1</v>
      </c>
      <c r="D10" s="632">
        <f>C10/B10*100</f>
        <v>118.089547034953</v>
      </c>
      <c r="E10" s="2935">
        <v>12095</v>
      </c>
      <c r="F10" s="632">
        <f>E10/C10*100</f>
        <v>99.19544660504711</v>
      </c>
      <c r="G10" s="183">
        <v>12881.2</v>
      </c>
      <c r="H10" s="632">
        <f>G10/E10*100</f>
        <v>106.50020669698223</v>
      </c>
      <c r="I10" s="187">
        <v>12960.8</v>
      </c>
      <c r="J10" s="187">
        <v>10117.200000000001</v>
      </c>
      <c r="K10" s="187">
        <v>14921</v>
      </c>
      <c r="L10" s="187">
        <v>14265.4</v>
      </c>
      <c r="M10" s="632">
        <f>K10/G10*100</f>
        <v>115.83548116635096</v>
      </c>
      <c r="N10" s="187">
        <v>13881.016799999999</v>
      </c>
      <c r="O10" s="187">
        <v>8199.1</v>
      </c>
      <c r="P10" s="187">
        <v>12742.602274999999</v>
      </c>
      <c r="Q10" s="718">
        <v>17158.3</v>
      </c>
      <c r="R10" s="726">
        <v>18101.8</v>
      </c>
      <c r="S10" s="712">
        <f>N10*1.056</f>
        <v>14658.353740799999</v>
      </c>
      <c r="T10" s="711">
        <f>S10/N10</f>
        <v>1.056</v>
      </c>
      <c r="U10" s="749" t="e">
        <f>R10*#REF!</f>
        <v>#REF!</v>
      </c>
      <c r="V10" s="749" t="e">
        <f>R10*#REF!</f>
        <v>#REF!</v>
      </c>
      <c r="W10" s="749">
        <f>S10*$Y$56</f>
        <v>8369.6131471135122</v>
      </c>
      <c r="X10" s="749">
        <f>S10*$Y$57</f>
        <v>5944.7606113945931</v>
      </c>
      <c r="Y10" s="749">
        <v>7870.29</v>
      </c>
      <c r="Z10" s="749">
        <v>11609.64</v>
      </c>
      <c r="AA10" s="752">
        <v>15326</v>
      </c>
      <c r="AB10" s="722">
        <v>17000</v>
      </c>
      <c r="AC10" s="712">
        <f>AC14*AC13*12/1000</f>
        <v>15327.654172604925</v>
      </c>
      <c r="AD10" s="712">
        <f>AD14*AD13*12/1000</f>
        <v>9073.958708588405</v>
      </c>
      <c r="AE10" s="712">
        <f>AE14*AE13*12/1000</f>
        <v>6131.07156006064</v>
      </c>
      <c r="AF10" s="3127">
        <f t="shared" si="0"/>
        <v>1.0841550916505389</v>
      </c>
      <c r="AG10" s="3127">
        <f t="shared" si="1"/>
        <v>1.0313403618488752</v>
      </c>
      <c r="AH10" s="749">
        <v>7441.55</v>
      </c>
      <c r="AI10" s="2720">
        <v>11108.4</v>
      </c>
      <c r="AJ10" s="2720">
        <f t="shared" si="5"/>
        <v>14479.76</v>
      </c>
      <c r="AK10" s="2720">
        <v>8551.52</v>
      </c>
      <c r="AL10" s="2721">
        <v>5928.24</v>
      </c>
      <c r="AM10" s="726">
        <v>18700</v>
      </c>
      <c r="AN10" s="712">
        <f>AN14*AN13*12/1000</f>
        <v>11145.2</v>
      </c>
      <c r="AO10" s="712">
        <f>AO14*AO13*12/1000</f>
        <v>7554.8000000000011</v>
      </c>
      <c r="AP10" s="3127">
        <f t="shared" si="2"/>
        <v>1.2282621464269159</v>
      </c>
      <c r="AQ10" s="3128">
        <f t="shared" si="3"/>
        <v>1.2322152703638121</v>
      </c>
      <c r="AR10" s="2206">
        <f>AR13*AR14*12/1000</f>
        <v>16797.857736099682</v>
      </c>
      <c r="AS10" s="2203">
        <f>AR10*$AO$56</f>
        <v>9140.6379893592548</v>
      </c>
      <c r="AT10" s="2203">
        <f>AR10*$AO$57</f>
        <v>7566.6978128445726</v>
      </c>
      <c r="AU10" s="3129">
        <f t="shared" ref="AU10:AU18" si="10">AS10/AD10</f>
        <v>1.0073484223272626</v>
      </c>
      <c r="AV10" s="3129">
        <f t="shared" ref="AV10:AV18" si="11">AT10/AE10</f>
        <v>1.2341558467749696</v>
      </c>
      <c r="AW10" s="3130"/>
      <c r="AX10" s="3150">
        <f t="shared" si="6"/>
        <v>6767.27</v>
      </c>
      <c r="AY10" s="3151">
        <v>3928.37</v>
      </c>
      <c r="AZ10" s="3151">
        <v>2838.9</v>
      </c>
      <c r="BA10" s="3151">
        <f t="shared" si="7"/>
        <v>10344.970000000001</v>
      </c>
      <c r="BB10" s="3151">
        <v>5964.51</v>
      </c>
      <c r="BC10" s="3151">
        <v>4380.46</v>
      </c>
      <c r="BD10" s="3151">
        <f t="shared" si="8"/>
        <v>13922.670000000002</v>
      </c>
      <c r="BE10" s="3648">
        <f>SUM(AY10+((BB10-AY10)/3*6))</f>
        <v>8000.6500000000005</v>
      </c>
      <c r="BF10" s="3649">
        <f>SUM(AZ10+((BC10-AZ10)/3*6))</f>
        <v>5922.02</v>
      </c>
      <c r="BG10" s="3352">
        <f>SUM(BG14*BG13*12)/1000</f>
        <v>18477.643509709651</v>
      </c>
      <c r="BH10" s="3353">
        <f>SUM(BG10*AQ56)</f>
        <v>10901.809670728693</v>
      </c>
      <c r="BI10" s="3353">
        <f>SUM(BG10*AQ57)</f>
        <v>7575.8338389809569</v>
      </c>
      <c r="BJ10" s="3362">
        <f t="shared" si="4"/>
        <v>1.1926749186894441</v>
      </c>
      <c r="BK10" s="3363">
        <f t="shared" si="4"/>
        <v>1.0012073993652655</v>
      </c>
      <c r="BL10" s="3348">
        <f t="shared" si="9"/>
        <v>17810.600579009129</v>
      </c>
      <c r="BM10" s="3668">
        <f>BL10*AT56</f>
        <v>10602.517057652914</v>
      </c>
      <c r="BN10" s="3668">
        <f>BL10*AT57</f>
        <v>7208.0835213562168</v>
      </c>
      <c r="BO10" s="3669">
        <f t="shared" ref="BO10:BO18" si="12">BM10/AS10</f>
        <v>1.1599318417374644</v>
      </c>
      <c r="BP10" s="3669">
        <f t="shared" ref="BP10:BP18" si="13">BN10/AT10</f>
        <v>0.95260623585633308</v>
      </c>
      <c r="BQ10" s="3670"/>
      <c r="BR10" s="3123"/>
      <c r="BS10" s="3123"/>
      <c r="BT10" s="3123"/>
      <c r="BU10" s="3123"/>
      <c r="BV10" s="3123"/>
      <c r="BW10" s="3123"/>
    </row>
    <row r="11" spans="1:75" ht="15">
      <c r="A11" s="748" t="s">
        <v>121</v>
      </c>
      <c r="B11" s="731">
        <v>2324</v>
      </c>
      <c r="C11" s="2935">
        <v>2475.9</v>
      </c>
      <c r="D11" s="632">
        <f>C11/B11*100</f>
        <v>106.53614457831327</v>
      </c>
      <c r="E11" s="2935">
        <v>2575.3000000000002</v>
      </c>
      <c r="F11" s="632">
        <f>E11/C11*100</f>
        <v>104.0147017246254</v>
      </c>
      <c r="G11" s="183">
        <v>3451.8</v>
      </c>
      <c r="H11" s="632">
        <f>G11/E11*100</f>
        <v>134.03486972391565</v>
      </c>
      <c r="I11" s="187">
        <f>I10*30.2/100</f>
        <v>3914.1615999999999</v>
      </c>
      <c r="J11" s="187">
        <v>2906</v>
      </c>
      <c r="K11" s="187">
        <v>4506.1000000000004</v>
      </c>
      <c r="L11" s="187">
        <v>3778.4</v>
      </c>
      <c r="M11" s="634">
        <f>K11/G11*100</f>
        <v>130.54348455878093</v>
      </c>
      <c r="N11" s="187">
        <v>4192.0670736000002</v>
      </c>
      <c r="O11" s="187">
        <v>2372.5</v>
      </c>
      <c r="P11" s="187">
        <v>3474.6754099999998</v>
      </c>
      <c r="Q11" s="718">
        <v>4427.2</v>
      </c>
      <c r="R11" s="726">
        <v>5466.7</v>
      </c>
      <c r="S11" s="712">
        <f>S10*S12</f>
        <v>3997.0659206844994</v>
      </c>
      <c r="T11" s="711">
        <f>S11/N11</f>
        <v>0.95348329368498375</v>
      </c>
      <c r="U11" s="749" t="e">
        <f>R11*#REF!</f>
        <v>#REF!</v>
      </c>
      <c r="V11" s="749" t="e">
        <f>R11*#REF!</f>
        <v>#REF!</v>
      </c>
      <c r="W11" s="749">
        <f>S11*$Y$56</f>
        <v>2282.24097133943</v>
      </c>
      <c r="X11" s="749">
        <f>S11*$Y$57</f>
        <v>1621.0278771138494</v>
      </c>
      <c r="Y11" s="749">
        <v>2366.94</v>
      </c>
      <c r="Z11" s="749">
        <v>3391.7</v>
      </c>
      <c r="AA11" s="752">
        <v>4288.66</v>
      </c>
      <c r="AB11" s="722">
        <v>5134</v>
      </c>
      <c r="AC11" s="712">
        <f>AC10*AC12</f>
        <v>4477.8998019942155</v>
      </c>
      <c r="AD11" s="712">
        <f>AD10*AD12</f>
        <v>2650.9130129719174</v>
      </c>
      <c r="AE11" s="712">
        <f>AE10*AE12</f>
        <v>1791.1628104108026</v>
      </c>
      <c r="AF11" s="3127">
        <f t="shared" si="0"/>
        <v>1.1615394895904076</v>
      </c>
      <c r="AG11" s="3127">
        <f t="shared" si="1"/>
        <v>1.1049549706695168</v>
      </c>
      <c r="AH11" s="749">
        <v>2092.0300000000002</v>
      </c>
      <c r="AI11" s="2720">
        <v>3102.56</v>
      </c>
      <c r="AJ11" s="2720">
        <f t="shared" si="5"/>
        <v>4002.3199999999997</v>
      </c>
      <c r="AK11" s="2720">
        <v>2364.4899999999998</v>
      </c>
      <c r="AL11" s="2721">
        <v>1637.83</v>
      </c>
      <c r="AM11" s="726">
        <f>AM10*AM12</f>
        <v>5232.8032102309808</v>
      </c>
      <c r="AN11" s="712">
        <f>AN10*AN12</f>
        <v>3118.7507132976643</v>
      </c>
      <c r="AO11" s="712">
        <f>AO10*AO12</f>
        <v>2114.0524969333164</v>
      </c>
      <c r="AP11" s="3127">
        <f t="shared" si="2"/>
        <v>1.1764817246120263</v>
      </c>
      <c r="AQ11" s="3128">
        <f t="shared" si="3"/>
        <v>1.1802681948540787</v>
      </c>
      <c r="AR11" s="2206">
        <f>AR10*AR12</f>
        <v>4700.5285500783812</v>
      </c>
      <c r="AS11" s="2203">
        <f>AR11*$AO$56</f>
        <v>2557.8160328491103</v>
      </c>
      <c r="AT11" s="2203">
        <f>AR11*$AO$57</f>
        <v>2117.3818505829313</v>
      </c>
      <c r="AU11" s="3129">
        <f t="shared" si="10"/>
        <v>0.96488116370954147</v>
      </c>
      <c r="AV11" s="3129">
        <f t="shared" si="11"/>
        <v>1.1821269614777845</v>
      </c>
      <c r="AW11" s="3130"/>
      <c r="AX11" s="3150">
        <f t="shared" si="6"/>
        <v>2032.17</v>
      </c>
      <c r="AY11" s="3151">
        <v>1179.6600000000001</v>
      </c>
      <c r="AZ11" s="3151">
        <v>852.51</v>
      </c>
      <c r="BA11" s="3151">
        <f t="shared" si="7"/>
        <v>3095.95</v>
      </c>
      <c r="BB11" s="3151">
        <v>1785.27</v>
      </c>
      <c r="BC11" s="3151">
        <v>1310.68</v>
      </c>
      <c r="BD11" s="3151">
        <f t="shared" si="8"/>
        <v>4159.7300000000005</v>
      </c>
      <c r="BE11" s="3648">
        <f>SUM(AY11+((BB11-AY11)/3*6))</f>
        <v>2390.88</v>
      </c>
      <c r="BF11" s="3649">
        <f>SUM(AZ11+((BC11-AZ11)/3*6))</f>
        <v>1768.8500000000001</v>
      </c>
      <c r="BG11" s="3352">
        <f>BG10*BG12</f>
        <v>5173.7401827187032</v>
      </c>
      <c r="BH11" s="3353">
        <f>SUM(BG11*AQ56)</f>
        <v>3052.5067078040347</v>
      </c>
      <c r="BI11" s="3353">
        <f>SUM(BG11*AQ57)</f>
        <v>2121.233474914668</v>
      </c>
      <c r="BJ11" s="3362">
        <f t="shared" ref="BJ11:BJ49" si="14">BH11/AS11</f>
        <v>1.1934035398174812</v>
      </c>
      <c r="BK11" s="3363">
        <f t="shared" ref="BK11:BK49" si="15">BI11/AT11</f>
        <v>1.0018190504139233</v>
      </c>
      <c r="BL11" s="3348">
        <f t="shared" si="9"/>
        <v>4983.923416362607</v>
      </c>
      <c r="BM11" s="3668">
        <f>BL11*AT56</f>
        <v>2966.8922618082838</v>
      </c>
      <c r="BN11" s="3668">
        <f>BL11*AT57</f>
        <v>2017.0311545543234</v>
      </c>
      <c r="BO11" s="3669">
        <f t="shared" si="12"/>
        <v>1.1599318417374647</v>
      </c>
      <c r="BP11" s="3669">
        <f t="shared" si="13"/>
        <v>0.95260623585633331</v>
      </c>
      <c r="BQ11" s="3670"/>
      <c r="BR11" s="3123"/>
      <c r="BS11" s="3123"/>
      <c r="BT11" s="3123"/>
      <c r="BU11" s="3123"/>
      <c r="BV11" s="3123"/>
      <c r="BW11" s="3123"/>
    </row>
    <row r="12" spans="1:75" s="181" customFormat="1" ht="15">
      <c r="A12" s="753" t="s">
        <v>312</v>
      </c>
      <c r="B12" s="754"/>
      <c r="C12" s="755"/>
      <c r="D12" s="632"/>
      <c r="E12" s="755"/>
      <c r="F12" s="632"/>
      <c r="G12" s="632"/>
      <c r="H12" s="632"/>
      <c r="I12" s="184">
        <f t="shared" ref="I12:R12" si="16">I11/I10</f>
        <v>0.30199999999999999</v>
      </c>
      <c r="J12" s="184">
        <f t="shared" si="16"/>
        <v>0.28723362195073732</v>
      </c>
      <c r="K12" s="184">
        <f t="shared" si="16"/>
        <v>0.30199718517525637</v>
      </c>
      <c r="L12" s="184">
        <f t="shared" si="16"/>
        <v>0.2648646375145457</v>
      </c>
      <c r="M12" s="184">
        <f t="shared" si="16"/>
        <v>1.1269732144618785</v>
      </c>
      <c r="N12" s="184">
        <f t="shared" si="16"/>
        <v>0.30200000000000005</v>
      </c>
      <c r="O12" s="182">
        <f t="shared" si="16"/>
        <v>0.28936102742983982</v>
      </c>
      <c r="P12" s="182">
        <f t="shared" si="16"/>
        <v>0.27268177527733439</v>
      </c>
      <c r="Q12" s="719">
        <f t="shared" si="16"/>
        <v>0.25802089950636137</v>
      </c>
      <c r="R12" s="727">
        <f t="shared" si="16"/>
        <v>0.3019975913997503</v>
      </c>
      <c r="S12" s="711">
        <f>P12</f>
        <v>0.27268177527733439</v>
      </c>
      <c r="T12" s="711">
        <f>S12/N12</f>
        <v>0.90291978568653763</v>
      </c>
      <c r="U12" s="756">
        <f>R12</f>
        <v>0.3019975913997503</v>
      </c>
      <c r="V12" s="756">
        <f>R12</f>
        <v>0.3019975913997503</v>
      </c>
      <c r="W12" s="757">
        <f>S12</f>
        <v>0.27268177527733439</v>
      </c>
      <c r="X12" s="757">
        <f>S12</f>
        <v>0.27268177527733439</v>
      </c>
      <c r="Y12" s="711">
        <f>Y11/Y10</f>
        <v>0.30074368288843234</v>
      </c>
      <c r="Z12" s="711">
        <f>Z11/Z10</f>
        <v>0.2921451483422397</v>
      </c>
      <c r="AA12" s="729">
        <f>AA11/AA10</f>
        <v>0.2798290486754535</v>
      </c>
      <c r="AB12" s="723">
        <f>AB11/AB10</f>
        <v>0.30199999999999999</v>
      </c>
      <c r="AC12" s="711">
        <f>Z12</f>
        <v>0.2921451483422397</v>
      </c>
      <c r="AD12" s="757">
        <f>AC12</f>
        <v>0.2921451483422397</v>
      </c>
      <c r="AE12" s="757">
        <f>AC12</f>
        <v>0.2921451483422397</v>
      </c>
      <c r="AF12" s="3127">
        <f t="shared" si="0"/>
        <v>1.07137760873498</v>
      </c>
      <c r="AG12" s="3127">
        <f t="shared" si="1"/>
        <v>1.07137760873498</v>
      </c>
      <c r="AH12" s="711">
        <f>AH11/AH10</f>
        <v>0.28112825956957893</v>
      </c>
      <c r="AI12" s="2722">
        <f>AI11/AI10</f>
        <v>0.27929854884591843</v>
      </c>
      <c r="AJ12" s="2722">
        <f t="shared" ref="AJ12:AL12" si="17">AJ11/AJ10</f>
        <v>0.27640789626347395</v>
      </c>
      <c r="AK12" s="2722">
        <f t="shared" si="17"/>
        <v>0.27649938256590639</v>
      </c>
      <c r="AL12" s="2722">
        <f t="shared" si="17"/>
        <v>0.27627592675060386</v>
      </c>
      <c r="AM12" s="727">
        <f>AA12</f>
        <v>0.2798290486754535</v>
      </c>
      <c r="AN12" s="757">
        <f>AM12</f>
        <v>0.2798290486754535</v>
      </c>
      <c r="AO12" s="757">
        <f>AM12</f>
        <v>0.2798290486754535</v>
      </c>
      <c r="AP12" s="3127">
        <f t="shared" si="2"/>
        <v>0.95784253225948413</v>
      </c>
      <c r="AQ12" s="3128">
        <f t="shared" si="3"/>
        <v>0.95784253225948413</v>
      </c>
      <c r="AR12" s="2207">
        <f>AA12</f>
        <v>0.2798290486754535</v>
      </c>
      <c r="AS12" s="2204">
        <f>AR12</f>
        <v>0.2798290486754535</v>
      </c>
      <c r="AT12" s="2204">
        <f>AS12</f>
        <v>0.2798290486754535</v>
      </c>
      <c r="AU12" s="3129">
        <f t="shared" si="10"/>
        <v>0.95784253225948413</v>
      </c>
      <c r="AV12" s="3129">
        <f t="shared" si="11"/>
        <v>0.95784253225948413</v>
      </c>
      <c r="AW12" s="3130"/>
      <c r="AX12" s="3152">
        <f t="shared" ref="AX12:AZ12" si="18">AX11/AX10</f>
        <v>0.3002939146805137</v>
      </c>
      <c r="AY12" s="3153">
        <f t="shared" si="18"/>
        <v>0.30029248772391604</v>
      </c>
      <c r="AZ12" s="3153">
        <f t="shared" si="18"/>
        <v>0.30029588925287964</v>
      </c>
      <c r="BA12" s="3153">
        <f t="shared" ref="BA12:BC12" si="19">BA11/BA10</f>
        <v>0.29927104670192367</v>
      </c>
      <c r="BB12" s="3153">
        <f t="shared" si="19"/>
        <v>0.29931545089202632</v>
      </c>
      <c r="BC12" s="3153">
        <f t="shared" si="19"/>
        <v>0.2992105851896833</v>
      </c>
      <c r="BD12" s="3153">
        <f t="shared" ref="BD12:BF12" si="20">BD11/BD10</f>
        <v>0.29877387024184299</v>
      </c>
      <c r="BE12" s="3650">
        <f t="shared" si="20"/>
        <v>0.29883571959778266</v>
      </c>
      <c r="BF12" s="3651">
        <f t="shared" si="20"/>
        <v>0.29869031175173338</v>
      </c>
      <c r="BG12" s="3354">
        <v>0.28000000000000003</v>
      </c>
      <c r="BH12" s="3355">
        <f>BG12</f>
        <v>0.28000000000000003</v>
      </c>
      <c r="BI12" s="3355">
        <f>BG12</f>
        <v>0.28000000000000003</v>
      </c>
      <c r="BJ12" s="3362">
        <f t="shared" si="14"/>
        <v>1.0006109134321677</v>
      </c>
      <c r="BK12" s="3363">
        <f t="shared" si="15"/>
        <v>1.0006109134321677</v>
      </c>
      <c r="BL12" s="3664">
        <f>SUM(BL11/BL10)</f>
        <v>0.27982904867545355</v>
      </c>
      <c r="BM12" s="3671">
        <f>BL12</f>
        <v>0.27982904867545355</v>
      </c>
      <c r="BN12" s="3671">
        <f>BM12</f>
        <v>0.27982904867545355</v>
      </c>
      <c r="BO12" s="3669">
        <f t="shared" si="12"/>
        <v>1.0000000000000002</v>
      </c>
      <c r="BP12" s="3669">
        <f t="shared" si="13"/>
        <v>1.0000000000000002</v>
      </c>
      <c r="BQ12" s="3670"/>
      <c r="BR12" s="3131"/>
      <c r="BS12" s="3131"/>
      <c r="BT12" s="3131"/>
      <c r="BU12" s="3131"/>
      <c r="BV12" s="3131"/>
      <c r="BW12" s="3131"/>
    </row>
    <row r="13" spans="1:75" s="185" customFormat="1" ht="15">
      <c r="A13" s="748" t="s">
        <v>313</v>
      </c>
      <c r="B13" s="731"/>
      <c r="C13" s="2935"/>
      <c r="D13" s="183"/>
      <c r="E13" s="2935"/>
      <c r="F13" s="183"/>
      <c r="G13" s="183"/>
      <c r="H13" s="183"/>
      <c r="I13" s="182"/>
      <c r="J13" s="182"/>
      <c r="K13" s="182"/>
      <c r="L13" s="182"/>
      <c r="M13" s="182"/>
      <c r="N13" s="183">
        <v>29</v>
      </c>
      <c r="O13" s="183">
        <v>29</v>
      </c>
      <c r="P13" s="183">
        <v>29</v>
      </c>
      <c r="Q13" s="717">
        <v>29</v>
      </c>
      <c r="R13" s="725">
        <v>29</v>
      </c>
      <c r="S13" s="715">
        <v>29</v>
      </c>
      <c r="T13" s="711"/>
      <c r="U13" s="749" t="e">
        <f>R13*#REF!</f>
        <v>#REF!</v>
      </c>
      <c r="V13" s="749" t="e">
        <f>R13*#REF!</f>
        <v>#REF!</v>
      </c>
      <c r="W13" s="749">
        <f>S13*$Y$56</f>
        <v>16.558392951775303</v>
      </c>
      <c r="X13" s="749">
        <f>S13*$Y$57</f>
        <v>11.76107909379968</v>
      </c>
      <c r="Y13" s="749">
        <v>29</v>
      </c>
      <c r="Z13" s="749">
        <v>29</v>
      </c>
      <c r="AA13" s="752">
        <v>29</v>
      </c>
      <c r="AB13" s="721">
        <v>29</v>
      </c>
      <c r="AC13" s="715">
        <f>29-29*Y58</f>
        <v>28.42</v>
      </c>
      <c r="AD13" s="749">
        <f>AC13*AG56</f>
        <v>16.824616708732517</v>
      </c>
      <c r="AE13" s="749">
        <f>AC13*AG57</f>
        <v>11.368018339580697</v>
      </c>
      <c r="AF13" s="3127">
        <f t="shared" si="0"/>
        <v>1.0160778740867284</v>
      </c>
      <c r="AG13" s="3127">
        <f t="shared" si="1"/>
        <v>0.96657953312921774</v>
      </c>
      <c r="AH13" s="749">
        <v>27</v>
      </c>
      <c r="AI13" s="2720">
        <v>27</v>
      </c>
      <c r="AJ13" s="2720">
        <f>SUM(AK13)</f>
        <v>27</v>
      </c>
      <c r="AK13" s="5435">
        <v>27</v>
      </c>
      <c r="AL13" s="5436"/>
      <c r="AM13" s="725">
        <f>29-29*AD58</f>
        <v>29</v>
      </c>
      <c r="AN13" s="749">
        <f>AM13*AI56</f>
        <v>17.283999999999999</v>
      </c>
      <c r="AO13" s="749">
        <f>AM13*AI57</f>
        <v>11.716000000000001</v>
      </c>
      <c r="AP13" s="3127">
        <f t="shared" si="2"/>
        <v>1.0273042351704242</v>
      </c>
      <c r="AQ13" s="3128">
        <f t="shared" si="3"/>
        <v>1.0306105822514129</v>
      </c>
      <c r="AR13" s="2205">
        <v>29</v>
      </c>
      <c r="AS13" s="2203">
        <f>AR13*$AO$56</f>
        <v>15.780494504471694</v>
      </c>
      <c r="AT13" s="2203">
        <f>AR13*$AO$57</f>
        <v>13.063227467447485</v>
      </c>
      <c r="AU13" s="3129">
        <f t="shared" si="10"/>
        <v>0.93794080291178994</v>
      </c>
      <c r="AV13" s="3129">
        <f t="shared" si="11"/>
        <v>1.1491209001629139</v>
      </c>
      <c r="AW13" s="3130"/>
      <c r="AX13" s="3150">
        <f>SUM(AY13)</f>
        <v>26</v>
      </c>
      <c r="AY13" s="5484">
        <v>26</v>
      </c>
      <c r="AZ13" s="5485"/>
      <c r="BA13" s="3151">
        <f>SUM(BB13)</f>
        <v>26</v>
      </c>
      <c r="BB13" s="5484">
        <v>26</v>
      </c>
      <c r="BC13" s="5485"/>
      <c r="BD13" s="3151">
        <f>SUM(BE13)</f>
        <v>26</v>
      </c>
      <c r="BE13" s="5535">
        <v>26</v>
      </c>
      <c r="BF13" s="5536"/>
      <c r="BG13" s="3350">
        <f>SUM(BH13:BI13)</f>
        <v>29</v>
      </c>
      <c r="BH13" s="3351">
        <v>15.95</v>
      </c>
      <c r="BI13" s="3351">
        <v>13.05</v>
      </c>
      <c r="BJ13" s="3362">
        <f t="shared" si="14"/>
        <v>1.0107414565164781</v>
      </c>
      <c r="BK13" s="3363">
        <f t="shared" si="15"/>
        <v>0.99898742730458867</v>
      </c>
      <c r="BL13" s="3665">
        <v>29</v>
      </c>
      <c r="BM13" s="3668">
        <f>BL13*$AO$56</f>
        <v>15.780494504471694</v>
      </c>
      <c r="BN13" s="3668">
        <f>BL13*$AO$57</f>
        <v>13.063227467447485</v>
      </c>
      <c r="BO13" s="3669">
        <f t="shared" si="12"/>
        <v>1</v>
      </c>
      <c r="BP13" s="3669">
        <f t="shared" si="13"/>
        <v>1</v>
      </c>
      <c r="BQ13" s="3670"/>
      <c r="BR13" s="3132"/>
      <c r="BS13" s="3132"/>
      <c r="BT13" s="3132"/>
      <c r="BU13" s="3132"/>
      <c r="BV13" s="3132"/>
      <c r="BW13" s="3132"/>
    </row>
    <row r="14" spans="1:75" s="186" customFormat="1" ht="30">
      <c r="A14" s="758" t="s">
        <v>314</v>
      </c>
      <c r="B14" s="731"/>
      <c r="C14" s="2935"/>
      <c r="D14" s="183"/>
      <c r="E14" s="2935"/>
      <c r="F14" s="183"/>
      <c r="G14" s="183"/>
      <c r="H14" s="183"/>
      <c r="I14" s="182"/>
      <c r="J14" s="182"/>
      <c r="K14" s="182"/>
      <c r="L14" s="182"/>
      <c r="M14" s="182"/>
      <c r="N14" s="187">
        <f t="shared" ref="N14:S14" si="21">N10/N13/12*1000</f>
        <v>39887.979310344825</v>
      </c>
      <c r="O14" s="187">
        <f t="shared" si="21"/>
        <v>23560.632183908045</v>
      </c>
      <c r="P14" s="187">
        <f t="shared" si="21"/>
        <v>36616.673204022991</v>
      </c>
      <c r="Q14" s="718">
        <f t="shared" si="21"/>
        <v>49305.45977011494</v>
      </c>
      <c r="R14" s="726">
        <f t="shared" si="21"/>
        <v>52016.666666666657</v>
      </c>
      <c r="S14" s="712">
        <f t="shared" si="21"/>
        <v>42121.706151724131</v>
      </c>
      <c r="T14" s="711"/>
      <c r="U14" s="749">
        <f>R14</f>
        <v>52016.666666666657</v>
      </c>
      <c r="V14" s="749">
        <f>R14</f>
        <v>52016.666666666657</v>
      </c>
      <c r="W14" s="749">
        <f>S14</f>
        <v>42121.706151724131</v>
      </c>
      <c r="X14" s="749">
        <f>S14</f>
        <v>42121.706151724131</v>
      </c>
      <c r="Y14" s="712">
        <f>Y10/Y13/6*1000</f>
        <v>45231.551724137935</v>
      </c>
      <c r="Z14" s="712">
        <f>Z10/Z13/9*1000</f>
        <v>44481.379310344826</v>
      </c>
      <c r="AA14" s="730">
        <f>SUM(AA10/AA13/12)*1000</f>
        <v>44040.229885057473</v>
      </c>
      <c r="AB14" s="722">
        <f>AB10/AB13/12*1000</f>
        <v>48850.574712643684</v>
      </c>
      <c r="AC14" s="712">
        <f>S14*1.067</f>
        <v>44943.860463889643</v>
      </c>
      <c r="AD14" s="749">
        <f>W14*1.067</f>
        <v>44943.860463889643</v>
      </c>
      <c r="AE14" s="749">
        <f>AD14</f>
        <v>44943.860463889643</v>
      </c>
      <c r="AF14" s="3127">
        <f t="shared" si="0"/>
        <v>1.0669999999999999</v>
      </c>
      <c r="AG14" s="3127">
        <f t="shared" si="1"/>
        <v>1.0669999999999999</v>
      </c>
      <c r="AH14" s="712">
        <f>AH10/AH13/6*1000</f>
        <v>45935.493827160491</v>
      </c>
      <c r="AI14" s="2723">
        <f>AI10/AI13/9*1000</f>
        <v>45713.580246913582</v>
      </c>
      <c r="AJ14" s="2723">
        <f>SUM(AJ10/AJ13/12)*1000</f>
        <v>44690.617283950618</v>
      </c>
      <c r="AK14" s="2723">
        <f>SUM(AK10+AL10)/AK13/12*1000</f>
        <v>44690.617283950618</v>
      </c>
      <c r="AL14" s="2723">
        <f>SUM(AK10+AL10)/AK13/12*1000</f>
        <v>44690.617283950618</v>
      </c>
      <c r="AM14" s="726">
        <f>SUM(AM10/AM13/12)*1000</f>
        <v>53735.632183908048</v>
      </c>
      <c r="AN14" s="749">
        <f>SUM(AM14)</f>
        <v>53735.632183908048</v>
      </c>
      <c r="AO14" s="749">
        <f>AN14</f>
        <v>53735.632183908048</v>
      </c>
      <c r="AP14" s="3127">
        <f t="shared" si="2"/>
        <v>1.1956167456305227</v>
      </c>
      <c r="AQ14" s="3128">
        <f t="shared" si="3"/>
        <v>1.1956167456305227</v>
      </c>
      <c r="AR14" s="2206">
        <f>AC14*1.074</f>
        <v>48269.70613821748</v>
      </c>
      <c r="AS14" s="2203">
        <f>AR14</f>
        <v>48269.70613821748</v>
      </c>
      <c r="AT14" s="2203">
        <f>AS14</f>
        <v>48269.70613821748</v>
      </c>
      <c r="AU14" s="3129">
        <f t="shared" si="10"/>
        <v>1.0740000000000001</v>
      </c>
      <c r="AV14" s="3129">
        <f t="shared" si="11"/>
        <v>1.0740000000000001</v>
      </c>
      <c r="AW14" s="3133" t="s">
        <v>1508</v>
      </c>
      <c r="AX14" s="3154">
        <f>SUM(AX10/AX13/12)*1000</f>
        <v>21689.967948717949</v>
      </c>
      <c r="AY14" s="3155">
        <f>SUM(AY10+AZ10)/AY13/6*1000</f>
        <v>43379.935897435898</v>
      </c>
      <c r="AZ14" s="3155">
        <f>SUM(AY10+AZ10)/AY13/6*1000</f>
        <v>43379.935897435898</v>
      </c>
      <c r="BA14" s="3155">
        <f>SUM(BA10/BA13/12)*1000</f>
        <v>33156.955128205132</v>
      </c>
      <c r="BB14" s="3155">
        <f>SUM(BB10+BC10)/BB13/9*1000</f>
        <v>44209.273504273515</v>
      </c>
      <c r="BC14" s="3155">
        <f>SUM(BB10+BC10)/BB13/9*1000</f>
        <v>44209.273504273515</v>
      </c>
      <c r="BD14" s="3155">
        <f>SUM(BD10/BD13/12)*1000</f>
        <v>44623.942307692319</v>
      </c>
      <c r="BE14" s="3652">
        <f>SUM(BE10+BF10)/BE13/12*1000</f>
        <v>44623.942307692319</v>
      </c>
      <c r="BF14" s="3653">
        <f>SUM(BE10+BF10)/BE13/12*1000</f>
        <v>44623.942307692319</v>
      </c>
      <c r="BG14" s="3352">
        <f>SUM(AR14*1.1)</f>
        <v>53096.676752039231</v>
      </c>
      <c r="BH14" s="3351">
        <f>SUM(AS14*1.1)</f>
        <v>53096.676752039231</v>
      </c>
      <c r="BI14" s="3351">
        <f>SUM(AT14*1.1)</f>
        <v>53096.676752039231</v>
      </c>
      <c r="BJ14" s="3362">
        <f t="shared" si="14"/>
        <v>1.1000000000000001</v>
      </c>
      <c r="BK14" s="3363">
        <f t="shared" si="15"/>
        <v>1.1000000000000001</v>
      </c>
      <c r="BL14" s="3666">
        <f>SUM(BL10/BL13/12)*1000</f>
        <v>51179.886721290604</v>
      </c>
      <c r="BM14" s="3668">
        <f>BL14</f>
        <v>51179.886721290604</v>
      </c>
      <c r="BN14" s="3668">
        <f>BM14</f>
        <v>51179.886721290604</v>
      </c>
      <c r="BO14" s="3669">
        <f t="shared" si="12"/>
        <v>1.06029</v>
      </c>
      <c r="BP14" s="3669">
        <f t="shared" si="13"/>
        <v>1.06029</v>
      </c>
      <c r="BQ14" s="3672"/>
      <c r="BR14" s="3123"/>
      <c r="BS14" s="3123"/>
      <c r="BT14" s="3123"/>
      <c r="BU14" s="3123"/>
      <c r="BV14" s="3123"/>
      <c r="BW14" s="3123"/>
    </row>
    <row r="15" spans="1:75" ht="38.25">
      <c r="A15" s="748" t="s">
        <v>32</v>
      </c>
      <c r="B15" s="731">
        <v>142.5</v>
      </c>
      <c r="C15" s="2935">
        <v>344.3</v>
      </c>
      <c r="D15" s="632">
        <f t="shared" ref="D15:D24" si="22">C15/B15*100</f>
        <v>241.61403508771932</v>
      </c>
      <c r="E15" s="2935">
        <v>436.2</v>
      </c>
      <c r="F15" s="632">
        <f>E15/C15*100</f>
        <v>126.69183851292476</v>
      </c>
      <c r="G15" s="183">
        <f>219.6+211.5+61.1</f>
        <v>492.20000000000005</v>
      </c>
      <c r="H15" s="632">
        <f t="shared" ref="H15:H24" si="23">G15/E15*100</f>
        <v>112.83814763869786</v>
      </c>
      <c r="I15" s="187">
        <v>371.4</v>
      </c>
      <c r="J15" s="187">
        <f>205.9+142</f>
        <v>347.9</v>
      </c>
      <c r="K15" s="187">
        <f>J15/9*12</f>
        <v>463.86666666666662</v>
      </c>
      <c r="L15" s="187">
        <v>473.9</v>
      </c>
      <c r="M15" s="634">
        <f t="shared" ref="M15:M23" si="24">K15/G15*100</f>
        <v>94.243532439387764</v>
      </c>
      <c r="N15" s="187">
        <v>486.59613333333323</v>
      </c>
      <c r="O15" s="187">
        <f>221.8+105.4</f>
        <v>327.20000000000005</v>
      </c>
      <c r="P15" s="187">
        <f>318.79145+167.22607</f>
        <v>486.01751999999999</v>
      </c>
      <c r="Q15" s="718">
        <v>654.70000000000005</v>
      </c>
      <c r="R15" s="726">
        <v>679.8</v>
      </c>
      <c r="S15" s="715">
        <f>N15*1.048</f>
        <v>509.95274773333324</v>
      </c>
      <c r="T15" s="711">
        <f>S15/N15</f>
        <v>1.048</v>
      </c>
      <c r="U15" s="749" t="e">
        <f>R15*#REF!</f>
        <v>#REF!</v>
      </c>
      <c r="V15" s="749" t="e">
        <f>R15*#REF!</f>
        <v>#REF!</v>
      </c>
      <c r="W15" s="749">
        <f t="shared" ref="W15:W47" si="25">S15*$Y$56</f>
        <v>291.17234426917497</v>
      </c>
      <c r="X15" s="749">
        <f t="shared" ref="X15:X47" si="26">S15*$Y$57</f>
        <v>206.81360690317956</v>
      </c>
      <c r="Y15" s="749">
        <v>313.62</v>
      </c>
      <c r="Z15" s="749">
        <v>419.82</v>
      </c>
      <c r="AA15" s="752">
        <v>568.21</v>
      </c>
      <c r="AB15" s="722">
        <v>525.29999999999995</v>
      </c>
      <c r="AC15" s="715">
        <f>AB15</f>
        <v>525.29999999999995</v>
      </c>
      <c r="AD15" s="749">
        <f t="shared" ref="AD15:AD41" si="27">AC15*$AG$56</f>
        <v>310.97716949673435</v>
      </c>
      <c r="AE15" s="749">
        <f t="shared" ref="AE15:AE41" si="28">AC15*$AG$57</f>
        <v>210.12033897894929</v>
      </c>
      <c r="AF15" s="3127">
        <f t="shared" si="0"/>
        <v>1.0680175353784656</v>
      </c>
      <c r="AG15" s="3127">
        <f t="shared" si="1"/>
        <v>1.0159889483350957</v>
      </c>
      <c r="AH15" s="749">
        <v>230.39</v>
      </c>
      <c r="AI15" s="2720">
        <v>322.31</v>
      </c>
      <c r="AJ15" s="2720">
        <f>SUM(AK15:AL15)</f>
        <v>387.88</v>
      </c>
      <c r="AK15" s="2720">
        <f>121.77+106.91</f>
        <v>228.68</v>
      </c>
      <c r="AL15" s="2721">
        <f>84.3+74.9</f>
        <v>159.19999999999999</v>
      </c>
      <c r="AM15" s="725">
        <f>SUM(AA15*1.1)</f>
        <v>625.03100000000006</v>
      </c>
      <c r="AN15" s="749">
        <f>AM15*AI56</f>
        <v>372.51847600000002</v>
      </c>
      <c r="AO15" s="749">
        <f>AM15*AI57</f>
        <v>252.51252400000004</v>
      </c>
      <c r="AP15" s="3127">
        <f t="shared" si="2"/>
        <v>1.1978965420608214</v>
      </c>
      <c r="AQ15" s="3128">
        <f t="shared" si="3"/>
        <v>1.2017519352341126</v>
      </c>
      <c r="AR15" s="2205">
        <f>AH15*2*1.062</f>
        <v>489.34836000000001</v>
      </c>
      <c r="AS15" s="2203">
        <f t="shared" ref="AS15:AS48" si="29">AR15*$AO$56</f>
        <v>266.28134847421506</v>
      </c>
      <c r="AT15" s="2203">
        <f t="shared" ref="AT15:AT48" si="30">AR15*$AO$57</f>
        <v>220.42996336215103</v>
      </c>
      <c r="AU15" s="3129">
        <f t="shared" si="10"/>
        <v>0.85627298269242025</v>
      </c>
      <c r="AV15" s="3129">
        <f t="shared" si="11"/>
        <v>1.0490653329101787</v>
      </c>
      <c r="AW15" s="3133" t="s">
        <v>1507</v>
      </c>
      <c r="AX15" s="3150">
        <f>SUM(AY15:AZ15)</f>
        <v>254.58</v>
      </c>
      <c r="AY15" s="3151">
        <f>57.66+89.76</f>
        <v>147.42000000000002</v>
      </c>
      <c r="AZ15" s="3151">
        <f>41.65+65.51</f>
        <v>107.16</v>
      </c>
      <c r="BA15" s="3151">
        <f>SUM(BB15:BC15)</f>
        <v>365.85</v>
      </c>
      <c r="BB15" s="3151">
        <f>209.69+1.3</f>
        <v>210.99</v>
      </c>
      <c r="BC15" s="3151">
        <f>153.9+0.96</f>
        <v>154.86000000000001</v>
      </c>
      <c r="BD15" s="3151">
        <f>SUM(BE15:BF15)</f>
        <v>477.12</v>
      </c>
      <c r="BE15" s="3648">
        <f t="shared" ref="BE15:BF19" si="31">SUM(AY15+((BB15-AY15)/3*6))</f>
        <v>274.56</v>
      </c>
      <c r="BF15" s="3649">
        <f t="shared" si="31"/>
        <v>202.56000000000003</v>
      </c>
      <c r="BG15" s="3350">
        <f>SUM(AR15*1.1)</f>
        <v>538.28319600000009</v>
      </c>
      <c r="BH15" s="3353">
        <f>SUM(BG15*AQ56)</f>
        <v>317.58708564000005</v>
      </c>
      <c r="BI15" s="3353">
        <f>SUM(BG15*AQ57)</f>
        <v>220.69611036000003</v>
      </c>
      <c r="BJ15" s="3362">
        <f t="shared" si="14"/>
        <v>1.1926749186894443</v>
      </c>
      <c r="BK15" s="3363">
        <f t="shared" si="15"/>
        <v>1.0012073993652657</v>
      </c>
      <c r="BL15" s="3348">
        <f t="shared" ref="BL15:BL48" si="32">AR15*(1-0.01)*(1+0.071)*(1+0)</f>
        <v>518.85117262439996</v>
      </c>
      <c r="BM15" s="3668">
        <f t="shared" ref="BM15:BM48" si="33">BL15*$AO$56</f>
        <v>282.33545097372547</v>
      </c>
      <c r="BN15" s="3668">
        <f t="shared" ref="BN15:BN48" si="34">BL15*$AO$57</f>
        <v>233.7196858532551</v>
      </c>
      <c r="BO15" s="3669">
        <f t="shared" si="12"/>
        <v>1.06029</v>
      </c>
      <c r="BP15" s="3669">
        <f t="shared" si="13"/>
        <v>1.06029</v>
      </c>
      <c r="BQ15" s="3672"/>
      <c r="BR15" s="3123"/>
      <c r="BS15" s="3123"/>
      <c r="BT15" s="3123"/>
      <c r="BU15" s="3123"/>
      <c r="BV15" s="3123"/>
      <c r="BW15" s="3123"/>
    </row>
    <row r="16" spans="1:75" ht="15">
      <c r="A16" s="748" t="s">
        <v>75</v>
      </c>
      <c r="B16" s="731">
        <v>44.6</v>
      </c>
      <c r="C16" s="2935">
        <v>51.8</v>
      </c>
      <c r="D16" s="632">
        <f t="shared" si="22"/>
        <v>116.14349775784751</v>
      </c>
      <c r="E16" s="2935">
        <v>70</v>
      </c>
      <c r="F16" s="632">
        <f>E16/C16*100</f>
        <v>135.13513513513513</v>
      </c>
      <c r="G16" s="183">
        <v>78.5</v>
      </c>
      <c r="H16" s="632">
        <f t="shared" si="23"/>
        <v>112.14285714285714</v>
      </c>
      <c r="I16" s="187">
        <v>73.900000000000006</v>
      </c>
      <c r="J16" s="187">
        <v>49.3</v>
      </c>
      <c r="K16" s="187">
        <f>J16/9*12</f>
        <v>65.733333333333334</v>
      </c>
      <c r="L16" s="187">
        <v>82</v>
      </c>
      <c r="M16" s="634">
        <f t="shared" si="24"/>
        <v>83.736730360934189</v>
      </c>
      <c r="N16" s="187">
        <v>68.954266666666669</v>
      </c>
      <c r="O16" s="187">
        <v>53.5</v>
      </c>
      <c r="P16" s="187">
        <v>54.917679999999997</v>
      </c>
      <c r="Q16" s="718">
        <v>87.8</v>
      </c>
      <c r="R16" s="726">
        <v>94.6</v>
      </c>
      <c r="S16" s="715">
        <f>P16/9*12*1.073</f>
        <v>78.568894186666668</v>
      </c>
      <c r="T16" s="711">
        <f>S16/N16</f>
        <v>1.1394348455111309</v>
      </c>
      <c r="U16" s="749" t="e">
        <f>R16*#REF!</f>
        <v>#REF!</v>
      </c>
      <c r="V16" s="749" t="e">
        <f>R16*#REF!</f>
        <v>#REF!</v>
      </c>
      <c r="W16" s="749">
        <f t="shared" si="25"/>
        <v>44.861193921699339</v>
      </c>
      <c r="X16" s="749">
        <f t="shared" si="26"/>
        <v>31.863964787647053</v>
      </c>
      <c r="Y16" s="749">
        <v>57.93</v>
      </c>
      <c r="Z16" s="749">
        <v>59.6</v>
      </c>
      <c r="AA16" s="752">
        <v>94.03</v>
      </c>
      <c r="AB16" s="722">
        <v>93.9</v>
      </c>
      <c r="AC16" s="715">
        <f>AB16</f>
        <v>93.9</v>
      </c>
      <c r="AD16" s="749">
        <f t="shared" si="27"/>
        <v>55.588723045389983</v>
      </c>
      <c r="AE16" s="749">
        <f t="shared" si="28"/>
        <v>37.560060594181117</v>
      </c>
      <c r="AF16" s="3127">
        <f t="shared" si="0"/>
        <v>1.2391271427687469</v>
      </c>
      <c r="AG16" s="3127">
        <f t="shared" si="1"/>
        <v>1.1787629331282186</v>
      </c>
      <c r="AH16" s="749">
        <v>54.59</v>
      </c>
      <c r="AI16" s="2720">
        <v>56.06</v>
      </c>
      <c r="AJ16" s="2720">
        <f t="shared" ref="AJ16:AJ48" si="35">SUM(AK16:AL16)</f>
        <v>91.5</v>
      </c>
      <c r="AK16" s="2720">
        <v>53.82</v>
      </c>
      <c r="AL16" s="2721">
        <v>37.68</v>
      </c>
      <c r="AM16" s="725">
        <f>SUM(AA16*1.15)</f>
        <v>108.13449999999999</v>
      </c>
      <c r="AN16" s="749">
        <f>AM16*AI56</f>
        <v>64.448161999999996</v>
      </c>
      <c r="AO16" s="749">
        <f>AM16*AI57</f>
        <v>43.686337999999999</v>
      </c>
      <c r="AP16" s="3127">
        <f t="shared" si="2"/>
        <v>1.159374752094521</v>
      </c>
      <c r="AQ16" s="3128">
        <f t="shared" si="3"/>
        <v>1.1631061640717368</v>
      </c>
      <c r="AR16" s="2205">
        <f>AM16</f>
        <v>108.13449999999999</v>
      </c>
      <c r="AS16" s="2203">
        <f t="shared" si="29"/>
        <v>58.841926999786011</v>
      </c>
      <c r="AT16" s="2203">
        <f t="shared" si="30"/>
        <v>48.709847261334481</v>
      </c>
      <c r="AU16" s="3129">
        <f t="shared" si="10"/>
        <v>1.0585227322408481</v>
      </c>
      <c r="AV16" s="3129">
        <f t="shared" si="11"/>
        <v>1.296852201268299</v>
      </c>
      <c r="AW16" s="3130"/>
      <c r="AX16" s="3150">
        <f t="shared" ref="AX16:AX48" si="36">SUM(AY16:AZ16)</f>
        <v>57.44</v>
      </c>
      <c r="AY16" s="3151">
        <v>33.28</v>
      </c>
      <c r="AZ16" s="3151">
        <v>24.16</v>
      </c>
      <c r="BA16" s="3151">
        <f t="shared" ref="BA16:BA48" si="37">SUM(BB16:BC16)</f>
        <v>60.78</v>
      </c>
      <c r="BB16" s="3151">
        <v>35.11</v>
      </c>
      <c r="BC16" s="3151">
        <v>25.67</v>
      </c>
      <c r="BD16" s="3151">
        <f t="shared" ref="BD16:BD48" si="38">SUM(BE16:BF16)</f>
        <v>64.12</v>
      </c>
      <c r="BE16" s="3648">
        <f t="shared" si="31"/>
        <v>36.94</v>
      </c>
      <c r="BF16" s="3649">
        <f t="shared" si="31"/>
        <v>27.180000000000003</v>
      </c>
      <c r="BG16" s="3350">
        <f>SUM(AR16*1.1)</f>
        <v>118.94794999999999</v>
      </c>
      <c r="BH16" s="3353">
        <f>SUM(BG16*AQ56)</f>
        <v>70.179290499999993</v>
      </c>
      <c r="BI16" s="3353">
        <f>SUM(BG16*AQ57)</f>
        <v>48.768659499999991</v>
      </c>
      <c r="BJ16" s="3362">
        <f t="shared" si="14"/>
        <v>1.1926749186894443</v>
      </c>
      <c r="BK16" s="3363">
        <f t="shared" si="15"/>
        <v>1.0012073993652655</v>
      </c>
      <c r="BL16" s="3678">
        <f>SUM(BM16:BN16)</f>
        <v>111.75999999999999</v>
      </c>
      <c r="BM16" s="3679">
        <v>61.15</v>
      </c>
      <c r="BN16" s="3679">
        <v>50.61</v>
      </c>
      <c r="BO16" s="3680">
        <f t="shared" si="12"/>
        <v>1.0392249730404373</v>
      </c>
      <c r="BP16" s="3680">
        <f t="shared" si="13"/>
        <v>1.0390096221914011</v>
      </c>
      <c r="BQ16" s="3670"/>
      <c r="BR16" s="3123"/>
      <c r="BS16" s="3123"/>
      <c r="BT16" s="3123"/>
      <c r="BU16" s="3123"/>
      <c r="BV16" s="3123"/>
      <c r="BW16" s="3123"/>
    </row>
    <row r="17" spans="1:75" ht="38.25">
      <c r="A17" s="748" t="s">
        <v>33</v>
      </c>
      <c r="B17" s="731">
        <v>190.4</v>
      </c>
      <c r="C17" s="2935">
        <v>231.2</v>
      </c>
      <c r="D17" s="632">
        <f t="shared" si="22"/>
        <v>121.42857142857142</v>
      </c>
      <c r="E17" s="2935">
        <v>260.8</v>
      </c>
      <c r="F17" s="632">
        <f>E17/C17*100</f>
        <v>112.80276816608999</v>
      </c>
      <c r="G17" s="183">
        <v>260</v>
      </c>
      <c r="H17" s="632">
        <f t="shared" si="23"/>
        <v>99.693251533742327</v>
      </c>
      <c r="I17" s="187">
        <v>267.8</v>
      </c>
      <c r="J17" s="187">
        <v>218.7</v>
      </c>
      <c r="K17" s="187">
        <f>J17/9*12</f>
        <v>291.59999999999997</v>
      </c>
      <c r="L17" s="187">
        <v>292.10000000000002</v>
      </c>
      <c r="M17" s="634">
        <f t="shared" si="24"/>
        <v>112.15384615384613</v>
      </c>
      <c r="N17" s="187">
        <v>293.7</v>
      </c>
      <c r="O17" s="187">
        <v>149</v>
      </c>
      <c r="P17" s="187">
        <v>215.84181000000001</v>
      </c>
      <c r="Q17" s="718">
        <v>284.7</v>
      </c>
      <c r="R17" s="726">
        <v>330.84</v>
      </c>
      <c r="S17" s="715">
        <f>P17/9*12*1.048</f>
        <v>301.60295584000005</v>
      </c>
      <c r="T17" s="711">
        <f>S17/N17</f>
        <v>1.0269082595846104</v>
      </c>
      <c r="U17" s="749" t="e">
        <f>R17*#REF!</f>
        <v>#REF!</v>
      </c>
      <c r="V17" s="749" t="e">
        <f>R17*#REF!</f>
        <v>#REF!</v>
      </c>
      <c r="W17" s="749">
        <f t="shared" si="25"/>
        <v>172.20897442122947</v>
      </c>
      <c r="X17" s="749">
        <f t="shared" si="26"/>
        <v>122.31642132958663</v>
      </c>
      <c r="Y17" s="749">
        <v>125.67</v>
      </c>
      <c r="Z17" s="749">
        <v>186.94</v>
      </c>
      <c r="AA17" s="752">
        <v>248.97</v>
      </c>
      <c r="AB17" s="722">
        <v>318.5</v>
      </c>
      <c r="AC17" s="715">
        <f>AB17</f>
        <v>318.5</v>
      </c>
      <c r="AD17" s="749">
        <f t="shared" si="27"/>
        <v>188.55173897717475</v>
      </c>
      <c r="AE17" s="749">
        <f t="shared" si="28"/>
        <v>127.40020552978366</v>
      </c>
      <c r="AF17" s="3127">
        <f t="shared" si="0"/>
        <v>1.0949007716402182</v>
      </c>
      <c r="AG17" s="3127">
        <f t="shared" si="1"/>
        <v>1.0415625649028641</v>
      </c>
      <c r="AH17" s="749">
        <v>117.99</v>
      </c>
      <c r="AI17" s="2720">
        <v>174.17</v>
      </c>
      <c r="AJ17" s="2720">
        <f t="shared" si="35"/>
        <v>230.57</v>
      </c>
      <c r="AK17" s="2720">
        <v>135.76</v>
      </c>
      <c r="AL17" s="2721">
        <v>94.81</v>
      </c>
      <c r="AM17" s="725">
        <f t="shared" ref="AM17:AM22" si="39">SUM(AA17*1.1)</f>
        <v>273.86700000000002</v>
      </c>
      <c r="AN17" s="749">
        <f>AM17*AI56</f>
        <v>163.22473200000002</v>
      </c>
      <c r="AO17" s="749">
        <f>AM17*AI57</f>
        <v>110.64226800000002</v>
      </c>
      <c r="AP17" s="3127">
        <f t="shared" si="2"/>
        <v>0.86567608914898042</v>
      </c>
      <c r="AQ17" s="3128">
        <f t="shared" si="3"/>
        <v>0.8684622410136853</v>
      </c>
      <c r="AR17" s="2205">
        <f>AH17*2*1.062</f>
        <v>250.61076</v>
      </c>
      <c r="AS17" s="2203">
        <f t="shared" si="29"/>
        <v>136.3710938255681</v>
      </c>
      <c r="AT17" s="2203">
        <f t="shared" si="30"/>
        <v>112.8891504713755</v>
      </c>
      <c r="AU17" s="3129">
        <f t="shared" si="10"/>
        <v>0.72325556139302738</v>
      </c>
      <c r="AV17" s="3129">
        <f t="shared" si="11"/>
        <v>0.88609865268219079</v>
      </c>
      <c r="AW17" s="3133" t="s">
        <v>1507</v>
      </c>
      <c r="AX17" s="3150">
        <f t="shared" si="36"/>
        <v>117.03</v>
      </c>
      <c r="AY17" s="3151">
        <v>67.930000000000007</v>
      </c>
      <c r="AZ17" s="3151">
        <v>49.1</v>
      </c>
      <c r="BA17" s="3151">
        <f t="shared" si="37"/>
        <v>174.32</v>
      </c>
      <c r="BB17" s="3151">
        <v>100.55</v>
      </c>
      <c r="BC17" s="3151">
        <v>73.77</v>
      </c>
      <c r="BD17" s="3151">
        <f t="shared" si="38"/>
        <v>231.60999999999999</v>
      </c>
      <c r="BE17" s="3648">
        <f t="shared" si="31"/>
        <v>133.16999999999999</v>
      </c>
      <c r="BF17" s="3649">
        <f t="shared" si="31"/>
        <v>98.44</v>
      </c>
      <c r="BG17" s="3350">
        <f>SUM(AR17*1.1)</f>
        <v>275.67183600000004</v>
      </c>
      <c r="BH17" s="3353">
        <f>SUM(BG17*AQ56)</f>
        <v>162.64638324000001</v>
      </c>
      <c r="BI17" s="3353">
        <f>SUM(BG17*AQ57)</f>
        <v>113.02545276000001</v>
      </c>
      <c r="BJ17" s="3362">
        <f t="shared" si="14"/>
        <v>1.1926749186894443</v>
      </c>
      <c r="BK17" s="3363">
        <f t="shared" si="15"/>
        <v>1.0012073993652655</v>
      </c>
      <c r="BL17" s="3348">
        <f t="shared" si="32"/>
        <v>265.7200827204</v>
      </c>
      <c r="BM17" s="3668">
        <f t="shared" si="33"/>
        <v>144.59290707231159</v>
      </c>
      <c r="BN17" s="3668">
        <f t="shared" si="34"/>
        <v>119.69523735329473</v>
      </c>
      <c r="BO17" s="3669">
        <f t="shared" si="12"/>
        <v>1.06029</v>
      </c>
      <c r="BP17" s="3669">
        <f t="shared" si="13"/>
        <v>1.06029</v>
      </c>
      <c r="BQ17" s="3672"/>
      <c r="BR17" s="3123"/>
      <c r="BS17" s="3123"/>
      <c r="BT17" s="3123"/>
      <c r="BU17" s="3123"/>
      <c r="BV17" s="3123"/>
      <c r="BW17" s="3123"/>
    </row>
    <row r="18" spans="1:75" ht="25.5">
      <c r="A18" s="748" t="s">
        <v>34</v>
      </c>
      <c r="B18" s="731">
        <v>36</v>
      </c>
      <c r="C18" s="2935">
        <v>59.4</v>
      </c>
      <c r="D18" s="632">
        <f t="shared" si="22"/>
        <v>165</v>
      </c>
      <c r="E18" s="2935">
        <v>28.1</v>
      </c>
      <c r="F18" s="632">
        <f>E18/C18*100</f>
        <v>47.306397306397308</v>
      </c>
      <c r="G18" s="183">
        <v>89.5</v>
      </c>
      <c r="H18" s="632">
        <f t="shared" si="23"/>
        <v>318.5053380782918</v>
      </c>
      <c r="I18" s="187">
        <v>48.5</v>
      </c>
      <c r="J18" s="187">
        <v>60.2</v>
      </c>
      <c r="K18" s="187">
        <v>60.2</v>
      </c>
      <c r="L18" s="187">
        <v>82.6</v>
      </c>
      <c r="M18" s="634">
        <f t="shared" si="24"/>
        <v>67.262569832402235</v>
      </c>
      <c r="N18" s="187">
        <v>53.4</v>
      </c>
      <c r="O18" s="187">
        <v>57.2</v>
      </c>
      <c r="P18" s="187">
        <v>72.839410000000001</v>
      </c>
      <c r="Q18" s="718">
        <v>111.2</v>
      </c>
      <c r="R18" s="726">
        <v>93.73</v>
      </c>
      <c r="S18" s="715">
        <f>R18</f>
        <v>93.73</v>
      </c>
      <c r="T18" s="711">
        <f>S18/N18</f>
        <v>1.755243445692884</v>
      </c>
      <c r="U18" s="749" t="e">
        <f>R18*#REF!</f>
        <v>#REF!</v>
      </c>
      <c r="V18" s="749" t="e">
        <f>R18*#REF!</f>
        <v>#REF!</v>
      </c>
      <c r="W18" s="749">
        <f t="shared" si="25"/>
        <v>53.517867978272385</v>
      </c>
      <c r="X18" s="749">
        <f t="shared" si="26"/>
        <v>38.012618740063587</v>
      </c>
      <c r="Y18" s="749">
        <v>27.94</v>
      </c>
      <c r="Z18" s="749">
        <v>42.12</v>
      </c>
      <c r="AA18" s="752">
        <v>111.36</v>
      </c>
      <c r="AB18" s="722">
        <v>97.9</v>
      </c>
      <c r="AC18" s="715">
        <f>AB18</f>
        <v>97.9</v>
      </c>
      <c r="AD18" s="749">
        <f t="shared" si="27"/>
        <v>57.956719767238333</v>
      </c>
      <c r="AE18" s="749">
        <f t="shared" si="28"/>
        <v>39.16006317540289</v>
      </c>
      <c r="AF18" s="3127">
        <f t="shared" si="0"/>
        <v>1.0829414914429714</v>
      </c>
      <c r="AG18" s="3127">
        <f t="shared" si="1"/>
        <v>1.0301858823036032</v>
      </c>
      <c r="AH18" s="749">
        <v>23.89</v>
      </c>
      <c r="AI18" s="2720">
        <v>48.14</v>
      </c>
      <c r="AJ18" s="2720">
        <f t="shared" si="35"/>
        <v>90.93</v>
      </c>
      <c r="AK18" s="2720">
        <v>53.22</v>
      </c>
      <c r="AL18" s="2721">
        <v>37.71</v>
      </c>
      <c r="AM18" s="725">
        <f t="shared" si="39"/>
        <v>122.49600000000001</v>
      </c>
      <c r="AN18" s="749">
        <f>AM18*AI56</f>
        <v>73.007615999999999</v>
      </c>
      <c r="AO18" s="749">
        <f>AM18*AI57</f>
        <v>49.488384000000003</v>
      </c>
      <c r="AP18" s="3127">
        <f t="shared" si="2"/>
        <v>1.2596919959101898</v>
      </c>
      <c r="AQ18" s="3128">
        <f t="shared" si="3"/>
        <v>1.2637462758508651</v>
      </c>
      <c r="AR18" s="2205">
        <f>AI18/3*4*1.062</f>
        <v>68.166240000000002</v>
      </c>
      <c r="AS18" s="2203">
        <f t="shared" si="29"/>
        <v>37.092999162430985</v>
      </c>
      <c r="AT18" s="2203">
        <f t="shared" si="30"/>
        <v>30.705899955883361</v>
      </c>
      <c r="AU18" s="3129">
        <f t="shared" si="10"/>
        <v>0.6400120522935262</v>
      </c>
      <c r="AV18" s="3129">
        <f t="shared" si="11"/>
        <v>0.78411262561931372</v>
      </c>
      <c r="AW18" s="3133" t="s">
        <v>1509</v>
      </c>
      <c r="AX18" s="3150">
        <f t="shared" si="36"/>
        <v>73.22</v>
      </c>
      <c r="AY18" s="3151">
        <v>42.54</v>
      </c>
      <c r="AZ18" s="3151">
        <v>30.68</v>
      </c>
      <c r="BA18" s="3151">
        <f t="shared" si="37"/>
        <v>148.93</v>
      </c>
      <c r="BB18" s="3151">
        <v>84.9</v>
      </c>
      <c r="BC18" s="3151">
        <v>64.03</v>
      </c>
      <c r="BD18" s="3151">
        <f t="shared" si="38"/>
        <v>224.64000000000001</v>
      </c>
      <c r="BE18" s="3648">
        <f t="shared" si="31"/>
        <v>127.26000000000002</v>
      </c>
      <c r="BF18" s="3649">
        <f t="shared" si="31"/>
        <v>97.38</v>
      </c>
      <c r="BG18" s="3350">
        <f>SUM(AJ18*1.074*1.1)</f>
        <v>107.42470200000002</v>
      </c>
      <c r="BH18" s="3353">
        <f>SUM(BG18*AQ56)</f>
        <v>63.380574180000011</v>
      </c>
      <c r="BI18" s="3353">
        <f>SUM(BG18*AQ57)</f>
        <v>44.044127820000007</v>
      </c>
      <c r="BJ18" s="3362">
        <f t="shared" si="14"/>
        <v>1.7086937053122939</v>
      </c>
      <c r="BK18" s="3363">
        <f t="shared" si="15"/>
        <v>1.4343864821835646</v>
      </c>
      <c r="BL18" s="3348">
        <f t="shared" si="32"/>
        <v>72.275982609599993</v>
      </c>
      <c r="BM18" s="3668">
        <f t="shared" si="33"/>
        <v>39.329336081933945</v>
      </c>
      <c r="BN18" s="3668">
        <f t="shared" si="34"/>
        <v>32.557158664223564</v>
      </c>
      <c r="BO18" s="3669">
        <f t="shared" si="12"/>
        <v>1.06029</v>
      </c>
      <c r="BP18" s="3669">
        <f t="shared" si="13"/>
        <v>1.06029</v>
      </c>
      <c r="BQ18" s="3672"/>
      <c r="BR18" s="3123"/>
      <c r="BS18" s="3123"/>
      <c r="BT18" s="3123"/>
      <c r="BU18" s="3123"/>
      <c r="BV18" s="3123"/>
      <c r="BW18" s="3123"/>
    </row>
    <row r="19" spans="1:75" ht="15">
      <c r="A19" s="748" t="s">
        <v>9</v>
      </c>
      <c r="B19" s="731">
        <v>154.6</v>
      </c>
      <c r="C19" s="2935"/>
      <c r="D19" s="632">
        <f t="shared" si="22"/>
        <v>0</v>
      </c>
      <c r="E19" s="2935">
        <v>191.2</v>
      </c>
      <c r="F19" s="632"/>
      <c r="G19" s="183">
        <v>6.6</v>
      </c>
      <c r="H19" s="632">
        <f t="shared" si="23"/>
        <v>3.4518828451882846</v>
      </c>
      <c r="I19" s="187">
        <f>C19*1.03</f>
        <v>0</v>
      </c>
      <c r="J19" s="187">
        <v>2</v>
      </c>
      <c r="K19" s="187">
        <v>30</v>
      </c>
      <c r="L19" s="187">
        <v>29.2</v>
      </c>
      <c r="M19" s="634">
        <f t="shared" si="24"/>
        <v>454.54545454545456</v>
      </c>
      <c r="N19" s="187">
        <v>0</v>
      </c>
      <c r="O19" s="187">
        <v>0.3</v>
      </c>
      <c r="P19" s="187">
        <v>0.57765</v>
      </c>
      <c r="Q19" s="718">
        <v>0.6</v>
      </c>
      <c r="R19" s="726">
        <v>30.08</v>
      </c>
      <c r="S19" s="715">
        <f>P19/9*12*1.048</f>
        <v>0.80716960000000004</v>
      </c>
      <c r="T19" s="711"/>
      <c r="U19" s="749" t="e">
        <f>R19*#REF!</f>
        <v>#REF!</v>
      </c>
      <c r="V19" s="749" t="e">
        <f>R19*#REF!</f>
        <v>#REF!</v>
      </c>
      <c r="W19" s="749">
        <f t="shared" si="25"/>
        <v>0.46087694536300999</v>
      </c>
      <c r="X19" s="749">
        <f t="shared" si="26"/>
        <v>0.32735122440381553</v>
      </c>
      <c r="Y19" s="749"/>
      <c r="Z19" s="749"/>
      <c r="AA19" s="752">
        <v>19.600000000000001</v>
      </c>
      <c r="AB19" s="722">
        <v>1</v>
      </c>
      <c r="AC19" s="715">
        <v>0</v>
      </c>
      <c r="AD19" s="749">
        <f t="shared" si="27"/>
        <v>0</v>
      </c>
      <c r="AE19" s="749">
        <f t="shared" si="28"/>
        <v>0</v>
      </c>
      <c r="AF19" s="3127">
        <f t="shared" si="0"/>
        <v>0</v>
      </c>
      <c r="AG19" s="3127">
        <f t="shared" si="1"/>
        <v>0</v>
      </c>
      <c r="AH19" s="749">
        <v>0</v>
      </c>
      <c r="AI19" s="2720">
        <v>0</v>
      </c>
      <c r="AJ19" s="2720">
        <f t="shared" si="35"/>
        <v>2.5700000000000003</v>
      </c>
      <c r="AK19" s="2720">
        <v>1.48</v>
      </c>
      <c r="AL19" s="2721">
        <v>1.0900000000000001</v>
      </c>
      <c r="AM19" s="725">
        <f t="shared" si="39"/>
        <v>21.560000000000002</v>
      </c>
      <c r="AN19" s="749">
        <f>AM19*AI56</f>
        <v>12.849760000000002</v>
      </c>
      <c r="AO19" s="749">
        <f>AM19*AI57</f>
        <v>8.7102400000000006</v>
      </c>
      <c r="AP19" s="3127"/>
      <c r="AQ19" s="3128"/>
      <c r="AR19" s="2205">
        <f>AH19*2*1.071</f>
        <v>0</v>
      </c>
      <c r="AS19" s="2203">
        <f t="shared" si="29"/>
        <v>0</v>
      </c>
      <c r="AT19" s="2203">
        <f t="shared" si="30"/>
        <v>0</v>
      </c>
      <c r="AU19" s="3129"/>
      <c r="AV19" s="3129"/>
      <c r="AW19" s="3130"/>
      <c r="AX19" s="3150">
        <f t="shared" si="36"/>
        <v>0.41000000000000003</v>
      </c>
      <c r="AY19" s="3151">
        <v>0.24</v>
      </c>
      <c r="AZ19" s="3151">
        <v>0.17</v>
      </c>
      <c r="BA19" s="3151">
        <f t="shared" si="37"/>
        <v>0.41000000000000003</v>
      </c>
      <c r="BB19" s="3151">
        <v>0.24</v>
      </c>
      <c r="BC19" s="3151">
        <v>0.17</v>
      </c>
      <c r="BD19" s="3151">
        <f t="shared" si="38"/>
        <v>0.41000000000000003</v>
      </c>
      <c r="BE19" s="3648">
        <f t="shared" si="31"/>
        <v>0.24</v>
      </c>
      <c r="BF19" s="3649">
        <f t="shared" si="31"/>
        <v>0.17</v>
      </c>
      <c r="BG19" s="3350">
        <f>SUM(AJ19*1.074*1.1)</f>
        <v>3.0361980000000006</v>
      </c>
      <c r="BH19" s="3353">
        <f>SUM(BG19*AQ56)</f>
        <v>1.7913568200000003</v>
      </c>
      <c r="BI19" s="3353">
        <f>SUM(BG19*AQ57)</f>
        <v>1.2448411800000001</v>
      </c>
      <c r="BJ19" s="3362" t="e">
        <f t="shared" si="14"/>
        <v>#DIV/0!</v>
      </c>
      <c r="BK19" s="3363" t="e">
        <f t="shared" si="15"/>
        <v>#DIV/0!</v>
      </c>
      <c r="BL19" s="3348">
        <f t="shared" si="32"/>
        <v>0</v>
      </c>
      <c r="BM19" s="3668">
        <f t="shared" si="33"/>
        <v>0</v>
      </c>
      <c r="BN19" s="3668">
        <f t="shared" si="34"/>
        <v>0</v>
      </c>
      <c r="BO19" s="3669"/>
      <c r="BP19" s="3669"/>
      <c r="BQ19" s="3670"/>
      <c r="BR19" s="3123"/>
      <c r="BS19" s="3123"/>
      <c r="BT19" s="3123"/>
      <c r="BU19" s="3123"/>
      <c r="BV19" s="3123"/>
      <c r="BW19" s="3123"/>
    </row>
    <row r="20" spans="1:75" ht="15">
      <c r="A20" s="748" t="s">
        <v>1</v>
      </c>
      <c r="B20" s="731">
        <v>121.5</v>
      </c>
      <c r="C20" s="2935">
        <v>143.30000000000001</v>
      </c>
      <c r="D20" s="632">
        <f t="shared" si="22"/>
        <v>117.94238683127574</v>
      </c>
      <c r="E20" s="2935">
        <v>133</v>
      </c>
      <c r="F20" s="632">
        <f>E20/C20*100</f>
        <v>92.8122819260293</v>
      </c>
      <c r="G20" s="183">
        <v>159.6</v>
      </c>
      <c r="H20" s="632">
        <f t="shared" si="23"/>
        <v>120</v>
      </c>
      <c r="I20" s="187">
        <v>164.8</v>
      </c>
      <c r="J20" s="187">
        <v>96</v>
      </c>
      <c r="K20" s="187">
        <f>J20/9*12</f>
        <v>128</v>
      </c>
      <c r="L20" s="187">
        <v>138.1</v>
      </c>
      <c r="M20" s="634">
        <f t="shared" si="24"/>
        <v>80.200501253132842</v>
      </c>
      <c r="N20" s="187">
        <v>135.68</v>
      </c>
      <c r="O20" s="187">
        <v>67</v>
      </c>
      <c r="P20" s="187">
        <v>102.06036</v>
      </c>
      <c r="Q20" s="718">
        <v>114.5</v>
      </c>
      <c r="R20" s="726">
        <v>164.3</v>
      </c>
      <c r="S20" s="715">
        <f>P20/9*12*1.073</f>
        <v>146.01435504</v>
      </c>
      <c r="T20" s="711">
        <f>S20/N20</f>
        <v>1.0761671214622641</v>
      </c>
      <c r="U20" s="749" t="e">
        <f>R20*#REF!</f>
        <v>#REF!</v>
      </c>
      <c r="V20" s="749" t="e">
        <f>R20*#REF!</f>
        <v>#REF!</v>
      </c>
      <c r="W20" s="749">
        <f t="shared" si="25"/>
        <v>83.371140253529404</v>
      </c>
      <c r="X20" s="749">
        <f t="shared" si="26"/>
        <v>59.216771670882338</v>
      </c>
      <c r="Y20" s="749"/>
      <c r="Z20" s="749"/>
      <c r="AA20" s="752">
        <v>6.61</v>
      </c>
      <c r="AB20" s="722">
        <v>156.9</v>
      </c>
      <c r="AC20" s="715">
        <v>0</v>
      </c>
      <c r="AD20" s="749">
        <f t="shared" si="27"/>
        <v>0</v>
      </c>
      <c r="AE20" s="749">
        <f t="shared" si="28"/>
        <v>0</v>
      </c>
      <c r="AF20" s="3127">
        <f t="shared" si="0"/>
        <v>0</v>
      </c>
      <c r="AG20" s="3127">
        <f t="shared" si="1"/>
        <v>0</v>
      </c>
      <c r="AH20" s="749">
        <v>66.040000000000006</v>
      </c>
      <c r="AI20" s="2720">
        <v>99.61</v>
      </c>
      <c r="AJ20" s="2720">
        <f t="shared" si="35"/>
        <v>136.57999999999998</v>
      </c>
      <c r="AK20" s="2720">
        <v>80.489999999999995</v>
      </c>
      <c r="AL20" s="2721">
        <v>56.09</v>
      </c>
      <c r="AM20" s="725">
        <f t="shared" si="39"/>
        <v>7.2710000000000008</v>
      </c>
      <c r="AN20" s="749">
        <f>AM20*AI56</f>
        <v>4.3335160000000004</v>
      </c>
      <c r="AO20" s="749">
        <f>AM20*AI57</f>
        <v>2.9374840000000004</v>
      </c>
      <c r="AP20" s="3127"/>
      <c r="AQ20" s="3128"/>
      <c r="AR20" s="2205">
        <f>AM20</f>
        <v>7.2710000000000008</v>
      </c>
      <c r="AS20" s="2203">
        <f t="shared" si="29"/>
        <v>3.9565508807590932</v>
      </c>
      <c r="AT20" s="2203">
        <f t="shared" si="30"/>
        <v>3.275266445372782</v>
      </c>
      <c r="AU20" s="3129"/>
      <c r="AV20" s="3129"/>
      <c r="AW20" s="3130"/>
      <c r="AX20" s="3150">
        <f t="shared" si="36"/>
        <v>31.799999999999997</v>
      </c>
      <c r="AY20" s="3151">
        <v>18.45</v>
      </c>
      <c r="AZ20" s="3151">
        <v>13.35</v>
      </c>
      <c r="BA20" s="3151">
        <f t="shared" si="37"/>
        <v>39.880000000000003</v>
      </c>
      <c r="BB20" s="3151">
        <v>23.1</v>
      </c>
      <c r="BC20" s="3151">
        <v>16.78</v>
      </c>
      <c r="BD20" s="3151">
        <f t="shared" si="38"/>
        <v>47.960000000000008</v>
      </c>
      <c r="BE20" s="3648">
        <f t="shared" ref="BE20:BE25" si="40">SUM(AY20+((BB20-AY20)/3*6))</f>
        <v>27.750000000000004</v>
      </c>
      <c r="BF20" s="3649">
        <f t="shared" ref="BF20:BF25" si="41">SUM(AZ20+((BC20-AZ20)/3*6))</f>
        <v>20.21</v>
      </c>
      <c r="BG20" s="3350">
        <f>SUM(AJ20*1.074*1.1)</f>
        <v>161.35561200000001</v>
      </c>
      <c r="BH20" s="3353">
        <f>SUM(BG20*AQ56)</f>
        <v>95.199811080000003</v>
      </c>
      <c r="BI20" s="3353">
        <f>SUM(BG20*AQ57)</f>
        <v>66.155800920000004</v>
      </c>
      <c r="BJ20" s="3362">
        <f t="shared" si="14"/>
        <v>24.061313489726999</v>
      </c>
      <c r="BK20" s="3363">
        <f t="shared" si="15"/>
        <v>20.198601250735901</v>
      </c>
      <c r="BL20" s="3678">
        <f>SUM(BM20:BN20)</f>
        <v>7.73</v>
      </c>
      <c r="BM20" s="3679">
        <v>4.2300000000000004</v>
      </c>
      <c r="BN20" s="3679">
        <v>3.5</v>
      </c>
      <c r="BO20" s="3680">
        <f t="shared" ref="BO20" si="42">BM20/AS20</f>
        <v>1.0691130046047692</v>
      </c>
      <c r="BP20" s="3680">
        <f t="shared" ref="BP20" si="43">BN20/AT20</f>
        <v>1.0686153503464477</v>
      </c>
      <c r="BQ20" s="3670"/>
      <c r="BR20" s="3123"/>
      <c r="BS20" s="3123"/>
      <c r="BT20" s="3123"/>
      <c r="BU20" s="3123"/>
      <c r="BV20" s="3123"/>
      <c r="BW20" s="3123"/>
    </row>
    <row r="21" spans="1:75" ht="15">
      <c r="A21" s="748" t="s">
        <v>35</v>
      </c>
      <c r="B21" s="731">
        <v>52.8</v>
      </c>
      <c r="C21" s="2935">
        <v>88.4</v>
      </c>
      <c r="D21" s="632">
        <f t="shared" si="22"/>
        <v>167.42424242424246</v>
      </c>
      <c r="E21" s="2935">
        <v>34.1</v>
      </c>
      <c r="F21" s="632">
        <f>E21/C21*100</f>
        <v>38.574660633484164</v>
      </c>
      <c r="G21" s="183">
        <v>140.9</v>
      </c>
      <c r="H21" s="632">
        <f t="shared" si="23"/>
        <v>413.19648093841641</v>
      </c>
      <c r="I21" s="187">
        <v>33.1</v>
      </c>
      <c r="J21" s="187">
        <v>12.2</v>
      </c>
      <c r="K21" s="187">
        <v>33.1</v>
      </c>
      <c r="L21" s="187">
        <v>12.1</v>
      </c>
      <c r="M21" s="634">
        <f t="shared" si="24"/>
        <v>23.491838183108587</v>
      </c>
      <c r="N21" s="187">
        <v>34.721899999999998</v>
      </c>
      <c r="O21" s="187">
        <v>5.3</v>
      </c>
      <c r="P21" s="187">
        <v>7.43</v>
      </c>
      <c r="Q21" s="718">
        <v>7.4</v>
      </c>
      <c r="R21" s="726">
        <v>36.049999999999997</v>
      </c>
      <c r="S21" s="715">
        <f>P21/9*12*1.073</f>
        <v>10.629853333333333</v>
      </c>
      <c r="T21" s="711">
        <f>S21/N21</f>
        <v>0.30614261700348583</v>
      </c>
      <c r="U21" s="749" t="e">
        <f>R21*#REF!</f>
        <v>#REF!</v>
      </c>
      <c r="V21" s="749" t="e">
        <f>R21*#REF!</f>
        <v>#REF!</v>
      </c>
      <c r="W21" s="749">
        <f t="shared" si="25"/>
        <v>6.0694237418300645</v>
      </c>
      <c r="X21" s="749">
        <f t="shared" si="26"/>
        <v>4.3109843382352926</v>
      </c>
      <c r="Y21" s="749"/>
      <c r="Z21" s="749"/>
      <c r="AA21" s="752">
        <v>0.34</v>
      </c>
      <c r="AB21" s="722">
        <v>21.8</v>
      </c>
      <c r="AC21" s="715">
        <v>0</v>
      </c>
      <c r="AD21" s="749">
        <f t="shared" si="27"/>
        <v>0</v>
      </c>
      <c r="AE21" s="749">
        <f t="shared" si="28"/>
        <v>0</v>
      </c>
      <c r="AF21" s="3127">
        <f t="shared" si="0"/>
        <v>0</v>
      </c>
      <c r="AG21" s="3127">
        <f t="shared" si="1"/>
        <v>0</v>
      </c>
      <c r="AH21" s="749">
        <v>0</v>
      </c>
      <c r="AI21" s="2720">
        <v>0</v>
      </c>
      <c r="AJ21" s="2720">
        <f t="shared" si="35"/>
        <v>0</v>
      </c>
      <c r="AK21" s="2720">
        <v>0</v>
      </c>
      <c r="AL21" s="2721">
        <v>0</v>
      </c>
      <c r="AM21" s="725">
        <f t="shared" si="39"/>
        <v>0.37400000000000005</v>
      </c>
      <c r="AN21" s="749">
        <f>AM21*AI56</f>
        <v>0.22290400000000002</v>
      </c>
      <c r="AO21" s="749">
        <f>AM21*AI57</f>
        <v>0.15109600000000004</v>
      </c>
      <c r="AP21" s="3127"/>
      <c r="AQ21" s="3128"/>
      <c r="AR21" s="2205">
        <v>0</v>
      </c>
      <c r="AS21" s="2203">
        <f t="shared" si="29"/>
        <v>0</v>
      </c>
      <c r="AT21" s="2203">
        <f t="shared" si="30"/>
        <v>0</v>
      </c>
      <c r="AU21" s="3129"/>
      <c r="AV21" s="3129"/>
      <c r="AW21" s="3130"/>
      <c r="AX21" s="3150">
        <f t="shared" si="36"/>
        <v>0</v>
      </c>
      <c r="AY21" s="3151">
        <v>0</v>
      </c>
      <c r="AZ21" s="3151">
        <v>0</v>
      </c>
      <c r="BA21" s="3151">
        <f t="shared" si="37"/>
        <v>0</v>
      </c>
      <c r="BB21" s="3151"/>
      <c r="BC21" s="3151"/>
      <c r="BD21" s="3151">
        <f t="shared" si="38"/>
        <v>0</v>
      </c>
      <c r="BE21" s="3648">
        <f t="shared" si="40"/>
        <v>0</v>
      </c>
      <c r="BF21" s="3649">
        <f t="shared" si="41"/>
        <v>0</v>
      </c>
      <c r="BG21" s="3350">
        <f t="shared" ref="BG21" si="44">SUM(AU21*1.1)</f>
        <v>0</v>
      </c>
      <c r="BH21" s="3353">
        <f>SUM(BG21*AQ56)</f>
        <v>0</v>
      </c>
      <c r="BI21" s="3353">
        <f>SUM(BG21*AQ57)</f>
        <v>0</v>
      </c>
      <c r="BJ21" s="3362" t="e">
        <f t="shared" si="14"/>
        <v>#DIV/0!</v>
      </c>
      <c r="BK21" s="3363" t="e">
        <f t="shared" si="15"/>
        <v>#DIV/0!</v>
      </c>
      <c r="BL21" s="3348">
        <f t="shared" si="32"/>
        <v>0</v>
      </c>
      <c r="BM21" s="3668">
        <f t="shared" si="33"/>
        <v>0</v>
      </c>
      <c r="BN21" s="3668">
        <f t="shared" si="34"/>
        <v>0</v>
      </c>
      <c r="BO21" s="3669"/>
      <c r="BP21" s="3669"/>
      <c r="BQ21" s="3670"/>
      <c r="BR21" s="3123"/>
      <c r="BS21" s="3123"/>
      <c r="BT21" s="3123"/>
      <c r="BU21" s="3123"/>
      <c r="BV21" s="3123"/>
      <c r="BW21" s="3123"/>
    </row>
    <row r="22" spans="1:75" ht="25.5">
      <c r="A22" s="748" t="s">
        <v>76</v>
      </c>
      <c r="B22" s="731">
        <v>162.5</v>
      </c>
      <c r="C22" s="2935">
        <v>130</v>
      </c>
      <c r="D22" s="632">
        <f t="shared" si="22"/>
        <v>80</v>
      </c>
      <c r="E22" s="2935">
        <v>161</v>
      </c>
      <c r="F22" s="632">
        <f>E22/C22*100</f>
        <v>123.84615384615385</v>
      </c>
      <c r="G22" s="183">
        <v>121</v>
      </c>
      <c r="H22" s="632">
        <f t="shared" si="23"/>
        <v>75.155279503105589</v>
      </c>
      <c r="I22" s="187">
        <v>165.3</v>
      </c>
      <c r="J22" s="187">
        <v>109.1</v>
      </c>
      <c r="K22" s="187">
        <f>J22/9*12</f>
        <v>145.46666666666667</v>
      </c>
      <c r="L22" s="187">
        <v>189.7</v>
      </c>
      <c r="M22" s="634">
        <f t="shared" si="24"/>
        <v>120.22038567493114</v>
      </c>
      <c r="N22" s="187">
        <v>152.59453333333332</v>
      </c>
      <c r="O22" s="187">
        <v>109.3</v>
      </c>
      <c r="P22" s="187">
        <v>155.21807999999999</v>
      </c>
      <c r="Q22" s="718">
        <v>205.2</v>
      </c>
      <c r="R22" s="726">
        <v>195.7</v>
      </c>
      <c r="S22" s="715">
        <f>R22</f>
        <v>195.7</v>
      </c>
      <c r="T22" s="711">
        <f>S22/N22</f>
        <v>1.2824836887996862</v>
      </c>
      <c r="U22" s="749" t="e">
        <f>R22*#REF!</f>
        <v>#REF!</v>
      </c>
      <c r="V22" s="749" t="e">
        <f>R22*#REF!</f>
        <v>#REF!</v>
      </c>
      <c r="W22" s="749">
        <f t="shared" si="25"/>
        <v>111.74060347111815</v>
      </c>
      <c r="X22" s="749">
        <f t="shared" si="26"/>
        <v>79.367006160572316</v>
      </c>
      <c r="Y22" s="749">
        <v>130.79</v>
      </c>
      <c r="Z22" s="749">
        <v>191.71</v>
      </c>
      <c r="AA22" s="752">
        <v>266.32</v>
      </c>
      <c r="AB22" s="722">
        <v>206</v>
      </c>
      <c r="AC22" s="715">
        <f>AB22</f>
        <v>206</v>
      </c>
      <c r="AD22" s="749">
        <f t="shared" si="27"/>
        <v>121.95183117518994</v>
      </c>
      <c r="AE22" s="749">
        <f t="shared" si="28"/>
        <v>82.400132932921309</v>
      </c>
      <c r="AF22" s="3127">
        <f t="shared" si="0"/>
        <v>1.0913833234014267</v>
      </c>
      <c r="AG22" s="3127">
        <f t="shared" si="1"/>
        <v>1.0382164695265497</v>
      </c>
      <c r="AH22" s="749">
        <v>151.34</v>
      </c>
      <c r="AI22" s="2720">
        <v>182.55</v>
      </c>
      <c r="AJ22" s="2720">
        <f t="shared" si="35"/>
        <v>251.72</v>
      </c>
      <c r="AK22" s="2720">
        <v>148.62</v>
      </c>
      <c r="AL22" s="2721">
        <v>103.1</v>
      </c>
      <c r="AM22" s="725">
        <f t="shared" si="39"/>
        <v>292.952</v>
      </c>
      <c r="AN22" s="749">
        <f>AM22*AI56</f>
        <v>174.59939199999999</v>
      </c>
      <c r="AO22" s="749">
        <f>AM22*AI57</f>
        <v>118.352608</v>
      </c>
      <c r="AP22" s="3127">
        <f>AN22/AD22</f>
        <v>1.4317078334738507</v>
      </c>
      <c r="AQ22" s="3128">
        <f>AO22/AE22</f>
        <v>1.4363157410965124</v>
      </c>
      <c r="AR22" s="2205">
        <f>AI22/3*4*1.062</f>
        <v>258.49080000000004</v>
      </c>
      <c r="AS22" s="2203">
        <f t="shared" si="29"/>
        <v>140.65905685712042</v>
      </c>
      <c r="AT22" s="2203">
        <f t="shared" si="30"/>
        <v>116.43876271180947</v>
      </c>
      <c r="AU22" s="3129">
        <f>AS22/AD22</f>
        <v>1.1533984812007998</v>
      </c>
      <c r="AV22" s="3129">
        <f>AT22/AE22</f>
        <v>1.4130895007972579</v>
      </c>
      <c r="AW22" s="3133" t="s">
        <v>1509</v>
      </c>
      <c r="AX22" s="3150">
        <f t="shared" si="36"/>
        <v>126.28</v>
      </c>
      <c r="AY22" s="3151">
        <v>73.38</v>
      </c>
      <c r="AZ22" s="3151">
        <v>52.9</v>
      </c>
      <c r="BA22" s="3151">
        <f t="shared" si="37"/>
        <v>141.46</v>
      </c>
      <c r="BB22" s="3151">
        <v>82.14</v>
      </c>
      <c r="BC22" s="3151">
        <v>59.32</v>
      </c>
      <c r="BD22" s="3151">
        <f t="shared" si="38"/>
        <v>156.64000000000001</v>
      </c>
      <c r="BE22" s="3648">
        <f t="shared" si="40"/>
        <v>90.9</v>
      </c>
      <c r="BF22" s="3649">
        <f t="shared" si="41"/>
        <v>65.740000000000009</v>
      </c>
      <c r="BG22" s="3350">
        <f>SUM(AR22*1.1)</f>
        <v>284.33988000000005</v>
      </c>
      <c r="BH22" s="3353">
        <f>SUM(BG22*AQ56)</f>
        <v>167.76052920000001</v>
      </c>
      <c r="BI22" s="3353">
        <f>SUM(BG22*AQ57)</f>
        <v>116.57935080000001</v>
      </c>
      <c r="BJ22" s="3362">
        <f t="shared" si="14"/>
        <v>1.1926749186894443</v>
      </c>
      <c r="BK22" s="3363">
        <f t="shared" si="15"/>
        <v>1.0012073993652655</v>
      </c>
      <c r="BL22" s="3348">
        <f t="shared" si="32"/>
        <v>274.07521033200004</v>
      </c>
      <c r="BM22" s="3668">
        <f t="shared" si="33"/>
        <v>149.13939139503623</v>
      </c>
      <c r="BN22" s="3668">
        <f t="shared" si="34"/>
        <v>123.45885571570447</v>
      </c>
      <c r="BO22" s="3669">
        <f>BM22/AS22</f>
        <v>1.0602900000000002</v>
      </c>
      <c r="BP22" s="3669">
        <f>BN22/AT22</f>
        <v>1.06029</v>
      </c>
      <c r="BQ22" s="3672"/>
      <c r="BR22" s="3123"/>
      <c r="BS22" s="3123"/>
      <c r="BT22" s="3123"/>
      <c r="BU22" s="3123"/>
      <c r="BV22" s="3123"/>
      <c r="BW22" s="3123"/>
    </row>
    <row r="23" spans="1:75" ht="15">
      <c r="A23" s="748" t="s">
        <v>2</v>
      </c>
      <c r="B23" s="731">
        <v>273.60000000000002</v>
      </c>
      <c r="C23" s="2935">
        <v>282.3</v>
      </c>
      <c r="D23" s="632">
        <f t="shared" si="22"/>
        <v>103.17982456140351</v>
      </c>
      <c r="E23" s="2935">
        <v>261.5</v>
      </c>
      <c r="F23" s="632">
        <f>E23/C23*100</f>
        <v>92.631951824300387</v>
      </c>
      <c r="G23" s="183">
        <v>230.4</v>
      </c>
      <c r="H23" s="632">
        <f t="shared" si="23"/>
        <v>88.107074569789674</v>
      </c>
      <c r="I23" s="187">
        <v>299.7</v>
      </c>
      <c r="J23" s="187">
        <v>155.1</v>
      </c>
      <c r="K23" s="187">
        <f>J23/9*12</f>
        <v>206.8</v>
      </c>
      <c r="L23" s="187">
        <v>206.6</v>
      </c>
      <c r="M23" s="634">
        <f t="shared" si="24"/>
        <v>89.756944444444443</v>
      </c>
      <c r="N23" s="187">
        <v>216.9332</v>
      </c>
      <c r="O23" s="187">
        <v>98.2</v>
      </c>
      <c r="P23" s="187">
        <v>145.27706000000001</v>
      </c>
      <c r="Q23" s="718">
        <v>192.4</v>
      </c>
      <c r="R23" s="726">
        <v>216.9</v>
      </c>
      <c r="S23" s="715">
        <f>P23/9*12</f>
        <v>193.70274666666668</v>
      </c>
      <c r="T23" s="711">
        <f>S23/N23</f>
        <v>0.89291425501798105</v>
      </c>
      <c r="U23" s="749" t="e">
        <f>R23*#REF!</f>
        <v>#REF!</v>
      </c>
      <c r="V23" s="749" t="e">
        <f>R23*#REF!</f>
        <v>#REF!</v>
      </c>
      <c r="W23" s="749">
        <f t="shared" si="25"/>
        <v>110.6002136256845</v>
      </c>
      <c r="X23" s="749">
        <f t="shared" si="26"/>
        <v>78.557011180445144</v>
      </c>
      <c r="Y23" s="749">
        <v>93.6</v>
      </c>
      <c r="Z23" s="749">
        <v>137.56</v>
      </c>
      <c r="AA23" s="752">
        <v>182.16</v>
      </c>
      <c r="AB23" s="722">
        <v>193.7</v>
      </c>
      <c r="AC23" s="715">
        <f>AB23</f>
        <v>193.7</v>
      </c>
      <c r="AD23" s="749">
        <f t="shared" si="27"/>
        <v>114.67024125550627</v>
      </c>
      <c r="AE23" s="749">
        <f t="shared" si="28"/>
        <v>77.48012499566434</v>
      </c>
      <c r="AF23" s="3127">
        <f t="shared" si="0"/>
        <v>1.0367994554115092</v>
      </c>
      <c r="AG23" s="3127">
        <f t="shared" si="1"/>
        <v>0.9862916604310823</v>
      </c>
      <c r="AH23" s="749">
        <v>79.34</v>
      </c>
      <c r="AI23" s="2720">
        <v>112.52</v>
      </c>
      <c r="AJ23" s="2720">
        <f t="shared" si="35"/>
        <v>144.51999999999998</v>
      </c>
      <c r="AK23" s="2720">
        <v>85.36</v>
      </c>
      <c r="AL23" s="2721">
        <v>59.16</v>
      </c>
      <c r="AM23" s="725">
        <v>193.7</v>
      </c>
      <c r="AN23" s="749">
        <f>AM23*AI56</f>
        <v>115.44519999999999</v>
      </c>
      <c r="AO23" s="749">
        <f>AM23*AI57</f>
        <v>78.254800000000003</v>
      </c>
      <c r="AP23" s="3127">
        <f>AN23/AD23</f>
        <v>1.0067581504670158</v>
      </c>
      <c r="AQ23" s="3128">
        <f>AO23/AE23</f>
        <v>1.0099983706063846</v>
      </c>
      <c r="AR23" s="2205">
        <f>AM23</f>
        <v>193.7</v>
      </c>
      <c r="AS23" s="2203">
        <f t="shared" si="29"/>
        <v>105.40282019021265</v>
      </c>
      <c r="AT23" s="2203">
        <f t="shared" si="30"/>
        <v>87.253350360157853</v>
      </c>
      <c r="AU23" s="3129">
        <f>AS23/AD23</f>
        <v>0.91918198685355423</v>
      </c>
      <c r="AV23" s="3129">
        <f>AT23/AE23</f>
        <v>1.1261384821596558</v>
      </c>
      <c r="AW23" s="3130"/>
      <c r="AX23" s="3150">
        <f t="shared" si="36"/>
        <v>65.64</v>
      </c>
      <c r="AY23" s="3151">
        <v>38.1</v>
      </c>
      <c r="AZ23" s="3151">
        <v>27.54</v>
      </c>
      <c r="BA23" s="3151">
        <f t="shared" si="37"/>
        <v>98.460000000000008</v>
      </c>
      <c r="BB23" s="3151">
        <v>56.76</v>
      </c>
      <c r="BC23" s="3151">
        <v>41.7</v>
      </c>
      <c r="BD23" s="3151">
        <f t="shared" si="38"/>
        <v>131.28</v>
      </c>
      <c r="BE23" s="3648">
        <f t="shared" si="40"/>
        <v>75.419999999999987</v>
      </c>
      <c r="BF23" s="3649">
        <f t="shared" si="41"/>
        <v>55.860000000000007</v>
      </c>
      <c r="BG23" s="3350">
        <v>193.7</v>
      </c>
      <c r="BH23" s="3353">
        <f>SUM(BG23*AQ56)</f>
        <v>114.28299999999999</v>
      </c>
      <c r="BI23" s="3353">
        <f>SUM(BG23*AQ57)</f>
        <v>79.416999999999987</v>
      </c>
      <c r="BJ23" s="3362">
        <f t="shared" si="14"/>
        <v>1.084249926081313</v>
      </c>
      <c r="BK23" s="3363">
        <f t="shared" si="15"/>
        <v>0.91018854487751399</v>
      </c>
      <c r="BL23" s="3678">
        <f t="shared" si="32"/>
        <v>205.37817299999998</v>
      </c>
      <c r="BM23" s="3679">
        <f t="shared" si="33"/>
        <v>111.75755621948058</v>
      </c>
      <c r="BN23" s="3679">
        <f t="shared" si="34"/>
        <v>92.513854853371754</v>
      </c>
      <c r="BO23" s="3680">
        <f>BM23/AS23</f>
        <v>1.06029</v>
      </c>
      <c r="BP23" s="3680">
        <f>BN23/AT23</f>
        <v>1.0602899999999997</v>
      </c>
      <c r="BQ23" s="3670"/>
      <c r="BR23" s="3123"/>
      <c r="BS23" s="3123"/>
      <c r="BT23" s="3123"/>
      <c r="BU23" s="3123"/>
      <c r="BV23" s="3123"/>
      <c r="BW23" s="3123"/>
    </row>
    <row r="24" spans="1:75" ht="15">
      <c r="A24" s="748" t="s">
        <v>36</v>
      </c>
      <c r="B24" s="731">
        <v>355.7</v>
      </c>
      <c r="C24" s="2935">
        <v>201.4</v>
      </c>
      <c r="D24" s="632">
        <f t="shared" si="22"/>
        <v>56.620747821197639</v>
      </c>
      <c r="E24" s="2935">
        <v>15.5</v>
      </c>
      <c r="F24" s="632">
        <f>E24/C24*100</f>
        <v>7.6961271102284012</v>
      </c>
      <c r="G24" s="183">
        <v>0</v>
      </c>
      <c r="H24" s="632">
        <f t="shared" si="23"/>
        <v>0</v>
      </c>
      <c r="I24" s="187">
        <v>0</v>
      </c>
      <c r="J24" s="187">
        <v>0</v>
      </c>
      <c r="K24" s="187">
        <v>0</v>
      </c>
      <c r="L24" s="187"/>
      <c r="M24" s="634"/>
      <c r="N24" s="187">
        <v>0</v>
      </c>
      <c r="O24" s="187"/>
      <c r="P24" s="187"/>
      <c r="Q24" s="718"/>
      <c r="R24" s="726"/>
      <c r="S24" s="715">
        <f>K24*1.049</f>
        <v>0</v>
      </c>
      <c r="T24" s="711"/>
      <c r="U24" s="749" t="e">
        <f>R24*#REF!</f>
        <v>#REF!</v>
      </c>
      <c r="V24" s="749" t="e">
        <f>R24*#REF!</f>
        <v>#REF!</v>
      </c>
      <c r="W24" s="749">
        <f t="shared" si="25"/>
        <v>0</v>
      </c>
      <c r="X24" s="749">
        <f t="shared" si="26"/>
        <v>0</v>
      </c>
      <c r="Y24" s="749"/>
      <c r="Z24" s="749"/>
      <c r="AA24" s="752"/>
      <c r="AB24" s="722">
        <v>0</v>
      </c>
      <c r="AC24" s="715">
        <f>R24*1.049</f>
        <v>0</v>
      </c>
      <c r="AD24" s="749">
        <f t="shared" si="27"/>
        <v>0</v>
      </c>
      <c r="AE24" s="749">
        <f t="shared" si="28"/>
        <v>0</v>
      </c>
      <c r="AF24" s="3127"/>
      <c r="AG24" s="3127"/>
      <c r="AH24" s="749">
        <v>0</v>
      </c>
      <c r="AI24" s="2720">
        <v>0</v>
      </c>
      <c r="AJ24" s="2720">
        <f t="shared" si="35"/>
        <v>0</v>
      </c>
      <c r="AK24" s="2720">
        <v>0</v>
      </c>
      <c r="AL24" s="2721">
        <v>0</v>
      </c>
      <c r="AM24" s="725">
        <f t="shared" ref="AM24:AM36" si="45">SUM(AA24*1.1)</f>
        <v>0</v>
      </c>
      <c r="AN24" s="749">
        <f>AM24*AI56</f>
        <v>0</v>
      </c>
      <c r="AO24" s="749">
        <f>AM24*AI57</f>
        <v>0</v>
      </c>
      <c r="AP24" s="3127"/>
      <c r="AQ24" s="3128"/>
      <c r="AR24" s="2205">
        <v>0</v>
      </c>
      <c r="AS24" s="2203">
        <f t="shared" si="29"/>
        <v>0</v>
      </c>
      <c r="AT24" s="2203">
        <f t="shared" si="30"/>
        <v>0</v>
      </c>
      <c r="AU24" s="3129"/>
      <c r="AV24" s="3129"/>
      <c r="AW24" s="3130"/>
      <c r="AX24" s="3150">
        <f t="shared" si="36"/>
        <v>0</v>
      </c>
      <c r="AY24" s="3151">
        <v>0</v>
      </c>
      <c r="AZ24" s="3151">
        <v>0</v>
      </c>
      <c r="BA24" s="3151">
        <f t="shared" si="37"/>
        <v>0</v>
      </c>
      <c r="BB24" s="3151"/>
      <c r="BC24" s="3151"/>
      <c r="BD24" s="3151">
        <f t="shared" si="38"/>
        <v>0</v>
      </c>
      <c r="BE24" s="3648">
        <f t="shared" si="40"/>
        <v>0</v>
      </c>
      <c r="BF24" s="3649">
        <f t="shared" si="41"/>
        <v>0</v>
      </c>
      <c r="BG24" s="3350">
        <f t="shared" ref="BG24:BG34" si="46">SUM(AU24*1.1)</f>
        <v>0</v>
      </c>
      <c r="BH24" s="3353">
        <f>SUM(BG24*AQ56)</f>
        <v>0</v>
      </c>
      <c r="BI24" s="3353">
        <f>SUM(BG24*AQ57)</f>
        <v>0</v>
      </c>
      <c r="BJ24" s="3362" t="e">
        <f t="shared" si="14"/>
        <v>#DIV/0!</v>
      </c>
      <c r="BK24" s="3363" t="e">
        <f t="shared" si="15"/>
        <v>#DIV/0!</v>
      </c>
      <c r="BL24" s="3348">
        <f t="shared" si="32"/>
        <v>0</v>
      </c>
      <c r="BM24" s="3668">
        <f t="shared" si="33"/>
        <v>0</v>
      </c>
      <c r="BN24" s="3668">
        <f t="shared" si="34"/>
        <v>0</v>
      </c>
      <c r="BO24" s="3669"/>
      <c r="BP24" s="3669"/>
      <c r="BQ24" s="3670"/>
      <c r="BR24" s="3123"/>
      <c r="BS24" s="3123"/>
      <c r="BT24" s="3123"/>
      <c r="BU24" s="3123"/>
      <c r="BV24" s="3123"/>
      <c r="BW24" s="3123"/>
    </row>
    <row r="25" spans="1:75" ht="15">
      <c r="A25" s="748" t="s">
        <v>1637</v>
      </c>
      <c r="B25" s="731"/>
      <c r="C25" s="2935"/>
      <c r="D25" s="632"/>
      <c r="E25" s="2935"/>
      <c r="F25" s="632"/>
      <c r="G25" s="183">
        <v>6</v>
      </c>
      <c r="H25" s="632"/>
      <c r="I25" s="187"/>
      <c r="J25" s="187">
        <v>10.5</v>
      </c>
      <c r="K25" s="187">
        <v>10.5</v>
      </c>
      <c r="L25" s="187">
        <v>10.5</v>
      </c>
      <c r="M25" s="634">
        <f>K25/G25*100</f>
        <v>175</v>
      </c>
      <c r="N25" s="187">
        <v>0</v>
      </c>
      <c r="O25" s="187"/>
      <c r="P25" s="187">
        <v>12.746</v>
      </c>
      <c r="Q25" s="718">
        <v>12.7</v>
      </c>
      <c r="R25" s="726">
        <v>12.36</v>
      </c>
      <c r="S25" s="715">
        <f>R25</f>
        <v>12.36</v>
      </c>
      <c r="T25" s="711"/>
      <c r="U25" s="749" t="e">
        <f>R25*#REF!</f>
        <v>#REF!</v>
      </c>
      <c r="V25" s="749" t="e">
        <f>R25*#REF!</f>
        <v>#REF!</v>
      </c>
      <c r="W25" s="749">
        <f t="shared" si="25"/>
        <v>7.0573012718600943</v>
      </c>
      <c r="X25" s="749">
        <f t="shared" si="26"/>
        <v>5.0126530206677247</v>
      </c>
      <c r="Y25" s="749"/>
      <c r="Z25" s="749">
        <v>11.9</v>
      </c>
      <c r="AA25" s="752">
        <v>11.9</v>
      </c>
      <c r="AB25" s="722">
        <v>13.2</v>
      </c>
      <c r="AC25" s="715">
        <f>AB25</f>
        <v>13.2</v>
      </c>
      <c r="AD25" s="749">
        <f t="shared" si="27"/>
        <v>7.814389182099549</v>
      </c>
      <c r="AE25" s="749">
        <f t="shared" si="28"/>
        <v>5.2800085180318499</v>
      </c>
      <c r="AF25" s="3127">
        <f t="shared" ref="AF25:AF38" si="47">AD25/W25</f>
        <v>1.1072772552956223</v>
      </c>
      <c r="AG25" s="3127">
        <f t="shared" ref="AG25:AG38" si="48">AE25/X25</f>
        <v>1.0533361268497519</v>
      </c>
      <c r="AH25" s="749">
        <v>5.82</v>
      </c>
      <c r="AI25" s="2720">
        <v>6.39</v>
      </c>
      <c r="AJ25" s="2720">
        <f t="shared" si="35"/>
        <v>46.05</v>
      </c>
      <c r="AK25" s="2720">
        <f>3.77+23.49</f>
        <v>27.259999999999998</v>
      </c>
      <c r="AL25" s="2721">
        <f>2.59+16.2</f>
        <v>18.79</v>
      </c>
      <c r="AM25" s="725">
        <f t="shared" si="45"/>
        <v>13.090000000000002</v>
      </c>
      <c r="AN25" s="749">
        <f>AM25*AI56</f>
        <v>7.8016400000000008</v>
      </c>
      <c r="AO25" s="749">
        <f>AM25*AI57</f>
        <v>5.2883600000000008</v>
      </c>
      <c r="AP25" s="3127">
        <f t="shared" ref="AP25:AQ30" si="49">AN25/AD25</f>
        <v>0.99836849921312432</v>
      </c>
      <c r="AQ25" s="3128">
        <f t="shared" si="49"/>
        <v>1.0015817175179982</v>
      </c>
      <c r="AR25" s="2205">
        <f>AM25</f>
        <v>13.090000000000002</v>
      </c>
      <c r="AS25" s="2203">
        <f t="shared" si="29"/>
        <v>7.1229887263287761</v>
      </c>
      <c r="AT25" s="2203">
        <f t="shared" si="30"/>
        <v>5.8964706051340547</v>
      </c>
      <c r="AU25" s="3129">
        <f t="shared" ref="AU25:AV30" si="50">AS25/AD25</f>
        <v>0.91152213696310824</v>
      </c>
      <c r="AV25" s="3129">
        <f t="shared" si="50"/>
        <v>1.1167539948083254</v>
      </c>
      <c r="AW25" s="3130"/>
      <c r="AX25" s="3150">
        <f t="shared" si="36"/>
        <v>0</v>
      </c>
      <c r="AY25" s="3151">
        <v>0</v>
      </c>
      <c r="AZ25" s="3151">
        <v>0</v>
      </c>
      <c r="BA25" s="3151">
        <f t="shared" si="37"/>
        <v>4.57</v>
      </c>
      <c r="BB25" s="3151">
        <v>2.69</v>
      </c>
      <c r="BC25" s="3151">
        <v>1.88</v>
      </c>
      <c r="BD25" s="3151">
        <f t="shared" si="38"/>
        <v>9.14</v>
      </c>
      <c r="BE25" s="3648">
        <f t="shared" si="40"/>
        <v>5.38</v>
      </c>
      <c r="BF25" s="3649">
        <f t="shared" si="41"/>
        <v>3.76</v>
      </c>
      <c r="BG25" s="3350">
        <f>SUM(AJ25*1.074*1.1)</f>
        <v>54.403470000000006</v>
      </c>
      <c r="BH25" s="3353">
        <f>SUM(BG25*AQ56)</f>
        <v>32.098047300000005</v>
      </c>
      <c r="BI25" s="3353">
        <f>SUM(BG25*AQ57)</f>
        <v>22.305422700000001</v>
      </c>
      <c r="BJ25" s="3362">
        <f t="shared" si="14"/>
        <v>4.5062611402648534</v>
      </c>
      <c r="BK25" s="3363">
        <f t="shared" si="15"/>
        <v>3.7828430248729941</v>
      </c>
      <c r="BL25" s="3348">
        <f t="shared" si="32"/>
        <v>13.879196100000001</v>
      </c>
      <c r="BM25" s="3668">
        <f t="shared" si="33"/>
        <v>7.552433716639138</v>
      </c>
      <c r="BN25" s="3668">
        <f t="shared" si="34"/>
        <v>6.2519688179175867</v>
      </c>
      <c r="BO25" s="3669">
        <f t="shared" ref="BO25:BP30" si="51">BM25/AS25</f>
        <v>1.06029</v>
      </c>
      <c r="BP25" s="3669">
        <f t="shared" si="51"/>
        <v>1.06029</v>
      </c>
      <c r="BQ25" s="3670"/>
      <c r="BR25" s="3123"/>
      <c r="BS25" s="3123"/>
      <c r="BT25" s="3123"/>
      <c r="BU25" s="3123"/>
      <c r="BV25" s="3123"/>
      <c r="BW25" s="3123"/>
    </row>
    <row r="26" spans="1:75" ht="25.5">
      <c r="A26" s="748" t="s">
        <v>37</v>
      </c>
      <c r="B26" s="731">
        <v>131.4</v>
      </c>
      <c r="C26" s="2935">
        <v>189</v>
      </c>
      <c r="D26" s="632">
        <f t="shared" ref="D26:D39" si="52">C26/B26*100</f>
        <v>143.83561643835617</v>
      </c>
      <c r="E26" s="2935">
        <v>188</v>
      </c>
      <c r="F26" s="632">
        <f t="shared" ref="F26:F38" si="53">E26/C26*100</f>
        <v>99.470899470899468</v>
      </c>
      <c r="G26" s="183">
        <f>166.8+12.3+1</f>
        <v>180.10000000000002</v>
      </c>
      <c r="H26" s="632">
        <f t="shared" ref="H26:H38" si="54">G26/E26*100</f>
        <v>95.797872340425556</v>
      </c>
      <c r="I26" s="187">
        <v>145.4</v>
      </c>
      <c r="J26" s="187">
        <f>149.1+8.8</f>
        <v>157.9</v>
      </c>
      <c r="K26" s="187">
        <v>170</v>
      </c>
      <c r="L26" s="187">
        <v>164.9</v>
      </c>
      <c r="M26" s="634">
        <f>K26/G26*100</f>
        <v>94.392004441976667</v>
      </c>
      <c r="N26" s="187">
        <v>170</v>
      </c>
      <c r="O26" s="187">
        <f>42.4+13.5</f>
        <v>55.9</v>
      </c>
      <c r="P26" s="187">
        <f>116.0149+23.8634</f>
        <v>139.8783</v>
      </c>
      <c r="Q26" s="718">
        <v>206.9</v>
      </c>
      <c r="R26" s="726">
        <v>175.1</v>
      </c>
      <c r="S26" s="715">
        <f>R26</f>
        <v>175.1</v>
      </c>
      <c r="T26" s="711">
        <f t="shared" ref="T26:T32" si="55">S26/N26</f>
        <v>1.03</v>
      </c>
      <c r="U26" s="749" t="e">
        <f>R26*#REF!</f>
        <v>#REF!</v>
      </c>
      <c r="V26" s="749" t="e">
        <f>R26*#REF!</f>
        <v>#REF!</v>
      </c>
      <c r="W26" s="749">
        <f t="shared" si="25"/>
        <v>99.978434684684672</v>
      </c>
      <c r="X26" s="749">
        <f t="shared" si="26"/>
        <v>71.012584459459433</v>
      </c>
      <c r="Y26" s="749">
        <v>83.42</v>
      </c>
      <c r="Z26" s="749">
        <v>235.47</v>
      </c>
      <c r="AA26" s="752">
        <v>324.43</v>
      </c>
      <c r="AB26" s="722">
        <v>187.7</v>
      </c>
      <c r="AC26" s="715">
        <f>AB26</f>
        <v>187.7</v>
      </c>
      <c r="AD26" s="749">
        <f t="shared" si="27"/>
        <v>111.11824617273375</v>
      </c>
      <c r="AE26" s="749">
        <f t="shared" si="28"/>
        <v>75.080121123831688</v>
      </c>
      <c r="AF26" s="3127">
        <f t="shared" si="47"/>
        <v>1.1114221434170497</v>
      </c>
      <c r="AG26" s="3127">
        <f t="shared" si="48"/>
        <v>1.0572790963085477</v>
      </c>
      <c r="AH26" s="749">
        <v>67.86</v>
      </c>
      <c r="AI26" s="2720">
        <v>217.83</v>
      </c>
      <c r="AJ26" s="2720">
        <f t="shared" si="35"/>
        <v>288.98</v>
      </c>
      <c r="AK26" s="2720">
        <f>131.49+38.29</f>
        <v>169.78</v>
      </c>
      <c r="AL26" s="2721">
        <f>91.96+27.24</f>
        <v>119.19999999999999</v>
      </c>
      <c r="AM26" s="725">
        <f t="shared" si="45"/>
        <v>356.87300000000005</v>
      </c>
      <c r="AN26" s="749">
        <f>AM26*AI56</f>
        <v>212.69630800000002</v>
      </c>
      <c r="AO26" s="749">
        <f>AM26*AI57</f>
        <v>144.17669200000003</v>
      </c>
      <c r="AP26" s="3127">
        <f t="shared" si="49"/>
        <v>1.914143854190812</v>
      </c>
      <c r="AQ26" s="3128">
        <f t="shared" si="49"/>
        <v>1.9203044673064058</v>
      </c>
      <c r="AR26" s="2205">
        <f>AI26/3*4*1.062</f>
        <v>308.44728000000003</v>
      </c>
      <c r="AS26" s="2203">
        <f t="shared" si="29"/>
        <v>167.84312437790493</v>
      </c>
      <c r="AT26" s="2203">
        <f t="shared" si="30"/>
        <v>138.94196483984365</v>
      </c>
      <c r="AU26" s="3129">
        <f t="shared" si="50"/>
        <v>1.5104911223759969</v>
      </c>
      <c r="AV26" s="3129">
        <f t="shared" si="50"/>
        <v>1.8505825877755695</v>
      </c>
      <c r="AW26" s="3133" t="s">
        <v>1509</v>
      </c>
      <c r="AX26" s="3150">
        <f t="shared" si="36"/>
        <v>0</v>
      </c>
      <c r="AY26" s="3151">
        <v>0</v>
      </c>
      <c r="AZ26" s="3151">
        <v>0</v>
      </c>
      <c r="BA26" s="3151">
        <f t="shared" si="37"/>
        <v>209.82</v>
      </c>
      <c r="BB26" s="3151">
        <f>74.02+42.1</f>
        <v>116.12</v>
      </c>
      <c r="BC26" s="3151">
        <f>59.9+33.8</f>
        <v>93.699999999999989</v>
      </c>
      <c r="BD26" s="3151">
        <f t="shared" si="38"/>
        <v>209.82</v>
      </c>
      <c r="BE26" s="3648">
        <v>116.12</v>
      </c>
      <c r="BF26" s="3649">
        <v>93.7</v>
      </c>
      <c r="BG26" s="3350">
        <f>SUM(AR26*1.1)</f>
        <v>339.29200800000007</v>
      </c>
      <c r="BH26" s="3353">
        <f>SUM(BG26*AQ56)</f>
        <v>200.18228472000004</v>
      </c>
      <c r="BI26" s="3353">
        <f>SUM(BG26*AQ57)</f>
        <v>139.10972328000003</v>
      </c>
      <c r="BJ26" s="3362">
        <f t="shared" si="14"/>
        <v>1.1926749186894443</v>
      </c>
      <c r="BK26" s="3363">
        <f t="shared" si="15"/>
        <v>1.0012073993652655</v>
      </c>
      <c r="BL26" s="3348">
        <f t="shared" si="32"/>
        <v>327.04356651120003</v>
      </c>
      <c r="BM26" s="3668">
        <f t="shared" si="33"/>
        <v>177.9623863466488</v>
      </c>
      <c r="BN26" s="3668">
        <f t="shared" si="34"/>
        <v>147.31877590003782</v>
      </c>
      <c r="BO26" s="3669">
        <f t="shared" si="51"/>
        <v>1.06029</v>
      </c>
      <c r="BP26" s="3669">
        <f t="shared" si="51"/>
        <v>1.06029</v>
      </c>
      <c r="BQ26" s="3672"/>
      <c r="BR26" s="3123"/>
      <c r="BS26" s="3123"/>
      <c r="BT26" s="3123"/>
      <c r="BU26" s="3123"/>
      <c r="BV26" s="3123"/>
      <c r="BW26" s="3123"/>
    </row>
    <row r="27" spans="1:75" ht="25.5">
      <c r="A27" s="748" t="s">
        <v>38</v>
      </c>
      <c r="B27" s="731">
        <v>111.5</v>
      </c>
      <c r="C27" s="2935">
        <v>122</v>
      </c>
      <c r="D27" s="632">
        <f t="shared" si="52"/>
        <v>109.4170403587444</v>
      </c>
      <c r="E27" s="2935">
        <v>101</v>
      </c>
      <c r="F27" s="632">
        <f t="shared" si="53"/>
        <v>82.786885245901644</v>
      </c>
      <c r="G27" s="183">
        <v>0</v>
      </c>
      <c r="H27" s="632">
        <f t="shared" si="54"/>
        <v>0</v>
      </c>
      <c r="I27" s="187">
        <v>56.2</v>
      </c>
      <c r="J27" s="187">
        <v>7</v>
      </c>
      <c r="K27" s="187">
        <f>J27/9*12</f>
        <v>9.3333333333333339</v>
      </c>
      <c r="L27" s="187">
        <v>7</v>
      </c>
      <c r="M27" s="634"/>
      <c r="N27" s="187">
        <v>9.7906666666666666</v>
      </c>
      <c r="O27" s="187">
        <v>27.7</v>
      </c>
      <c r="P27" s="187"/>
      <c r="Q27" s="718">
        <v>27.7</v>
      </c>
      <c r="R27" s="726">
        <v>10.3</v>
      </c>
      <c r="S27" s="715">
        <f>R27</f>
        <v>10.3</v>
      </c>
      <c r="T27" s="711">
        <f t="shared" si="55"/>
        <v>1.0520223341958328</v>
      </c>
      <c r="U27" s="749" t="e">
        <f>R27*#REF!</f>
        <v>#REF!</v>
      </c>
      <c r="V27" s="749" t="e">
        <f>R27*#REF!</f>
        <v>#REF!</v>
      </c>
      <c r="W27" s="749">
        <f t="shared" si="25"/>
        <v>5.8810843932167458</v>
      </c>
      <c r="X27" s="749">
        <f t="shared" si="26"/>
        <v>4.1772108505564383</v>
      </c>
      <c r="Y27" s="749">
        <v>12.2</v>
      </c>
      <c r="Z27" s="749">
        <v>12.2</v>
      </c>
      <c r="AA27" s="752">
        <v>12.11</v>
      </c>
      <c r="AB27" s="722">
        <v>41.2</v>
      </c>
      <c r="AC27" s="715">
        <f>Q27*1.063*1.049</f>
        <v>30.887909899999993</v>
      </c>
      <c r="AD27" s="749">
        <f t="shared" si="27"/>
        <v>18.285617346986783</v>
      </c>
      <c r="AE27" s="749">
        <f t="shared" si="28"/>
        <v>12.355183892136385</v>
      </c>
      <c r="AF27" s="3127">
        <f t="shared" si="47"/>
        <v>3.1092254632627698</v>
      </c>
      <c r="AG27" s="3127">
        <f t="shared" si="48"/>
        <v>2.9577592164136446</v>
      </c>
      <c r="AH27" s="749">
        <v>2</v>
      </c>
      <c r="AI27" s="2720">
        <v>5.5</v>
      </c>
      <c r="AJ27" s="2720">
        <f t="shared" si="35"/>
        <v>74.12</v>
      </c>
      <c r="AK27" s="2720">
        <v>43.03</v>
      </c>
      <c r="AL27" s="2721">
        <v>31.09</v>
      </c>
      <c r="AM27" s="725">
        <f t="shared" si="45"/>
        <v>13.321</v>
      </c>
      <c r="AN27" s="749">
        <f>AM27*AI56</f>
        <v>7.9393159999999998</v>
      </c>
      <c r="AO27" s="749">
        <f>AM27*AI57</f>
        <v>5.3816839999999999</v>
      </c>
      <c r="AP27" s="3127">
        <f t="shared" si="49"/>
        <v>0.43418364550367722</v>
      </c>
      <c r="AQ27" s="3128">
        <f t="shared" si="49"/>
        <v>0.43558105221122945</v>
      </c>
      <c r="AR27" s="2205">
        <f>AI27/3*4*1.062</f>
        <v>7.7880000000000003</v>
      </c>
      <c r="AS27" s="2203">
        <f t="shared" si="29"/>
        <v>4.2378790069250192</v>
      </c>
      <c r="AT27" s="2203">
        <f t="shared" si="30"/>
        <v>3.5081522591890004</v>
      </c>
      <c r="AU27" s="3129">
        <f t="shared" si="50"/>
        <v>0.2317602368302519</v>
      </c>
      <c r="AV27" s="3129">
        <f t="shared" si="50"/>
        <v>0.28394172760324587</v>
      </c>
      <c r="AW27" s="3133" t="s">
        <v>1509</v>
      </c>
      <c r="AX27" s="3150">
        <f t="shared" si="36"/>
        <v>10.5</v>
      </c>
      <c r="AY27" s="3151">
        <v>6.16</v>
      </c>
      <c r="AZ27" s="3151">
        <v>4.34</v>
      </c>
      <c r="BA27" s="3151">
        <f t="shared" si="37"/>
        <v>10.5</v>
      </c>
      <c r="BB27" s="3151">
        <v>6.16</v>
      </c>
      <c r="BC27" s="3151">
        <v>4.34</v>
      </c>
      <c r="BD27" s="3151">
        <f t="shared" si="38"/>
        <v>10.5</v>
      </c>
      <c r="BE27" s="3648">
        <f t="shared" ref="BE27:BE34" si="56">SUM(AY27+((BB27-AY27)/3*6))</f>
        <v>6.16</v>
      </c>
      <c r="BF27" s="3649">
        <f t="shared" ref="BF27:BF34" si="57">SUM(AZ27+((BC27-AZ27)/3*6))</f>
        <v>4.34</v>
      </c>
      <c r="BG27" s="3350">
        <f>SUM(AJ27*1.074*1.1)</f>
        <v>87.565368000000021</v>
      </c>
      <c r="BH27" s="3353">
        <f>SUM(BG27*AQ56)</f>
        <v>51.66356712000001</v>
      </c>
      <c r="BI27" s="3353">
        <f>SUM(BG27*AQ57)</f>
        <v>35.901800880000003</v>
      </c>
      <c r="BJ27" s="3362">
        <f t="shared" si="14"/>
        <v>12.190901872275679</v>
      </c>
      <c r="BK27" s="3363">
        <f t="shared" si="15"/>
        <v>10.233820606264002</v>
      </c>
      <c r="BL27" s="3348">
        <f t="shared" si="32"/>
        <v>8.2575385199999989</v>
      </c>
      <c r="BM27" s="3668">
        <f t="shared" si="33"/>
        <v>4.4933807322525281</v>
      </c>
      <c r="BN27" s="3668">
        <f t="shared" si="34"/>
        <v>3.7196587588955046</v>
      </c>
      <c r="BO27" s="3669">
        <f t="shared" si="51"/>
        <v>1.06029</v>
      </c>
      <c r="BP27" s="3669">
        <f t="shared" si="51"/>
        <v>1.0602899999999997</v>
      </c>
      <c r="BQ27" s="3672"/>
      <c r="BR27" s="3123"/>
      <c r="BS27" s="3123"/>
      <c r="BT27" s="3123"/>
      <c r="BU27" s="3123"/>
      <c r="BV27" s="3123"/>
      <c r="BW27" s="3123"/>
    </row>
    <row r="28" spans="1:75" ht="38.25">
      <c r="A28" s="748" t="s">
        <v>78</v>
      </c>
      <c r="B28" s="731">
        <v>137.4</v>
      </c>
      <c r="C28" s="2935">
        <v>94</v>
      </c>
      <c r="D28" s="632">
        <f t="shared" si="52"/>
        <v>68.413391557496368</v>
      </c>
      <c r="E28" s="2935">
        <v>244.8</v>
      </c>
      <c r="F28" s="632">
        <f t="shared" si="53"/>
        <v>260.42553191489361</v>
      </c>
      <c r="G28" s="183">
        <v>193</v>
      </c>
      <c r="H28" s="632">
        <f t="shared" si="54"/>
        <v>78.83986928104575</v>
      </c>
      <c r="I28" s="187">
        <v>173</v>
      </c>
      <c r="J28" s="187">
        <v>160.1</v>
      </c>
      <c r="K28" s="187">
        <v>173</v>
      </c>
      <c r="L28" s="187">
        <v>260.3</v>
      </c>
      <c r="M28" s="634">
        <f t="shared" ref="M28:M41" si="58">K28/G28*100</f>
        <v>89.637305699481857</v>
      </c>
      <c r="N28" s="187">
        <v>181.47699999999998</v>
      </c>
      <c r="O28" s="187">
        <v>149</v>
      </c>
      <c r="P28" s="187">
        <v>248.34370000000001</v>
      </c>
      <c r="Q28" s="718">
        <v>301.60000000000002</v>
      </c>
      <c r="R28" s="726">
        <v>267.8</v>
      </c>
      <c r="S28" s="715">
        <f>R28</f>
        <v>267.8</v>
      </c>
      <c r="T28" s="711">
        <f t="shared" si="55"/>
        <v>1.4756690930531144</v>
      </c>
      <c r="U28" s="749" t="e">
        <f>R28*#REF!</f>
        <v>#REF!</v>
      </c>
      <c r="V28" s="749" t="e">
        <f>R28*#REF!</f>
        <v>#REF!</v>
      </c>
      <c r="W28" s="749">
        <f t="shared" si="25"/>
        <v>152.90819422363538</v>
      </c>
      <c r="X28" s="749">
        <f t="shared" si="26"/>
        <v>108.60748211446739</v>
      </c>
      <c r="Y28" s="749">
        <v>116.11</v>
      </c>
      <c r="Z28" s="749">
        <v>154.02000000000001</v>
      </c>
      <c r="AA28" s="752">
        <v>224.47</v>
      </c>
      <c r="AB28" s="722">
        <v>279.7</v>
      </c>
      <c r="AC28" s="715">
        <f>AB28</f>
        <v>279.7</v>
      </c>
      <c r="AD28" s="749">
        <f t="shared" si="27"/>
        <v>165.58217077524574</v>
      </c>
      <c r="AE28" s="749">
        <f t="shared" si="28"/>
        <v>111.88018049193246</v>
      </c>
      <c r="AF28" s="3127">
        <f t="shared" si="47"/>
        <v>1.0828861828887606</v>
      </c>
      <c r="AG28" s="3127">
        <f t="shared" si="48"/>
        <v>1.030133268111453</v>
      </c>
      <c r="AH28" s="749">
        <v>23.43</v>
      </c>
      <c r="AI28" s="2720">
        <v>23.43</v>
      </c>
      <c r="AJ28" s="2720">
        <f t="shared" si="35"/>
        <v>128.5</v>
      </c>
      <c r="AK28" s="2720">
        <v>74.540000000000006</v>
      </c>
      <c r="AL28" s="2721">
        <v>53.96</v>
      </c>
      <c r="AM28" s="725">
        <f t="shared" si="45"/>
        <v>246.91700000000003</v>
      </c>
      <c r="AN28" s="749">
        <f>AM28*AI56</f>
        <v>147.162532</v>
      </c>
      <c r="AO28" s="749">
        <f>AM28*AI57</f>
        <v>99.754468000000017</v>
      </c>
      <c r="AP28" s="3127">
        <f t="shared" si="49"/>
        <v>0.88875832048217451</v>
      </c>
      <c r="AQ28" s="3128">
        <f t="shared" si="49"/>
        <v>0.89161876179841504</v>
      </c>
      <c r="AR28" s="2205">
        <f>AH28*2*1.062</f>
        <v>49.765320000000003</v>
      </c>
      <c r="AS28" s="2203">
        <f t="shared" si="29"/>
        <v>27.080046854250874</v>
      </c>
      <c r="AT28" s="2203">
        <f t="shared" si="30"/>
        <v>22.417092936217713</v>
      </c>
      <c r="AU28" s="3129">
        <f t="shared" si="50"/>
        <v>0.1635444609009758</v>
      </c>
      <c r="AV28" s="3129">
        <f t="shared" si="50"/>
        <v>0.20036697150157154</v>
      </c>
      <c r="AW28" s="3133" t="s">
        <v>1507</v>
      </c>
      <c r="AX28" s="3150">
        <f t="shared" si="36"/>
        <v>138.57</v>
      </c>
      <c r="AY28" s="3151">
        <v>80.59</v>
      </c>
      <c r="AZ28" s="3151">
        <v>57.98</v>
      </c>
      <c r="BA28" s="3151">
        <f t="shared" si="37"/>
        <v>138.57</v>
      </c>
      <c r="BB28" s="3151">
        <v>80.59</v>
      </c>
      <c r="BC28" s="3151">
        <v>57.98</v>
      </c>
      <c r="BD28" s="3151">
        <f t="shared" si="38"/>
        <v>138.57</v>
      </c>
      <c r="BE28" s="3648">
        <f t="shared" si="56"/>
        <v>80.59</v>
      </c>
      <c r="BF28" s="3649">
        <f t="shared" si="57"/>
        <v>57.98</v>
      </c>
      <c r="BG28" s="3350">
        <f>SUM(AJ28*1.074*1.1)</f>
        <v>151.80990000000003</v>
      </c>
      <c r="BH28" s="3353">
        <f>SUM(BG28*AQ56)</f>
        <v>89.567841000000016</v>
      </c>
      <c r="BI28" s="3353">
        <f>SUM(BG28*AQ57)</f>
        <v>62.242059000000005</v>
      </c>
      <c r="BJ28" s="3362">
        <f t="shared" si="14"/>
        <v>3.3075216406407422</v>
      </c>
      <c r="BK28" s="3363">
        <f t="shared" si="15"/>
        <v>2.7765446294528187</v>
      </c>
      <c r="BL28" s="3348">
        <f t="shared" si="32"/>
        <v>52.765671142799995</v>
      </c>
      <c r="BM28" s="3668">
        <f t="shared" si="33"/>
        <v>28.712702879093655</v>
      </c>
      <c r="BN28" s="3668">
        <f t="shared" si="34"/>
        <v>23.768619469342276</v>
      </c>
      <c r="BO28" s="3669">
        <f t="shared" si="51"/>
        <v>1.06029</v>
      </c>
      <c r="BP28" s="3669">
        <f t="shared" si="51"/>
        <v>1.06029</v>
      </c>
      <c r="BQ28" s="3672"/>
      <c r="BR28" s="3123"/>
      <c r="BS28" s="3123"/>
      <c r="BT28" s="3123"/>
      <c r="BU28" s="3123"/>
      <c r="BV28" s="3123"/>
      <c r="BW28" s="3123"/>
    </row>
    <row r="29" spans="1:75" ht="25.5">
      <c r="A29" s="748" t="s">
        <v>39</v>
      </c>
      <c r="B29" s="731">
        <v>58.4</v>
      </c>
      <c r="C29" s="2935">
        <v>137.5</v>
      </c>
      <c r="D29" s="632">
        <f t="shared" si="52"/>
        <v>235.44520547945206</v>
      </c>
      <c r="E29" s="2935">
        <v>37.6</v>
      </c>
      <c r="F29" s="632">
        <f t="shared" si="53"/>
        <v>27.345454545454544</v>
      </c>
      <c r="G29" s="183">
        <f>54.2</f>
        <v>54.2</v>
      </c>
      <c r="H29" s="632">
        <f t="shared" si="54"/>
        <v>144.14893617021275</v>
      </c>
      <c r="I29" s="187">
        <v>44</v>
      </c>
      <c r="J29" s="187">
        <v>19.100000000000001</v>
      </c>
      <c r="K29" s="187">
        <v>54.2</v>
      </c>
      <c r="L29" s="187">
        <v>41.7</v>
      </c>
      <c r="M29" s="634">
        <f t="shared" si="58"/>
        <v>100</v>
      </c>
      <c r="N29" s="187">
        <v>46.155999999999999</v>
      </c>
      <c r="O29" s="187">
        <v>49</v>
      </c>
      <c r="P29" s="187">
        <v>48.979590000000002</v>
      </c>
      <c r="Q29" s="718">
        <v>55.7</v>
      </c>
      <c r="R29" s="726">
        <v>48.51</v>
      </c>
      <c r="S29" s="715">
        <f>R29</f>
        <v>48.51</v>
      </c>
      <c r="T29" s="711">
        <f t="shared" si="55"/>
        <v>1.0510009532888465</v>
      </c>
      <c r="U29" s="749" t="e">
        <f>R29*#REF!</f>
        <v>#REF!</v>
      </c>
      <c r="V29" s="749" t="e">
        <f>R29*#REF!</f>
        <v>#REF!</v>
      </c>
      <c r="W29" s="749">
        <f t="shared" si="25"/>
        <v>27.698194554848961</v>
      </c>
      <c r="X29" s="749">
        <f t="shared" si="26"/>
        <v>19.673446442766291</v>
      </c>
      <c r="Y29" s="749">
        <v>30.64</v>
      </c>
      <c r="Z29" s="749">
        <v>42.99</v>
      </c>
      <c r="AA29" s="752">
        <v>35.770000000000003</v>
      </c>
      <c r="AB29" s="722">
        <v>52.5</v>
      </c>
      <c r="AC29" s="715">
        <f>AB29</f>
        <v>52.5</v>
      </c>
      <c r="AD29" s="749">
        <f t="shared" si="27"/>
        <v>31.079956974259574</v>
      </c>
      <c r="AE29" s="749">
        <f t="shared" si="28"/>
        <v>21.000033878535767</v>
      </c>
      <c r="AF29" s="3127">
        <f t="shared" si="47"/>
        <v>1.1220932437568782</v>
      </c>
      <c r="AG29" s="3127">
        <f t="shared" si="48"/>
        <v>1.0674303528682056</v>
      </c>
      <c r="AH29" s="749">
        <v>5.1100000000000003</v>
      </c>
      <c r="AI29" s="2720">
        <v>14.88</v>
      </c>
      <c r="AJ29" s="2720">
        <f t="shared" si="35"/>
        <v>28.18</v>
      </c>
      <c r="AK29" s="2720">
        <v>16.63</v>
      </c>
      <c r="AL29" s="2721">
        <v>11.55</v>
      </c>
      <c r="AM29" s="725">
        <f t="shared" si="45"/>
        <v>39.347000000000008</v>
      </c>
      <c r="AN29" s="749">
        <f>AM29*AI56</f>
        <v>23.450812000000003</v>
      </c>
      <c r="AO29" s="749">
        <f>AM29*AI57</f>
        <v>15.896188000000004</v>
      </c>
      <c r="AP29" s="3127">
        <f t="shared" si="49"/>
        <v>0.75453167517001296</v>
      </c>
      <c r="AQ29" s="3128">
        <f t="shared" si="49"/>
        <v>0.75696011215713188</v>
      </c>
      <c r="AR29" s="2205">
        <f>AI29/3*4*1.062</f>
        <v>21.070080000000001</v>
      </c>
      <c r="AS29" s="2203">
        <f t="shared" si="29"/>
        <v>11.465389022371689</v>
      </c>
      <c r="AT29" s="2203">
        <f t="shared" si="30"/>
        <v>9.491146475769515</v>
      </c>
      <c r="AU29" s="3129">
        <f t="shared" si="50"/>
        <v>0.36889977138215879</v>
      </c>
      <c r="AV29" s="3129">
        <f t="shared" si="50"/>
        <v>0.45195862686061949</v>
      </c>
      <c r="AW29" s="3133" t="s">
        <v>1509</v>
      </c>
      <c r="AX29" s="3150">
        <f t="shared" si="36"/>
        <v>11.3</v>
      </c>
      <c r="AY29" s="3151">
        <v>6.52</v>
      </c>
      <c r="AZ29" s="3151">
        <v>4.78</v>
      </c>
      <c r="BA29" s="3151">
        <f t="shared" si="37"/>
        <v>24.42</v>
      </c>
      <c r="BB29" s="3151">
        <v>13.93</v>
      </c>
      <c r="BC29" s="3151">
        <v>10.49</v>
      </c>
      <c r="BD29" s="3151">
        <f t="shared" si="38"/>
        <v>37.54</v>
      </c>
      <c r="BE29" s="3648">
        <f t="shared" si="56"/>
        <v>21.34</v>
      </c>
      <c r="BF29" s="3649">
        <f t="shared" si="57"/>
        <v>16.2</v>
      </c>
      <c r="BG29" s="3350">
        <f>SUM(AJ29*1.074*1.1)</f>
        <v>33.291852000000006</v>
      </c>
      <c r="BH29" s="3353">
        <f>SUM(BG29*AQ56)</f>
        <v>19.642192680000001</v>
      </c>
      <c r="BI29" s="3353">
        <f>SUM(BG29*AQ57)</f>
        <v>13.649659320000001</v>
      </c>
      <c r="BJ29" s="3362">
        <f t="shared" si="14"/>
        <v>1.713172805708854</v>
      </c>
      <c r="BK29" s="3363">
        <f t="shared" si="15"/>
        <v>1.4381465247477729</v>
      </c>
      <c r="BL29" s="3348">
        <f t="shared" si="32"/>
        <v>22.340395123199997</v>
      </c>
      <c r="BM29" s="3668">
        <f t="shared" si="33"/>
        <v>12.156637326530475</v>
      </c>
      <c r="BN29" s="3668">
        <f t="shared" si="34"/>
        <v>10.063367696793657</v>
      </c>
      <c r="BO29" s="3669">
        <f t="shared" si="51"/>
        <v>1.0602899999999997</v>
      </c>
      <c r="BP29" s="3669">
        <f t="shared" si="51"/>
        <v>1.0602899999999997</v>
      </c>
      <c r="BQ29" s="3672"/>
      <c r="BR29" s="3123"/>
      <c r="BS29" s="3123"/>
      <c r="BT29" s="3123"/>
      <c r="BU29" s="3123"/>
      <c r="BV29" s="3123"/>
      <c r="BW29" s="3123"/>
    </row>
    <row r="30" spans="1:75" ht="15">
      <c r="A30" s="748" t="s">
        <v>40</v>
      </c>
      <c r="B30" s="731">
        <v>63</v>
      </c>
      <c r="C30" s="2935">
        <v>70</v>
      </c>
      <c r="D30" s="632">
        <f t="shared" si="52"/>
        <v>111.11111111111111</v>
      </c>
      <c r="E30" s="2935">
        <v>77</v>
      </c>
      <c r="F30" s="632">
        <f t="shared" si="53"/>
        <v>110.00000000000001</v>
      </c>
      <c r="G30" s="183">
        <v>85</v>
      </c>
      <c r="H30" s="632">
        <f t="shared" si="54"/>
        <v>110.3896103896104</v>
      </c>
      <c r="I30" s="187">
        <v>84.9</v>
      </c>
      <c r="J30" s="187">
        <v>91.5</v>
      </c>
      <c r="K30" s="187">
        <v>91.5</v>
      </c>
      <c r="L30" s="187">
        <v>161.5</v>
      </c>
      <c r="M30" s="634">
        <f t="shared" si="58"/>
        <v>107.64705882352941</v>
      </c>
      <c r="N30" s="187">
        <v>93.5</v>
      </c>
      <c r="O30" s="187">
        <v>32</v>
      </c>
      <c r="P30" s="187">
        <v>32</v>
      </c>
      <c r="Q30" s="718">
        <v>32</v>
      </c>
      <c r="R30" s="726">
        <v>98.7</v>
      </c>
      <c r="S30" s="715">
        <f>P30/9*12*1.048</f>
        <v>44.714666666666666</v>
      </c>
      <c r="T30" s="711">
        <f t="shared" si="55"/>
        <v>0.47823172905525846</v>
      </c>
      <c r="U30" s="749" t="e">
        <f>R30*#REF!</f>
        <v>#REF!</v>
      </c>
      <c r="V30" s="749" t="e">
        <f>R30*#REF!</f>
        <v>#REF!</v>
      </c>
      <c r="W30" s="749">
        <f t="shared" si="25"/>
        <v>25.531138668079841</v>
      </c>
      <c r="X30" s="749">
        <f t="shared" si="26"/>
        <v>18.134232114467405</v>
      </c>
      <c r="Y30" s="749">
        <v>100</v>
      </c>
      <c r="Z30" s="749">
        <v>100</v>
      </c>
      <c r="AA30" s="752">
        <v>99.33</v>
      </c>
      <c r="AB30" s="722">
        <v>50</v>
      </c>
      <c r="AC30" s="715">
        <f>AB30</f>
        <v>50</v>
      </c>
      <c r="AD30" s="749">
        <f t="shared" si="27"/>
        <v>29.599959023104354</v>
      </c>
      <c r="AE30" s="749">
        <f t="shared" si="28"/>
        <v>20.000032265272161</v>
      </c>
      <c r="AF30" s="3127">
        <f t="shared" si="47"/>
        <v>1.1593669756731819</v>
      </c>
      <c r="AG30" s="3127">
        <f t="shared" si="48"/>
        <v>1.1028882909972366</v>
      </c>
      <c r="AH30" s="749">
        <v>100</v>
      </c>
      <c r="AI30" s="2720">
        <v>100</v>
      </c>
      <c r="AJ30" s="2720">
        <f t="shared" si="35"/>
        <v>99.61</v>
      </c>
      <c r="AK30" s="2720">
        <v>58.55</v>
      </c>
      <c r="AL30" s="2721">
        <v>41.06</v>
      </c>
      <c r="AM30" s="725">
        <f t="shared" si="45"/>
        <v>109.26300000000001</v>
      </c>
      <c r="AN30" s="749">
        <f>AM30*AI56</f>
        <v>65.120748000000006</v>
      </c>
      <c r="AO30" s="749">
        <f>AM30*AI57</f>
        <v>44.142252000000006</v>
      </c>
      <c r="AP30" s="3127">
        <f t="shared" si="49"/>
        <v>2.2000283158895515</v>
      </c>
      <c r="AQ30" s="3128">
        <f t="shared" si="49"/>
        <v>2.207109039351308</v>
      </c>
      <c r="AR30" s="2205">
        <f>AM30</f>
        <v>109.26300000000001</v>
      </c>
      <c r="AS30" s="2203">
        <f t="shared" si="29"/>
        <v>59.456005898003134</v>
      </c>
      <c r="AT30" s="2203">
        <f t="shared" si="30"/>
        <v>49.21818699226602</v>
      </c>
      <c r="AU30" s="3129">
        <f t="shared" si="50"/>
        <v>2.0086516285915983</v>
      </c>
      <c r="AV30" s="3129">
        <f t="shared" si="50"/>
        <v>2.4609053795242093</v>
      </c>
      <c r="AW30" s="3130"/>
      <c r="AX30" s="3150">
        <f t="shared" si="36"/>
        <v>99.99</v>
      </c>
      <c r="AY30" s="3151">
        <v>57.83</v>
      </c>
      <c r="AZ30" s="3151">
        <v>42.16</v>
      </c>
      <c r="BA30" s="3151">
        <f t="shared" si="37"/>
        <v>99.99</v>
      </c>
      <c r="BB30" s="3151">
        <v>57.83</v>
      </c>
      <c r="BC30" s="3151">
        <v>42.16</v>
      </c>
      <c r="BD30" s="3151">
        <f t="shared" si="38"/>
        <v>99.99</v>
      </c>
      <c r="BE30" s="3648">
        <f t="shared" si="56"/>
        <v>57.83</v>
      </c>
      <c r="BF30" s="3649">
        <f t="shared" si="57"/>
        <v>42.16</v>
      </c>
      <c r="BG30" s="3350">
        <f>SUM(AR30*1.1)</f>
        <v>120.18930000000002</v>
      </c>
      <c r="BH30" s="3353">
        <f>SUM(BG30*AQ56)</f>
        <v>70.911687000000001</v>
      </c>
      <c r="BI30" s="3353">
        <f>SUM(BG30*AQ57)</f>
        <v>49.277613000000002</v>
      </c>
      <c r="BJ30" s="3362">
        <f t="shared" si="14"/>
        <v>1.1926749186894441</v>
      </c>
      <c r="BK30" s="3363">
        <f t="shared" si="15"/>
        <v>1.0012073993652655</v>
      </c>
      <c r="BL30" s="3348">
        <f t="shared" si="32"/>
        <v>115.85046627</v>
      </c>
      <c r="BM30" s="3668">
        <f t="shared" si="33"/>
        <v>63.040608493593737</v>
      </c>
      <c r="BN30" s="3668">
        <f t="shared" si="34"/>
        <v>52.185551486029738</v>
      </c>
      <c r="BO30" s="3669">
        <f t="shared" si="51"/>
        <v>1.06029</v>
      </c>
      <c r="BP30" s="3669">
        <f t="shared" si="51"/>
        <v>1.06029</v>
      </c>
      <c r="BQ30" s="3670"/>
      <c r="BR30" s="3123"/>
      <c r="BS30" s="3123"/>
      <c r="BT30" s="3123"/>
      <c r="BU30" s="3123"/>
      <c r="BV30" s="3123"/>
      <c r="BW30" s="3123"/>
    </row>
    <row r="31" spans="1:75" ht="15">
      <c r="A31" s="748" t="s">
        <v>79</v>
      </c>
      <c r="B31" s="731">
        <v>3.9</v>
      </c>
      <c r="C31" s="2935">
        <v>39.799999999999997</v>
      </c>
      <c r="D31" s="632">
        <f t="shared" si="52"/>
        <v>1020.5128205128204</v>
      </c>
      <c r="E31" s="2935">
        <v>47.7</v>
      </c>
      <c r="F31" s="632">
        <f t="shared" si="53"/>
        <v>119.8492462311558</v>
      </c>
      <c r="G31" s="183">
        <v>102.2</v>
      </c>
      <c r="H31" s="632">
        <f t="shared" si="54"/>
        <v>214.2557651991614</v>
      </c>
      <c r="I31" s="187">
        <v>43.9</v>
      </c>
      <c r="J31" s="187">
        <v>76.5</v>
      </c>
      <c r="K31" s="187">
        <v>76.5</v>
      </c>
      <c r="L31" s="187">
        <v>102</v>
      </c>
      <c r="M31" s="634">
        <f t="shared" si="58"/>
        <v>74.853228962817994</v>
      </c>
      <c r="N31" s="187">
        <v>48.4</v>
      </c>
      <c r="O31" s="187"/>
      <c r="P31" s="187">
        <v>0.3</v>
      </c>
      <c r="Q31" s="718">
        <v>0.9</v>
      </c>
      <c r="R31" s="726">
        <v>117.6</v>
      </c>
      <c r="S31" s="715">
        <f>P31/9*12*1.048</f>
        <v>0.41920000000000002</v>
      </c>
      <c r="T31" s="711">
        <f t="shared" si="55"/>
        <v>8.6611570247933888E-3</v>
      </c>
      <c r="U31" s="749" t="e">
        <f>R31*#REF!</f>
        <v>#REF!</v>
      </c>
      <c r="V31" s="749" t="e">
        <f>R31*#REF!</f>
        <v>#REF!</v>
      </c>
      <c r="W31" s="749">
        <f t="shared" si="25"/>
        <v>0.23935442501324852</v>
      </c>
      <c r="X31" s="749">
        <f t="shared" si="26"/>
        <v>0.17000842607313191</v>
      </c>
      <c r="Y31" s="749"/>
      <c r="Z31" s="749"/>
      <c r="AA31" s="752"/>
      <c r="AB31" s="722">
        <v>0</v>
      </c>
      <c r="AC31" s="715">
        <v>0</v>
      </c>
      <c r="AD31" s="749">
        <f t="shared" si="27"/>
        <v>0</v>
      </c>
      <c r="AE31" s="749">
        <f t="shared" si="28"/>
        <v>0</v>
      </c>
      <c r="AF31" s="3127">
        <f t="shared" si="47"/>
        <v>0</v>
      </c>
      <c r="AG31" s="3127">
        <f t="shared" si="48"/>
        <v>0</v>
      </c>
      <c r="AH31" s="749">
        <v>0.42</v>
      </c>
      <c r="AI31" s="2720">
        <v>0.42</v>
      </c>
      <c r="AJ31" s="2720">
        <f t="shared" si="35"/>
        <v>0.42000000000000004</v>
      </c>
      <c r="AK31" s="2720">
        <v>0.25</v>
      </c>
      <c r="AL31" s="2721">
        <v>0.17</v>
      </c>
      <c r="AM31" s="725">
        <f t="shared" si="45"/>
        <v>0</v>
      </c>
      <c r="AN31" s="749">
        <f>AM31*AI56</f>
        <v>0</v>
      </c>
      <c r="AO31" s="749">
        <f>AM31*AI57</f>
        <v>0</v>
      </c>
      <c r="AP31" s="3127"/>
      <c r="AQ31" s="3128"/>
      <c r="AR31" s="2205">
        <f t="shared" ref="AR31:AR32" si="59">AM31</f>
        <v>0</v>
      </c>
      <c r="AS31" s="2203">
        <f t="shared" si="29"/>
        <v>0</v>
      </c>
      <c r="AT31" s="2203">
        <f t="shared" si="30"/>
        <v>0</v>
      </c>
      <c r="AU31" s="3129"/>
      <c r="AV31" s="3129"/>
      <c r="AW31" s="3130"/>
      <c r="AX31" s="3150">
        <f t="shared" si="36"/>
        <v>0</v>
      </c>
      <c r="AY31" s="3151">
        <v>0</v>
      </c>
      <c r="AZ31" s="3151">
        <v>0</v>
      </c>
      <c r="BA31" s="3151">
        <f t="shared" si="37"/>
        <v>0</v>
      </c>
      <c r="BB31" s="3151"/>
      <c r="BC31" s="3151"/>
      <c r="BD31" s="3151">
        <f t="shared" si="38"/>
        <v>0</v>
      </c>
      <c r="BE31" s="3648">
        <f t="shared" si="56"/>
        <v>0</v>
      </c>
      <c r="BF31" s="3649">
        <f t="shared" si="57"/>
        <v>0</v>
      </c>
      <c r="BG31" s="3350">
        <f>SUM(AJ31*1.074*1.1)</f>
        <v>0.49618800000000013</v>
      </c>
      <c r="BH31" s="3353">
        <f>SUM(BG31*AQ56)</f>
        <v>0.29275092000000008</v>
      </c>
      <c r="BI31" s="3353">
        <f>SUM(BG31*AQ57)</f>
        <v>0.20343708000000005</v>
      </c>
      <c r="BJ31" s="3362" t="e">
        <f t="shared" si="14"/>
        <v>#DIV/0!</v>
      </c>
      <c r="BK31" s="3363" t="e">
        <f t="shared" si="15"/>
        <v>#DIV/0!</v>
      </c>
      <c r="BL31" s="3348">
        <f t="shared" si="32"/>
        <v>0</v>
      </c>
      <c r="BM31" s="3668">
        <f t="shared" si="33"/>
        <v>0</v>
      </c>
      <c r="BN31" s="3668">
        <f t="shared" si="34"/>
        <v>0</v>
      </c>
      <c r="BO31" s="3669"/>
      <c r="BP31" s="3669"/>
      <c r="BQ31" s="3670"/>
      <c r="BR31" s="3123"/>
      <c r="BS31" s="3123"/>
      <c r="BT31" s="3123"/>
      <c r="BU31" s="3123"/>
      <c r="BV31" s="3123"/>
      <c r="BW31" s="3123"/>
    </row>
    <row r="32" spans="1:75" ht="15">
      <c r="A32" s="748" t="s">
        <v>99</v>
      </c>
      <c r="B32" s="731">
        <v>6.6</v>
      </c>
      <c r="C32" s="2935">
        <v>7.8</v>
      </c>
      <c r="D32" s="632">
        <f t="shared" si="52"/>
        <v>118.18181818181819</v>
      </c>
      <c r="E32" s="2935">
        <v>7</v>
      </c>
      <c r="F32" s="632">
        <f t="shared" si="53"/>
        <v>89.743589743589752</v>
      </c>
      <c r="G32" s="183">
        <v>6.7</v>
      </c>
      <c r="H32" s="632">
        <f t="shared" si="54"/>
        <v>95.714285714285722</v>
      </c>
      <c r="I32" s="187">
        <v>10.6</v>
      </c>
      <c r="J32" s="187">
        <v>5</v>
      </c>
      <c r="K32" s="187">
        <v>7</v>
      </c>
      <c r="L32" s="187">
        <v>6.6</v>
      </c>
      <c r="M32" s="634">
        <f t="shared" si="58"/>
        <v>104.4776119402985</v>
      </c>
      <c r="N32" s="187">
        <v>7.343</v>
      </c>
      <c r="O32" s="187">
        <v>3.3</v>
      </c>
      <c r="P32" s="187">
        <v>5.3182299999999998</v>
      </c>
      <c r="Q32" s="718">
        <v>7</v>
      </c>
      <c r="R32" s="726">
        <v>7.84</v>
      </c>
      <c r="S32" s="715">
        <f>P32/9*12*1.048</f>
        <v>7.4313400533333329</v>
      </c>
      <c r="T32" s="711">
        <f t="shared" si="55"/>
        <v>1.0120305125062417</v>
      </c>
      <c r="U32" s="749" t="e">
        <f>R32*#REF!</f>
        <v>#REF!</v>
      </c>
      <c r="V32" s="749" t="e">
        <f>R32*#REF!</f>
        <v>#REF!</v>
      </c>
      <c r="W32" s="749">
        <f t="shared" si="25"/>
        <v>4.2431396124606948</v>
      </c>
      <c r="X32" s="749">
        <f t="shared" si="26"/>
        <v>3.0138130393163745</v>
      </c>
      <c r="Y32" s="749">
        <v>3.46</v>
      </c>
      <c r="Z32" s="749">
        <v>5.85</v>
      </c>
      <c r="AA32" s="752">
        <v>7.8</v>
      </c>
      <c r="AB32" s="722">
        <v>7.83</v>
      </c>
      <c r="AC32" s="715">
        <f>AB32</f>
        <v>7.83</v>
      </c>
      <c r="AD32" s="749">
        <f t="shared" si="27"/>
        <v>4.6353535830181425</v>
      </c>
      <c r="AE32" s="749">
        <f t="shared" si="28"/>
        <v>3.1320050527416203</v>
      </c>
      <c r="AF32" s="3127">
        <f t="shared" si="47"/>
        <v>1.0924348492813305</v>
      </c>
      <c r="AG32" s="3127">
        <f t="shared" si="48"/>
        <v>1.039216770212148</v>
      </c>
      <c r="AH32" s="749">
        <v>3.4</v>
      </c>
      <c r="AI32" s="2720">
        <v>5.25</v>
      </c>
      <c r="AJ32" s="2720">
        <f t="shared" si="35"/>
        <v>7.3699999999999992</v>
      </c>
      <c r="AK32" s="2720">
        <f>4.17+0.17</f>
        <v>4.34</v>
      </c>
      <c r="AL32" s="2721">
        <f>2.9+0.13</f>
        <v>3.03</v>
      </c>
      <c r="AM32" s="725">
        <f t="shared" si="45"/>
        <v>8.58</v>
      </c>
      <c r="AN32" s="749">
        <f>AM32*AI56</f>
        <v>5.1136799999999996</v>
      </c>
      <c r="AO32" s="749">
        <f>AM32*AI57</f>
        <v>3.4663200000000001</v>
      </c>
      <c r="AP32" s="3127">
        <f>AN32/AD32</f>
        <v>1.1031909235002548</v>
      </c>
      <c r="AQ32" s="3128">
        <f>AO32/AE32</f>
        <v>1.1067415095533562</v>
      </c>
      <c r="AR32" s="2205">
        <f t="shared" si="59"/>
        <v>8.58</v>
      </c>
      <c r="AS32" s="2203">
        <f t="shared" si="29"/>
        <v>4.6688497533919699</v>
      </c>
      <c r="AT32" s="2203">
        <f t="shared" si="30"/>
        <v>3.8649135058861868</v>
      </c>
      <c r="AU32" s="3129">
        <f>AS32/AD32</f>
        <v>1.0072262384678792</v>
      </c>
      <c r="AV32" s="3129">
        <f>AT32/AE32</f>
        <v>1.2340061528646036</v>
      </c>
      <c r="AW32" s="3130"/>
      <c r="AX32" s="3150">
        <f t="shared" si="36"/>
        <v>3.6399999999999997</v>
      </c>
      <c r="AY32" s="3151">
        <v>2.11</v>
      </c>
      <c r="AZ32" s="3151">
        <v>1.53</v>
      </c>
      <c r="BA32" s="3151">
        <f t="shared" si="37"/>
        <v>5.34</v>
      </c>
      <c r="BB32" s="3151">
        <v>3.12</v>
      </c>
      <c r="BC32" s="3151">
        <v>2.2200000000000002</v>
      </c>
      <c r="BD32" s="3151">
        <f t="shared" si="38"/>
        <v>7.0400000000000009</v>
      </c>
      <c r="BE32" s="3648">
        <f t="shared" si="56"/>
        <v>4.1300000000000008</v>
      </c>
      <c r="BF32" s="3649">
        <f t="shared" si="57"/>
        <v>2.91</v>
      </c>
      <c r="BG32" s="3350">
        <f>SUM(AR32*1.1)</f>
        <v>9.4380000000000006</v>
      </c>
      <c r="BH32" s="3353">
        <f>SUM(BG32*AQ56)</f>
        <v>5.5684199999999997</v>
      </c>
      <c r="BI32" s="3353">
        <f>SUM(BG32*AQ57)</f>
        <v>3.86958</v>
      </c>
      <c r="BJ32" s="3362">
        <f t="shared" si="14"/>
        <v>1.1926749186894443</v>
      </c>
      <c r="BK32" s="3363">
        <f t="shared" si="15"/>
        <v>1.0012073993652655</v>
      </c>
      <c r="BL32" s="3348">
        <f t="shared" si="32"/>
        <v>9.0972881999999995</v>
      </c>
      <c r="BM32" s="3668">
        <f t="shared" si="33"/>
        <v>4.9503347050239723</v>
      </c>
      <c r="BN32" s="3668">
        <f t="shared" si="34"/>
        <v>4.0979291411560652</v>
      </c>
      <c r="BO32" s="3669">
        <f>BM32/AS32</f>
        <v>1.0602900000000002</v>
      </c>
      <c r="BP32" s="3669">
        <f>BN32/AT32</f>
        <v>1.06029</v>
      </c>
      <c r="BQ32" s="3670"/>
      <c r="BR32" s="3123"/>
      <c r="BS32" s="3123"/>
      <c r="BT32" s="3123"/>
      <c r="BU32" s="3123"/>
      <c r="BV32" s="3123"/>
      <c r="BW32" s="3123"/>
    </row>
    <row r="33" spans="1:75" ht="15">
      <c r="A33" s="748" t="s">
        <v>220</v>
      </c>
      <c r="B33" s="731">
        <v>105.1</v>
      </c>
      <c r="C33" s="2935">
        <v>13</v>
      </c>
      <c r="D33" s="632">
        <f t="shared" si="52"/>
        <v>12.369172216936251</v>
      </c>
      <c r="E33" s="2935">
        <v>28.1</v>
      </c>
      <c r="F33" s="632">
        <f t="shared" si="53"/>
        <v>216.15384615384619</v>
      </c>
      <c r="G33" s="183">
        <v>117.6</v>
      </c>
      <c r="H33" s="632">
        <f t="shared" si="54"/>
        <v>418.5053380782918</v>
      </c>
      <c r="I33" s="187">
        <v>108.2</v>
      </c>
      <c r="J33" s="187">
        <v>58.5</v>
      </c>
      <c r="K33" s="187">
        <v>108.2</v>
      </c>
      <c r="L33" s="187">
        <v>103</v>
      </c>
      <c r="M33" s="634">
        <f t="shared" si="58"/>
        <v>92.006802721088448</v>
      </c>
      <c r="N33" s="187">
        <v>0</v>
      </c>
      <c r="O33" s="187">
        <v>141.4</v>
      </c>
      <c r="P33" s="187">
        <v>256.79226</v>
      </c>
      <c r="Q33" s="718">
        <v>266</v>
      </c>
      <c r="R33" s="726">
        <v>103</v>
      </c>
      <c r="S33" s="715">
        <v>103</v>
      </c>
      <c r="T33" s="711"/>
      <c r="U33" s="749" t="e">
        <f>R33*#REF!</f>
        <v>#REF!</v>
      </c>
      <c r="V33" s="749" t="e">
        <f>R33*#REF!</f>
        <v>#REF!</v>
      </c>
      <c r="W33" s="749">
        <f t="shared" si="25"/>
        <v>58.810843932167451</v>
      </c>
      <c r="X33" s="749">
        <f t="shared" si="26"/>
        <v>41.772108505564375</v>
      </c>
      <c r="Y33" s="749">
        <v>246.24</v>
      </c>
      <c r="Z33" s="749">
        <v>378.14</v>
      </c>
      <c r="AA33" s="752">
        <v>344.26</v>
      </c>
      <c r="AB33" s="722">
        <v>106.3</v>
      </c>
      <c r="AC33" s="715">
        <v>0</v>
      </c>
      <c r="AD33" s="749">
        <f t="shared" si="27"/>
        <v>0</v>
      </c>
      <c r="AE33" s="749">
        <f t="shared" si="28"/>
        <v>0</v>
      </c>
      <c r="AF33" s="3127">
        <f t="shared" si="47"/>
        <v>0</v>
      </c>
      <c r="AG33" s="3127">
        <f t="shared" si="48"/>
        <v>0</v>
      </c>
      <c r="AH33" s="749">
        <v>137.71</v>
      </c>
      <c r="AI33" s="2720">
        <v>296.42</v>
      </c>
      <c r="AJ33" s="2720">
        <f t="shared" si="35"/>
        <v>398.45000000000005</v>
      </c>
      <c r="AK33" s="2720">
        <v>234.68</v>
      </c>
      <c r="AL33" s="2721">
        <v>163.77000000000001</v>
      </c>
      <c r="AM33" s="725">
        <f t="shared" si="45"/>
        <v>378.68600000000004</v>
      </c>
      <c r="AN33" s="749">
        <f>AM33*AI56</f>
        <v>225.69685600000003</v>
      </c>
      <c r="AO33" s="749">
        <f>AM33*AI57</f>
        <v>152.98914400000001</v>
      </c>
      <c r="AP33" s="3127"/>
      <c r="AQ33" s="3128"/>
      <c r="AR33" s="2205"/>
      <c r="AS33" s="2203">
        <f t="shared" si="29"/>
        <v>0</v>
      </c>
      <c r="AT33" s="2203">
        <f t="shared" si="30"/>
        <v>0</v>
      </c>
      <c r="AU33" s="3129"/>
      <c r="AV33" s="3129"/>
      <c r="AW33" s="3130"/>
      <c r="AX33" s="3150">
        <f t="shared" si="36"/>
        <v>120</v>
      </c>
      <c r="AY33" s="3151">
        <v>69.150000000000006</v>
      </c>
      <c r="AZ33" s="3151">
        <v>50.85</v>
      </c>
      <c r="BA33" s="3151">
        <f t="shared" si="37"/>
        <v>148.25</v>
      </c>
      <c r="BB33" s="3151">
        <v>85.53</v>
      </c>
      <c r="BC33" s="3151">
        <v>62.72</v>
      </c>
      <c r="BD33" s="3151">
        <f t="shared" si="38"/>
        <v>176.5</v>
      </c>
      <c r="BE33" s="3648">
        <f t="shared" si="56"/>
        <v>101.91</v>
      </c>
      <c r="BF33" s="3649">
        <f t="shared" si="57"/>
        <v>74.59</v>
      </c>
      <c r="BG33" s="3350">
        <v>398.45</v>
      </c>
      <c r="BH33" s="3353">
        <f>SUM(BG33*AQ56)</f>
        <v>235.08549999999997</v>
      </c>
      <c r="BI33" s="3353">
        <f>SUM(BG33*AQ57)</f>
        <v>163.36449999999999</v>
      </c>
      <c r="BJ33" s="3362" t="e">
        <f t="shared" si="14"/>
        <v>#DIV/0!</v>
      </c>
      <c r="BK33" s="3363" t="e">
        <f t="shared" si="15"/>
        <v>#DIV/0!</v>
      </c>
      <c r="BL33" s="3348">
        <f t="shared" si="32"/>
        <v>0</v>
      </c>
      <c r="BM33" s="3668">
        <f t="shared" si="33"/>
        <v>0</v>
      </c>
      <c r="BN33" s="3668">
        <f t="shared" si="34"/>
        <v>0</v>
      </c>
      <c r="BO33" s="3669"/>
      <c r="BP33" s="3669"/>
      <c r="BQ33" s="3670"/>
      <c r="BR33" s="3123"/>
      <c r="BS33" s="3123"/>
      <c r="BT33" s="3123"/>
      <c r="BU33" s="3123"/>
      <c r="BV33" s="3123"/>
      <c r="BW33" s="3123"/>
    </row>
    <row r="34" spans="1:75" ht="15">
      <c r="A34" s="748" t="s">
        <v>41</v>
      </c>
      <c r="B34" s="731">
        <v>8.1</v>
      </c>
      <c r="C34" s="2935">
        <v>11.6</v>
      </c>
      <c r="D34" s="632">
        <f t="shared" si="52"/>
        <v>143.20987654320987</v>
      </c>
      <c r="E34" s="2935">
        <v>17.600000000000001</v>
      </c>
      <c r="F34" s="632">
        <f t="shared" si="53"/>
        <v>151.72413793103451</v>
      </c>
      <c r="G34" s="183">
        <v>14.6</v>
      </c>
      <c r="H34" s="632">
        <f t="shared" si="54"/>
        <v>82.954545454545453</v>
      </c>
      <c r="I34" s="187">
        <v>19.600000000000001</v>
      </c>
      <c r="J34" s="187">
        <v>12.2</v>
      </c>
      <c r="K34" s="187">
        <f>J34/9*12</f>
        <v>16.266666666666666</v>
      </c>
      <c r="L34" s="187">
        <v>16.600000000000001</v>
      </c>
      <c r="M34" s="634">
        <f t="shared" si="58"/>
        <v>111.41552511415524</v>
      </c>
      <c r="N34" s="187">
        <v>17.063733333333332</v>
      </c>
      <c r="O34" s="187">
        <v>1.1000000000000001</v>
      </c>
      <c r="P34" s="187">
        <v>1.1040000000000001</v>
      </c>
      <c r="Q34" s="718">
        <v>1.1000000000000001</v>
      </c>
      <c r="R34" s="726">
        <v>17.850000000000001</v>
      </c>
      <c r="S34" s="715">
        <f>P34/9*12*1.048</f>
        <v>1.542656</v>
      </c>
      <c r="T34" s="711">
        <f>S34/N34</f>
        <v>9.0405538451921438E-2</v>
      </c>
      <c r="U34" s="749" t="e">
        <f>R34*#REF!</f>
        <v>#REF!</v>
      </c>
      <c r="V34" s="749" t="e">
        <f>R34*#REF!</f>
        <v>#REF!</v>
      </c>
      <c r="W34" s="749">
        <f t="shared" si="25"/>
        <v>0.88082428404875446</v>
      </c>
      <c r="X34" s="749">
        <f t="shared" si="26"/>
        <v>0.62563100794912541</v>
      </c>
      <c r="Y34" s="749"/>
      <c r="Z34" s="749">
        <v>4.8</v>
      </c>
      <c r="AA34" s="752">
        <v>4.76</v>
      </c>
      <c r="AB34" s="722">
        <v>1.9</v>
      </c>
      <c r="AC34" s="715">
        <f>AB34</f>
        <v>1.9</v>
      </c>
      <c r="AD34" s="749">
        <f t="shared" si="27"/>
        <v>1.1247984428779654</v>
      </c>
      <c r="AE34" s="749">
        <f t="shared" si="28"/>
        <v>0.76000122608034204</v>
      </c>
      <c r="AF34" s="3127">
        <f t="shared" si="47"/>
        <v>1.2769839152342293</v>
      </c>
      <c r="AG34" s="3127">
        <f t="shared" si="48"/>
        <v>1.2147755089244925</v>
      </c>
      <c r="AH34" s="749">
        <v>0</v>
      </c>
      <c r="AI34" s="2720">
        <v>0</v>
      </c>
      <c r="AJ34" s="2720">
        <f t="shared" si="35"/>
        <v>0</v>
      </c>
      <c r="AK34" s="2720">
        <v>0</v>
      </c>
      <c r="AL34" s="2721">
        <v>0</v>
      </c>
      <c r="AM34" s="725">
        <f t="shared" si="45"/>
        <v>5.2359999999999998</v>
      </c>
      <c r="AN34" s="749">
        <f>AM34*AI56</f>
        <v>3.1206559999999999</v>
      </c>
      <c r="AO34" s="749">
        <f>AM34*AI57</f>
        <v>2.1153439999999999</v>
      </c>
      <c r="AP34" s="3127">
        <f t="shared" ref="AP34:AQ38" si="60">AN34/AD34</f>
        <v>2.7744135136027874</v>
      </c>
      <c r="AQ34" s="3128">
        <f t="shared" si="60"/>
        <v>2.7833428781552789</v>
      </c>
      <c r="AR34" s="2205">
        <v>0</v>
      </c>
      <c r="AS34" s="2203">
        <f t="shared" si="29"/>
        <v>0</v>
      </c>
      <c r="AT34" s="2203">
        <f t="shared" si="30"/>
        <v>0</v>
      </c>
      <c r="AU34" s="3129">
        <f t="shared" ref="AU34:AV38" si="61">AS34/AD34</f>
        <v>0</v>
      </c>
      <c r="AV34" s="3129">
        <f t="shared" si="61"/>
        <v>0</v>
      </c>
      <c r="AW34" s="3130"/>
      <c r="AX34" s="3150">
        <f t="shared" si="36"/>
        <v>0</v>
      </c>
      <c r="AY34" s="3151">
        <v>0</v>
      </c>
      <c r="AZ34" s="3151">
        <v>0</v>
      </c>
      <c r="BA34" s="3151">
        <f t="shared" si="37"/>
        <v>0</v>
      </c>
      <c r="BB34" s="3151"/>
      <c r="BC34" s="3151"/>
      <c r="BD34" s="3151">
        <f t="shared" si="38"/>
        <v>0</v>
      </c>
      <c r="BE34" s="3648">
        <f t="shared" si="56"/>
        <v>0</v>
      </c>
      <c r="BF34" s="3649">
        <f t="shared" si="57"/>
        <v>0</v>
      </c>
      <c r="BG34" s="3350">
        <f t="shared" si="46"/>
        <v>0</v>
      </c>
      <c r="BH34" s="3353">
        <f>SUM(BG34*AQ56)</f>
        <v>0</v>
      </c>
      <c r="BI34" s="3353">
        <f>SUM(BG34*AQ57)</f>
        <v>0</v>
      </c>
      <c r="BJ34" s="3362" t="e">
        <f t="shared" si="14"/>
        <v>#DIV/0!</v>
      </c>
      <c r="BK34" s="3363" t="e">
        <f t="shared" si="15"/>
        <v>#DIV/0!</v>
      </c>
      <c r="BL34" s="3348">
        <f t="shared" si="32"/>
        <v>0</v>
      </c>
      <c r="BM34" s="3668">
        <f t="shared" si="33"/>
        <v>0</v>
      </c>
      <c r="BN34" s="3668">
        <f t="shared" si="34"/>
        <v>0</v>
      </c>
      <c r="BO34" s="3669"/>
      <c r="BP34" s="3669"/>
      <c r="BQ34" s="3670"/>
      <c r="BR34" s="3123"/>
      <c r="BS34" s="3123"/>
      <c r="BT34" s="3123"/>
      <c r="BU34" s="3123"/>
      <c r="BV34" s="3123"/>
      <c r="BW34" s="3123"/>
    </row>
    <row r="35" spans="1:75" ht="15">
      <c r="A35" s="748" t="s">
        <v>42</v>
      </c>
      <c r="B35" s="731">
        <v>26.2</v>
      </c>
      <c r="C35" s="2935">
        <v>19.3</v>
      </c>
      <c r="D35" s="632">
        <f t="shared" si="52"/>
        <v>73.66412213740459</v>
      </c>
      <c r="E35" s="2935">
        <v>20.3</v>
      </c>
      <c r="F35" s="632">
        <f t="shared" si="53"/>
        <v>105.18134715025906</v>
      </c>
      <c r="G35" s="183">
        <v>23.4</v>
      </c>
      <c r="H35" s="632">
        <f t="shared" si="54"/>
        <v>115.27093596059113</v>
      </c>
      <c r="I35" s="187">
        <v>25.3</v>
      </c>
      <c r="J35" s="187">
        <v>20.8</v>
      </c>
      <c r="K35" s="187">
        <v>25.3</v>
      </c>
      <c r="L35" s="187">
        <v>23.5</v>
      </c>
      <c r="M35" s="634">
        <f t="shared" si="58"/>
        <v>108.11965811965814</v>
      </c>
      <c r="N35" s="187">
        <v>26.5397</v>
      </c>
      <c r="O35" s="187">
        <v>8.3000000000000007</v>
      </c>
      <c r="P35" s="187">
        <v>8.2553599999999996</v>
      </c>
      <c r="Q35" s="718">
        <v>23.5</v>
      </c>
      <c r="R35" s="726">
        <v>29.03</v>
      </c>
      <c r="S35" s="715">
        <f>23.5197*1.048</f>
        <v>24.648645600000002</v>
      </c>
      <c r="T35" s="711">
        <f>S35/N35</f>
        <v>0.9287462028583594</v>
      </c>
      <c r="U35" s="749" t="e">
        <f>R35*#REF!</f>
        <v>#REF!</v>
      </c>
      <c r="V35" s="749" t="e">
        <f>R35*#REF!</f>
        <v>#REF!</v>
      </c>
      <c r="W35" s="749">
        <f t="shared" si="25"/>
        <v>14.073860674960253</v>
      </c>
      <c r="X35" s="749">
        <f t="shared" si="26"/>
        <v>9.9963679467806017</v>
      </c>
      <c r="Y35" s="749">
        <v>9.32</v>
      </c>
      <c r="Z35" s="749">
        <v>22.54</v>
      </c>
      <c r="AA35" s="752">
        <v>25.47</v>
      </c>
      <c r="AB35" s="722">
        <v>26</v>
      </c>
      <c r="AC35" s="715">
        <f>AB35</f>
        <v>26</v>
      </c>
      <c r="AD35" s="749">
        <f t="shared" si="27"/>
        <v>15.391978692014264</v>
      </c>
      <c r="AE35" s="749">
        <f t="shared" si="28"/>
        <v>10.400016777941524</v>
      </c>
      <c r="AF35" s="3127">
        <f t="shared" si="47"/>
        <v>1.0936571739266372</v>
      </c>
      <c r="AG35" s="3127">
        <f t="shared" si="48"/>
        <v>1.040379549183253</v>
      </c>
      <c r="AH35" s="749">
        <v>8.99</v>
      </c>
      <c r="AI35" s="2720">
        <v>22.81</v>
      </c>
      <c r="AJ35" s="2720">
        <f t="shared" si="35"/>
        <v>25.369999999999997</v>
      </c>
      <c r="AK35" s="2720">
        <v>14.79</v>
      </c>
      <c r="AL35" s="2721">
        <v>10.58</v>
      </c>
      <c r="AM35" s="725">
        <f t="shared" si="45"/>
        <v>28.016999999999999</v>
      </c>
      <c r="AN35" s="749">
        <f>AM35*AI56</f>
        <v>16.698131999999998</v>
      </c>
      <c r="AO35" s="749">
        <f>AM35*AI57</f>
        <v>11.318868</v>
      </c>
      <c r="AP35" s="3127">
        <f t="shared" si="60"/>
        <v>1.0848593500628607</v>
      </c>
      <c r="AQ35" s="3128">
        <f t="shared" si="60"/>
        <v>1.0883509365107338</v>
      </c>
      <c r="AR35" s="2205">
        <f>AM35</f>
        <v>28.016999999999999</v>
      </c>
      <c r="AS35" s="2203">
        <f t="shared" si="29"/>
        <v>15.245590156268396</v>
      </c>
      <c r="AT35" s="2203">
        <f t="shared" si="30"/>
        <v>12.620429101912972</v>
      </c>
      <c r="AU35" s="3129">
        <f t="shared" si="61"/>
        <v>0.99048929714138578</v>
      </c>
      <c r="AV35" s="3129">
        <f t="shared" si="61"/>
        <v>1.2135008405641183</v>
      </c>
      <c r="AW35" s="3130"/>
      <c r="AX35" s="3150">
        <f t="shared" si="36"/>
        <v>9.7100000000000009</v>
      </c>
      <c r="AY35" s="3151">
        <v>5.62</v>
      </c>
      <c r="AZ35" s="3151">
        <v>4.09</v>
      </c>
      <c r="BA35" s="3151">
        <f t="shared" si="37"/>
        <v>24.619999999999997</v>
      </c>
      <c r="BB35" s="3151">
        <v>13.79</v>
      </c>
      <c r="BC35" s="3151">
        <v>10.83</v>
      </c>
      <c r="BD35" s="3151">
        <f t="shared" si="38"/>
        <v>39.53</v>
      </c>
      <c r="BE35" s="3648">
        <f t="shared" ref="BE35:BE48" si="62">SUM(AY35+((BB35-AY35)/3*6))</f>
        <v>21.959999999999997</v>
      </c>
      <c r="BF35" s="3649">
        <f t="shared" ref="BF35:BF48" si="63">SUM(AZ35+((BC35-AZ35)/3*6))</f>
        <v>17.57</v>
      </c>
      <c r="BG35" s="3350">
        <f>SUM(AR35*1.1)</f>
        <v>30.818700000000003</v>
      </c>
      <c r="BH35" s="3353">
        <f>SUM(BG35*AQ56)</f>
        <v>18.183033000000002</v>
      </c>
      <c r="BI35" s="3353">
        <f>SUM(BG35*AQ57)</f>
        <v>12.635667</v>
      </c>
      <c r="BJ35" s="3362">
        <f t="shared" si="14"/>
        <v>1.1926749186894443</v>
      </c>
      <c r="BK35" s="3363">
        <f t="shared" si="15"/>
        <v>1.0012073993652655</v>
      </c>
      <c r="BL35" s="3348">
        <f t="shared" si="32"/>
        <v>29.706144929999997</v>
      </c>
      <c r="BM35" s="3668">
        <f t="shared" si="33"/>
        <v>16.164746786789816</v>
      </c>
      <c r="BN35" s="3668">
        <f t="shared" si="34"/>
        <v>13.381314772467304</v>
      </c>
      <c r="BO35" s="3669">
        <f t="shared" ref="BO35:BP38" si="64">BM35/AS35</f>
        <v>1.06029</v>
      </c>
      <c r="BP35" s="3669">
        <f t="shared" si="64"/>
        <v>1.06029</v>
      </c>
      <c r="BQ35" s="3670"/>
      <c r="BR35" s="3123"/>
      <c r="BS35" s="3123"/>
      <c r="BT35" s="3123"/>
      <c r="BU35" s="3123"/>
      <c r="BV35" s="3123"/>
      <c r="BW35" s="3123"/>
    </row>
    <row r="36" spans="1:75" ht="15">
      <c r="A36" s="748" t="s">
        <v>77</v>
      </c>
      <c r="B36" s="731">
        <f>136.6+89.7</f>
        <v>226.3</v>
      </c>
      <c r="C36" s="2935">
        <v>10.5</v>
      </c>
      <c r="D36" s="632">
        <f t="shared" si="52"/>
        <v>4.6398585947856823</v>
      </c>
      <c r="E36" s="2935">
        <v>12.3</v>
      </c>
      <c r="F36" s="632">
        <f t="shared" si="53"/>
        <v>117.14285714285715</v>
      </c>
      <c r="G36" s="183">
        <v>45.4</v>
      </c>
      <c r="H36" s="632">
        <f t="shared" si="54"/>
        <v>369.10569105691053</v>
      </c>
      <c r="I36" s="187">
        <v>10.5</v>
      </c>
      <c r="J36" s="187">
        <v>34.299999999999997</v>
      </c>
      <c r="K36" s="187">
        <v>45.4</v>
      </c>
      <c r="L36" s="187">
        <v>38.1</v>
      </c>
      <c r="M36" s="634">
        <f t="shared" si="58"/>
        <v>100</v>
      </c>
      <c r="N36" s="187">
        <v>11.6</v>
      </c>
      <c r="O36" s="187">
        <v>19.100000000000001</v>
      </c>
      <c r="P36" s="187">
        <v>29.655380000000001</v>
      </c>
      <c r="Q36" s="718">
        <v>37.9</v>
      </c>
      <c r="R36" s="726">
        <v>47.38</v>
      </c>
      <c r="S36" s="715">
        <f>N36*1.048</f>
        <v>12.1568</v>
      </c>
      <c r="T36" s="711">
        <f>S36/N36</f>
        <v>1.048</v>
      </c>
      <c r="U36" s="749" t="e">
        <f>R36*#REF!</f>
        <v>#REF!</v>
      </c>
      <c r="V36" s="749" t="e">
        <f>R36*#REF!</f>
        <v>#REF!</v>
      </c>
      <c r="W36" s="749">
        <f t="shared" si="25"/>
        <v>6.9412783253842072</v>
      </c>
      <c r="X36" s="749">
        <f t="shared" si="26"/>
        <v>4.9302443561208253</v>
      </c>
      <c r="Y36" s="749">
        <v>22.95</v>
      </c>
      <c r="Z36" s="749">
        <v>58.17</v>
      </c>
      <c r="AA36" s="752">
        <v>93.35</v>
      </c>
      <c r="AB36" s="722">
        <v>13.6</v>
      </c>
      <c r="AC36" s="715">
        <f>AB36</f>
        <v>13.6</v>
      </c>
      <c r="AD36" s="749">
        <f t="shared" si="27"/>
        <v>8.0511888542843852</v>
      </c>
      <c r="AE36" s="749">
        <f t="shared" si="28"/>
        <v>5.4400087761540279</v>
      </c>
      <c r="AF36" s="3127">
        <f t="shared" si="47"/>
        <v>1.1599000179608479</v>
      </c>
      <c r="AG36" s="3127">
        <f t="shared" si="48"/>
        <v>1.1033953660735574</v>
      </c>
      <c r="AH36" s="749">
        <v>66.69</v>
      </c>
      <c r="AI36" s="2720">
        <v>67.36</v>
      </c>
      <c r="AJ36" s="2720">
        <f t="shared" si="35"/>
        <v>67.61</v>
      </c>
      <c r="AK36" s="2720">
        <v>40.18</v>
      </c>
      <c r="AL36" s="2721">
        <v>27.43</v>
      </c>
      <c r="AM36" s="725">
        <f t="shared" si="45"/>
        <v>102.685</v>
      </c>
      <c r="AN36" s="749">
        <f>AM36*AI56</f>
        <v>61.20026</v>
      </c>
      <c r="AO36" s="749">
        <f>AM36*AI57</f>
        <v>41.484740000000002</v>
      </c>
      <c r="AP36" s="3127">
        <f t="shared" si="60"/>
        <v>7.6013941676989356</v>
      </c>
      <c r="AQ36" s="3128">
        <f t="shared" si="60"/>
        <v>7.6258590210085737</v>
      </c>
      <c r="AR36" s="2205">
        <f t="shared" ref="AR36:AR46" si="65">AM36</f>
        <v>102.685</v>
      </c>
      <c r="AS36" s="2203">
        <f t="shared" si="29"/>
        <v>55.87655442040262</v>
      </c>
      <c r="AT36" s="2203">
        <f t="shared" si="30"/>
        <v>46.255086637753273</v>
      </c>
      <c r="AU36" s="3129">
        <f t="shared" si="61"/>
        <v>6.9401619352983248</v>
      </c>
      <c r="AV36" s="3129">
        <f t="shared" si="61"/>
        <v>8.5027595618061937</v>
      </c>
      <c r="AW36" s="3130"/>
      <c r="AX36" s="3150">
        <f t="shared" si="36"/>
        <v>1.53</v>
      </c>
      <c r="AY36" s="3151">
        <v>0.89</v>
      </c>
      <c r="AZ36" s="3151">
        <v>0.64</v>
      </c>
      <c r="BA36" s="3151">
        <f t="shared" si="37"/>
        <v>0</v>
      </c>
      <c r="BB36" s="3151"/>
      <c r="BC36" s="3151"/>
      <c r="BD36" s="3151">
        <f t="shared" si="38"/>
        <v>1.53</v>
      </c>
      <c r="BE36" s="3648">
        <v>0.89</v>
      </c>
      <c r="BF36" s="3649">
        <v>0.64</v>
      </c>
      <c r="BG36" s="3350">
        <f>SUM(AR36*1.1)</f>
        <v>112.95350000000001</v>
      </c>
      <c r="BH36" s="3353">
        <f>SUM(BG36*AQ56)</f>
        <v>66.642565000000005</v>
      </c>
      <c r="BI36" s="3353">
        <f>SUM(BG36*AQ57)</f>
        <v>46.310935000000001</v>
      </c>
      <c r="BJ36" s="3362">
        <f t="shared" si="14"/>
        <v>1.1926749186894443</v>
      </c>
      <c r="BK36" s="3363">
        <f t="shared" si="15"/>
        <v>1.0012073993652655</v>
      </c>
      <c r="BL36" s="3348">
        <f t="shared" si="32"/>
        <v>108.87587865</v>
      </c>
      <c r="BM36" s="3668">
        <f t="shared" si="33"/>
        <v>59.245351886408699</v>
      </c>
      <c r="BN36" s="3668">
        <f t="shared" si="34"/>
        <v>49.043805811143422</v>
      </c>
      <c r="BO36" s="3669">
        <f t="shared" si="64"/>
        <v>1.0602900000000002</v>
      </c>
      <c r="BP36" s="3669">
        <f t="shared" si="64"/>
        <v>1.0602900000000002</v>
      </c>
      <c r="BQ36" s="3670"/>
      <c r="BR36" s="3123"/>
      <c r="BS36" s="3123"/>
      <c r="BT36" s="3123"/>
      <c r="BU36" s="3123"/>
      <c r="BV36" s="3123"/>
      <c r="BW36" s="3123"/>
    </row>
    <row r="37" spans="1:75" ht="15">
      <c r="A37" s="748" t="s">
        <v>43</v>
      </c>
      <c r="B37" s="731">
        <v>71.8</v>
      </c>
      <c r="C37" s="2935">
        <v>46</v>
      </c>
      <c r="D37" s="632">
        <f t="shared" si="52"/>
        <v>64.066852367688014</v>
      </c>
      <c r="E37" s="2935">
        <v>85</v>
      </c>
      <c r="F37" s="632">
        <f t="shared" si="53"/>
        <v>184.78260869565219</v>
      </c>
      <c r="G37" s="183">
        <v>95.8</v>
      </c>
      <c r="H37" s="632">
        <f t="shared" si="54"/>
        <v>112.70588235294116</v>
      </c>
      <c r="I37" s="187">
        <v>56.2</v>
      </c>
      <c r="J37" s="187">
        <v>84.5</v>
      </c>
      <c r="K37" s="187">
        <v>84.5</v>
      </c>
      <c r="L37" s="187">
        <v>112.9</v>
      </c>
      <c r="M37" s="634">
        <f t="shared" si="58"/>
        <v>88.204592901878925</v>
      </c>
      <c r="N37" s="187">
        <v>58.953800000000001</v>
      </c>
      <c r="O37" s="187">
        <v>62.2</v>
      </c>
      <c r="P37" s="187">
        <v>91.305689999999998</v>
      </c>
      <c r="Q37" s="718">
        <v>120.4</v>
      </c>
      <c r="R37" s="726">
        <v>116.39</v>
      </c>
      <c r="S37" s="715">
        <f>N37*1.048</f>
        <v>61.7835824</v>
      </c>
      <c r="T37" s="711">
        <f>S37/N37</f>
        <v>1.048</v>
      </c>
      <c r="U37" s="749" t="e">
        <f>R37*#REF!</f>
        <v>#REF!</v>
      </c>
      <c r="V37" s="749" t="e">
        <f>R37*#REF!</f>
        <v>#REF!</v>
      </c>
      <c r="W37" s="749">
        <f t="shared" si="25"/>
        <v>35.277132253365124</v>
      </c>
      <c r="X37" s="749">
        <f t="shared" si="26"/>
        <v>25.056606872575511</v>
      </c>
      <c r="Y37" s="749">
        <v>61.1</v>
      </c>
      <c r="Z37" s="749">
        <v>61.1</v>
      </c>
      <c r="AA37" s="752">
        <v>61.4</v>
      </c>
      <c r="AB37" s="722">
        <v>124</v>
      </c>
      <c r="AC37" s="715">
        <f>S37*1.049</f>
        <v>64.810977937600001</v>
      </c>
      <c r="AD37" s="749">
        <f t="shared" si="27"/>
        <v>38.368045824005605</v>
      </c>
      <c r="AE37" s="749">
        <f t="shared" si="28"/>
        <v>25.924432997916842</v>
      </c>
      <c r="AF37" s="3127">
        <f t="shared" si="47"/>
        <v>1.0876180509356919</v>
      </c>
      <c r="AG37" s="3127">
        <f t="shared" si="48"/>
        <v>1.0346346227066829</v>
      </c>
      <c r="AH37" s="749">
        <v>28.52</v>
      </c>
      <c r="AI37" s="2720">
        <v>28.87</v>
      </c>
      <c r="AJ37" s="2720">
        <f t="shared" si="35"/>
        <v>29.04</v>
      </c>
      <c r="AK37" s="2720">
        <v>17.25</v>
      </c>
      <c r="AL37" s="2721">
        <v>11.79</v>
      </c>
      <c r="AM37" s="725">
        <f t="shared" ref="AM37:AM41" si="66">SUM(AA37*1.1)</f>
        <v>67.540000000000006</v>
      </c>
      <c r="AN37" s="749">
        <f>AM37*AI56</f>
        <v>40.253840000000004</v>
      </c>
      <c r="AO37" s="749">
        <f>AM37*AI57</f>
        <v>27.286160000000006</v>
      </c>
      <c r="AP37" s="3127">
        <f t="shared" si="60"/>
        <v>1.0491501231166305</v>
      </c>
      <c r="AQ37" s="3128">
        <f t="shared" si="60"/>
        <v>1.0525267805159937</v>
      </c>
      <c r="AR37" s="2205">
        <f t="shared" si="65"/>
        <v>67.540000000000006</v>
      </c>
      <c r="AS37" s="2203">
        <f t="shared" si="29"/>
        <v>36.752227545931667</v>
      </c>
      <c r="AT37" s="2203">
        <f t="shared" si="30"/>
        <v>30.423806315565628</v>
      </c>
      <c r="AU37" s="3129">
        <f t="shared" si="61"/>
        <v>0.9578863545595806</v>
      </c>
      <c r="AV37" s="3129">
        <f t="shared" si="61"/>
        <v>1.1735572507221406</v>
      </c>
      <c r="AW37" s="3130"/>
      <c r="AX37" s="3150">
        <f t="shared" si="36"/>
        <v>0</v>
      </c>
      <c r="AY37" s="3151">
        <v>0</v>
      </c>
      <c r="AZ37" s="3151">
        <v>0</v>
      </c>
      <c r="BA37" s="3151">
        <f t="shared" si="37"/>
        <v>0</v>
      </c>
      <c r="BB37" s="3151"/>
      <c r="BC37" s="3151"/>
      <c r="BD37" s="3151">
        <f t="shared" si="38"/>
        <v>0</v>
      </c>
      <c r="BE37" s="3648">
        <f t="shared" si="62"/>
        <v>0</v>
      </c>
      <c r="BF37" s="3649">
        <f t="shared" si="63"/>
        <v>0</v>
      </c>
      <c r="BG37" s="3350">
        <f>SUM(AR37*1.1)</f>
        <v>74.294000000000011</v>
      </c>
      <c r="BH37" s="3353">
        <f>SUM(BG37*AQ56)</f>
        <v>43.833460000000002</v>
      </c>
      <c r="BI37" s="3353">
        <f>SUM(BG37*AQ57)</f>
        <v>30.460540000000002</v>
      </c>
      <c r="BJ37" s="3362">
        <f t="shared" si="14"/>
        <v>1.1926749186894441</v>
      </c>
      <c r="BK37" s="3363">
        <f t="shared" si="15"/>
        <v>1.0012073993652655</v>
      </c>
      <c r="BL37" s="3348">
        <f t="shared" si="32"/>
        <v>71.611986600000009</v>
      </c>
      <c r="BM37" s="3668">
        <f t="shared" si="33"/>
        <v>38.968019344675888</v>
      </c>
      <c r="BN37" s="3668">
        <f t="shared" si="34"/>
        <v>32.258057598331078</v>
      </c>
      <c r="BO37" s="3669">
        <f t="shared" si="64"/>
        <v>1.06029</v>
      </c>
      <c r="BP37" s="3669">
        <f t="shared" si="64"/>
        <v>1.06029</v>
      </c>
      <c r="BQ37" s="3670"/>
      <c r="BR37" s="3123"/>
      <c r="BS37" s="3123"/>
      <c r="BT37" s="3123"/>
      <c r="BU37" s="3123"/>
      <c r="BV37" s="3123"/>
      <c r="BW37" s="3123"/>
    </row>
    <row r="38" spans="1:75" ht="15">
      <c r="A38" s="748" t="s">
        <v>71</v>
      </c>
      <c r="B38" s="731">
        <v>10.7</v>
      </c>
      <c r="C38" s="2935">
        <v>5.6</v>
      </c>
      <c r="D38" s="632">
        <f t="shared" si="52"/>
        <v>52.336448598130836</v>
      </c>
      <c r="E38" s="2935">
        <v>17.7</v>
      </c>
      <c r="F38" s="632">
        <f t="shared" si="53"/>
        <v>316.07142857142856</v>
      </c>
      <c r="G38" s="183">
        <v>14.1</v>
      </c>
      <c r="H38" s="632">
        <f t="shared" si="54"/>
        <v>79.66101694915254</v>
      </c>
      <c r="I38" s="187">
        <v>10.3</v>
      </c>
      <c r="J38" s="187">
        <v>24.1</v>
      </c>
      <c r="K38" s="187">
        <v>24.1</v>
      </c>
      <c r="L38" s="187">
        <v>40.5</v>
      </c>
      <c r="M38" s="634">
        <f t="shared" si="58"/>
        <v>170.92198581560285</v>
      </c>
      <c r="N38" s="187">
        <v>11.3</v>
      </c>
      <c r="O38" s="187">
        <f>3.7+5.6+16.1</f>
        <v>25.400000000000002</v>
      </c>
      <c r="P38" s="187">
        <f>16.81452+5.48046+16.14343</f>
        <v>38.438410000000005</v>
      </c>
      <c r="Q38" s="718">
        <v>51.5</v>
      </c>
      <c r="R38" s="726">
        <v>45.94</v>
      </c>
      <c r="S38" s="715">
        <f>P38/9*12*1.048</f>
        <v>53.711271573333342</v>
      </c>
      <c r="T38" s="711">
        <f>S38/N38</f>
        <v>4.7532098737463135</v>
      </c>
      <c r="U38" s="749" t="e">
        <f>R38*#REF!</f>
        <v>#REF!</v>
      </c>
      <c r="V38" s="749" t="e">
        <f>R38*#REF!</f>
        <v>#REF!</v>
      </c>
      <c r="W38" s="749">
        <f t="shared" si="25"/>
        <v>30.668011746578344</v>
      </c>
      <c r="X38" s="749">
        <f t="shared" si="26"/>
        <v>21.782845282845784</v>
      </c>
      <c r="Y38" s="749">
        <v>21.73</v>
      </c>
      <c r="Z38" s="749">
        <v>30.27</v>
      </c>
      <c r="AA38" s="752">
        <v>46.23</v>
      </c>
      <c r="AB38" s="722">
        <v>52.2</v>
      </c>
      <c r="AC38" s="715">
        <f>AB38</f>
        <v>52.2</v>
      </c>
      <c r="AD38" s="749">
        <f t="shared" si="27"/>
        <v>30.902357220120948</v>
      </c>
      <c r="AE38" s="749">
        <f t="shared" si="28"/>
        <v>20.880033684944138</v>
      </c>
      <c r="AF38" s="3127">
        <f t="shared" si="47"/>
        <v>1.0076413650639986</v>
      </c>
      <c r="AG38" s="3127">
        <f t="shared" si="48"/>
        <v>0.95855400953462133</v>
      </c>
      <c r="AH38" s="749">
        <v>16.350000000000001</v>
      </c>
      <c r="AI38" s="2720">
        <v>16.350000000000001</v>
      </c>
      <c r="AJ38" s="2720">
        <f t="shared" si="35"/>
        <v>16.239999999999998</v>
      </c>
      <c r="AK38" s="2720">
        <f>8.34+1.33</f>
        <v>9.67</v>
      </c>
      <c r="AL38" s="2721">
        <f>5.68+0.89</f>
        <v>6.5699999999999994</v>
      </c>
      <c r="AM38" s="725">
        <f t="shared" si="66"/>
        <v>50.853000000000002</v>
      </c>
      <c r="AN38" s="749">
        <f>AM38*AI56</f>
        <v>30.308388000000001</v>
      </c>
      <c r="AO38" s="749">
        <f>AM38*AI57</f>
        <v>20.544612000000001</v>
      </c>
      <c r="AP38" s="3127">
        <f t="shared" si="60"/>
        <v>0.98077916141186128</v>
      </c>
      <c r="AQ38" s="3128">
        <f t="shared" si="60"/>
        <v>0.98393576897407031</v>
      </c>
      <c r="AR38" s="2205">
        <f t="shared" si="65"/>
        <v>50.853000000000002</v>
      </c>
      <c r="AS38" s="2203">
        <f t="shared" si="29"/>
        <v>27.671913346065487</v>
      </c>
      <c r="AT38" s="2203">
        <f t="shared" si="30"/>
        <v>22.907045048348515</v>
      </c>
      <c r="AU38" s="3129">
        <f t="shared" si="61"/>
        <v>0.89546286546865517</v>
      </c>
      <c r="AV38" s="3129">
        <f t="shared" si="61"/>
        <v>1.0970789316717426</v>
      </c>
      <c r="AW38" s="3130"/>
      <c r="AX38" s="3150">
        <f t="shared" si="36"/>
        <v>14.96</v>
      </c>
      <c r="AY38" s="3151">
        <v>8.89</v>
      </c>
      <c r="AZ38" s="3151">
        <v>6.07</v>
      </c>
      <c r="BA38" s="3151">
        <f t="shared" si="37"/>
        <v>17.5</v>
      </c>
      <c r="BB38" s="3151">
        <v>10.33</v>
      </c>
      <c r="BC38" s="3151">
        <v>7.17</v>
      </c>
      <c r="BD38" s="3151">
        <f t="shared" si="38"/>
        <v>20.04</v>
      </c>
      <c r="BE38" s="3648">
        <f t="shared" si="62"/>
        <v>11.77</v>
      </c>
      <c r="BF38" s="3649">
        <f t="shared" si="63"/>
        <v>8.27</v>
      </c>
      <c r="BG38" s="3350">
        <f>SUM(AR38*1.1)</f>
        <v>55.938300000000005</v>
      </c>
      <c r="BH38" s="3353">
        <f>SUM(BG38*AQ56)</f>
        <v>33.003596999999999</v>
      </c>
      <c r="BI38" s="3353">
        <f>SUM(BG38*AQ57)</f>
        <v>22.934703000000003</v>
      </c>
      <c r="BJ38" s="3362">
        <f t="shared" si="14"/>
        <v>1.1926749186894441</v>
      </c>
      <c r="BK38" s="3363">
        <f t="shared" si="15"/>
        <v>1.0012073993652657</v>
      </c>
      <c r="BL38" s="3348">
        <f t="shared" si="32"/>
        <v>53.918927369999999</v>
      </c>
      <c r="BM38" s="3668">
        <f t="shared" si="33"/>
        <v>29.340253001699772</v>
      </c>
      <c r="BN38" s="3668">
        <f t="shared" si="34"/>
        <v>24.288110794313447</v>
      </c>
      <c r="BO38" s="3669">
        <f t="shared" si="64"/>
        <v>1.06029</v>
      </c>
      <c r="BP38" s="3669">
        <f t="shared" si="64"/>
        <v>1.06029</v>
      </c>
      <c r="BQ38" s="3670"/>
      <c r="BR38" s="3123"/>
      <c r="BS38" s="3123"/>
      <c r="BT38" s="3123"/>
      <c r="BU38" s="3123"/>
      <c r="BV38" s="3123"/>
      <c r="BW38" s="3123"/>
    </row>
    <row r="39" spans="1:75" ht="15">
      <c r="A39" s="748" t="s">
        <v>171</v>
      </c>
      <c r="B39" s="731">
        <v>514.20000000000005</v>
      </c>
      <c r="C39" s="2935"/>
      <c r="D39" s="632">
        <f t="shared" si="52"/>
        <v>0</v>
      </c>
      <c r="E39" s="2935"/>
      <c r="F39" s="632"/>
      <c r="G39" s="183">
        <v>0.5</v>
      </c>
      <c r="H39" s="632"/>
      <c r="I39" s="187"/>
      <c r="J39" s="187"/>
      <c r="K39" s="187"/>
      <c r="L39" s="187"/>
      <c r="M39" s="634">
        <f t="shared" si="58"/>
        <v>0</v>
      </c>
      <c r="N39" s="187">
        <v>0</v>
      </c>
      <c r="O39" s="187">
        <v>0.6</v>
      </c>
      <c r="P39" s="187">
        <v>0.6</v>
      </c>
      <c r="Q39" s="718"/>
      <c r="R39" s="726"/>
      <c r="S39" s="715"/>
      <c r="T39" s="711"/>
      <c r="U39" s="749" t="e">
        <f>R39*#REF!</f>
        <v>#REF!</v>
      </c>
      <c r="V39" s="749" t="e">
        <f>R39*#REF!</f>
        <v>#REF!</v>
      </c>
      <c r="W39" s="749">
        <f t="shared" si="25"/>
        <v>0</v>
      </c>
      <c r="X39" s="749">
        <f t="shared" si="26"/>
        <v>0</v>
      </c>
      <c r="Y39" s="749">
        <v>0.6</v>
      </c>
      <c r="Z39" s="749">
        <v>0.6</v>
      </c>
      <c r="AA39" s="752">
        <v>0.6</v>
      </c>
      <c r="AB39" s="722">
        <v>0</v>
      </c>
      <c r="AC39" s="715">
        <v>0</v>
      </c>
      <c r="AD39" s="749">
        <f t="shared" si="27"/>
        <v>0</v>
      </c>
      <c r="AE39" s="749">
        <f t="shared" si="28"/>
        <v>0</v>
      </c>
      <c r="AF39" s="3127"/>
      <c r="AG39" s="3127"/>
      <c r="AH39" s="749">
        <v>0</v>
      </c>
      <c r="AI39" s="2720">
        <v>0</v>
      </c>
      <c r="AJ39" s="2720">
        <f t="shared" si="35"/>
        <v>0</v>
      </c>
      <c r="AK39" s="2720">
        <v>0</v>
      </c>
      <c r="AL39" s="2721">
        <v>0</v>
      </c>
      <c r="AM39" s="725">
        <f t="shared" si="66"/>
        <v>0.66</v>
      </c>
      <c r="AN39" s="749">
        <f>AM39*AI56</f>
        <v>0.39335999999999999</v>
      </c>
      <c r="AO39" s="749">
        <f>AM39*AI57</f>
        <v>0.26664000000000004</v>
      </c>
      <c r="AP39" s="3127"/>
      <c r="AQ39" s="3128"/>
      <c r="AR39" s="2205">
        <f t="shared" si="65"/>
        <v>0.66</v>
      </c>
      <c r="AS39" s="2203">
        <f t="shared" si="29"/>
        <v>0.35914228872245929</v>
      </c>
      <c r="AT39" s="2203">
        <f t="shared" si="30"/>
        <v>0.29730103891432208</v>
      </c>
      <c r="AU39" s="3129"/>
      <c r="AV39" s="3129"/>
      <c r="AW39" s="3130"/>
      <c r="AX39" s="3150">
        <f t="shared" si="36"/>
        <v>0</v>
      </c>
      <c r="AY39" s="3151">
        <v>0</v>
      </c>
      <c r="AZ39" s="3151">
        <v>0</v>
      </c>
      <c r="BA39" s="3151">
        <f t="shared" si="37"/>
        <v>0</v>
      </c>
      <c r="BB39" s="3151"/>
      <c r="BC39" s="3151"/>
      <c r="BD39" s="3151">
        <f t="shared" si="38"/>
        <v>0</v>
      </c>
      <c r="BE39" s="3648">
        <f t="shared" si="62"/>
        <v>0</v>
      </c>
      <c r="BF39" s="3649">
        <f t="shared" si="63"/>
        <v>0</v>
      </c>
      <c r="BG39" s="3350">
        <f>SUM(AR39*1.1)</f>
        <v>0.72600000000000009</v>
      </c>
      <c r="BH39" s="3353">
        <f>SUM(BG39*AQ56)</f>
        <v>0.42834000000000005</v>
      </c>
      <c r="BI39" s="3353">
        <f>SUM(BG39*AQ57)</f>
        <v>0.29766000000000004</v>
      </c>
      <c r="BJ39" s="3362">
        <f t="shared" si="14"/>
        <v>1.1926749186894443</v>
      </c>
      <c r="BK39" s="3363">
        <f t="shared" si="15"/>
        <v>1.0012073993652657</v>
      </c>
      <c r="BL39" s="3348">
        <f t="shared" si="32"/>
        <v>0.69979139999999995</v>
      </c>
      <c r="BM39" s="3668">
        <f t="shared" si="33"/>
        <v>0.38079497730953632</v>
      </c>
      <c r="BN39" s="3668">
        <f t="shared" si="34"/>
        <v>0.31522531855046654</v>
      </c>
      <c r="BO39" s="3669">
        <f t="shared" ref="BO39" si="67">BM39/AS39</f>
        <v>1.06029</v>
      </c>
      <c r="BP39" s="3669">
        <f t="shared" ref="BP39" si="68">BN39/AT39</f>
        <v>1.06029</v>
      </c>
      <c r="BQ39" s="3670"/>
      <c r="BR39" s="3123"/>
      <c r="BS39" s="3123"/>
      <c r="BT39" s="3123"/>
      <c r="BU39" s="3123"/>
      <c r="BV39" s="3123"/>
      <c r="BW39" s="3123"/>
    </row>
    <row r="40" spans="1:75" ht="15">
      <c r="A40" s="748" t="s">
        <v>174</v>
      </c>
      <c r="B40" s="731"/>
      <c r="C40" s="2935"/>
      <c r="D40" s="632"/>
      <c r="E40" s="2935"/>
      <c r="F40" s="632"/>
      <c r="G40" s="183">
        <v>36.5</v>
      </c>
      <c r="H40" s="632"/>
      <c r="I40" s="187"/>
      <c r="J40" s="187">
        <v>9</v>
      </c>
      <c r="K40" s="187">
        <f>J40/9*12</f>
        <v>12</v>
      </c>
      <c r="L40" s="187">
        <v>18</v>
      </c>
      <c r="M40" s="634">
        <f t="shared" si="58"/>
        <v>32.87671232876712</v>
      </c>
      <c r="N40" s="187">
        <v>12.587999999999999</v>
      </c>
      <c r="O40" s="187">
        <v>11</v>
      </c>
      <c r="P40" s="187">
        <v>11</v>
      </c>
      <c r="Q40" s="718">
        <v>21</v>
      </c>
      <c r="R40" s="726">
        <v>21</v>
      </c>
      <c r="S40" s="715">
        <f>P40/9*12*1.048</f>
        <v>15.370666666666668</v>
      </c>
      <c r="T40" s="711">
        <f>S40/N40</f>
        <v>1.2210570914098084</v>
      </c>
      <c r="U40" s="749" t="e">
        <f>R40*#REF!</f>
        <v>#REF!</v>
      </c>
      <c r="V40" s="749" t="e">
        <f>R40*#REF!</f>
        <v>#REF!</v>
      </c>
      <c r="W40" s="749">
        <f t="shared" si="25"/>
        <v>8.7763289171524459</v>
      </c>
      <c r="X40" s="749">
        <f t="shared" si="26"/>
        <v>6.2336422893481709</v>
      </c>
      <c r="Y40" s="749">
        <v>18.5</v>
      </c>
      <c r="Z40" s="749">
        <v>19.37</v>
      </c>
      <c r="AA40" s="752">
        <v>35.74</v>
      </c>
      <c r="AB40" s="722">
        <v>18.100000000000001</v>
      </c>
      <c r="AC40" s="715">
        <f>S40*1.049</f>
        <v>16.123829333333333</v>
      </c>
      <c r="AD40" s="749">
        <f t="shared" si="27"/>
        <v>9.5452937512438929</v>
      </c>
      <c r="AE40" s="749">
        <f t="shared" si="28"/>
        <v>6.4495421381281677</v>
      </c>
      <c r="AF40" s="3127">
        <f>AD40/W40</f>
        <v>1.0876180509356916</v>
      </c>
      <c r="AG40" s="3127">
        <f>AE40/X40</f>
        <v>1.0346346227066829</v>
      </c>
      <c r="AH40" s="749">
        <v>5</v>
      </c>
      <c r="AI40" s="2720">
        <v>13</v>
      </c>
      <c r="AJ40" s="2720">
        <f t="shared" si="35"/>
        <v>18.419999999999998</v>
      </c>
      <c r="AK40" s="2720">
        <v>10.87</v>
      </c>
      <c r="AL40" s="2721">
        <v>7.55</v>
      </c>
      <c r="AM40" s="725">
        <f t="shared" si="66"/>
        <v>39.314000000000007</v>
      </c>
      <c r="AN40" s="749">
        <f>AM40*AI56</f>
        <v>23.431144000000003</v>
      </c>
      <c r="AO40" s="749">
        <f>AM40*AI57</f>
        <v>15.882856000000004</v>
      </c>
      <c r="AP40" s="3127">
        <f>AN40/AD40</f>
        <v>2.4547326264261464</v>
      </c>
      <c r="AQ40" s="3128">
        <f>AO40/AE40</f>
        <v>2.4626331078766532</v>
      </c>
      <c r="AR40" s="2205">
        <f>AI40/3*4</f>
        <v>17.333333333333332</v>
      </c>
      <c r="AS40" s="2203">
        <f t="shared" si="29"/>
        <v>9.4320197038221618</v>
      </c>
      <c r="AT40" s="2203">
        <f t="shared" si="30"/>
        <v>7.8079060724973468</v>
      </c>
      <c r="AU40" s="3129">
        <f>AS40/AD40</f>
        <v>0.98813299513103303</v>
      </c>
      <c r="AV40" s="3129">
        <f>AT40/AE40</f>
        <v>1.2106140103091743</v>
      </c>
      <c r="AW40" s="3130"/>
      <c r="AX40" s="3150">
        <f t="shared" si="36"/>
        <v>17.5</v>
      </c>
      <c r="AY40" s="3151">
        <v>10.09</v>
      </c>
      <c r="AZ40" s="3151">
        <v>7.41</v>
      </c>
      <c r="BA40" s="3151">
        <f t="shared" si="37"/>
        <v>22</v>
      </c>
      <c r="BB40" s="3151">
        <v>12.68</v>
      </c>
      <c r="BC40" s="3151">
        <v>9.32</v>
      </c>
      <c r="BD40" s="3151">
        <f t="shared" si="38"/>
        <v>26.5</v>
      </c>
      <c r="BE40" s="3648">
        <f t="shared" si="62"/>
        <v>15.27</v>
      </c>
      <c r="BF40" s="3649">
        <f t="shared" si="63"/>
        <v>11.23</v>
      </c>
      <c r="BG40" s="3350">
        <f>SUM(AJ40*1.074*1.1)</f>
        <v>21.761388</v>
      </c>
      <c r="BH40" s="3353">
        <f>SUM(BG40*AQ56)</f>
        <v>12.839218919999999</v>
      </c>
      <c r="BI40" s="3353">
        <f>SUM(BG40*AQ57)</f>
        <v>8.9221690799999998</v>
      </c>
      <c r="BJ40" s="3362">
        <f t="shared" si="14"/>
        <v>1.3612374998323136</v>
      </c>
      <c r="BK40" s="3363">
        <f t="shared" si="15"/>
        <v>1.1427095814366344</v>
      </c>
      <c r="BL40" s="3348">
        <f t="shared" si="32"/>
        <v>18.378360000000001</v>
      </c>
      <c r="BM40" s="3668">
        <f t="shared" si="33"/>
        <v>10.000676171765601</v>
      </c>
      <c r="BN40" s="3668">
        <f t="shared" si="34"/>
        <v>8.278644729608212</v>
      </c>
      <c r="BO40" s="3669">
        <f>BM40/AS40</f>
        <v>1.0602900000000002</v>
      </c>
      <c r="BP40" s="3669">
        <f>BN40/AT40</f>
        <v>1.06029</v>
      </c>
      <c r="BQ40" s="3670"/>
      <c r="BR40" s="3123"/>
      <c r="BS40" s="3123"/>
      <c r="BT40" s="3123"/>
      <c r="BU40" s="3123"/>
      <c r="BV40" s="3123"/>
      <c r="BW40" s="3123"/>
    </row>
    <row r="41" spans="1:75" ht="15">
      <c r="A41" s="748" t="s">
        <v>172</v>
      </c>
      <c r="B41" s="731">
        <v>25.7</v>
      </c>
      <c r="C41" s="2935"/>
      <c r="D41" s="632">
        <f>C41/B41*100</f>
        <v>0</v>
      </c>
      <c r="E41" s="2935"/>
      <c r="F41" s="632"/>
      <c r="G41" s="183">
        <v>58.8</v>
      </c>
      <c r="H41" s="632"/>
      <c r="I41" s="187"/>
      <c r="J41" s="187">
        <v>7.8</v>
      </c>
      <c r="K41" s="187">
        <f>J41/9*12</f>
        <v>10.4</v>
      </c>
      <c r="L41" s="187">
        <v>30.5</v>
      </c>
      <c r="M41" s="634">
        <f t="shared" si="58"/>
        <v>17.687074829931973</v>
      </c>
      <c r="N41" s="187">
        <v>10.909599999999999</v>
      </c>
      <c r="O41" s="187">
        <v>3.8</v>
      </c>
      <c r="P41" s="187">
        <v>3.77</v>
      </c>
      <c r="Q41" s="718">
        <v>26.1</v>
      </c>
      <c r="R41" s="726">
        <v>31.5</v>
      </c>
      <c r="S41" s="715">
        <f>P41/9*12*1.048</f>
        <v>5.267946666666667</v>
      </c>
      <c r="T41" s="711">
        <f>S41/N41</f>
        <v>0.48287257705751513</v>
      </c>
      <c r="U41" s="749" t="e">
        <f>R41*#REF!</f>
        <v>#REF!</v>
      </c>
      <c r="V41" s="749" t="e">
        <f>R41*#REF!</f>
        <v>#REF!</v>
      </c>
      <c r="W41" s="749">
        <f t="shared" si="25"/>
        <v>3.0078872743331564</v>
      </c>
      <c r="X41" s="749">
        <f t="shared" si="26"/>
        <v>2.1364392209856913</v>
      </c>
      <c r="Y41" s="749">
        <v>18.16</v>
      </c>
      <c r="Z41" s="749"/>
      <c r="AA41" s="752">
        <v>53.94</v>
      </c>
      <c r="AB41" s="722">
        <v>27.2</v>
      </c>
      <c r="AC41" s="715">
        <f>S41*1.049</f>
        <v>5.5260760533333331</v>
      </c>
      <c r="AD41" s="749">
        <f t="shared" si="27"/>
        <v>3.2714324947444977</v>
      </c>
      <c r="AE41" s="749">
        <f t="shared" si="28"/>
        <v>2.2104339873402901</v>
      </c>
      <c r="AF41" s="3127">
        <f>AD41/W41</f>
        <v>1.0876180509356916</v>
      </c>
      <c r="AG41" s="3127">
        <f>AE41/X41</f>
        <v>1.0346346227066827</v>
      </c>
      <c r="AH41" s="749">
        <v>7.11</v>
      </c>
      <c r="AI41" s="2720">
        <v>35.159999999999997</v>
      </c>
      <c r="AJ41" s="2720">
        <f t="shared" si="35"/>
        <v>73.84</v>
      </c>
      <c r="AK41" s="2720">
        <v>43.14</v>
      </c>
      <c r="AL41" s="2721">
        <v>30.7</v>
      </c>
      <c r="AM41" s="725">
        <f t="shared" si="66"/>
        <v>59.334000000000003</v>
      </c>
      <c r="AN41" s="749">
        <f>AM41*AI56</f>
        <v>35.363064000000001</v>
      </c>
      <c r="AO41" s="749">
        <f>AM41*AI57</f>
        <v>23.970936000000002</v>
      </c>
      <c r="AP41" s="3127">
        <f>AN41/AD41</f>
        <v>10.809657254676715</v>
      </c>
      <c r="AQ41" s="3128">
        <f>AO41/AE41</f>
        <v>10.844447804045524</v>
      </c>
      <c r="AR41" s="2205">
        <f t="shared" si="65"/>
        <v>59.334000000000003</v>
      </c>
      <c r="AS41" s="2203">
        <f t="shared" si="29"/>
        <v>32.286891756149089</v>
      </c>
      <c r="AT41" s="2203">
        <f t="shared" si="30"/>
        <v>26.727363398397554</v>
      </c>
      <c r="AU41" s="3129">
        <f>AS41/AD41</f>
        <v>9.869343722671168</v>
      </c>
      <c r="AV41" s="3129">
        <f>AT41/AE41</f>
        <v>12.091455140244797</v>
      </c>
      <c r="AW41" s="3130"/>
      <c r="AX41" s="3150">
        <f t="shared" si="36"/>
        <v>71.14</v>
      </c>
      <c r="AY41" s="3151">
        <v>41.09</v>
      </c>
      <c r="AZ41" s="3151">
        <v>30.05</v>
      </c>
      <c r="BA41" s="3151">
        <f t="shared" si="37"/>
        <v>78.42</v>
      </c>
      <c r="BB41" s="3151">
        <v>45.4</v>
      </c>
      <c r="BC41" s="3151">
        <v>33.020000000000003</v>
      </c>
      <c r="BD41" s="3151">
        <f t="shared" si="38"/>
        <v>85.7</v>
      </c>
      <c r="BE41" s="3648">
        <f t="shared" si="62"/>
        <v>49.709999999999994</v>
      </c>
      <c r="BF41" s="3649">
        <f t="shared" si="63"/>
        <v>35.990000000000009</v>
      </c>
      <c r="BG41" s="3350">
        <f>SUM(AJ41*1.074*1.1)</f>
        <v>87.234576000000018</v>
      </c>
      <c r="BH41" s="3353">
        <f>SUM(BG41*AQ56)</f>
        <v>51.468399840000011</v>
      </c>
      <c r="BI41" s="3353">
        <f>SUM(BG41*AQ57)</f>
        <v>35.766176160000008</v>
      </c>
      <c r="BJ41" s="3362">
        <f t="shared" si="14"/>
        <v>1.5940958401546279</v>
      </c>
      <c r="BK41" s="3363">
        <f t="shared" si="15"/>
        <v>1.3381857247521982</v>
      </c>
      <c r="BL41" s="3348">
        <f t="shared" si="32"/>
        <v>62.911246860000006</v>
      </c>
      <c r="BM41" s="3668">
        <f t="shared" si="33"/>
        <v>34.23346846012732</v>
      </c>
      <c r="BN41" s="3668">
        <f t="shared" si="34"/>
        <v>28.338756137686946</v>
      </c>
      <c r="BO41" s="3669">
        <f>BM41/AS41</f>
        <v>1.06029</v>
      </c>
      <c r="BP41" s="3669">
        <f>BN41/AT41</f>
        <v>1.0602900000000002</v>
      </c>
      <c r="BQ41" s="3670"/>
      <c r="BR41" s="3123"/>
      <c r="BS41" s="3123"/>
      <c r="BT41" s="3123"/>
      <c r="BU41" s="3123"/>
      <c r="BV41" s="3123"/>
      <c r="BW41" s="3123"/>
    </row>
    <row r="42" spans="1:75" ht="15">
      <c r="A42" s="748" t="s">
        <v>315</v>
      </c>
      <c r="B42" s="731"/>
      <c r="C42" s="2935"/>
      <c r="D42" s="632"/>
      <c r="E42" s="2935"/>
      <c r="F42" s="632"/>
      <c r="G42" s="183"/>
      <c r="H42" s="632"/>
      <c r="I42" s="187"/>
      <c r="J42" s="187"/>
      <c r="K42" s="187"/>
      <c r="L42" s="187"/>
      <c r="M42" s="634"/>
      <c r="N42" s="187"/>
      <c r="O42" s="187">
        <v>3.6</v>
      </c>
      <c r="P42" s="187">
        <v>3.57308</v>
      </c>
      <c r="Q42" s="718">
        <v>3.6</v>
      </c>
      <c r="R42" s="726"/>
      <c r="S42" s="715"/>
      <c r="T42" s="711"/>
      <c r="U42" s="749" t="e">
        <f>R42*#REF!</f>
        <v>#REF!</v>
      </c>
      <c r="V42" s="749" t="e">
        <f>R42*#REF!</f>
        <v>#REF!</v>
      </c>
      <c r="W42" s="749">
        <f t="shared" si="25"/>
        <v>0</v>
      </c>
      <c r="X42" s="749">
        <f t="shared" si="26"/>
        <v>0</v>
      </c>
      <c r="Y42" s="749"/>
      <c r="Z42" s="749"/>
      <c r="AA42" s="752"/>
      <c r="AB42" s="722">
        <v>3.3</v>
      </c>
      <c r="AC42" s="715">
        <v>0</v>
      </c>
      <c r="AD42" s="749"/>
      <c r="AE42" s="749"/>
      <c r="AF42" s="3127"/>
      <c r="AG42" s="3127"/>
      <c r="AH42" s="749"/>
      <c r="AI42" s="2720"/>
      <c r="AJ42" s="2720">
        <f t="shared" si="35"/>
        <v>0</v>
      </c>
      <c r="AK42" s="2720">
        <v>0</v>
      </c>
      <c r="AL42" s="2721">
        <v>0</v>
      </c>
      <c r="AM42" s="725"/>
      <c r="AN42" s="749">
        <f>AM42*AI56</f>
        <v>0</v>
      </c>
      <c r="AO42" s="749">
        <f>AM42*AI57</f>
        <v>0</v>
      </c>
      <c r="AP42" s="3127"/>
      <c r="AQ42" s="3128"/>
      <c r="AR42" s="2205">
        <f t="shared" si="65"/>
        <v>0</v>
      </c>
      <c r="AS42" s="2203">
        <f t="shared" si="29"/>
        <v>0</v>
      </c>
      <c r="AT42" s="2203">
        <f t="shared" si="30"/>
        <v>0</v>
      </c>
      <c r="AU42" s="3129"/>
      <c r="AV42" s="3129"/>
      <c r="AW42" s="3130"/>
      <c r="AX42" s="3150">
        <f t="shared" si="36"/>
        <v>0</v>
      </c>
      <c r="AY42" s="3151">
        <v>0</v>
      </c>
      <c r="AZ42" s="3151">
        <v>0</v>
      </c>
      <c r="BA42" s="3151">
        <f t="shared" si="37"/>
        <v>0</v>
      </c>
      <c r="BB42" s="3151"/>
      <c r="BC42" s="3151"/>
      <c r="BD42" s="3151">
        <f t="shared" si="38"/>
        <v>0</v>
      </c>
      <c r="BE42" s="3648">
        <f t="shared" si="62"/>
        <v>0</v>
      </c>
      <c r="BF42" s="3649">
        <f t="shared" si="63"/>
        <v>0</v>
      </c>
      <c r="BG42" s="3350"/>
      <c r="BH42" s="3353">
        <f>SUM(BG42*AQ56)</f>
        <v>0</v>
      </c>
      <c r="BI42" s="3353">
        <f>SUM(BG42*AQ57)</f>
        <v>0</v>
      </c>
      <c r="BJ42" s="3362" t="e">
        <f t="shared" si="14"/>
        <v>#DIV/0!</v>
      </c>
      <c r="BK42" s="3363" t="e">
        <f t="shared" si="15"/>
        <v>#DIV/0!</v>
      </c>
      <c r="BL42" s="3348">
        <f t="shared" si="32"/>
        <v>0</v>
      </c>
      <c r="BM42" s="3668">
        <f t="shared" si="33"/>
        <v>0</v>
      </c>
      <c r="BN42" s="3668">
        <f t="shared" si="34"/>
        <v>0</v>
      </c>
      <c r="BO42" s="3669"/>
      <c r="BP42" s="3669"/>
      <c r="BQ42" s="3670"/>
      <c r="BR42" s="3123"/>
      <c r="BS42" s="3123"/>
      <c r="BT42" s="3123"/>
      <c r="BU42" s="3123"/>
      <c r="BV42" s="3123"/>
      <c r="BW42" s="3123"/>
    </row>
    <row r="43" spans="1:75" ht="15">
      <c r="A43" s="748" t="s">
        <v>316</v>
      </c>
      <c r="B43" s="731"/>
      <c r="C43" s="2935"/>
      <c r="D43" s="632"/>
      <c r="E43" s="2935"/>
      <c r="F43" s="632"/>
      <c r="G43" s="183"/>
      <c r="H43" s="632"/>
      <c r="I43" s="187"/>
      <c r="J43" s="187"/>
      <c r="K43" s="187"/>
      <c r="L43" s="187"/>
      <c r="M43" s="634"/>
      <c r="N43" s="187"/>
      <c r="O43" s="187">
        <v>2</v>
      </c>
      <c r="P43" s="187">
        <v>3.0381499999999999</v>
      </c>
      <c r="Q43" s="718">
        <v>3.1</v>
      </c>
      <c r="R43" s="726"/>
      <c r="S43" s="715"/>
      <c r="T43" s="711"/>
      <c r="U43" s="749" t="e">
        <f>R43*#REF!</f>
        <v>#REF!</v>
      </c>
      <c r="V43" s="749" t="e">
        <f>R43*#REF!</f>
        <v>#REF!</v>
      </c>
      <c r="W43" s="749">
        <f t="shared" si="25"/>
        <v>0</v>
      </c>
      <c r="X43" s="749">
        <f t="shared" si="26"/>
        <v>0</v>
      </c>
      <c r="Y43" s="749"/>
      <c r="Z43" s="749"/>
      <c r="AA43" s="752"/>
      <c r="AB43" s="722"/>
      <c r="AC43" s="715"/>
      <c r="AD43" s="749"/>
      <c r="AE43" s="749"/>
      <c r="AF43" s="3127"/>
      <c r="AG43" s="3127"/>
      <c r="AH43" s="749"/>
      <c r="AI43" s="2720"/>
      <c r="AJ43" s="2720">
        <f t="shared" si="35"/>
        <v>0</v>
      </c>
      <c r="AK43" s="2720"/>
      <c r="AL43" s="2721"/>
      <c r="AM43" s="725"/>
      <c r="AN43" s="749">
        <f>AM43*AI56</f>
        <v>0</v>
      </c>
      <c r="AO43" s="749">
        <f>AM43*AI57</f>
        <v>0</v>
      </c>
      <c r="AP43" s="3127"/>
      <c r="AQ43" s="3128"/>
      <c r="AR43" s="2205">
        <f t="shared" si="65"/>
        <v>0</v>
      </c>
      <c r="AS43" s="2203">
        <f t="shared" si="29"/>
        <v>0</v>
      </c>
      <c r="AT43" s="2203">
        <f t="shared" si="30"/>
        <v>0</v>
      </c>
      <c r="AU43" s="3129"/>
      <c r="AV43" s="3129"/>
      <c r="AW43" s="3130"/>
      <c r="AX43" s="3150">
        <f t="shared" si="36"/>
        <v>0</v>
      </c>
      <c r="AY43" s="3151">
        <v>0</v>
      </c>
      <c r="AZ43" s="3151">
        <v>0</v>
      </c>
      <c r="BA43" s="3151">
        <f t="shared" si="37"/>
        <v>0</v>
      </c>
      <c r="BB43" s="3151"/>
      <c r="BC43" s="3151"/>
      <c r="BD43" s="3151">
        <f t="shared" si="38"/>
        <v>0</v>
      </c>
      <c r="BE43" s="3648">
        <f t="shared" si="62"/>
        <v>0</v>
      </c>
      <c r="BF43" s="3649">
        <f t="shared" si="63"/>
        <v>0</v>
      </c>
      <c r="BG43" s="3350"/>
      <c r="BH43" s="3353">
        <f>SUM(BG43*AQ56)</f>
        <v>0</v>
      </c>
      <c r="BI43" s="3353">
        <f>SUM(BG43*AQ57)</f>
        <v>0</v>
      </c>
      <c r="BJ43" s="3362" t="e">
        <f t="shared" si="14"/>
        <v>#DIV/0!</v>
      </c>
      <c r="BK43" s="3363" t="e">
        <f t="shared" si="15"/>
        <v>#DIV/0!</v>
      </c>
      <c r="BL43" s="3348">
        <f t="shared" si="32"/>
        <v>0</v>
      </c>
      <c r="BM43" s="3668">
        <f t="shared" si="33"/>
        <v>0</v>
      </c>
      <c r="BN43" s="3668">
        <f t="shared" si="34"/>
        <v>0</v>
      </c>
      <c r="BO43" s="3669"/>
      <c r="BP43" s="3669"/>
      <c r="BQ43" s="3670"/>
      <c r="BR43" s="3123"/>
      <c r="BS43" s="3123"/>
      <c r="BT43" s="3123"/>
      <c r="BU43" s="3123"/>
      <c r="BV43" s="3123"/>
      <c r="BW43" s="3123"/>
    </row>
    <row r="44" spans="1:75" ht="15">
      <c r="A44" s="748" t="s">
        <v>173</v>
      </c>
      <c r="B44" s="731">
        <v>64.7</v>
      </c>
      <c r="C44" s="2935"/>
      <c r="D44" s="632">
        <f>C44/B44*100</f>
        <v>0</v>
      </c>
      <c r="E44" s="2935"/>
      <c r="F44" s="632"/>
      <c r="G44" s="183">
        <v>1.5</v>
      </c>
      <c r="H44" s="632"/>
      <c r="I44" s="187"/>
      <c r="J44" s="187"/>
      <c r="K44" s="187"/>
      <c r="L44" s="187"/>
      <c r="M44" s="634">
        <f>K44/G44*100</f>
        <v>0</v>
      </c>
      <c r="N44" s="187">
        <v>0</v>
      </c>
      <c r="O44" s="187"/>
      <c r="P44" s="187"/>
      <c r="Q44" s="718">
        <v>0</v>
      </c>
      <c r="R44" s="726"/>
      <c r="S44" s="715"/>
      <c r="T44" s="711"/>
      <c r="U44" s="749" t="e">
        <f>R44*#REF!</f>
        <v>#REF!</v>
      </c>
      <c r="V44" s="749" t="e">
        <f>R44*#REF!</f>
        <v>#REF!</v>
      </c>
      <c r="W44" s="749">
        <f t="shared" si="25"/>
        <v>0</v>
      </c>
      <c r="X44" s="749">
        <f t="shared" si="26"/>
        <v>0</v>
      </c>
      <c r="Y44" s="749"/>
      <c r="Z44" s="749"/>
      <c r="AA44" s="752"/>
      <c r="AB44" s="722"/>
      <c r="AC44" s="715"/>
      <c r="AD44" s="749"/>
      <c r="AE44" s="749"/>
      <c r="AF44" s="3127"/>
      <c r="AG44" s="3127"/>
      <c r="AH44" s="749"/>
      <c r="AI44" s="2720"/>
      <c r="AJ44" s="2720">
        <f t="shared" si="35"/>
        <v>0</v>
      </c>
      <c r="AK44" s="2720"/>
      <c r="AL44" s="2721"/>
      <c r="AM44" s="725"/>
      <c r="AN44" s="749">
        <f>AM44*AI56</f>
        <v>0</v>
      </c>
      <c r="AO44" s="749">
        <f>AM44*AI57</f>
        <v>0</v>
      </c>
      <c r="AP44" s="3127"/>
      <c r="AQ44" s="3128"/>
      <c r="AR44" s="2205">
        <f t="shared" si="65"/>
        <v>0</v>
      </c>
      <c r="AS44" s="2203">
        <f t="shared" si="29"/>
        <v>0</v>
      </c>
      <c r="AT44" s="2203">
        <f t="shared" si="30"/>
        <v>0</v>
      </c>
      <c r="AU44" s="3129"/>
      <c r="AV44" s="3129"/>
      <c r="AW44" s="3130"/>
      <c r="AX44" s="3150">
        <f t="shared" si="36"/>
        <v>0</v>
      </c>
      <c r="AY44" s="3151">
        <v>0</v>
      </c>
      <c r="AZ44" s="3151">
        <v>0</v>
      </c>
      <c r="BA44" s="3151">
        <f t="shared" si="37"/>
        <v>0</v>
      </c>
      <c r="BB44" s="3151"/>
      <c r="BC44" s="3151"/>
      <c r="BD44" s="3151">
        <f t="shared" si="38"/>
        <v>0</v>
      </c>
      <c r="BE44" s="3648">
        <f t="shared" si="62"/>
        <v>0</v>
      </c>
      <c r="BF44" s="3649">
        <f t="shared" si="63"/>
        <v>0</v>
      </c>
      <c r="BG44" s="3350"/>
      <c r="BH44" s="3353">
        <f>SUM(BG44*AQ56)</f>
        <v>0</v>
      </c>
      <c r="BI44" s="3353">
        <f>SUM(BG44*AQ57)</f>
        <v>0</v>
      </c>
      <c r="BJ44" s="3362" t="e">
        <f t="shared" si="14"/>
        <v>#DIV/0!</v>
      </c>
      <c r="BK44" s="3363" t="e">
        <f t="shared" si="15"/>
        <v>#DIV/0!</v>
      </c>
      <c r="BL44" s="3348">
        <f t="shared" si="32"/>
        <v>0</v>
      </c>
      <c r="BM44" s="3668">
        <f t="shared" si="33"/>
        <v>0</v>
      </c>
      <c r="BN44" s="3668">
        <f t="shared" si="34"/>
        <v>0</v>
      </c>
      <c r="BO44" s="3669"/>
      <c r="BP44" s="3669"/>
      <c r="BQ44" s="3670"/>
      <c r="BR44" s="3123"/>
      <c r="BS44" s="3123"/>
      <c r="BT44" s="3123"/>
      <c r="BU44" s="3123"/>
      <c r="BV44" s="3123"/>
      <c r="BW44" s="3123"/>
    </row>
    <row r="45" spans="1:75" ht="15">
      <c r="A45" s="748" t="s">
        <v>317</v>
      </c>
      <c r="B45" s="731"/>
      <c r="C45" s="2935"/>
      <c r="D45" s="632"/>
      <c r="E45" s="2935"/>
      <c r="F45" s="632"/>
      <c r="G45" s="183"/>
      <c r="H45" s="632"/>
      <c r="I45" s="187"/>
      <c r="J45" s="187"/>
      <c r="K45" s="187"/>
      <c r="L45" s="187"/>
      <c r="M45" s="634"/>
      <c r="N45" s="187"/>
      <c r="O45" s="187"/>
      <c r="P45" s="187">
        <v>2.84</v>
      </c>
      <c r="Q45" s="718"/>
      <c r="R45" s="726"/>
      <c r="S45" s="715"/>
      <c r="T45" s="711"/>
      <c r="U45" s="749" t="e">
        <f>R45*#REF!</f>
        <v>#REF!</v>
      </c>
      <c r="V45" s="749" t="e">
        <f>R45*#REF!</f>
        <v>#REF!</v>
      </c>
      <c r="W45" s="749">
        <f t="shared" si="25"/>
        <v>0</v>
      </c>
      <c r="X45" s="749">
        <f t="shared" si="26"/>
        <v>0</v>
      </c>
      <c r="Y45" s="749"/>
      <c r="Z45" s="749"/>
      <c r="AA45" s="752"/>
      <c r="AB45" s="722"/>
      <c r="AC45" s="715"/>
      <c r="AD45" s="749"/>
      <c r="AE45" s="749"/>
      <c r="AF45" s="3127"/>
      <c r="AG45" s="3127"/>
      <c r="AH45" s="749"/>
      <c r="AI45" s="2720"/>
      <c r="AJ45" s="2720">
        <f t="shared" si="35"/>
        <v>0</v>
      </c>
      <c r="AK45" s="2720"/>
      <c r="AL45" s="2721"/>
      <c r="AM45" s="725"/>
      <c r="AN45" s="749">
        <f>AM45*AI56</f>
        <v>0</v>
      </c>
      <c r="AO45" s="749">
        <f>AM45*AI57</f>
        <v>0</v>
      </c>
      <c r="AP45" s="3127"/>
      <c r="AQ45" s="3128"/>
      <c r="AR45" s="2205">
        <f t="shared" si="65"/>
        <v>0</v>
      </c>
      <c r="AS45" s="2203">
        <f t="shared" si="29"/>
        <v>0</v>
      </c>
      <c r="AT45" s="2203">
        <f t="shared" si="30"/>
        <v>0</v>
      </c>
      <c r="AU45" s="3129"/>
      <c r="AV45" s="3129"/>
      <c r="AW45" s="3130"/>
      <c r="AX45" s="3150">
        <f t="shared" si="36"/>
        <v>0</v>
      </c>
      <c r="AY45" s="3151">
        <v>0</v>
      </c>
      <c r="AZ45" s="3151">
        <v>0</v>
      </c>
      <c r="BA45" s="3151">
        <f t="shared" si="37"/>
        <v>0</v>
      </c>
      <c r="BB45" s="3151"/>
      <c r="BC45" s="3151"/>
      <c r="BD45" s="3151">
        <f t="shared" si="38"/>
        <v>0</v>
      </c>
      <c r="BE45" s="3648">
        <f t="shared" si="62"/>
        <v>0</v>
      </c>
      <c r="BF45" s="3649">
        <f t="shared" si="63"/>
        <v>0</v>
      </c>
      <c r="BG45" s="3350"/>
      <c r="BH45" s="3353">
        <f>SUM(BG45*AQ56)</f>
        <v>0</v>
      </c>
      <c r="BI45" s="3353">
        <f>SUM(BG45*AQ57)</f>
        <v>0</v>
      </c>
      <c r="BJ45" s="3362" t="e">
        <f t="shared" si="14"/>
        <v>#DIV/0!</v>
      </c>
      <c r="BK45" s="3363" t="e">
        <f t="shared" si="15"/>
        <v>#DIV/0!</v>
      </c>
      <c r="BL45" s="3348">
        <f t="shared" si="32"/>
        <v>0</v>
      </c>
      <c r="BM45" s="3668">
        <f t="shared" si="33"/>
        <v>0</v>
      </c>
      <c r="BN45" s="3668">
        <f t="shared" si="34"/>
        <v>0</v>
      </c>
      <c r="BO45" s="3669"/>
      <c r="BP45" s="3669"/>
      <c r="BQ45" s="3670"/>
      <c r="BR45" s="3123"/>
      <c r="BS45" s="3123"/>
      <c r="BT45" s="3123"/>
      <c r="BU45" s="3123"/>
      <c r="BV45" s="3123"/>
      <c r="BW45" s="3123"/>
    </row>
    <row r="46" spans="1:75" ht="15">
      <c r="A46" s="748" t="s">
        <v>1713</v>
      </c>
      <c r="B46" s="731"/>
      <c r="C46" s="2935"/>
      <c r="D46" s="632"/>
      <c r="E46" s="2935"/>
      <c r="F46" s="632"/>
      <c r="G46" s="183"/>
      <c r="H46" s="632"/>
      <c r="I46" s="187"/>
      <c r="J46" s="187"/>
      <c r="K46" s="187"/>
      <c r="L46" s="187"/>
      <c r="M46" s="634"/>
      <c r="N46" s="187"/>
      <c r="O46" s="187"/>
      <c r="P46" s="187">
        <v>27.65</v>
      </c>
      <c r="Q46" s="718"/>
      <c r="R46" s="726"/>
      <c r="S46" s="715"/>
      <c r="T46" s="711"/>
      <c r="U46" s="749" t="e">
        <f>R46*#REF!</f>
        <v>#REF!</v>
      </c>
      <c r="V46" s="749" t="e">
        <f>R46*#REF!</f>
        <v>#REF!</v>
      </c>
      <c r="W46" s="749">
        <f t="shared" si="25"/>
        <v>0</v>
      </c>
      <c r="X46" s="749">
        <f t="shared" si="26"/>
        <v>0</v>
      </c>
      <c r="Y46" s="749"/>
      <c r="Z46" s="749">
        <v>439.22</v>
      </c>
      <c r="AA46" s="752"/>
      <c r="AB46" s="722"/>
      <c r="AC46" s="715"/>
      <c r="AD46" s="749"/>
      <c r="AE46" s="749"/>
      <c r="AF46" s="3127"/>
      <c r="AG46" s="3127"/>
      <c r="AH46" s="749"/>
      <c r="AI46" s="2720"/>
      <c r="AJ46" s="2720">
        <f t="shared" si="35"/>
        <v>0</v>
      </c>
      <c r="AK46" s="2720"/>
      <c r="AL46" s="2721"/>
      <c r="AM46" s="725"/>
      <c r="AN46" s="749">
        <f>AM46*AI56</f>
        <v>0</v>
      </c>
      <c r="AO46" s="749">
        <f>AM46*AI57</f>
        <v>0</v>
      </c>
      <c r="AP46" s="3127"/>
      <c r="AQ46" s="3128"/>
      <c r="AR46" s="2205">
        <f t="shared" si="65"/>
        <v>0</v>
      </c>
      <c r="AS46" s="3905">
        <f t="shared" si="29"/>
        <v>0</v>
      </c>
      <c r="AT46" s="3905">
        <f t="shared" si="30"/>
        <v>0</v>
      </c>
      <c r="AU46" s="3129"/>
      <c r="AV46" s="3129"/>
      <c r="AW46" s="3130"/>
      <c r="AX46" s="3150">
        <f t="shared" si="36"/>
        <v>47.49</v>
      </c>
      <c r="AY46" s="3151">
        <v>27.44</v>
      </c>
      <c r="AZ46" s="3151">
        <v>20.05</v>
      </c>
      <c r="BA46" s="3151">
        <f t="shared" si="37"/>
        <v>0</v>
      </c>
      <c r="BB46" s="3151"/>
      <c r="BC46" s="3151"/>
      <c r="BD46" s="3151">
        <f t="shared" si="38"/>
        <v>47.49</v>
      </c>
      <c r="BE46" s="3648">
        <v>27.44</v>
      </c>
      <c r="BF46" s="3649">
        <v>20.05</v>
      </c>
      <c r="BG46" s="3350"/>
      <c r="BH46" s="3353">
        <f>SUM(BG46*AQ56)</f>
        <v>0</v>
      </c>
      <c r="BI46" s="3353">
        <f>SUM(BG46*AQ57)</f>
        <v>0</v>
      </c>
      <c r="BJ46" s="3362" t="e">
        <f t="shared" si="14"/>
        <v>#DIV/0!</v>
      </c>
      <c r="BK46" s="3363" t="e">
        <f t="shared" si="15"/>
        <v>#DIV/0!</v>
      </c>
      <c r="BL46" s="3348">
        <f t="shared" si="32"/>
        <v>0</v>
      </c>
      <c r="BM46" s="3668">
        <f t="shared" si="33"/>
        <v>0</v>
      </c>
      <c r="BN46" s="3668">
        <f t="shared" si="34"/>
        <v>0</v>
      </c>
      <c r="BO46" s="3669"/>
      <c r="BP46" s="3669"/>
      <c r="BQ46" s="3670"/>
      <c r="BR46" s="3123"/>
      <c r="BS46" s="3123"/>
      <c r="BT46" s="3123"/>
      <c r="BU46" s="3123"/>
      <c r="BV46" s="3123"/>
      <c r="BW46" s="3123"/>
    </row>
    <row r="47" spans="1:75" ht="15">
      <c r="A47" s="748" t="s">
        <v>98</v>
      </c>
      <c r="B47" s="731">
        <v>2</v>
      </c>
      <c r="C47" s="2935"/>
      <c r="D47" s="632">
        <f>C47/B47*100</f>
        <v>0</v>
      </c>
      <c r="E47" s="2935"/>
      <c r="F47" s="632"/>
      <c r="G47" s="183">
        <v>1.5</v>
      </c>
      <c r="H47" s="632"/>
      <c r="I47" s="187"/>
      <c r="J47" s="187"/>
      <c r="K47" s="187"/>
      <c r="L47" s="187">
        <v>109.5</v>
      </c>
      <c r="M47" s="634">
        <f>K47/G47*100</f>
        <v>0</v>
      </c>
      <c r="N47" s="187">
        <v>0</v>
      </c>
      <c r="O47" s="187"/>
      <c r="P47" s="187"/>
      <c r="Q47" s="718">
        <v>0</v>
      </c>
      <c r="R47" s="726">
        <v>115.5</v>
      </c>
      <c r="S47" s="715">
        <v>12.215999999999999</v>
      </c>
      <c r="T47" s="711"/>
      <c r="U47" s="749" t="e">
        <f>R47*#REF!</f>
        <v>#REF!</v>
      </c>
      <c r="V47" s="749" t="e">
        <f>R47*#REF!</f>
        <v>#REF!</v>
      </c>
      <c r="W47" s="749">
        <f t="shared" si="25"/>
        <v>6.9750802861685202</v>
      </c>
      <c r="X47" s="749">
        <f t="shared" si="26"/>
        <v>4.9542531796502365</v>
      </c>
      <c r="Y47" s="749">
        <v>2.94</v>
      </c>
      <c r="Z47" s="749">
        <v>8.73</v>
      </c>
      <c r="AA47" s="752">
        <v>11.6</v>
      </c>
      <c r="AB47" s="722">
        <v>12.2</v>
      </c>
      <c r="AC47" s="715">
        <v>12.215999999999999</v>
      </c>
      <c r="AD47" s="749">
        <f>W47</f>
        <v>6.9750802861685202</v>
      </c>
      <c r="AE47" s="749">
        <f>X47</f>
        <v>4.9542531796502365</v>
      </c>
      <c r="AF47" s="3127">
        <f>AD47/W47</f>
        <v>1</v>
      </c>
      <c r="AG47" s="3127">
        <f>AE47/X47</f>
        <v>1</v>
      </c>
      <c r="AH47" s="749">
        <v>6.17</v>
      </c>
      <c r="AI47" s="2720">
        <v>9.26</v>
      </c>
      <c r="AJ47" s="2720">
        <f t="shared" si="35"/>
        <v>12.29</v>
      </c>
      <c r="AK47" s="2720">
        <v>7.18</v>
      </c>
      <c r="AL47" s="2721">
        <v>5.1100000000000003</v>
      </c>
      <c r="AM47" s="725">
        <f t="shared" ref="AM47" si="69">SUM(AA47*1.1)</f>
        <v>12.76</v>
      </c>
      <c r="AN47" s="749">
        <f>AM47*AI56</f>
        <v>7.6049599999999993</v>
      </c>
      <c r="AO47" s="749">
        <f>AM47*AI57</f>
        <v>5.1550400000000005</v>
      </c>
      <c r="AP47" s="3127">
        <f>AN47/AD47</f>
        <v>1.0903042958631632</v>
      </c>
      <c r="AQ47" s="3128">
        <f>AO47/AE47</f>
        <v>1.0405281710620893</v>
      </c>
      <c r="AR47" s="2205">
        <f>AM47</f>
        <v>12.76</v>
      </c>
      <c r="AS47" s="2203">
        <f t="shared" si="29"/>
        <v>6.9434175819675454</v>
      </c>
      <c r="AT47" s="2203">
        <f t="shared" si="30"/>
        <v>5.7478200856768931</v>
      </c>
      <c r="AU47" s="3129">
        <f>AS47/AD47</f>
        <v>0.99546059645166218</v>
      </c>
      <c r="AV47" s="3129">
        <f>AT47/AE47</f>
        <v>1.1601789164280623</v>
      </c>
      <c r="AW47" s="3130"/>
      <c r="AX47" s="3150">
        <f t="shared" si="36"/>
        <v>6.59</v>
      </c>
      <c r="AY47" s="3151">
        <v>3.83</v>
      </c>
      <c r="AZ47" s="3151">
        <v>2.76</v>
      </c>
      <c r="BA47" s="3151">
        <f t="shared" si="37"/>
        <v>9.94</v>
      </c>
      <c r="BB47" s="3151">
        <v>5.64</v>
      </c>
      <c r="BC47" s="3151">
        <v>4.3</v>
      </c>
      <c r="BD47" s="3151">
        <f t="shared" si="38"/>
        <v>13.29</v>
      </c>
      <c r="BE47" s="3648">
        <f t="shared" si="62"/>
        <v>7.4499999999999993</v>
      </c>
      <c r="BF47" s="3649">
        <f t="shared" si="63"/>
        <v>5.84</v>
      </c>
      <c r="BG47" s="3350">
        <f>SUM(AR47*1.1)</f>
        <v>14.036000000000001</v>
      </c>
      <c r="BH47" s="3353">
        <f>SUM(BG47*AQ56)</f>
        <v>8.2812400000000004</v>
      </c>
      <c r="BI47" s="3353">
        <f>SUM(BG47*AQ57)</f>
        <v>5.7547600000000001</v>
      </c>
      <c r="BJ47" s="3362">
        <f t="shared" si="14"/>
        <v>1.1926749186894443</v>
      </c>
      <c r="BK47" s="3363">
        <f t="shared" si="15"/>
        <v>1.0012073993652655</v>
      </c>
      <c r="BL47" s="3348">
        <f t="shared" si="32"/>
        <v>13.5293004</v>
      </c>
      <c r="BM47" s="3668">
        <f t="shared" si="33"/>
        <v>7.362036227984369</v>
      </c>
      <c r="BN47" s="3668">
        <f t="shared" si="34"/>
        <v>6.0943561586423529</v>
      </c>
      <c r="BO47" s="3669">
        <f t="shared" ref="BO47:BP49" si="70">BM47/AS47</f>
        <v>1.06029</v>
      </c>
      <c r="BP47" s="3669">
        <f t="shared" si="70"/>
        <v>1.06029</v>
      </c>
      <c r="BQ47" s="3670"/>
      <c r="BR47" s="3123"/>
      <c r="BS47" s="3123"/>
      <c r="BT47" s="3123"/>
      <c r="BU47" s="3123"/>
      <c r="BV47" s="3123"/>
      <c r="BW47" s="3123"/>
    </row>
    <row r="48" spans="1:75" ht="48.75" customHeight="1">
      <c r="A48" s="758" t="s">
        <v>1712</v>
      </c>
      <c r="B48" s="731"/>
      <c r="C48" s="713"/>
      <c r="D48" s="759"/>
      <c r="E48" s="713"/>
      <c r="F48" s="759"/>
      <c r="G48" s="715"/>
      <c r="H48" s="759"/>
      <c r="I48" s="712"/>
      <c r="J48" s="712"/>
      <c r="K48" s="712"/>
      <c r="L48" s="712"/>
      <c r="M48" s="714"/>
      <c r="N48" s="712"/>
      <c r="O48" s="712"/>
      <c r="P48" s="712"/>
      <c r="Q48" s="718"/>
      <c r="R48" s="726"/>
      <c r="S48" s="715"/>
      <c r="T48" s="711"/>
      <c r="U48" s="749"/>
      <c r="V48" s="749"/>
      <c r="W48" s="749"/>
      <c r="X48" s="749"/>
      <c r="Y48" s="749"/>
      <c r="Z48" s="749"/>
      <c r="AA48" s="752">
        <v>1148.98</v>
      </c>
      <c r="AB48" s="722"/>
      <c r="AC48" s="715"/>
      <c r="AD48" s="749"/>
      <c r="AE48" s="749"/>
      <c r="AF48" s="3127"/>
      <c r="AG48" s="3127"/>
      <c r="AH48" s="749">
        <v>270</v>
      </c>
      <c r="AI48" s="2720">
        <v>405</v>
      </c>
      <c r="AJ48" s="2720">
        <f t="shared" si="35"/>
        <v>537.05999999999995</v>
      </c>
      <c r="AK48" s="2720">
        <v>316.92</v>
      </c>
      <c r="AL48" s="2721">
        <v>220.14</v>
      </c>
      <c r="AM48" s="725">
        <v>249</v>
      </c>
      <c r="AN48" s="749">
        <f>AM48*AI56</f>
        <v>148.404</v>
      </c>
      <c r="AO48" s="749">
        <f>AM48*AI57</f>
        <v>100.596</v>
      </c>
      <c r="AP48" s="3127"/>
      <c r="AQ48" s="3128"/>
      <c r="AR48" s="2205">
        <f>'налог на имущ'!E15</f>
        <v>65.63542333333335</v>
      </c>
      <c r="AS48" s="2203">
        <f t="shared" si="29"/>
        <v>35.715842662425523</v>
      </c>
      <c r="AT48" s="2203">
        <f t="shared" si="30"/>
        <v>29.56587810088082</v>
      </c>
      <c r="AU48" s="3129"/>
      <c r="AV48" s="3129"/>
      <c r="AW48" s="3134" t="s">
        <v>545</v>
      </c>
      <c r="AX48" s="3150">
        <f t="shared" si="36"/>
        <v>742.26</v>
      </c>
      <c r="AY48" s="3151">
        <v>428.8</v>
      </c>
      <c r="AZ48" s="3151">
        <v>313.45999999999998</v>
      </c>
      <c r="BA48" s="3151">
        <f t="shared" si="37"/>
        <v>1039.76</v>
      </c>
      <c r="BB48" s="3151">
        <v>594.91999999999996</v>
      </c>
      <c r="BC48" s="3151">
        <v>444.84</v>
      </c>
      <c r="BD48" s="3151">
        <f t="shared" si="38"/>
        <v>1337.26</v>
      </c>
      <c r="BE48" s="3648">
        <f t="shared" si="62"/>
        <v>761.04</v>
      </c>
      <c r="BF48" s="3649">
        <f t="shared" si="63"/>
        <v>576.22</v>
      </c>
      <c r="BG48" s="3350">
        <f>SUM(AR48*1.1)</f>
        <v>72.198965666666695</v>
      </c>
      <c r="BH48" s="3353">
        <f>SUM(BG48*AQ56)</f>
        <v>42.597389743333345</v>
      </c>
      <c r="BI48" s="3353">
        <f>SUM(BG48*AQ57)</f>
        <v>29.601575923333343</v>
      </c>
      <c r="BJ48" s="3362">
        <f t="shared" si="14"/>
        <v>1.1926749186894443</v>
      </c>
      <c r="BK48" s="3363">
        <f t="shared" si="15"/>
        <v>1.0012073993652655</v>
      </c>
      <c r="BL48" s="3348">
        <f t="shared" si="32"/>
        <v>69.592583006100014</v>
      </c>
      <c r="BM48" s="3668">
        <f t="shared" si="33"/>
        <v>37.869150816543154</v>
      </c>
      <c r="BN48" s="3668">
        <f t="shared" si="34"/>
        <v>31.348404891582923</v>
      </c>
      <c r="BO48" s="3669">
        <f t="shared" si="70"/>
        <v>1.06029</v>
      </c>
      <c r="BP48" s="3669">
        <f t="shared" si="70"/>
        <v>1.06029</v>
      </c>
      <c r="BQ48" s="3673" t="s">
        <v>545</v>
      </c>
      <c r="BR48" s="3123"/>
      <c r="BS48" s="3123"/>
      <c r="BT48" s="3123"/>
      <c r="BU48" s="3123"/>
      <c r="BV48" s="3123"/>
      <c r="BW48" s="3123"/>
    </row>
    <row r="49" spans="1:75" ht="15.75" thickBot="1">
      <c r="A49" s="760" t="s">
        <v>12</v>
      </c>
      <c r="B49" s="761">
        <f>SUM(B8:B47)</f>
        <v>15838.700000000003</v>
      </c>
      <c r="C49" s="762">
        <f>SUM(C8:C38)</f>
        <v>17072.899999999991</v>
      </c>
      <c r="D49" s="763">
        <f>C49/B49*100</f>
        <v>107.79230618674505</v>
      </c>
      <c r="E49" s="762">
        <f>SUM(E8:E47)</f>
        <v>17239.899999999998</v>
      </c>
      <c r="F49" s="762">
        <f>SUM(F8:F47)</f>
        <v>3153.2029134533927</v>
      </c>
      <c r="G49" s="762">
        <f>SUM(G8:G47)</f>
        <v>19008.899999999998</v>
      </c>
      <c r="H49" s="763">
        <f>G49/E49*100</f>
        <v>110.26108040069838</v>
      </c>
      <c r="I49" s="741">
        <f>SUM(I8:I47)</f>
        <v>19197.563600000001</v>
      </c>
      <c r="J49" s="741">
        <f>SUM(J8:J47)</f>
        <v>14908.387233621954</v>
      </c>
      <c r="K49" s="741">
        <f>SUM(K8:K47)</f>
        <v>21840.935330518507</v>
      </c>
      <c r="L49" s="741">
        <f>SUM(L15:L47)+L8+L9+L10+L11</f>
        <v>20861.2</v>
      </c>
      <c r="M49" s="742">
        <f>K49/G49*100</f>
        <v>114.89847035082781</v>
      </c>
      <c r="N49" s="741">
        <f t="shared" ref="N49:S49" si="71">SUM(N15:N47)+N8+N9+N10+N11</f>
        <v>20289.383040266664</v>
      </c>
      <c r="O49" s="741">
        <f t="shared" si="71"/>
        <v>12076.8</v>
      </c>
      <c r="P49" s="741">
        <f t="shared" si="71"/>
        <v>18482.569625</v>
      </c>
      <c r="Q49" s="743">
        <f t="shared" si="71"/>
        <v>24513</v>
      </c>
      <c r="R49" s="744">
        <f t="shared" si="71"/>
        <v>26753.66</v>
      </c>
      <c r="S49" s="741">
        <f t="shared" si="71"/>
        <v>21065.913023511166</v>
      </c>
      <c r="T49" s="745">
        <f>S49/N49</f>
        <v>1.0382727252821531</v>
      </c>
      <c r="U49" s="764" t="e">
        <f t="shared" ref="U49:Z49" si="72">SUM(U8:U47)-U12-U14-U13</f>
        <v>#REF!</v>
      </c>
      <c r="V49" s="764" t="e">
        <f t="shared" si="72"/>
        <v>#REF!</v>
      </c>
      <c r="W49" s="764">
        <f t="shared" si="72"/>
        <v>12028.195370042011</v>
      </c>
      <c r="X49" s="764">
        <f t="shared" si="72"/>
        <v>8543.374801814467</v>
      </c>
      <c r="Y49" s="764">
        <f t="shared" si="72"/>
        <v>11845.489999999998</v>
      </c>
      <c r="Z49" s="764">
        <f t="shared" si="72"/>
        <v>17750.399999999994</v>
      </c>
      <c r="AA49" s="765">
        <f>SUM(AA8:AA48)-AA12-AA14-AA13</f>
        <v>23798.809999999998</v>
      </c>
      <c r="AB49" s="746">
        <f>SUM(AB15:AB47)+AB8+AB9+AB10+AB11</f>
        <v>24794.63</v>
      </c>
      <c r="AC49" s="741">
        <f>SUM(AC15:AC47)+AC8+AC9+AC10+AC11</f>
        <v>22083.255095023407</v>
      </c>
      <c r="AD49" s="741">
        <f>SUM(AD15:AD47)+AD8+AD9+AD10+AD11</f>
        <v>13073.01213648671</v>
      </c>
      <c r="AE49" s="741">
        <f>SUM(AE15:AE47)+AE8+AE9+AE10+AE11</f>
        <v>8833.3841337506801</v>
      </c>
      <c r="AF49" s="3135">
        <f>AD49/W49</f>
        <v>1.0868639670625047</v>
      </c>
      <c r="AG49" s="3135">
        <f>AE49/X49</f>
        <v>1.0339455237144248</v>
      </c>
      <c r="AH49" s="741">
        <f>SUM(AH8:AH48)-AH12-AH14-AH13</f>
        <v>11015.409999999982</v>
      </c>
      <c r="AI49" s="2724">
        <f>SUM(AI8:AI48)-AI12-AI14-AI13</f>
        <v>16483.249999999993</v>
      </c>
      <c r="AJ49" s="2724">
        <f t="shared" ref="AJ49:AL49" si="73">SUM(AJ8:AJ48)-AJ12-AJ14-AJ13</f>
        <v>21783.079999999987</v>
      </c>
      <c r="AK49" s="2724">
        <f t="shared" si="73"/>
        <v>12858.340000000004</v>
      </c>
      <c r="AL49" s="2724">
        <f t="shared" si="73"/>
        <v>8924.7399999999834</v>
      </c>
      <c r="AM49" s="744">
        <f>SUM(AM15:AM48)+AM8+AM9+AM10+AM11</f>
        <v>27535.565710230981</v>
      </c>
      <c r="AN49" s="741">
        <f>SUM(AN15:AN48)+AN8+AN9+AN10+AN11</f>
        <v>16411.197163297664</v>
      </c>
      <c r="AO49" s="741">
        <f>SUM(AO15:AO48)+AO8+AO9+AO10+AO11</f>
        <v>11124.368546933318</v>
      </c>
      <c r="AP49" s="3135">
        <f>AN49/AD49</f>
        <v>1.255349340454913</v>
      </c>
      <c r="AQ49" s="3136">
        <f>AO49/AE49</f>
        <v>1.2593552344711494</v>
      </c>
      <c r="AR49" s="3658">
        <f>SUM(AR15:AR47)+AR8+AR9+AR10+AR11</f>
        <v>23744.037959511399</v>
      </c>
      <c r="AS49" s="3659">
        <f>SUM(AS15:AS48)+AS8+AS9+AS10+AS11</f>
        <v>12956.15241280163</v>
      </c>
      <c r="AT49" s="3659">
        <f>SUM(AT15:AT48)+AT8+AT9+AT10+AT11</f>
        <v>10725.213080197605</v>
      </c>
      <c r="AU49" s="3660">
        <f>AS49/AC49</f>
        <v>0.58669577274961493</v>
      </c>
      <c r="AV49" s="3661">
        <f>AT49/AD49</f>
        <v>0.82040871439747165</v>
      </c>
      <c r="AW49" s="3656"/>
      <c r="AX49" s="2724">
        <f t="shared" ref="AX49:BC49" si="74">SUM(AX8:AX48)-AX12-AX14-AX13</f>
        <v>10828.859999999997</v>
      </c>
      <c r="AY49" s="2724">
        <f t="shared" si="74"/>
        <v>6282.929999999993</v>
      </c>
      <c r="AZ49" s="2724">
        <f t="shared" si="74"/>
        <v>4545.9300000000076</v>
      </c>
      <c r="BA49" s="2724">
        <f t="shared" si="74"/>
        <v>16322.179999999993</v>
      </c>
      <c r="BB49" s="2724">
        <f t="shared" si="74"/>
        <v>9402.3000000000102</v>
      </c>
      <c r="BC49" s="2724">
        <f t="shared" si="74"/>
        <v>6919.8799999999828</v>
      </c>
      <c r="BD49" s="2724">
        <f t="shared" ref="BD49:BF49" si="75">SUM(BD8:BD48)-BD12-BD14-BD13</f>
        <v>21699.913333333338</v>
      </c>
      <c r="BE49" s="3654">
        <f t="shared" si="75"/>
        <v>12460.093333333323</v>
      </c>
      <c r="BF49" s="3655">
        <f t="shared" si="75"/>
        <v>9239.8199999999924</v>
      </c>
      <c r="BG49" s="3356">
        <f>SUM(BG15:BG48)+BG8+BG9+BG10+BG11</f>
        <v>27132.751434095018</v>
      </c>
      <c r="BH49" s="3357">
        <f>SUM(BH15:BH48)+BH8+BH9+BH10+BH11</f>
        <v>16008.32334611606</v>
      </c>
      <c r="BI49" s="3357">
        <f>SUM(BI15:BI48)+BI8+BI9+BI10+BI11</f>
        <v>11124.428087978959</v>
      </c>
      <c r="BJ49" s="3362">
        <f t="shared" si="14"/>
        <v>1.2355769549529736</v>
      </c>
      <c r="BK49" s="3363">
        <f t="shared" si="15"/>
        <v>1.0372221050338328</v>
      </c>
      <c r="BL49" s="3674">
        <f>SUM(BL15:BL47)+BL8+BL9+BL10+BL11</f>
        <v>25172.692710495336</v>
      </c>
      <c r="BM49" s="3675">
        <f>SUM(BM15:BM48)+BM8+BM9+BM10+BM11</f>
        <v>14901.729747911368</v>
      </c>
      <c r="BN49" s="3675">
        <f>SUM(BN15:BN48)+BN8+BN9+BN10+BN11</f>
        <v>10328.008730165626</v>
      </c>
      <c r="BO49" s="3669">
        <f t="shared" si="70"/>
        <v>1.1501662895835776</v>
      </c>
      <c r="BP49" s="3669">
        <f t="shared" si="70"/>
        <v>0.96296536515760656</v>
      </c>
      <c r="BQ49" s="3676"/>
      <c r="BR49" s="3123"/>
      <c r="BS49" s="3123"/>
      <c r="BT49" s="3123"/>
      <c r="BU49" s="3123"/>
      <c r="BV49" s="3123"/>
      <c r="BW49" s="3123"/>
    </row>
    <row r="50" spans="1:75" ht="13.5" thickBot="1">
      <c r="A50" s="3137" t="s">
        <v>44</v>
      </c>
      <c r="B50" s="3138"/>
      <c r="C50" s="3138"/>
      <c r="D50" s="3138"/>
      <c r="E50" s="3138"/>
      <c r="F50" s="3138"/>
      <c r="G50" s="3138"/>
      <c r="H50" s="3138"/>
      <c r="I50" s="3138"/>
      <c r="J50" s="3138"/>
      <c r="K50" s="3138"/>
      <c r="L50" s="3138"/>
      <c r="M50" s="3138"/>
      <c r="N50" s="3138"/>
      <c r="O50" s="3138"/>
      <c r="P50" s="3138"/>
      <c r="Q50" s="3139"/>
      <c r="R50" s="3137"/>
      <c r="S50" s="3138"/>
      <c r="T50" s="3138"/>
      <c r="U50" s="3138"/>
      <c r="V50" s="3138"/>
      <c r="W50" s="3138"/>
      <c r="X50" s="3138"/>
      <c r="Y50" s="3138"/>
      <c r="Z50" s="3138"/>
      <c r="AA50" s="3140"/>
      <c r="AB50" s="3137"/>
      <c r="AC50" s="3141">
        <f>AC49/S49</f>
        <v>1.0482932816810175</v>
      </c>
      <c r="AD50" s="3141">
        <f>AD49/W49</f>
        <v>1.0868639670625047</v>
      </c>
      <c r="AE50" s="3141">
        <f>AE49/X49</f>
        <v>1.0339455237144248</v>
      </c>
      <c r="AF50" s="3138"/>
      <c r="AG50" s="3140"/>
      <c r="AH50" s="3137"/>
      <c r="AI50" s="3139"/>
      <c r="AJ50" s="3142"/>
      <c r="AK50" s="3143">
        <f>SUM(AK49/AJ49)*100</f>
        <v>59.029026198315435</v>
      </c>
      <c r="AL50" s="3143">
        <f>SUM(AL49/AJ49)*100</f>
        <v>40.970973801684558</v>
      </c>
      <c r="AM50" s="3144">
        <f>SUM(AM49/AC49)</f>
        <v>1.2468979591888283</v>
      </c>
      <c r="AN50" s="3141">
        <f>SUM(AN49/AD49)</f>
        <v>1.255349340454913</v>
      </c>
      <c r="AO50" s="3141">
        <f>SUM(AO49/AE49)</f>
        <v>1.2593552344711494</v>
      </c>
      <c r="AP50" s="3138"/>
      <c r="AQ50" s="3139"/>
      <c r="AR50" s="3144">
        <f>AR49/AC49</f>
        <v>1.0752055282313095</v>
      </c>
      <c r="AS50" s="3141">
        <f>AS49/AD49</f>
        <v>0.99106099478337317</v>
      </c>
      <c r="AT50" s="3141">
        <f>AT49/AE49</f>
        <v>1.2141680830134634</v>
      </c>
      <c r="AU50" s="3138"/>
      <c r="AV50" s="3140"/>
      <c r="AW50" s="3657"/>
      <c r="AX50" s="3137"/>
      <c r="AY50" s="3662">
        <f>SUM(AY49/AX49)*100</f>
        <v>58.020234816961292</v>
      </c>
      <c r="AZ50" s="3662">
        <f>SUM(AZ49/AX49)*100</f>
        <v>41.979765183038744</v>
      </c>
      <c r="BA50" s="3138"/>
      <c r="BB50" s="3662">
        <f>SUM(BB49/BA49)*100</f>
        <v>57.604437642520878</v>
      </c>
      <c r="BC50" s="3662">
        <f>SUM(BC49/BA49)*100</f>
        <v>42.395562357479122</v>
      </c>
      <c r="BD50" s="3138"/>
      <c r="BE50" s="3662">
        <f>SUM(BE49/BD49)*100</f>
        <v>57.420014273482444</v>
      </c>
      <c r="BF50" s="3663">
        <f>SUM(BF49/BD49)*100</f>
        <v>42.57998572651745</v>
      </c>
      <c r="BG50" s="3358">
        <f>SUM(BG49/AR49)</f>
        <v>1.1427184997076778</v>
      </c>
      <c r="BH50" s="3359">
        <f>SUM(BH49/AS49)</f>
        <v>1.2355769549529736</v>
      </c>
      <c r="BI50" s="3359">
        <f>SUM(BI49/AT49)</f>
        <v>1.0372221050338328</v>
      </c>
      <c r="BJ50" s="3364"/>
      <c r="BK50" s="3365"/>
      <c r="BL50" s="3358">
        <f>BL49/AR49</f>
        <v>1.0601689886707599</v>
      </c>
      <c r="BM50" s="3359">
        <f>BM49/AS49</f>
        <v>1.1501662895835776</v>
      </c>
      <c r="BN50" s="3359">
        <f>BN49/AT49</f>
        <v>0.96296536515760656</v>
      </c>
      <c r="BO50" s="3364"/>
      <c r="BP50" s="3364"/>
      <c r="BQ50" s="3677"/>
      <c r="BR50" s="3123"/>
      <c r="BS50" s="3123"/>
      <c r="BT50" s="3123"/>
      <c r="BU50" s="3123"/>
      <c r="BV50" s="3123"/>
      <c r="BW50" s="3123"/>
    </row>
    <row r="51" spans="1:75" ht="27" customHeight="1" thickBot="1">
      <c r="A51" s="5469" t="s">
        <v>318</v>
      </c>
      <c r="B51" s="5470"/>
      <c r="C51" s="5470"/>
      <c r="D51" s="5470"/>
      <c r="E51" s="5470"/>
      <c r="F51" s="5470"/>
      <c r="G51" s="5470"/>
      <c r="H51" s="5470"/>
      <c r="I51" s="5470"/>
      <c r="J51" s="5470"/>
      <c r="K51" s="5470"/>
      <c r="L51" s="5470"/>
      <c r="M51" s="5470"/>
      <c r="N51" s="5470"/>
      <c r="O51" s="5469"/>
      <c r="P51" s="5469"/>
      <c r="Q51" s="5469"/>
      <c r="R51" s="5469"/>
      <c r="S51" s="5469"/>
      <c r="T51" s="5469"/>
      <c r="U51" s="5469"/>
      <c r="V51" s="5469"/>
      <c r="W51" s="5469"/>
      <c r="X51" s="5469"/>
      <c r="Y51" s="5469"/>
      <c r="Z51" s="5469"/>
      <c r="AA51" s="5469"/>
      <c r="AB51" s="5469"/>
      <c r="AC51" s="5469"/>
      <c r="AD51" s="5469"/>
      <c r="AE51" s="5469"/>
      <c r="AF51" s="5469"/>
      <c r="AG51" s="5469"/>
      <c r="AH51" s="5469"/>
      <c r="AI51" s="5469"/>
      <c r="AJ51" s="5469"/>
      <c r="AK51" s="5469"/>
      <c r="AL51" s="5469"/>
      <c r="AM51" s="5469"/>
      <c r="AN51" s="2933"/>
      <c r="AO51" s="2933"/>
      <c r="AP51" s="2933"/>
      <c r="AQ51" s="2933"/>
      <c r="AR51" s="3145">
        <f>AR49/AC49</f>
        <v>1.0752055282313095</v>
      </c>
      <c r="AS51" s="3146"/>
      <c r="AT51" s="3146"/>
      <c r="AU51" s="3146"/>
      <c r="AV51" s="3146"/>
      <c r="AW51" s="3146"/>
      <c r="AX51" s="3123"/>
      <c r="AY51" s="3123"/>
      <c r="AZ51" s="3123"/>
      <c r="BA51" s="3123"/>
      <c r="BB51" s="3123"/>
      <c r="BC51" s="3123"/>
      <c r="BD51" s="3123"/>
      <c r="BE51" s="3123"/>
      <c r="BF51" s="3123"/>
      <c r="BG51" s="3123"/>
      <c r="BH51" s="3123"/>
      <c r="BI51" s="3123"/>
      <c r="BJ51" s="3123"/>
      <c r="BK51" s="3123"/>
      <c r="BL51" s="3700">
        <f>SUM(BM51:BN51)</f>
        <v>25087.559747911368</v>
      </c>
      <c r="BM51" s="3700">
        <f>SUM(вода!BY117)</f>
        <v>10405.569747911368</v>
      </c>
      <c r="BN51" s="3884">
        <f>SUM(стоки!BU46)</f>
        <v>14681.99</v>
      </c>
      <c r="BO51" s="3123"/>
      <c r="BP51" s="3123"/>
      <c r="BQ51" s="3123"/>
      <c r="BR51" s="3123"/>
      <c r="BS51" s="3123"/>
      <c r="BT51" s="3123"/>
      <c r="BU51" s="3123"/>
      <c r="BV51" s="3123"/>
      <c r="BW51" s="3123"/>
    </row>
    <row r="52" spans="1:75" ht="38.25" customHeight="1">
      <c r="A52" s="5455" t="s">
        <v>319</v>
      </c>
      <c r="B52" s="5440">
        <v>2008</v>
      </c>
      <c r="C52" s="5458"/>
      <c r="D52" s="5439" t="s">
        <v>67</v>
      </c>
      <c r="E52" s="5458"/>
      <c r="F52" s="636" t="s">
        <v>67</v>
      </c>
      <c r="G52" s="5474" t="s">
        <v>95</v>
      </c>
      <c r="H52" s="5474"/>
      <c r="I52" s="5419" t="s">
        <v>303</v>
      </c>
      <c r="J52" s="5420"/>
      <c r="K52" s="5420"/>
      <c r="L52" s="5420"/>
      <c r="M52" s="5420"/>
      <c r="N52" s="5420"/>
      <c r="O52" s="5427" t="str">
        <f>N4</f>
        <v>2013 год</v>
      </c>
      <c r="P52" s="5428"/>
      <c r="Q52" s="5428"/>
      <c r="R52" s="5428"/>
      <c r="S52" s="5428"/>
      <c r="T52" s="5428"/>
      <c r="U52" s="5428"/>
      <c r="V52" s="5428"/>
      <c r="W52" s="5428"/>
      <c r="X52" s="5429"/>
      <c r="Y52" s="5481" t="s">
        <v>238</v>
      </c>
      <c r="Z52" s="5482"/>
      <c r="AA52" s="5482"/>
      <c r="AB52" s="5482"/>
      <c r="AC52" s="5482"/>
      <c r="AD52" s="4580"/>
      <c r="AE52" s="5383" t="s">
        <v>380</v>
      </c>
      <c r="AF52" s="5384"/>
      <c r="AG52" s="5384"/>
      <c r="AH52" s="5385"/>
      <c r="AI52" s="5430" t="s">
        <v>660</v>
      </c>
      <c r="AJ52" s="5431"/>
      <c r="AK52" s="5431"/>
      <c r="AL52" s="5431"/>
      <c r="AM52" s="5431"/>
      <c r="AN52" s="5431"/>
      <c r="AO52" s="5431"/>
      <c r="AP52" s="5432"/>
      <c r="AQ52" s="5452" t="s">
        <v>912</v>
      </c>
      <c r="AR52" s="5453"/>
      <c r="AS52" s="5453"/>
      <c r="AT52" s="5453"/>
      <c r="AU52" s="4916"/>
      <c r="AV52" s="3146"/>
      <c r="AW52" s="3146"/>
      <c r="AX52" s="3123"/>
      <c r="AY52" s="3123"/>
      <c r="AZ52" s="3123"/>
      <c r="BA52" s="3123"/>
      <c r="BB52" s="3123"/>
      <c r="BC52" s="3123"/>
      <c r="BD52" s="3123"/>
      <c r="BE52" s="3123"/>
      <c r="BF52" s="3123"/>
      <c r="BG52" s="3123"/>
      <c r="BH52" s="3123"/>
      <c r="BI52" s="3123"/>
      <c r="BJ52" s="3123"/>
      <c r="BK52" s="3123"/>
      <c r="BL52" s="3123"/>
      <c r="BM52" s="3123"/>
      <c r="BN52" s="3123"/>
      <c r="BO52" s="3123"/>
      <c r="BP52" s="3123"/>
      <c r="BQ52" s="3123"/>
      <c r="BR52" s="3123"/>
      <c r="BS52" s="3123"/>
      <c r="BT52" s="3123"/>
      <c r="BU52" s="3123"/>
      <c r="BV52" s="3123"/>
      <c r="BW52" s="3123"/>
    </row>
    <row r="53" spans="1:75" ht="12.75" customHeight="1">
      <c r="A53" s="5456"/>
      <c r="B53" s="5459"/>
      <c r="C53" s="5460"/>
      <c r="D53" s="5441"/>
      <c r="E53" s="5461"/>
      <c r="F53" s="637"/>
      <c r="G53" s="5474"/>
      <c r="H53" s="5474"/>
      <c r="I53" s="5416" t="s">
        <v>304</v>
      </c>
      <c r="J53" s="5413" t="s">
        <v>134</v>
      </c>
      <c r="K53" s="5413" t="s">
        <v>320</v>
      </c>
      <c r="L53" s="5439" t="s">
        <v>305</v>
      </c>
      <c r="M53" s="5440"/>
      <c r="N53" s="5440"/>
      <c r="O53" s="5386" t="s">
        <v>304</v>
      </c>
      <c r="P53" s="5471"/>
      <c r="Q53" s="5422" t="s">
        <v>306</v>
      </c>
      <c r="R53" s="5422"/>
      <c r="S53" s="5422" t="s">
        <v>321</v>
      </c>
      <c r="T53" s="5422"/>
      <c r="U53" s="5440" t="s">
        <v>308</v>
      </c>
      <c r="V53" s="5440"/>
      <c r="W53" s="5423" t="s">
        <v>163</v>
      </c>
      <c r="X53" s="5424"/>
      <c r="Y53" s="5421" t="s">
        <v>304</v>
      </c>
      <c r="Z53" s="5422"/>
      <c r="AA53" s="5389" t="s">
        <v>433</v>
      </c>
      <c r="AB53" s="5387"/>
      <c r="AC53" s="5389" t="s">
        <v>658</v>
      </c>
      <c r="AD53" s="5390"/>
      <c r="AE53" s="5386" t="s">
        <v>283</v>
      </c>
      <c r="AF53" s="5387"/>
      <c r="AG53" s="5389" t="s">
        <v>393</v>
      </c>
      <c r="AH53" s="5390"/>
      <c r="AI53" s="5402" t="s">
        <v>283</v>
      </c>
      <c r="AJ53" s="5403"/>
      <c r="AK53" s="5403"/>
      <c r="AL53" s="5403"/>
      <c r="AM53" s="5404"/>
      <c r="AN53" s="5433" t="s">
        <v>393</v>
      </c>
      <c r="AO53" s="5433"/>
      <c r="AP53" s="5434"/>
      <c r="AQ53" s="5514" t="s">
        <v>283</v>
      </c>
      <c r="AR53" s="5515"/>
      <c r="AS53" s="5537" t="s">
        <v>393</v>
      </c>
      <c r="AT53" s="5538"/>
      <c r="AU53" s="5539"/>
      <c r="AV53" s="3146"/>
      <c r="AW53" s="3146"/>
      <c r="AX53" s="3123"/>
      <c r="AY53" s="3123"/>
      <c r="AZ53" s="3123"/>
      <c r="BA53" s="3123"/>
      <c r="BB53" s="3123"/>
      <c r="BC53" s="3123"/>
      <c r="BD53" s="3123"/>
      <c r="BE53" s="3123"/>
      <c r="BF53" s="3123"/>
      <c r="BG53" s="3123"/>
      <c r="BH53" s="3123"/>
      <c r="BI53" s="3123"/>
      <c r="BJ53" s="3123"/>
      <c r="BK53" s="3123"/>
      <c r="BL53" s="3123"/>
      <c r="BM53" s="3123"/>
      <c r="BN53" s="3123"/>
      <c r="BO53" s="3123"/>
      <c r="BP53" s="3123"/>
      <c r="BQ53" s="3123"/>
      <c r="BR53" s="3123"/>
      <c r="BS53" s="3123"/>
      <c r="BT53" s="3123"/>
      <c r="BU53" s="3123"/>
      <c r="BV53" s="3123"/>
      <c r="BW53" s="3123"/>
    </row>
    <row r="54" spans="1:75" ht="15.75" customHeight="1">
      <c r="A54" s="5456"/>
      <c r="B54" s="731" t="s">
        <v>44</v>
      </c>
      <c r="C54" s="2935" t="s">
        <v>45</v>
      </c>
      <c r="D54" s="5462"/>
      <c r="E54" s="5460"/>
      <c r="F54" s="2929" t="s">
        <v>44</v>
      </c>
      <c r="G54" s="5474"/>
      <c r="H54" s="5474"/>
      <c r="I54" s="5417"/>
      <c r="J54" s="5414"/>
      <c r="K54" s="5414"/>
      <c r="L54" s="5441"/>
      <c r="M54" s="5442"/>
      <c r="N54" s="5442"/>
      <c r="O54" s="5472"/>
      <c r="P54" s="5473"/>
      <c r="Q54" s="5422"/>
      <c r="R54" s="5422"/>
      <c r="S54" s="5422"/>
      <c r="T54" s="5422"/>
      <c r="U54" s="5459"/>
      <c r="V54" s="5459"/>
      <c r="W54" s="5425"/>
      <c r="X54" s="5426"/>
      <c r="Y54" s="5421"/>
      <c r="Z54" s="5422"/>
      <c r="AA54" s="5391"/>
      <c r="AB54" s="5388"/>
      <c r="AC54" s="5391"/>
      <c r="AD54" s="4504"/>
      <c r="AE54" s="4502"/>
      <c r="AF54" s="5388"/>
      <c r="AG54" s="5391"/>
      <c r="AH54" s="4504"/>
      <c r="AI54" s="5405"/>
      <c r="AJ54" s="5406"/>
      <c r="AK54" s="5406"/>
      <c r="AL54" s="5406"/>
      <c r="AM54" s="5393"/>
      <c r="AN54" s="5433"/>
      <c r="AO54" s="5433"/>
      <c r="AP54" s="5434"/>
      <c r="AQ54" s="5516"/>
      <c r="AR54" s="5517"/>
      <c r="AS54" s="5540"/>
      <c r="AT54" s="5541"/>
      <c r="AU54" s="5542"/>
      <c r="AV54" s="3146"/>
      <c r="AW54" s="3146"/>
      <c r="AX54" s="3123"/>
      <c r="AY54" s="3123"/>
      <c r="AZ54" s="3123"/>
      <c r="BA54" s="3123"/>
      <c r="BB54" s="3123"/>
      <c r="BC54" s="3123"/>
      <c r="BD54" s="3123"/>
      <c r="BE54" s="3123"/>
      <c r="BF54" s="3123"/>
      <c r="BG54" s="3123"/>
      <c r="BH54" s="3123"/>
      <c r="BI54" s="3123"/>
      <c r="BJ54" s="3123"/>
      <c r="BK54" s="3123"/>
      <c r="BL54" s="3123"/>
      <c r="BM54" s="3123"/>
      <c r="BN54" s="3123"/>
      <c r="BO54" s="3123"/>
      <c r="BP54" s="3123"/>
      <c r="BQ54" s="3123"/>
      <c r="BR54" s="3123"/>
      <c r="BS54" s="3123"/>
      <c r="BT54" s="3123"/>
      <c r="BU54" s="3123"/>
      <c r="BV54" s="3123"/>
      <c r="BW54" s="3123"/>
    </row>
    <row r="55" spans="1:75" ht="12.75" customHeight="1">
      <c r="A55" s="5457"/>
      <c r="B55" s="731"/>
      <c r="C55" s="2935"/>
      <c r="D55" s="2932"/>
      <c r="E55" s="2931"/>
      <c r="F55" s="2929"/>
      <c r="G55" s="2935"/>
      <c r="H55" s="2935"/>
      <c r="I55" s="5418"/>
      <c r="J55" s="5415"/>
      <c r="K55" s="5415"/>
      <c r="L55" s="2935" t="s">
        <v>44</v>
      </c>
      <c r="M55" s="638"/>
      <c r="N55" s="735" t="s">
        <v>45</v>
      </c>
      <c r="O55" s="2936" t="s">
        <v>44</v>
      </c>
      <c r="P55" s="2934" t="s">
        <v>45</v>
      </c>
      <c r="Q55" s="2934" t="s">
        <v>44</v>
      </c>
      <c r="R55" s="2934" t="s">
        <v>45</v>
      </c>
      <c r="S55" s="2934"/>
      <c r="T55" s="2934"/>
      <c r="U55" s="2934" t="s">
        <v>44</v>
      </c>
      <c r="V55" s="2930" t="s">
        <v>45</v>
      </c>
      <c r="W55" s="2934" t="s">
        <v>44</v>
      </c>
      <c r="X55" s="736" t="s">
        <v>45</v>
      </c>
      <c r="Y55" s="732" t="s">
        <v>44</v>
      </c>
      <c r="Z55" s="713" t="s">
        <v>45</v>
      </c>
      <c r="AA55" s="713" t="s">
        <v>44</v>
      </c>
      <c r="AB55" s="713" t="s">
        <v>45</v>
      </c>
      <c r="AC55" s="713" t="s">
        <v>44</v>
      </c>
      <c r="AD55" s="733" t="s">
        <v>45</v>
      </c>
      <c r="AE55" s="732" t="s">
        <v>44</v>
      </c>
      <c r="AF55" s="713" t="s">
        <v>45</v>
      </c>
      <c r="AG55" s="713" t="s">
        <v>44</v>
      </c>
      <c r="AH55" s="733" t="s">
        <v>45</v>
      </c>
      <c r="AI55" s="2157" t="s">
        <v>44</v>
      </c>
      <c r="AJ55" s="2717"/>
      <c r="AK55" s="2717"/>
      <c r="AL55" s="2717"/>
      <c r="AM55" s="2154" t="s">
        <v>45</v>
      </c>
      <c r="AN55" s="2154" t="s">
        <v>1472</v>
      </c>
      <c r="AO55" s="2154" t="s">
        <v>44</v>
      </c>
      <c r="AP55" s="2158" t="s">
        <v>45</v>
      </c>
      <c r="AQ55" s="3885" t="s">
        <v>44</v>
      </c>
      <c r="AR55" s="3886" t="s">
        <v>45</v>
      </c>
      <c r="AS55" s="3886" t="s">
        <v>1472</v>
      </c>
      <c r="AT55" s="3886" t="s">
        <v>44</v>
      </c>
      <c r="AU55" s="3887" t="s">
        <v>45</v>
      </c>
      <c r="AV55" s="188"/>
      <c r="AW55" s="188"/>
      <c r="AX55" s="3123"/>
      <c r="AY55" s="3123"/>
      <c r="AZ55" s="3123"/>
      <c r="BA55" s="3123"/>
      <c r="BB55" s="3123"/>
      <c r="BC55" s="3123"/>
      <c r="BD55" s="3123"/>
      <c r="BE55" s="3123"/>
      <c r="BF55" s="3123"/>
      <c r="BG55" s="3123"/>
      <c r="BH55" s="3123"/>
      <c r="BI55" s="3123"/>
      <c r="BJ55" s="3123"/>
      <c r="BK55" s="3123"/>
      <c r="BL55" s="3123"/>
      <c r="BM55" s="3123"/>
      <c r="BN55" s="3123"/>
      <c r="BO55" s="3123"/>
      <c r="BP55" s="3123"/>
      <c r="BQ55" s="3123"/>
      <c r="BR55" s="3123"/>
      <c r="BS55" s="3123"/>
      <c r="BT55" s="3123"/>
      <c r="BU55" s="3123"/>
      <c r="BV55" s="3123"/>
      <c r="BW55" s="3123"/>
    </row>
    <row r="56" spans="1:75" ht="15">
      <c r="A56" s="748" t="s">
        <v>46</v>
      </c>
      <c r="B56" s="721">
        <f>C56/C60*100</f>
        <v>54.85172394199018</v>
      </c>
      <c r="C56" s="183">
        <v>8687.7999999999993</v>
      </c>
      <c r="D56" s="183">
        <v>55.3</v>
      </c>
      <c r="E56" s="187">
        <v>9716.4</v>
      </c>
      <c r="F56" s="187">
        <v>56.36</v>
      </c>
      <c r="G56" s="187">
        <v>10985.6</v>
      </c>
      <c r="H56" s="183">
        <f>G56/G60*100</f>
        <v>57.791572413067485</v>
      </c>
      <c r="I56" s="187">
        <v>10819.5</v>
      </c>
      <c r="J56" s="187">
        <v>8579.1</v>
      </c>
      <c r="K56" s="183"/>
      <c r="L56" s="641">
        <f>N56/N60</f>
        <v>0.57561885222326603</v>
      </c>
      <c r="M56" s="187"/>
      <c r="N56" s="718">
        <v>12008.1</v>
      </c>
      <c r="O56" s="768">
        <v>58</v>
      </c>
      <c r="P56" s="712">
        <f>P60*O56/100</f>
        <v>11767.842163354666</v>
      </c>
      <c r="Q56" s="769">
        <f>R56/R60</f>
        <v>0.57097906730259662</v>
      </c>
      <c r="R56" s="712">
        <v>6895.6</v>
      </c>
      <c r="S56" s="712"/>
      <c r="T56" s="712"/>
      <c r="U56" s="737">
        <f>V56/V60</f>
        <v>0.57999859604497617</v>
      </c>
      <c r="V56" s="718">
        <v>14046</v>
      </c>
      <c r="W56" s="770">
        <f>X56/X60</f>
        <v>0.56516134296087783</v>
      </c>
      <c r="X56" s="730">
        <v>13853.8</v>
      </c>
      <c r="Y56" s="771">
        <f>Q56</f>
        <v>0.57097906730259662</v>
      </c>
      <c r="Z56" s="712">
        <f>Y56*Z60</f>
        <v>12028.195370042029</v>
      </c>
      <c r="AA56" s="772">
        <f>SUM(AB56/Y49)</f>
        <v>0.58919301776456701</v>
      </c>
      <c r="AB56" s="712">
        <v>6979.28</v>
      </c>
      <c r="AC56" s="747">
        <f>SUM(AD56/AD60)</f>
        <v>0.59696430199661255</v>
      </c>
      <c r="AD56" s="734">
        <v>14207.04</v>
      </c>
      <c r="AE56" s="791">
        <f>AF56/AF60</f>
        <v>0.5919991804620871</v>
      </c>
      <c r="AF56" s="712">
        <v>14678.3</v>
      </c>
      <c r="AG56" s="770">
        <f>AE56</f>
        <v>0.5919991804620871</v>
      </c>
      <c r="AH56" s="730">
        <f>SUM(AD49)</f>
        <v>13073.01213648671</v>
      </c>
      <c r="AI56" s="2159">
        <v>0.59599999999999997</v>
      </c>
      <c r="AJ56" s="2718"/>
      <c r="AK56" s="2718"/>
      <c r="AL56" s="2718"/>
      <c r="AM56" s="2155">
        <f>SUM(AN49)</f>
        <v>16411.197163297664</v>
      </c>
      <c r="AN56" s="2155">
        <f>ЗП!BS24</f>
        <v>47999.930000000008</v>
      </c>
      <c r="AO56" s="2160">
        <f>AN56/AN60</f>
        <v>0.54415498291281705</v>
      </c>
      <c r="AP56" s="2161">
        <f>AO56*AR49</f>
        <v>12920.436570139205</v>
      </c>
      <c r="AQ56" s="3888">
        <v>0.59</v>
      </c>
      <c r="AR56" s="3889">
        <f>SUM(BH49)</f>
        <v>16008.32334611606</v>
      </c>
      <c r="AS56" s="3889">
        <f>SUM(ЗП!CR24)</f>
        <v>50325.742371529755</v>
      </c>
      <c r="AT56" s="3890">
        <f>AS56/AS60</f>
        <v>0.5952925063149539</v>
      </c>
      <c r="AU56" s="3891">
        <f>SUM(AT56*BL51)</f>
        <v>14934.436319660312</v>
      </c>
      <c r="AV56" s="773"/>
      <c r="AW56" s="773"/>
      <c r="AX56" s="3123"/>
      <c r="AY56" s="3123"/>
      <c r="AZ56" s="3123"/>
      <c r="BA56" s="3123"/>
      <c r="BB56" s="3123"/>
      <c r="BC56" s="3123"/>
      <c r="BD56" s="3123"/>
      <c r="BE56" s="3123"/>
      <c r="BF56" s="3123"/>
      <c r="BG56" s="3123"/>
      <c r="BH56" s="3123"/>
      <c r="BI56" s="3123"/>
      <c r="BJ56" s="3123"/>
      <c r="BK56" s="3123"/>
      <c r="BL56" s="3123"/>
      <c r="BM56" s="3123"/>
      <c r="BN56" s="3123"/>
      <c r="BO56" s="3123"/>
      <c r="BP56" s="3123"/>
      <c r="BQ56" s="3123"/>
      <c r="BR56" s="3123"/>
      <c r="BS56" s="3123"/>
      <c r="BT56" s="3123"/>
      <c r="BU56" s="3123"/>
      <c r="BV56" s="3123"/>
      <c r="BW56" s="3123"/>
    </row>
    <row r="57" spans="1:75" ht="15">
      <c r="A57" s="748" t="s">
        <v>47</v>
      </c>
      <c r="B57" s="721">
        <f>C57/C60*100</f>
        <v>41.456685207750631</v>
      </c>
      <c r="C57" s="183">
        <v>6566.2</v>
      </c>
      <c r="D57" s="183">
        <v>41.2</v>
      </c>
      <c r="E57" s="187">
        <v>7171.8</v>
      </c>
      <c r="F57" s="187">
        <v>41.6</v>
      </c>
      <c r="G57" s="187">
        <v>7614.1</v>
      </c>
      <c r="H57" s="183">
        <f>G57/G60*100</f>
        <v>40.055236993003305</v>
      </c>
      <c r="I57" s="187">
        <v>7986</v>
      </c>
      <c r="J57" s="187">
        <v>6062.9</v>
      </c>
      <c r="K57" s="183"/>
      <c r="L57" s="774">
        <f>N57/N60</f>
        <v>0.40499587751423688</v>
      </c>
      <c r="M57" s="187"/>
      <c r="N57" s="718">
        <v>8448.7000000000007</v>
      </c>
      <c r="O57" s="768">
        <v>40</v>
      </c>
      <c r="P57" s="712">
        <f>P60*O57/100</f>
        <v>8115.7532161066656</v>
      </c>
      <c r="Q57" s="769">
        <f>R57/R60</f>
        <v>0.40555445151033376</v>
      </c>
      <c r="R57" s="712">
        <v>4897.8</v>
      </c>
      <c r="S57" s="712"/>
      <c r="T57" s="712"/>
      <c r="U57" s="737">
        <f>V57/V60</f>
        <v>0.39999917414410358</v>
      </c>
      <c r="V57" s="718">
        <v>9686.9</v>
      </c>
      <c r="W57" s="770">
        <f>X57/X60</f>
        <v>0.40896667074613469</v>
      </c>
      <c r="X57" s="730">
        <v>10025</v>
      </c>
      <c r="Y57" s="771">
        <f>Q57</f>
        <v>0.40555445151033376</v>
      </c>
      <c r="Z57" s="712">
        <f>Y57*Z60</f>
        <v>8543.374801814467</v>
      </c>
      <c r="AA57" s="772">
        <f>SUM(AB57/Y49)</f>
        <v>0.40432941144688828</v>
      </c>
      <c r="AB57" s="712">
        <v>4789.4799999999996</v>
      </c>
      <c r="AC57" s="747">
        <f>SUM(AD57/AD60)</f>
        <v>0.40303569800338762</v>
      </c>
      <c r="AD57" s="734">
        <v>9591.77</v>
      </c>
      <c r="AE57" s="791">
        <f>AF57/AF60</f>
        <v>0.40000064530544321</v>
      </c>
      <c r="AF57" s="712">
        <v>9917.7999999999993</v>
      </c>
      <c r="AG57" s="770">
        <f>AE57</f>
        <v>0.40000064530544321</v>
      </c>
      <c r="AH57" s="730">
        <f>SUM(AE49)</f>
        <v>8833.3841337506801</v>
      </c>
      <c r="AI57" s="2159">
        <v>0.40400000000000003</v>
      </c>
      <c r="AJ57" s="2718"/>
      <c r="AK57" s="2718"/>
      <c r="AL57" s="2718"/>
      <c r="AM57" s="2155">
        <f>SUM(AO49)</f>
        <v>11124.368546933318</v>
      </c>
      <c r="AN57" s="2155">
        <f>ЗП!BS29</f>
        <v>39734.75</v>
      </c>
      <c r="AO57" s="2160">
        <f>AN57/AN60</f>
        <v>0.45045611956715464</v>
      </c>
      <c r="AP57" s="2161">
        <f>AO57*AR49</f>
        <v>10695.647202096725</v>
      </c>
      <c r="AQ57" s="3888">
        <v>0.41</v>
      </c>
      <c r="AR57" s="3889">
        <f>SUM(BI49)</f>
        <v>11124.428087978959</v>
      </c>
      <c r="AS57" s="3889">
        <f>SUM(ЗП!CR29)</f>
        <v>34213.777003679221</v>
      </c>
      <c r="AT57" s="3890">
        <f>AS57/AS60</f>
        <v>0.40470749368504616</v>
      </c>
      <c r="AU57" s="3891">
        <f>SUM(AT57*BL51)</f>
        <v>10153.123428251058</v>
      </c>
      <c r="AV57" s="773"/>
      <c r="AW57" s="773"/>
      <c r="AX57" s="3123"/>
      <c r="AY57" s="3123"/>
      <c r="AZ57" s="3123"/>
      <c r="BA57" s="3123"/>
      <c r="BB57" s="3123"/>
      <c r="BC57" s="3123"/>
      <c r="BD57" s="3123"/>
      <c r="BE57" s="3123"/>
      <c r="BF57" s="3123"/>
      <c r="BG57" s="3123"/>
      <c r="BH57" s="3123"/>
      <c r="BI57" s="3123"/>
      <c r="BJ57" s="3123"/>
      <c r="BK57" s="3123"/>
      <c r="BL57" s="3123"/>
      <c r="BM57" s="3123"/>
      <c r="BN57" s="3123"/>
      <c r="BO57" s="3123"/>
      <c r="BP57" s="3123"/>
      <c r="BQ57" s="3123"/>
      <c r="BR57" s="3123"/>
      <c r="BS57" s="3123"/>
      <c r="BT57" s="3123"/>
      <c r="BU57" s="3123"/>
      <c r="BV57" s="3123"/>
      <c r="BW57" s="3123"/>
    </row>
    <row r="58" spans="1:75" s="189" customFormat="1" ht="15">
      <c r="A58" s="775" t="s">
        <v>48</v>
      </c>
      <c r="B58" s="738">
        <f>C58/C60*100</f>
        <v>1.9540745136911488</v>
      </c>
      <c r="C58" s="639">
        <v>309.5</v>
      </c>
      <c r="D58" s="640">
        <v>0.9</v>
      </c>
      <c r="E58" s="635">
        <v>351.7</v>
      </c>
      <c r="F58" s="635">
        <v>2.04</v>
      </c>
      <c r="G58" s="635">
        <v>405.9</v>
      </c>
      <c r="H58" s="640">
        <f>G58/G60*100</f>
        <v>2.1353043295281178</v>
      </c>
      <c r="I58" s="187">
        <v>299.53499999999997</v>
      </c>
      <c r="J58" s="635">
        <v>266.10000000000002</v>
      </c>
      <c r="K58" s="640"/>
      <c r="L58" s="776">
        <f>N58/N60</f>
        <v>1.9385270262496878E-2</v>
      </c>
      <c r="M58" s="635"/>
      <c r="N58" s="718">
        <v>404.4</v>
      </c>
      <c r="O58" s="726">
        <v>2</v>
      </c>
      <c r="P58" s="712">
        <f>O58*P60/100</f>
        <v>405.7876608053333</v>
      </c>
      <c r="Q58" s="772">
        <f>R58/R60</f>
        <v>1.9599562798092204E-2</v>
      </c>
      <c r="R58" s="712">
        <v>236.7</v>
      </c>
      <c r="S58" s="737">
        <v>0.02</v>
      </c>
      <c r="T58" s="712">
        <v>357.5</v>
      </c>
      <c r="U58" s="712">
        <f>V58/V60</f>
        <v>1.999810053143827E-2</v>
      </c>
      <c r="V58" s="712">
        <v>484.3</v>
      </c>
      <c r="W58" s="770">
        <f>X58/X60</f>
        <v>2.0062823807775465E-2</v>
      </c>
      <c r="X58" s="730">
        <v>491.8</v>
      </c>
      <c r="Y58" s="771">
        <f>S58</f>
        <v>0.02</v>
      </c>
      <c r="Z58" s="712">
        <f>Y58*Z60</f>
        <v>421.31826047022332</v>
      </c>
      <c r="AA58" s="772"/>
      <c r="AB58" s="712"/>
      <c r="AC58" s="747"/>
      <c r="AD58" s="734"/>
      <c r="AE58" s="791">
        <v>0</v>
      </c>
      <c r="AF58" s="712">
        <v>0</v>
      </c>
      <c r="AG58" s="770">
        <f>AC58</f>
        <v>0</v>
      </c>
      <c r="AH58" s="730">
        <v>0</v>
      </c>
      <c r="AI58" s="2159">
        <v>0</v>
      </c>
      <c r="AJ58" s="2718"/>
      <c r="AK58" s="2718"/>
      <c r="AL58" s="2718"/>
      <c r="AM58" s="2155">
        <v>0</v>
      </c>
      <c r="AN58" s="2155">
        <v>0</v>
      </c>
      <c r="AO58" s="2160">
        <f>AG58</f>
        <v>0</v>
      </c>
      <c r="AP58" s="2161"/>
      <c r="AQ58" s="3888"/>
      <c r="AR58" s="3889"/>
      <c r="AS58" s="3889">
        <v>0</v>
      </c>
      <c r="AT58" s="3890">
        <f>AL58</f>
        <v>0</v>
      </c>
      <c r="AU58" s="3891"/>
      <c r="AV58" s="777"/>
      <c r="AW58" s="777"/>
      <c r="AX58" s="3147"/>
      <c r="AY58" s="3147"/>
      <c r="AZ58" s="3147"/>
      <c r="BA58" s="3147"/>
      <c r="BB58" s="3147"/>
      <c r="BC58" s="3147"/>
      <c r="BD58" s="3147"/>
      <c r="BE58" s="3147"/>
      <c r="BF58" s="3147"/>
      <c r="BG58" s="3147"/>
      <c r="BH58" s="3147"/>
      <c r="BI58" s="3147"/>
      <c r="BJ58" s="3147"/>
      <c r="BK58" s="3147"/>
      <c r="BL58" s="3147"/>
      <c r="BM58" s="3147"/>
      <c r="BN58" s="3147"/>
      <c r="BO58" s="3147"/>
      <c r="BP58" s="3147"/>
      <c r="BQ58" s="3147"/>
      <c r="BR58" s="3147"/>
      <c r="BS58" s="3147"/>
      <c r="BT58" s="3147"/>
      <c r="BU58" s="3147"/>
      <c r="BV58" s="3147"/>
      <c r="BW58" s="3147"/>
    </row>
    <row r="59" spans="1:75" ht="15">
      <c r="A59" s="748" t="s">
        <v>80</v>
      </c>
      <c r="B59" s="739">
        <f>C59/C60*100</f>
        <v>1.7375163365680262</v>
      </c>
      <c r="C59" s="642">
        <v>275.2</v>
      </c>
      <c r="D59" s="183">
        <v>2.6</v>
      </c>
      <c r="E59" s="187"/>
      <c r="F59" s="187"/>
      <c r="G59" s="187">
        <v>3.4</v>
      </c>
      <c r="H59" s="642">
        <f>G59/G60*100</f>
        <v>1.788626440107317E-2</v>
      </c>
      <c r="I59" s="187"/>
      <c r="J59" s="778"/>
      <c r="K59" s="2935"/>
      <c r="L59" s="2935"/>
      <c r="M59" s="2935"/>
      <c r="N59" s="779"/>
      <c r="O59" s="780"/>
      <c r="P59" s="781"/>
      <c r="Q59" s="772">
        <f>R59/R60</f>
        <v>3.866918388977212E-3</v>
      </c>
      <c r="R59" s="712">
        <v>46.7</v>
      </c>
      <c r="S59" s="712"/>
      <c r="T59" s="712"/>
      <c r="U59" s="781"/>
      <c r="V59" s="718"/>
      <c r="W59" s="770">
        <f>X59/X60</f>
        <v>5.8091624852119285E-3</v>
      </c>
      <c r="X59" s="730">
        <v>142.4</v>
      </c>
      <c r="Y59" s="771">
        <f>Q59</f>
        <v>3.866918388977212E-3</v>
      </c>
      <c r="Z59" s="712">
        <f>Y59*Z60</f>
        <v>81.460166451209872</v>
      </c>
      <c r="AA59" s="772">
        <f>SUM(AB59/Y49)</f>
        <v>6.4801033980021105E-3</v>
      </c>
      <c r="AB59" s="712">
        <v>76.760000000000005</v>
      </c>
      <c r="AC59" s="747"/>
      <c r="AD59" s="734"/>
      <c r="AE59" s="791">
        <f>AF59/AF60</f>
        <v>8.0001742324696742E-3</v>
      </c>
      <c r="AF59" s="712">
        <v>198.36</v>
      </c>
      <c r="AG59" s="770">
        <f>AE59</f>
        <v>8.0001742324696742E-3</v>
      </c>
      <c r="AH59" s="730">
        <f>AC49*AG59</f>
        <v>176.66988838026091</v>
      </c>
      <c r="AI59" s="2159">
        <v>0</v>
      </c>
      <c r="AJ59" s="2718"/>
      <c r="AK59" s="2718"/>
      <c r="AL59" s="2718"/>
      <c r="AM59" s="2155">
        <v>0</v>
      </c>
      <c r="AN59" s="2155">
        <f>414.81*1.067*1.074</f>
        <v>475.35483798000001</v>
      </c>
      <c r="AO59" s="2160">
        <f>AN59/AN60</f>
        <v>5.3888975200282949E-3</v>
      </c>
      <c r="AP59" s="2161">
        <f>AO59*AR49</f>
        <v>127.95418727546867</v>
      </c>
      <c r="AQ59" s="3888"/>
      <c r="AR59" s="3889"/>
      <c r="AS59" s="3889">
        <v>0</v>
      </c>
      <c r="AT59" s="3890">
        <f>AS59/AS60</f>
        <v>0</v>
      </c>
      <c r="AU59" s="3891">
        <f>AT59*AW49</f>
        <v>0</v>
      </c>
      <c r="AV59" s="767"/>
      <c r="AW59" s="767"/>
      <c r="AX59" s="3123"/>
      <c r="AY59" s="3123"/>
      <c r="AZ59" s="3123"/>
      <c r="BA59" s="3123"/>
      <c r="BB59" s="3123"/>
      <c r="BC59" s="3123"/>
      <c r="BD59" s="3123"/>
      <c r="BE59" s="3123"/>
      <c r="BF59" s="3123"/>
      <c r="BG59" s="3123"/>
      <c r="BH59" s="3123"/>
      <c r="BI59" s="3123"/>
      <c r="BJ59" s="3123"/>
      <c r="BK59" s="3123"/>
      <c r="BL59" s="3123"/>
      <c r="BM59" s="3123"/>
      <c r="BN59" s="3123"/>
      <c r="BO59" s="3123"/>
      <c r="BP59" s="3123"/>
      <c r="BQ59" s="3123"/>
      <c r="BR59" s="3123"/>
      <c r="BS59" s="3123"/>
      <c r="BT59" s="3123"/>
      <c r="BU59" s="3123"/>
      <c r="BV59" s="3123"/>
      <c r="BW59" s="3123"/>
    </row>
    <row r="60" spans="1:75" ht="15" thickBot="1">
      <c r="A60" s="782" t="s">
        <v>49</v>
      </c>
      <c r="B60" s="740">
        <f t="shared" ref="B60:G60" si="76">SUM(B56:B59)</f>
        <v>99.999999999999986</v>
      </c>
      <c r="C60" s="640">
        <f t="shared" si="76"/>
        <v>15838.7</v>
      </c>
      <c r="D60" s="640">
        <f t="shared" si="76"/>
        <v>100</v>
      </c>
      <c r="E60" s="635">
        <f t="shared" si="76"/>
        <v>17239.900000000001</v>
      </c>
      <c r="F60" s="635">
        <f t="shared" si="76"/>
        <v>100.00000000000001</v>
      </c>
      <c r="G60" s="635">
        <f t="shared" si="76"/>
        <v>19009.000000000004</v>
      </c>
      <c r="H60" s="643"/>
      <c r="I60" s="635">
        <f>SUM(I56:I59)</f>
        <v>19105.035</v>
      </c>
      <c r="J60" s="635">
        <f>SUM(J56:J59)</f>
        <v>14908.1</v>
      </c>
      <c r="K60" s="635">
        <f>SUM(K56:K59)</f>
        <v>0</v>
      </c>
      <c r="L60" s="635"/>
      <c r="M60" s="635">
        <f>SUM(M56:M59)</f>
        <v>0</v>
      </c>
      <c r="N60" s="720">
        <f>SUM(N56:N59)</f>
        <v>20861.200000000004</v>
      </c>
      <c r="O60" s="783"/>
      <c r="P60" s="728">
        <f>N49</f>
        <v>20289.383040266664</v>
      </c>
      <c r="Q60" s="728"/>
      <c r="R60" s="728">
        <f>SUM(R56:R59)</f>
        <v>12076.800000000003</v>
      </c>
      <c r="S60" s="728"/>
      <c r="T60" s="728">
        <f>P49</f>
        <v>18482.569625</v>
      </c>
      <c r="U60" s="728"/>
      <c r="V60" s="784">
        <f>SUM(V56:V59)+0.1</f>
        <v>24217.3</v>
      </c>
      <c r="W60" s="3148">
        <f>SUM(W56:W59)</f>
        <v>0.99999999999999989</v>
      </c>
      <c r="X60" s="785">
        <f>SUM(X56:X59)</f>
        <v>24513</v>
      </c>
      <c r="Y60" s="786"/>
      <c r="Z60" s="728">
        <f>S49</f>
        <v>21065.913023511166</v>
      </c>
      <c r="AA60" s="728"/>
      <c r="AB60" s="728">
        <f>SUM(AB56:AB59)</f>
        <v>11845.519999999999</v>
      </c>
      <c r="AC60" s="787">
        <f>SUM(AC56:AC59)</f>
        <v>1.0000000000000002</v>
      </c>
      <c r="AD60" s="788">
        <f>SUM(AA49)</f>
        <v>23798.809999999998</v>
      </c>
      <c r="AE60" s="792">
        <f>SUM(AE56:AE59)</f>
        <v>1</v>
      </c>
      <c r="AF60" s="728">
        <f>SUM(AF56:AF59)</f>
        <v>24794.46</v>
      </c>
      <c r="AG60" s="728"/>
      <c r="AH60" s="785">
        <f t="shared" ref="AH60:AP60" si="77">SUM(AH56:AH59)</f>
        <v>22083.06615861765</v>
      </c>
      <c r="AI60" s="792">
        <f t="shared" si="77"/>
        <v>1</v>
      </c>
      <c r="AJ60" s="2719"/>
      <c r="AK60" s="2719"/>
      <c r="AL60" s="2719"/>
      <c r="AM60" s="2156">
        <f t="shared" si="77"/>
        <v>27535.565710230981</v>
      </c>
      <c r="AN60" s="2156">
        <f t="shared" si="77"/>
        <v>88210.034837980013</v>
      </c>
      <c r="AO60" s="2162">
        <f t="shared" si="77"/>
        <v>1</v>
      </c>
      <c r="AP60" s="785">
        <f t="shared" si="77"/>
        <v>23744.037959511395</v>
      </c>
      <c r="AQ60" s="3892">
        <f>SUM(AQ56:AQ59)</f>
        <v>1</v>
      </c>
      <c r="AR60" s="3675">
        <f>SUM(AR56:AR59)</f>
        <v>27132.751434095018</v>
      </c>
      <c r="AS60" s="3893">
        <f t="shared" ref="AS60:AU60" si="78">SUM(AS56:AS59)</f>
        <v>84539.519375208969</v>
      </c>
      <c r="AT60" s="3894">
        <f t="shared" si="78"/>
        <v>1</v>
      </c>
      <c r="AU60" s="3895">
        <f t="shared" si="78"/>
        <v>25087.559747911371</v>
      </c>
      <c r="AV60" s="777"/>
      <c r="AW60" s="777"/>
      <c r="AX60" s="3123"/>
      <c r="AY60" s="3123"/>
      <c r="AZ60" s="3123"/>
      <c r="BA60" s="3123"/>
      <c r="BB60" s="3123"/>
      <c r="BC60" s="3123"/>
      <c r="BD60" s="3123"/>
      <c r="BE60" s="3123"/>
      <c r="BF60" s="3123"/>
      <c r="BG60" s="3123"/>
      <c r="BH60" s="3123"/>
      <c r="BI60" s="3123"/>
      <c r="BJ60" s="3123"/>
      <c r="BK60" s="3123"/>
      <c r="BL60" s="3123"/>
      <c r="BM60" s="3123"/>
      <c r="BN60" s="3123"/>
      <c r="BO60" s="3123"/>
      <c r="BP60" s="3123"/>
      <c r="BQ60" s="3123"/>
      <c r="BR60" s="3123"/>
      <c r="BS60" s="3123"/>
      <c r="BT60" s="3123"/>
      <c r="BU60" s="3123"/>
      <c r="BV60" s="3123"/>
      <c r="BW60" s="3123"/>
    </row>
    <row r="61" spans="1:75" s="284" customFormat="1">
      <c r="A61" s="766"/>
      <c r="B61" s="766"/>
      <c r="C61" s="766"/>
      <c r="D61" s="789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6"/>
      <c r="AR61" s="766"/>
      <c r="AS61" s="790"/>
      <c r="AT61" s="790"/>
      <c r="AU61" s="790"/>
      <c r="AV61" s="790"/>
      <c r="AW61" s="790"/>
    </row>
    <row r="62" spans="1:75" s="284" customFormat="1">
      <c r="D62" s="285"/>
      <c r="I62" s="644"/>
      <c r="J62" s="644"/>
      <c r="K62" s="644"/>
      <c r="L62" s="644"/>
      <c r="M62" s="644"/>
      <c r="N62" s="644"/>
      <c r="O62" s="644"/>
      <c r="P62" s="644"/>
      <c r="Q62" s="644"/>
      <c r="R62" s="644"/>
      <c r="S62" s="644"/>
      <c r="T62" s="644"/>
      <c r="U62" s="644"/>
      <c r="V62" s="644"/>
      <c r="W62" s="644"/>
      <c r="X62" s="644"/>
      <c r="Y62" s="644"/>
      <c r="Z62" s="644"/>
      <c r="AA62" s="644"/>
      <c r="AB62" s="644"/>
      <c r="AC62" s="644"/>
      <c r="AD62" s="644"/>
      <c r="AE62" s="644"/>
    </row>
    <row r="63" spans="1:75" s="284" customFormat="1">
      <c r="D63" s="285"/>
      <c r="I63" s="644"/>
      <c r="J63" s="644"/>
      <c r="K63" s="644"/>
      <c r="L63" s="644"/>
      <c r="M63" s="644"/>
      <c r="N63" s="644"/>
      <c r="O63" s="644"/>
      <c r="P63" s="644"/>
      <c r="Q63" s="644"/>
      <c r="R63" s="644"/>
      <c r="S63" s="644"/>
      <c r="T63" s="644"/>
      <c r="U63" s="644"/>
      <c r="V63" s="644"/>
      <c r="W63" s="644"/>
      <c r="X63" s="644"/>
      <c r="Y63" s="644"/>
      <c r="Z63" s="644"/>
      <c r="AA63" s="644"/>
      <c r="AB63" s="644"/>
      <c r="AC63" s="644"/>
      <c r="AD63" s="644"/>
      <c r="AE63" s="644"/>
      <c r="AF63" s="185"/>
      <c r="AG63" s="185"/>
      <c r="AH63" s="185"/>
      <c r="AI63" s="185"/>
      <c r="AJ63" s="185"/>
      <c r="AK63" s="185"/>
      <c r="AL63" s="185"/>
    </row>
    <row r="64" spans="1:75" s="284" customFormat="1">
      <c r="D64" s="285"/>
      <c r="I64" s="644"/>
      <c r="J64" s="644"/>
      <c r="K64" s="644"/>
      <c r="L64" s="644"/>
      <c r="M64" s="644"/>
      <c r="N64" s="644"/>
      <c r="O64" s="644"/>
      <c r="P64" s="644"/>
      <c r="Q64" s="644"/>
      <c r="R64" s="644"/>
      <c r="S64" s="644"/>
      <c r="T64" s="644"/>
      <c r="U64" s="644"/>
      <c r="V64" s="644"/>
      <c r="W64" s="644"/>
      <c r="X64" s="644"/>
      <c r="Y64" s="644"/>
      <c r="Z64" s="644"/>
      <c r="AA64" s="644"/>
      <c r="AB64" s="644"/>
      <c r="AC64" s="644"/>
      <c r="AD64" s="644"/>
      <c r="AE64" s="644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</row>
    <row r="65" spans="9:43" s="284" customFormat="1">
      <c r="I65" s="644"/>
      <c r="J65" s="644"/>
      <c r="K65" s="644"/>
      <c r="L65" s="644"/>
      <c r="M65" s="644"/>
      <c r="N65" s="644"/>
      <c r="O65" s="644"/>
      <c r="P65" s="644"/>
      <c r="Q65" s="644"/>
      <c r="R65" s="644"/>
      <c r="S65" s="644"/>
      <c r="T65" s="644"/>
      <c r="U65" s="644"/>
      <c r="V65" s="644"/>
      <c r="W65" s="644"/>
      <c r="X65" s="644"/>
      <c r="Y65" s="644"/>
      <c r="Z65" s="644"/>
      <c r="AA65" s="644"/>
      <c r="AB65" s="644"/>
      <c r="AC65" s="644"/>
      <c r="AD65" s="644"/>
      <c r="AE65" s="644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</row>
    <row r="66" spans="9:43" s="284" customFormat="1">
      <c r="I66" s="644"/>
      <c r="J66" s="644"/>
      <c r="K66" s="644"/>
      <c r="L66" s="644"/>
      <c r="M66" s="644"/>
      <c r="N66" s="644"/>
      <c r="O66" s="644"/>
      <c r="P66" s="644"/>
      <c r="Q66" s="644"/>
      <c r="R66" s="644"/>
      <c r="S66" s="644"/>
      <c r="T66" s="644"/>
      <c r="U66" s="644"/>
      <c r="V66" s="644"/>
      <c r="W66" s="644"/>
      <c r="X66" s="644"/>
      <c r="Y66" s="644"/>
      <c r="Z66" s="644"/>
      <c r="AA66" s="644"/>
      <c r="AB66" s="644"/>
      <c r="AC66" s="644"/>
      <c r="AD66" s="644"/>
      <c r="AE66" s="644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</row>
  </sheetData>
  <mergeCells count="131">
    <mergeCell ref="AJ6:AJ7"/>
    <mergeCell ref="BB13:BC13"/>
    <mergeCell ref="AZ6:AZ7"/>
    <mergeCell ref="AX6:AX7"/>
    <mergeCell ref="AW4:AW7"/>
    <mergeCell ref="AQ53:AR54"/>
    <mergeCell ref="BG4:BK4"/>
    <mergeCell ref="BG5:BG7"/>
    <mergeCell ref="BH5:BI5"/>
    <mergeCell ref="BJ5:BK5"/>
    <mergeCell ref="BH6:BH7"/>
    <mergeCell ref="BI6:BI7"/>
    <mergeCell ref="BJ6:BJ7"/>
    <mergeCell ref="BK6:BK7"/>
    <mergeCell ref="AX4:BF4"/>
    <mergeCell ref="BD5:BF5"/>
    <mergeCell ref="BD6:BD7"/>
    <mergeCell ref="BE6:BE7"/>
    <mergeCell ref="BF6:BF7"/>
    <mergeCell ref="BE13:BF13"/>
    <mergeCell ref="BA5:BC5"/>
    <mergeCell ref="BA6:BA7"/>
    <mergeCell ref="BB6:BB7"/>
    <mergeCell ref="AS53:AU54"/>
    <mergeCell ref="AY6:AY7"/>
    <mergeCell ref="BC6:BC7"/>
    <mergeCell ref="BL4:BP4"/>
    <mergeCell ref="BQ4:BQ7"/>
    <mergeCell ref="BL5:BL7"/>
    <mergeCell ref="BM5:BN5"/>
    <mergeCell ref="BO5:BP5"/>
    <mergeCell ref="BM6:BM7"/>
    <mergeCell ref="BN6:BN7"/>
    <mergeCell ref="BO6:BO7"/>
    <mergeCell ref="BP6:BP7"/>
    <mergeCell ref="AC5:AC7"/>
    <mergeCell ref="AY13:AZ13"/>
    <mergeCell ref="E4:F4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Y5:Y7"/>
    <mergeCell ref="AB5:AB7"/>
    <mergeCell ref="Z5:Z7"/>
    <mergeCell ref="X6:X7"/>
    <mergeCell ref="AB4:AL4"/>
    <mergeCell ref="AL6:AL7"/>
    <mergeCell ref="AF5:AG5"/>
    <mergeCell ref="AF6:AF7"/>
    <mergeCell ref="AX5:AZ5"/>
    <mergeCell ref="A52:A55"/>
    <mergeCell ref="B52:C53"/>
    <mergeCell ref="D52:E54"/>
    <mergeCell ref="E5:E7"/>
    <mergeCell ref="A4:A7"/>
    <mergeCell ref="B4:B7"/>
    <mergeCell ref="C4:C7"/>
    <mergeCell ref="D4:D7"/>
    <mergeCell ref="A51:AM51"/>
    <mergeCell ref="G5:G7"/>
    <mergeCell ref="O53:P54"/>
    <mergeCell ref="Q53:R54"/>
    <mergeCell ref="S53:T54"/>
    <mergeCell ref="U53:V54"/>
    <mergeCell ref="W5:X5"/>
    <mergeCell ref="U6:U7"/>
    <mergeCell ref="G52:G54"/>
    <mergeCell ref="H52:H54"/>
    <mergeCell ref="AD5:AE5"/>
    <mergeCell ref="R4:AA4"/>
    <mergeCell ref="AA5:AA7"/>
    <mergeCell ref="Y52:AD52"/>
    <mergeCell ref="S5:S7"/>
    <mergeCell ref="AD6:AD7"/>
    <mergeCell ref="AN53:AP54"/>
    <mergeCell ref="AK13:AL13"/>
    <mergeCell ref="AR4:AV4"/>
    <mergeCell ref="L53:N54"/>
    <mergeCell ref="K53:K55"/>
    <mergeCell ref="AA53:AB54"/>
    <mergeCell ref="L5:L7"/>
    <mergeCell ref="M5:M7"/>
    <mergeCell ref="AS5:AT5"/>
    <mergeCell ref="AU5:AV5"/>
    <mergeCell ref="AS6:AS7"/>
    <mergeCell ref="AT6:AT7"/>
    <mergeCell ref="AU6:AU7"/>
    <mergeCell ref="AV6:AV7"/>
    <mergeCell ref="R5:R7"/>
    <mergeCell ref="U5:V5"/>
    <mergeCell ref="V6:V7"/>
    <mergeCell ref="W6:W7"/>
    <mergeCell ref="AH5:AH7"/>
    <mergeCell ref="AI5:AI7"/>
    <mergeCell ref="AJ5:AL5"/>
    <mergeCell ref="AQ52:AU52"/>
    <mergeCell ref="AE6:AE7"/>
    <mergeCell ref="AK6:AK7"/>
    <mergeCell ref="A1:BQ1"/>
    <mergeCell ref="A2:BQ2"/>
    <mergeCell ref="AE52:AH52"/>
    <mergeCell ref="AE53:AF54"/>
    <mergeCell ref="AG53:AH54"/>
    <mergeCell ref="AN5:AO5"/>
    <mergeCell ref="AP5:AQ5"/>
    <mergeCell ref="AN6:AN7"/>
    <mergeCell ref="AO6:AO7"/>
    <mergeCell ref="AP6:AP7"/>
    <mergeCell ref="AQ6:AQ7"/>
    <mergeCell ref="AI53:AM54"/>
    <mergeCell ref="AM4:AQ4"/>
    <mergeCell ref="AM5:AM7"/>
    <mergeCell ref="AR5:AR7"/>
    <mergeCell ref="J53:J55"/>
    <mergeCell ref="AG6:AG7"/>
    <mergeCell ref="I53:I55"/>
    <mergeCell ref="I52:N52"/>
    <mergeCell ref="Y53:Z54"/>
    <mergeCell ref="W53:X54"/>
    <mergeCell ref="O52:X52"/>
    <mergeCell ref="AC53:AD54"/>
    <mergeCell ref="AI52:AP52"/>
  </mergeCells>
  <phoneticPr fontId="0" type="noConversion"/>
  <printOptions horizontalCentered="1" verticalCentered="1"/>
  <pageMargins left="0" right="0" top="0.15748031496062992" bottom="0.11811023622047245" header="0.51181102362204722" footer="0.51181102362204722"/>
  <pageSetup paperSize="9" scale="28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0000"/>
  </sheetPr>
  <dimension ref="A1:V201"/>
  <sheetViews>
    <sheetView zoomScaleNormal="100" workbookViewId="0">
      <selection activeCell="A44" sqref="A44:A45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9" max="9" width="22" bestFit="1" customWidth="1"/>
    <col min="10" max="10" width="9.28515625" bestFit="1" customWidth="1"/>
    <col min="11" max="11" width="10.140625" customWidth="1"/>
    <col min="12" max="21" width="9.28515625" bestFit="1" customWidth="1"/>
    <col min="22" max="22" width="10.28515625" bestFit="1" customWidth="1"/>
  </cols>
  <sheetData>
    <row r="1" spans="1:11" ht="13.5" thickBot="1">
      <c r="J1" t="s">
        <v>1537</v>
      </c>
    </row>
    <row r="2" spans="1:11" ht="18.75">
      <c r="A2" s="5588" t="s">
        <v>667</v>
      </c>
      <c r="B2" s="5589"/>
      <c r="C2" s="5589"/>
      <c r="D2" s="5589"/>
      <c r="E2" s="5589"/>
      <c r="F2" s="5589"/>
      <c r="G2" s="5589"/>
      <c r="H2" s="5589"/>
      <c r="I2" s="5589"/>
      <c r="J2" s="5589"/>
      <c r="K2" s="5594"/>
    </row>
    <row r="3" spans="1:11" ht="13.5">
      <c r="A3" s="5590" t="s">
        <v>668</v>
      </c>
      <c r="B3" s="5544"/>
      <c r="C3" s="5544"/>
      <c r="D3" s="5544"/>
      <c r="E3" s="5544"/>
      <c r="F3" s="5544"/>
      <c r="G3" s="5544"/>
      <c r="H3" s="5544"/>
      <c r="I3" s="5544"/>
      <c r="J3" s="5544"/>
      <c r="K3" s="5595"/>
    </row>
    <row r="4" spans="1:11" ht="18.75">
      <c r="A4" s="857"/>
      <c r="B4" s="294"/>
      <c r="C4" s="294"/>
      <c r="D4" s="294"/>
      <c r="E4" s="294"/>
      <c r="F4" s="294"/>
      <c r="G4" s="294"/>
      <c r="H4" s="294"/>
      <c r="I4" s="294"/>
      <c r="J4" s="294"/>
      <c r="K4" s="858"/>
    </row>
    <row r="5" spans="1:11" ht="18.75">
      <c r="A5" s="5591" t="s">
        <v>669</v>
      </c>
      <c r="B5" s="5544"/>
      <c r="C5" s="5544"/>
      <c r="D5" s="5544"/>
      <c r="E5" s="5544"/>
      <c r="F5" s="5544"/>
      <c r="G5" s="5544"/>
      <c r="H5" s="5544"/>
      <c r="I5" s="5544"/>
      <c r="J5" s="5544"/>
      <c r="K5" s="5595"/>
    </row>
    <row r="6" spans="1:11" ht="18">
      <c r="A6" s="859" t="s">
        <v>670</v>
      </c>
      <c r="B6" s="294"/>
      <c r="C6" s="294"/>
      <c r="D6" s="294"/>
      <c r="E6" s="294"/>
      <c r="F6" s="294"/>
      <c r="G6" s="294"/>
      <c r="H6" s="294"/>
      <c r="I6" s="294"/>
      <c r="J6" s="294"/>
      <c r="K6" s="858"/>
    </row>
    <row r="7" spans="1:11" ht="15">
      <c r="A7" s="5578" t="s">
        <v>496</v>
      </c>
      <c r="B7" s="5544"/>
      <c r="C7" s="5544"/>
      <c r="D7" s="5544"/>
      <c r="E7" s="5544"/>
      <c r="F7" s="5544"/>
      <c r="G7" s="5544"/>
      <c r="H7" s="5544"/>
      <c r="I7" s="5544"/>
      <c r="J7" s="5544"/>
      <c r="K7" s="5595"/>
    </row>
    <row r="8" spans="1:11" ht="18.75">
      <c r="A8" s="1619"/>
      <c r="B8" s="294"/>
      <c r="C8" s="294"/>
      <c r="D8" s="294"/>
      <c r="E8" s="294"/>
      <c r="F8" s="294"/>
      <c r="G8" s="294"/>
      <c r="H8" s="294"/>
      <c r="I8" s="294"/>
      <c r="J8" s="294"/>
      <c r="K8" s="858"/>
    </row>
    <row r="9" spans="1:11">
      <c r="A9" s="5596" t="s">
        <v>671</v>
      </c>
      <c r="B9" s="5544"/>
      <c r="C9" s="5544"/>
      <c r="D9" s="5544"/>
      <c r="E9" s="5544"/>
      <c r="F9" s="5544"/>
      <c r="G9" s="5544"/>
      <c r="H9" s="5544"/>
      <c r="I9" s="5544"/>
      <c r="J9" s="5544"/>
      <c r="K9" s="5595"/>
    </row>
    <row r="10" spans="1:11" ht="15" customHeight="1">
      <c r="A10" s="5575" t="s">
        <v>672</v>
      </c>
      <c r="B10" s="5544"/>
      <c r="C10" s="5544"/>
      <c r="D10" s="861" t="s">
        <v>673</v>
      </c>
      <c r="E10" s="1617"/>
      <c r="F10" s="1617"/>
      <c r="G10" s="1617"/>
      <c r="H10" s="1617"/>
      <c r="I10" s="1617"/>
      <c r="J10" s="1617"/>
      <c r="K10" s="1618"/>
    </row>
    <row r="11" spans="1:11" ht="15" customHeight="1">
      <c r="A11" s="5585" t="s">
        <v>674</v>
      </c>
      <c r="B11" s="5544"/>
      <c r="C11" s="5544"/>
      <c r="D11" s="5544"/>
      <c r="E11" s="5544"/>
      <c r="F11" s="5544"/>
      <c r="G11" s="5586" t="s">
        <v>675</v>
      </c>
      <c r="H11" s="5587" t="s">
        <v>676</v>
      </c>
      <c r="I11" s="294"/>
      <c r="J11" s="294"/>
      <c r="K11" s="858"/>
    </row>
    <row r="12" spans="1:11" ht="5.25" customHeight="1">
      <c r="A12" s="5585"/>
      <c r="B12" s="5544"/>
      <c r="C12" s="5544"/>
      <c r="D12" s="5544"/>
      <c r="E12" s="5544"/>
      <c r="F12" s="5544"/>
      <c r="G12" s="5586"/>
      <c r="H12" s="5587"/>
      <c r="I12" s="294"/>
      <c r="J12" s="294"/>
      <c r="K12" s="858"/>
    </row>
    <row r="13" spans="1:11" ht="11.25" customHeight="1">
      <c r="A13" s="5575" t="s">
        <v>677</v>
      </c>
      <c r="B13" s="5544"/>
      <c r="C13" s="5544"/>
      <c r="D13" s="5544"/>
      <c r="E13" s="5544"/>
      <c r="F13" s="5544"/>
      <c r="G13" s="5576">
        <v>584</v>
      </c>
      <c r="H13" s="5577" t="s">
        <v>678</v>
      </c>
      <c r="I13" s="294"/>
      <c r="J13" s="294"/>
      <c r="K13" s="858"/>
    </row>
    <row r="14" spans="1:11" ht="6.75" customHeight="1">
      <c r="A14" s="5575"/>
      <c r="B14" s="5544"/>
      <c r="C14" s="5544"/>
      <c r="D14" s="5544"/>
      <c r="E14" s="5544"/>
      <c r="F14" s="5544"/>
      <c r="G14" s="5576"/>
      <c r="H14" s="5577"/>
      <c r="I14" s="294"/>
      <c r="J14" s="294"/>
      <c r="K14" s="858"/>
    </row>
    <row r="15" spans="1:11" ht="15.75" customHeight="1">
      <c r="A15" s="5575" t="s">
        <v>679</v>
      </c>
      <c r="B15" s="5544"/>
      <c r="C15" s="5544"/>
      <c r="D15" s="5544"/>
      <c r="E15" s="5544"/>
      <c r="F15" s="5544"/>
      <c r="G15" s="5576" t="s">
        <v>680</v>
      </c>
      <c r="H15" s="5577" t="s">
        <v>676</v>
      </c>
      <c r="I15" s="294"/>
      <c r="J15" s="294"/>
      <c r="K15" s="858"/>
    </row>
    <row r="16" spans="1:11" ht="13.5" thickBot="1">
      <c r="A16" s="5575"/>
      <c r="B16" s="5544"/>
      <c r="C16" s="5544"/>
      <c r="D16" s="5544"/>
      <c r="E16" s="5544"/>
      <c r="F16" s="5544"/>
      <c r="G16" s="5576"/>
      <c r="H16" s="5577"/>
      <c r="I16" s="294"/>
      <c r="J16" s="294"/>
      <c r="K16" s="858"/>
    </row>
    <row r="17" spans="1:11" ht="23.25" customHeight="1" thickBot="1">
      <c r="A17" s="1613" t="s">
        <v>175</v>
      </c>
      <c r="B17" s="1613" t="s">
        <v>458</v>
      </c>
      <c r="C17" s="1613" t="s">
        <v>374</v>
      </c>
      <c r="D17" s="356"/>
      <c r="E17" s="5565" t="s">
        <v>459</v>
      </c>
      <c r="F17" s="5566"/>
      <c r="G17" s="5565" t="s">
        <v>460</v>
      </c>
      <c r="H17" s="5567"/>
      <c r="I17" s="5566"/>
      <c r="J17" s="5568" t="s">
        <v>461</v>
      </c>
      <c r="K17" s="5569"/>
    </row>
    <row r="18" spans="1:11" ht="23.25" customHeight="1" thickBot="1">
      <c r="A18" s="359" t="s">
        <v>462</v>
      </c>
      <c r="B18" s="359" t="s">
        <v>463</v>
      </c>
      <c r="C18" s="359" t="s">
        <v>464</v>
      </c>
      <c r="D18" s="360" t="s">
        <v>465</v>
      </c>
      <c r="E18" s="1612" t="s">
        <v>466</v>
      </c>
      <c r="F18" s="1615" t="s">
        <v>467</v>
      </c>
      <c r="G18" s="359" t="s">
        <v>466</v>
      </c>
      <c r="H18" s="360" t="s">
        <v>468</v>
      </c>
      <c r="I18" s="362" t="s">
        <v>467</v>
      </c>
      <c r="J18" s="5570" t="s">
        <v>469</v>
      </c>
      <c r="K18" s="5571"/>
    </row>
    <row r="19" spans="1:11" ht="13.5" thickBot="1">
      <c r="A19" s="1611"/>
      <c r="B19" s="1611" t="s">
        <v>470</v>
      </c>
      <c r="C19" s="1611"/>
      <c r="D19" s="364"/>
      <c r="E19" s="1612" t="s">
        <v>468</v>
      </c>
      <c r="F19" s="362" t="s">
        <v>471</v>
      </c>
      <c r="G19" s="1614"/>
      <c r="H19" s="365"/>
      <c r="I19" s="362" t="s">
        <v>471</v>
      </c>
      <c r="J19" s="1611" t="s">
        <v>472</v>
      </c>
      <c r="K19" s="364" t="s">
        <v>466</v>
      </c>
    </row>
    <row r="20" spans="1:11" ht="13.5" thickBot="1">
      <c r="A20" s="864"/>
      <c r="B20" s="294"/>
      <c r="C20" s="294"/>
      <c r="D20" s="294"/>
      <c r="E20" s="294"/>
      <c r="F20" s="294"/>
      <c r="G20" s="294"/>
      <c r="H20" s="294"/>
      <c r="I20" s="294"/>
      <c r="J20" s="294"/>
      <c r="K20" s="858"/>
    </row>
    <row r="21" spans="1:11" ht="13.5" thickBot="1">
      <c r="A21" s="367">
        <v>1</v>
      </c>
      <c r="B21" s="368">
        <v>2</v>
      </c>
      <c r="C21" s="368">
        <v>3</v>
      </c>
      <c r="D21" s="368">
        <v>4</v>
      </c>
      <c r="E21" s="368">
        <v>5</v>
      </c>
      <c r="F21" s="368">
        <v>6</v>
      </c>
      <c r="G21" s="368">
        <v>7</v>
      </c>
      <c r="H21" s="368">
        <v>8</v>
      </c>
      <c r="I21" s="368">
        <v>9</v>
      </c>
      <c r="J21" s="368">
        <v>10</v>
      </c>
      <c r="K21" s="368">
        <v>11</v>
      </c>
    </row>
    <row r="22" spans="1:11" ht="13.5" thickBot="1">
      <c r="A22" s="850"/>
      <c r="B22" s="851"/>
      <c r="C22" s="851"/>
      <c r="D22" s="851"/>
      <c r="E22" s="851"/>
      <c r="F22" s="851"/>
      <c r="G22" s="851"/>
      <c r="H22" s="851"/>
      <c r="I22" s="851"/>
      <c r="J22" s="851"/>
      <c r="K22" s="851"/>
    </row>
    <row r="23" spans="1:11" ht="13.5" thickBot="1">
      <c r="A23" s="5550"/>
      <c r="B23" s="5551"/>
      <c r="C23" s="5551"/>
      <c r="D23" s="5551"/>
      <c r="E23" s="5551"/>
      <c r="F23" s="5551"/>
      <c r="G23" s="5551"/>
      <c r="H23" s="5551"/>
      <c r="I23" s="5551"/>
      <c r="J23" s="5551"/>
      <c r="K23" s="5552"/>
    </row>
    <row r="24" spans="1:11" ht="13.5" thickBot="1">
      <c r="A24" s="5572" t="s">
        <v>681</v>
      </c>
      <c r="B24" s="5573"/>
      <c r="C24" s="5573"/>
      <c r="D24" s="5573"/>
      <c r="E24" s="5573"/>
      <c r="F24" s="5573"/>
      <c r="G24" s="5573"/>
      <c r="H24" s="5573"/>
      <c r="I24" s="5573"/>
      <c r="J24" s="5573"/>
      <c r="K24" s="5574"/>
    </row>
    <row r="25" spans="1:11" ht="13.5" thickBot="1">
      <c r="A25" s="5550"/>
      <c r="B25" s="5551"/>
      <c r="C25" s="5551"/>
      <c r="D25" s="5551"/>
      <c r="E25" s="5551"/>
      <c r="F25" s="5551"/>
      <c r="G25" s="5551"/>
      <c r="H25" s="5551"/>
      <c r="I25" s="5551"/>
      <c r="J25" s="5551"/>
      <c r="K25" s="5552"/>
    </row>
    <row r="26" spans="1:11" ht="34.5" customHeight="1">
      <c r="A26" s="5558">
        <v>1</v>
      </c>
      <c r="B26" s="5560" t="s">
        <v>682</v>
      </c>
      <c r="C26" s="374" t="s">
        <v>683</v>
      </c>
      <c r="D26" s="375">
        <v>0.26</v>
      </c>
      <c r="E26" s="376">
        <v>40328.97</v>
      </c>
      <c r="F26" s="376">
        <v>37757.160000000003</v>
      </c>
      <c r="G26" s="5558">
        <v>10486</v>
      </c>
      <c r="H26" s="5558">
        <v>669</v>
      </c>
      <c r="I26" s="376">
        <v>9817</v>
      </c>
      <c r="J26" s="376">
        <v>13.22</v>
      </c>
      <c r="K26" s="376">
        <v>3.44</v>
      </c>
    </row>
    <row r="27" spans="1:11" ht="35.25" customHeight="1" thickBot="1">
      <c r="A27" s="5559"/>
      <c r="B27" s="5561"/>
      <c r="C27" s="372" t="s">
        <v>684</v>
      </c>
      <c r="D27" s="373" t="s">
        <v>685</v>
      </c>
      <c r="E27" s="373">
        <v>2571.81</v>
      </c>
      <c r="F27" s="373">
        <v>9733.83</v>
      </c>
      <c r="G27" s="5559"/>
      <c r="H27" s="5559"/>
      <c r="I27" s="373">
        <v>2531</v>
      </c>
      <c r="J27" s="373">
        <v>28.91</v>
      </c>
      <c r="K27" s="373">
        <v>7.52</v>
      </c>
    </row>
    <row r="28" spans="1:11" ht="24" customHeight="1">
      <c r="A28" s="5558">
        <v>2</v>
      </c>
      <c r="B28" s="5560" t="s">
        <v>686</v>
      </c>
      <c r="C28" s="374" t="s">
        <v>687</v>
      </c>
      <c r="D28" s="375">
        <v>0.16</v>
      </c>
      <c r="E28" s="376">
        <v>79627.929999999993</v>
      </c>
      <c r="F28" s="376">
        <v>0</v>
      </c>
      <c r="G28" s="5558">
        <v>12740</v>
      </c>
      <c r="H28" s="5558">
        <v>12740</v>
      </c>
      <c r="I28" s="376">
        <v>0</v>
      </c>
      <c r="J28" s="376">
        <v>381</v>
      </c>
      <c r="K28" s="376">
        <v>60.96</v>
      </c>
    </row>
    <row r="29" spans="1:11" ht="34.5" customHeight="1" thickBot="1">
      <c r="A29" s="5559"/>
      <c r="B29" s="5561"/>
      <c r="C29" s="372" t="s">
        <v>684</v>
      </c>
      <c r="D29" s="373" t="s">
        <v>688</v>
      </c>
      <c r="E29" s="373">
        <v>79627.929999999993</v>
      </c>
      <c r="F29" s="373">
        <v>0</v>
      </c>
      <c r="G29" s="5559"/>
      <c r="H29" s="5559"/>
      <c r="I29" s="373">
        <v>0</v>
      </c>
      <c r="J29" s="373">
        <v>0</v>
      </c>
      <c r="K29" s="373">
        <v>0</v>
      </c>
    </row>
    <row r="30" spans="1:11" ht="12" customHeight="1">
      <c r="A30" s="5558">
        <v>3</v>
      </c>
      <c r="B30" s="5560" t="s">
        <v>689</v>
      </c>
      <c r="C30" s="374" t="s">
        <v>690</v>
      </c>
      <c r="D30" s="375">
        <v>0.5</v>
      </c>
      <c r="E30" s="376">
        <v>19221.080000000002</v>
      </c>
      <c r="F30" s="376">
        <v>19221.080000000002</v>
      </c>
      <c r="G30" s="5558">
        <v>9611</v>
      </c>
      <c r="H30" s="5558">
        <v>0</v>
      </c>
      <c r="I30" s="376">
        <v>9611</v>
      </c>
      <c r="J30" s="376">
        <v>0</v>
      </c>
      <c r="K30" s="376">
        <v>0</v>
      </c>
    </row>
    <row r="31" spans="1:11" ht="34.5" customHeight="1" thickBot="1">
      <c r="A31" s="5559"/>
      <c r="B31" s="5561"/>
      <c r="C31" s="372" t="s">
        <v>684</v>
      </c>
      <c r="D31" s="373" t="s">
        <v>691</v>
      </c>
      <c r="E31" s="373">
        <v>0</v>
      </c>
      <c r="F31" s="373">
        <v>24389.57</v>
      </c>
      <c r="G31" s="5559"/>
      <c r="H31" s="5559"/>
      <c r="I31" s="373">
        <v>12195</v>
      </c>
      <c r="J31" s="373">
        <v>97.21</v>
      </c>
      <c r="K31" s="373">
        <v>48.61</v>
      </c>
    </row>
    <row r="32" spans="1:11" ht="21" customHeight="1">
      <c r="A32" s="5558">
        <v>4</v>
      </c>
      <c r="B32" s="5560" t="s">
        <v>692</v>
      </c>
      <c r="C32" s="374" t="s">
        <v>693</v>
      </c>
      <c r="D32" s="375">
        <v>1</v>
      </c>
      <c r="E32" s="376">
        <v>12431.39</v>
      </c>
      <c r="F32" s="376">
        <v>726.88</v>
      </c>
      <c r="G32" s="5558">
        <v>12431</v>
      </c>
      <c r="H32" s="5558">
        <v>5531</v>
      </c>
      <c r="I32" s="376">
        <v>727</v>
      </c>
      <c r="J32" s="376">
        <v>26</v>
      </c>
      <c r="K32" s="376">
        <v>26</v>
      </c>
    </row>
    <row r="33" spans="1:11" ht="33" customHeight="1" thickBot="1">
      <c r="A33" s="5559"/>
      <c r="B33" s="5561"/>
      <c r="C33" s="372" t="s">
        <v>684</v>
      </c>
      <c r="D33" s="373" t="s">
        <v>694</v>
      </c>
      <c r="E33" s="373">
        <v>5531.19</v>
      </c>
      <c r="F33" s="373">
        <v>97.76</v>
      </c>
      <c r="G33" s="5559"/>
      <c r="H33" s="5559"/>
      <c r="I33" s="373">
        <v>98</v>
      </c>
      <c r="J33" s="373">
        <v>0.72</v>
      </c>
      <c r="K33" s="373">
        <v>0.72</v>
      </c>
    </row>
    <row r="34" spans="1:11" ht="11.25" customHeight="1">
      <c r="A34" s="5558">
        <v>5</v>
      </c>
      <c r="B34" s="5560" t="s">
        <v>695</v>
      </c>
      <c r="C34" s="374" t="s">
        <v>696</v>
      </c>
      <c r="D34" s="375">
        <v>2</v>
      </c>
      <c r="E34" s="376">
        <v>5195.62</v>
      </c>
      <c r="F34" s="376">
        <v>327.29000000000002</v>
      </c>
      <c r="G34" s="5558">
        <v>10391</v>
      </c>
      <c r="H34" s="5558">
        <v>4156</v>
      </c>
      <c r="I34" s="376">
        <v>655</v>
      </c>
      <c r="J34" s="376">
        <v>10.199999999999999</v>
      </c>
      <c r="K34" s="376">
        <v>20.399999999999999</v>
      </c>
    </row>
    <row r="35" spans="1:11" ht="32.25" customHeight="1" thickBot="1">
      <c r="A35" s="5559"/>
      <c r="B35" s="5561"/>
      <c r="C35" s="372" t="s">
        <v>684</v>
      </c>
      <c r="D35" s="373" t="s">
        <v>697</v>
      </c>
      <c r="E35" s="373">
        <v>2078.25</v>
      </c>
      <c r="F35" s="373">
        <v>87.79</v>
      </c>
      <c r="G35" s="5559"/>
      <c r="H35" s="5559"/>
      <c r="I35" s="373">
        <v>176</v>
      </c>
      <c r="J35" s="373">
        <v>0.35</v>
      </c>
      <c r="K35" s="373">
        <v>0.7</v>
      </c>
    </row>
    <row r="36" spans="1:11" ht="32.25" customHeight="1">
      <c r="A36" s="5558">
        <v>6</v>
      </c>
      <c r="B36" s="5560" t="s">
        <v>698</v>
      </c>
      <c r="C36" s="374" t="s">
        <v>699</v>
      </c>
      <c r="D36" s="375">
        <v>6</v>
      </c>
      <c r="E36" s="376">
        <v>904.33</v>
      </c>
      <c r="F36" s="376">
        <v>310.14</v>
      </c>
      <c r="G36" s="5558">
        <v>5426</v>
      </c>
      <c r="H36" s="5558">
        <v>1634</v>
      </c>
      <c r="I36" s="376">
        <v>1861</v>
      </c>
      <c r="J36" s="376">
        <v>1.28</v>
      </c>
      <c r="K36" s="376">
        <v>7.68</v>
      </c>
    </row>
    <row r="37" spans="1:11" ht="34.5" customHeight="1" thickBot="1">
      <c r="A37" s="5559"/>
      <c r="B37" s="5561"/>
      <c r="C37" s="372" t="s">
        <v>684</v>
      </c>
      <c r="D37" s="373" t="s">
        <v>700</v>
      </c>
      <c r="E37" s="373">
        <v>272.33999999999997</v>
      </c>
      <c r="F37" s="373">
        <v>39.409999999999997</v>
      </c>
      <c r="G37" s="5559"/>
      <c r="H37" s="5559"/>
      <c r="I37" s="373">
        <v>236</v>
      </c>
      <c r="J37" s="373">
        <v>0.26</v>
      </c>
      <c r="K37" s="373">
        <v>1.56</v>
      </c>
    </row>
    <row r="38" spans="1:11" ht="33" customHeight="1">
      <c r="A38" s="5558">
        <v>7</v>
      </c>
      <c r="B38" s="5560" t="s">
        <v>701</v>
      </c>
      <c r="C38" s="374" t="s">
        <v>702</v>
      </c>
      <c r="D38" s="375">
        <v>0.27</v>
      </c>
      <c r="E38" s="376">
        <v>7223.86</v>
      </c>
      <c r="F38" s="376">
        <v>7223.86</v>
      </c>
      <c r="G38" s="5558">
        <v>1950</v>
      </c>
      <c r="H38" s="5558">
        <v>0</v>
      </c>
      <c r="I38" s="376">
        <v>1950</v>
      </c>
      <c r="J38" s="376">
        <v>0</v>
      </c>
      <c r="K38" s="376">
        <v>0</v>
      </c>
    </row>
    <row r="39" spans="1:11" ht="33.75" customHeight="1" thickBot="1">
      <c r="A39" s="5559"/>
      <c r="B39" s="5561"/>
      <c r="C39" s="372" t="s">
        <v>684</v>
      </c>
      <c r="D39" s="373" t="s">
        <v>685</v>
      </c>
      <c r="E39" s="373">
        <v>0</v>
      </c>
      <c r="F39" s="373">
        <v>2650.37</v>
      </c>
      <c r="G39" s="5559"/>
      <c r="H39" s="5559"/>
      <c r="I39" s="373">
        <v>716</v>
      </c>
      <c r="J39" s="373">
        <v>7.38</v>
      </c>
      <c r="K39" s="373">
        <v>1.99</v>
      </c>
    </row>
    <row r="40" spans="1:11" ht="24" customHeight="1">
      <c r="A40" s="5558">
        <v>8</v>
      </c>
      <c r="B40" s="5560" t="s">
        <v>703</v>
      </c>
      <c r="C40" s="374" t="s">
        <v>704</v>
      </c>
      <c r="D40" s="375">
        <v>0.16500000000000001</v>
      </c>
      <c r="E40" s="376">
        <v>22633.05</v>
      </c>
      <c r="F40" s="376">
        <v>0</v>
      </c>
      <c r="G40" s="5558">
        <v>3734</v>
      </c>
      <c r="H40" s="5558">
        <v>3734</v>
      </c>
      <c r="I40" s="376">
        <v>0</v>
      </c>
      <c r="J40" s="376">
        <v>121</v>
      </c>
      <c r="K40" s="376">
        <v>19.97</v>
      </c>
    </row>
    <row r="41" spans="1:11" ht="34.5" customHeight="1" thickBot="1">
      <c r="A41" s="5559"/>
      <c r="B41" s="5561"/>
      <c r="C41" s="372" t="s">
        <v>684</v>
      </c>
      <c r="D41" s="373" t="s">
        <v>688</v>
      </c>
      <c r="E41" s="373">
        <v>22633.05</v>
      </c>
      <c r="F41" s="373">
        <v>0</v>
      </c>
      <c r="G41" s="5559"/>
      <c r="H41" s="5559"/>
      <c r="I41" s="373">
        <v>0</v>
      </c>
      <c r="J41" s="373">
        <v>0</v>
      </c>
      <c r="K41" s="373">
        <v>0</v>
      </c>
    </row>
    <row r="42" spans="1:11" ht="12" customHeight="1">
      <c r="A42" s="5558">
        <v>9</v>
      </c>
      <c r="B42" s="5560" t="s">
        <v>497</v>
      </c>
      <c r="C42" s="374" t="s">
        <v>498</v>
      </c>
      <c r="D42" s="375">
        <v>15</v>
      </c>
      <c r="E42" s="376">
        <v>4006.63</v>
      </c>
      <c r="F42" s="376">
        <v>751.4</v>
      </c>
      <c r="G42" s="5558">
        <v>60099</v>
      </c>
      <c r="H42" s="5558">
        <v>20123</v>
      </c>
      <c r="I42" s="376">
        <v>11271</v>
      </c>
      <c r="J42" s="376">
        <v>5.86</v>
      </c>
      <c r="K42" s="376">
        <v>87.9</v>
      </c>
    </row>
    <row r="43" spans="1:11" ht="33.75" customHeight="1" thickBot="1">
      <c r="A43" s="5559"/>
      <c r="B43" s="5561"/>
      <c r="C43" s="372" t="s">
        <v>684</v>
      </c>
      <c r="D43" s="373" t="s">
        <v>499</v>
      </c>
      <c r="E43" s="373">
        <v>1341.52</v>
      </c>
      <c r="F43" s="373">
        <v>138.16999999999999</v>
      </c>
      <c r="G43" s="5559"/>
      <c r="H43" s="5559"/>
      <c r="I43" s="373">
        <v>2073</v>
      </c>
      <c r="J43" s="373">
        <v>0.55000000000000004</v>
      </c>
      <c r="K43" s="373">
        <v>8.25</v>
      </c>
    </row>
    <row r="44" spans="1:11" ht="10.5" customHeight="1">
      <c r="A44" s="5558">
        <v>10</v>
      </c>
      <c r="B44" s="5560" t="s">
        <v>500</v>
      </c>
      <c r="C44" s="374" t="s">
        <v>501</v>
      </c>
      <c r="D44" s="375">
        <v>12</v>
      </c>
      <c r="E44" s="376">
        <v>8765.59</v>
      </c>
      <c r="F44" s="376">
        <v>936.14</v>
      </c>
      <c r="G44" s="5558">
        <v>105187</v>
      </c>
      <c r="H44" s="5558">
        <v>26923</v>
      </c>
      <c r="I44" s="376">
        <v>11234</v>
      </c>
      <c r="J44" s="376">
        <v>9.8000000000000007</v>
      </c>
      <c r="K44" s="376">
        <v>117.6</v>
      </c>
    </row>
    <row r="45" spans="1:11" ht="35.25" customHeight="1" thickBot="1">
      <c r="A45" s="5559"/>
      <c r="B45" s="5561"/>
      <c r="C45" s="372" t="s">
        <v>684</v>
      </c>
      <c r="D45" s="373" t="s">
        <v>499</v>
      </c>
      <c r="E45" s="373">
        <v>2243.6</v>
      </c>
      <c r="F45" s="373">
        <v>138.16999999999999</v>
      </c>
      <c r="G45" s="5559"/>
      <c r="H45" s="5559"/>
      <c r="I45" s="373">
        <v>1658</v>
      </c>
      <c r="J45" s="373">
        <v>0.55000000000000004</v>
      </c>
      <c r="K45" s="373">
        <v>6.6</v>
      </c>
    </row>
    <row r="46" spans="1:11" ht="12" customHeight="1">
      <c r="A46" s="5558">
        <v>11</v>
      </c>
      <c r="B46" s="5560" t="s">
        <v>502</v>
      </c>
      <c r="C46" s="374" t="s">
        <v>503</v>
      </c>
      <c r="D46" s="375">
        <v>3</v>
      </c>
      <c r="E46" s="376">
        <v>14254.95</v>
      </c>
      <c r="F46" s="376">
        <v>1157.76</v>
      </c>
      <c r="G46" s="5558">
        <v>42765</v>
      </c>
      <c r="H46" s="5558">
        <v>9272</v>
      </c>
      <c r="I46" s="376">
        <v>3473</v>
      </c>
      <c r="J46" s="376">
        <v>13.5</v>
      </c>
      <c r="K46" s="376">
        <v>40.5</v>
      </c>
    </row>
    <row r="47" spans="1:11" ht="34.5" customHeight="1" thickBot="1">
      <c r="A47" s="5559"/>
      <c r="B47" s="5561"/>
      <c r="C47" s="372" t="s">
        <v>684</v>
      </c>
      <c r="D47" s="373" t="s">
        <v>499</v>
      </c>
      <c r="E47" s="373">
        <v>3090.81</v>
      </c>
      <c r="F47" s="373">
        <v>138.16999999999999</v>
      </c>
      <c r="G47" s="5559"/>
      <c r="H47" s="5559"/>
      <c r="I47" s="373">
        <v>415</v>
      </c>
      <c r="J47" s="373">
        <v>0.55000000000000004</v>
      </c>
      <c r="K47" s="373">
        <v>1.65</v>
      </c>
    </row>
    <row r="48" spans="1:11" ht="10.5" customHeight="1">
      <c r="A48" s="5558">
        <v>12</v>
      </c>
      <c r="B48" s="5560" t="s">
        <v>705</v>
      </c>
      <c r="C48" s="374" t="s">
        <v>706</v>
      </c>
      <c r="D48" s="375">
        <v>0.6</v>
      </c>
      <c r="E48" s="376">
        <v>145994.18</v>
      </c>
      <c r="F48" s="376">
        <v>103149.95</v>
      </c>
      <c r="G48" s="5558">
        <v>87597</v>
      </c>
      <c r="H48" s="5558">
        <v>24932</v>
      </c>
      <c r="I48" s="376">
        <v>61890</v>
      </c>
      <c r="J48" s="376">
        <v>128.96</v>
      </c>
      <c r="K48" s="376">
        <v>77.38</v>
      </c>
    </row>
    <row r="49" spans="1:11" ht="36" customHeight="1" thickBot="1">
      <c r="A49" s="5559"/>
      <c r="B49" s="5561"/>
      <c r="C49" s="372" t="s">
        <v>684</v>
      </c>
      <c r="D49" s="373" t="s">
        <v>523</v>
      </c>
      <c r="E49" s="373">
        <v>41554.03</v>
      </c>
      <c r="F49" s="373">
        <v>12446.06</v>
      </c>
      <c r="G49" s="5559"/>
      <c r="H49" s="5559"/>
      <c r="I49" s="373">
        <v>7468</v>
      </c>
      <c r="J49" s="373">
        <v>55.8</v>
      </c>
      <c r="K49" s="373">
        <v>33.479999999999997</v>
      </c>
    </row>
    <row r="50" spans="1:11" ht="12.75" customHeight="1">
      <c r="A50" s="5558">
        <v>13</v>
      </c>
      <c r="B50" s="5560" t="s">
        <v>707</v>
      </c>
      <c r="C50" s="374" t="s">
        <v>708</v>
      </c>
      <c r="D50" s="375">
        <v>0.72</v>
      </c>
      <c r="E50" s="376">
        <v>190490.87</v>
      </c>
      <c r="F50" s="376">
        <v>134224.35999999999</v>
      </c>
      <c r="G50" s="5558">
        <v>137153</v>
      </c>
      <c r="H50" s="5558">
        <v>39273</v>
      </c>
      <c r="I50" s="376">
        <v>96642</v>
      </c>
      <c r="J50" s="376">
        <v>169.28</v>
      </c>
      <c r="K50" s="376">
        <v>121.88</v>
      </c>
    </row>
    <row r="51" spans="1:11" ht="33.75" customHeight="1" thickBot="1">
      <c r="A51" s="5559"/>
      <c r="B51" s="5561"/>
      <c r="C51" s="372" t="s">
        <v>684</v>
      </c>
      <c r="D51" s="373" t="s">
        <v>523</v>
      </c>
      <c r="E51" s="373">
        <v>54546.27</v>
      </c>
      <c r="F51" s="373">
        <v>16418</v>
      </c>
      <c r="G51" s="5559"/>
      <c r="H51" s="5559"/>
      <c r="I51" s="373">
        <v>11821</v>
      </c>
      <c r="J51" s="373">
        <v>73.400000000000006</v>
      </c>
      <c r="K51" s="373">
        <v>52.85</v>
      </c>
    </row>
    <row r="52" spans="1:11" ht="13.5" thickBot="1">
      <c r="A52" s="5550"/>
      <c r="B52" s="5551"/>
      <c r="C52" s="5551"/>
      <c r="D52" s="5551"/>
      <c r="E52" s="5551"/>
      <c r="F52" s="5551"/>
      <c r="G52" s="5551"/>
      <c r="H52" s="5551"/>
      <c r="I52" s="5551"/>
      <c r="J52" s="5551"/>
      <c r="K52" s="5552"/>
    </row>
    <row r="53" spans="1:11">
      <c r="A53" s="5553" t="s">
        <v>709</v>
      </c>
      <c r="B53" s="5554"/>
      <c r="C53" s="5554"/>
      <c r="D53" s="5554"/>
      <c r="E53" s="5554"/>
      <c r="F53" s="5556"/>
      <c r="G53" s="5556">
        <v>499570</v>
      </c>
      <c r="H53" s="5556">
        <v>148987</v>
      </c>
      <c r="I53" s="865">
        <v>209131</v>
      </c>
      <c r="J53" s="5556"/>
      <c r="K53" s="376">
        <v>583.70000000000005</v>
      </c>
    </row>
    <row r="54" spans="1:11" ht="13.5" thickBot="1">
      <c r="A54" s="5555"/>
      <c r="B54" s="5547"/>
      <c r="C54" s="5547"/>
      <c r="D54" s="5547"/>
      <c r="E54" s="5547"/>
      <c r="F54" s="5557"/>
      <c r="G54" s="5557"/>
      <c r="H54" s="5557"/>
      <c r="I54" s="1616">
        <v>39387</v>
      </c>
      <c r="J54" s="5557"/>
      <c r="K54" s="373">
        <v>163.92</v>
      </c>
    </row>
    <row r="55" spans="1:11" ht="15.75" thickBot="1">
      <c r="A55" s="5592" t="s">
        <v>889</v>
      </c>
      <c r="B55" s="5593"/>
      <c r="C55" s="5593"/>
      <c r="D55" s="5593"/>
      <c r="E55" s="5593"/>
      <c r="F55" s="5593"/>
      <c r="G55" s="2300"/>
      <c r="H55" s="2300"/>
      <c r="I55" s="2301">
        <f>G53-H53-I53-I54</f>
        <v>102065</v>
      </c>
      <c r="J55" s="1616"/>
      <c r="K55" s="373"/>
    </row>
    <row r="56" spans="1:11" ht="13.5" thickBot="1">
      <c r="A56" s="5550"/>
      <c r="B56" s="5551"/>
      <c r="C56" s="5551"/>
      <c r="D56" s="5551"/>
      <c r="E56" s="5551"/>
      <c r="F56" s="5551"/>
      <c r="G56" s="5551"/>
      <c r="H56" s="5551"/>
      <c r="I56" s="5551"/>
      <c r="J56" s="5551"/>
      <c r="K56" s="5552"/>
    </row>
    <row r="57" spans="1:11" hidden="1">
      <c r="A57" s="5553" t="s">
        <v>710</v>
      </c>
      <c r="B57" s="5554"/>
      <c r="C57" s="5554"/>
      <c r="D57" s="5554"/>
      <c r="E57" s="5554"/>
      <c r="F57" s="5556"/>
      <c r="G57" s="5556">
        <v>499570</v>
      </c>
      <c r="H57" s="5556">
        <v>148987</v>
      </c>
      <c r="I57" s="865">
        <v>209131</v>
      </c>
      <c r="J57" s="5556"/>
      <c r="K57" s="376">
        <v>583.70000000000005</v>
      </c>
    </row>
    <row r="58" spans="1:11" ht="13.5" hidden="1" thickBot="1">
      <c r="A58" s="5555"/>
      <c r="B58" s="5547"/>
      <c r="C58" s="5547"/>
      <c r="D58" s="5547"/>
      <c r="E58" s="5547"/>
      <c r="F58" s="5557"/>
      <c r="G58" s="5557"/>
      <c r="H58" s="5557"/>
      <c r="I58" s="1616">
        <v>39387</v>
      </c>
      <c r="J58" s="5557"/>
      <c r="K58" s="373">
        <v>163.92</v>
      </c>
    </row>
    <row r="59" spans="1:11" ht="13.5" hidden="1" thickBot="1">
      <c r="A59" s="850"/>
      <c r="B59" s="851"/>
      <c r="C59" s="851"/>
      <c r="D59" s="851"/>
      <c r="E59" s="851"/>
      <c r="F59" s="851"/>
      <c r="G59" s="851"/>
      <c r="H59" s="851"/>
      <c r="I59" s="851"/>
      <c r="J59" s="851"/>
      <c r="K59" s="851"/>
    </row>
    <row r="60" spans="1:11" hidden="1">
      <c r="A60" s="866"/>
      <c r="B60" s="294"/>
      <c r="C60" s="294"/>
      <c r="D60" s="294"/>
      <c r="E60" s="294"/>
      <c r="F60" s="294"/>
      <c r="G60" s="294"/>
      <c r="H60" s="294"/>
      <c r="I60" s="294"/>
      <c r="J60" s="294"/>
      <c r="K60" s="858"/>
    </row>
    <row r="61" spans="1:11" hidden="1">
      <c r="A61" s="867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 hidden="1">
      <c r="A62" s="867"/>
      <c r="B62" s="294"/>
      <c r="C62" s="5543" t="s">
        <v>711</v>
      </c>
      <c r="D62" s="5544"/>
      <c r="E62" s="5544"/>
      <c r="F62" s="5544"/>
      <c r="G62" s="5544"/>
      <c r="H62" s="5544"/>
      <c r="I62" s="5543" t="s">
        <v>712</v>
      </c>
      <c r="J62" s="5543" t="s">
        <v>713</v>
      </c>
      <c r="K62" s="374" t="s">
        <v>578</v>
      </c>
    </row>
    <row r="63" spans="1:11" hidden="1">
      <c r="A63" s="867"/>
      <c r="B63" s="294"/>
      <c r="C63" s="5543"/>
      <c r="D63" s="5544"/>
      <c r="E63" s="5544"/>
      <c r="F63" s="5544"/>
      <c r="G63" s="5544"/>
      <c r="H63" s="5544"/>
      <c r="I63" s="5543"/>
      <c r="J63" s="5543"/>
      <c r="K63" s="374" t="s">
        <v>714</v>
      </c>
    </row>
    <row r="64" spans="1:11" ht="13.5" hidden="1" thickBot="1">
      <c r="A64" s="867"/>
      <c r="B64" s="294"/>
      <c r="C64" s="5543" t="s">
        <v>54</v>
      </c>
      <c r="D64" s="5544"/>
      <c r="E64" s="5544"/>
      <c r="F64" s="5544"/>
      <c r="G64" s="5544"/>
      <c r="H64" s="5544"/>
      <c r="I64" s="1616"/>
      <c r="J64" s="1616"/>
      <c r="K64" s="373" t="s">
        <v>715</v>
      </c>
    </row>
    <row r="65" spans="1:11" ht="13.5" hidden="1" thickBot="1">
      <c r="A65" s="867"/>
      <c r="B65" s="294"/>
      <c r="C65" s="5543" t="s">
        <v>716</v>
      </c>
      <c r="D65" s="5544"/>
      <c r="E65" s="5544"/>
      <c r="F65" s="5544"/>
      <c r="G65" s="5544"/>
      <c r="H65" s="5544"/>
      <c r="I65" s="1616">
        <v>0.6</v>
      </c>
      <c r="J65" s="1616">
        <v>85</v>
      </c>
      <c r="K65" s="373" t="s">
        <v>717</v>
      </c>
    </row>
    <row r="66" spans="1:11" ht="13.5" hidden="1" thickBot="1">
      <c r="A66" s="867"/>
      <c r="B66" s="294"/>
      <c r="C66" s="5543" t="s">
        <v>718</v>
      </c>
      <c r="D66" s="5544"/>
      <c r="E66" s="5544"/>
      <c r="F66" s="5544"/>
      <c r="G66" s="5544"/>
      <c r="H66" s="5544"/>
      <c r="I66" s="1616">
        <v>0.6</v>
      </c>
      <c r="J66" s="1616">
        <v>71</v>
      </c>
      <c r="K66" s="373" t="s">
        <v>719</v>
      </c>
    </row>
    <row r="67" spans="1:11" ht="13.5" hidden="1" thickBot="1">
      <c r="A67" s="867"/>
      <c r="B67" s="294"/>
      <c r="C67" s="5543" t="s">
        <v>720</v>
      </c>
      <c r="D67" s="5544"/>
      <c r="E67" s="5544"/>
      <c r="F67" s="5544"/>
      <c r="G67" s="5544"/>
      <c r="H67" s="5544"/>
      <c r="I67" s="1616">
        <v>0.6</v>
      </c>
      <c r="J67" s="1616">
        <v>71</v>
      </c>
      <c r="K67" s="373" t="s">
        <v>721</v>
      </c>
    </row>
    <row r="68" spans="1:11" ht="13.5" hidden="1" thickBot="1">
      <c r="A68" s="867"/>
      <c r="B68" s="294"/>
      <c r="C68" s="5543" t="s">
        <v>722</v>
      </c>
      <c r="D68" s="5544"/>
      <c r="E68" s="5544"/>
      <c r="F68" s="5544"/>
      <c r="G68" s="5544"/>
      <c r="H68" s="5544"/>
      <c r="I68" s="1616">
        <v>0.6</v>
      </c>
      <c r="J68" s="1616">
        <v>116</v>
      </c>
      <c r="K68" s="373" t="s">
        <v>723</v>
      </c>
    </row>
    <row r="69" spans="1:11" ht="13.5" hidden="1" thickBot="1">
      <c r="A69" s="867"/>
      <c r="B69" s="294"/>
      <c r="C69" s="5543" t="s">
        <v>724</v>
      </c>
      <c r="D69" s="5544"/>
      <c r="E69" s="5544"/>
      <c r="F69" s="5544"/>
      <c r="G69" s="5544"/>
      <c r="H69" s="5544"/>
      <c r="I69" s="1616">
        <v>0.6</v>
      </c>
      <c r="J69" s="1616">
        <v>92</v>
      </c>
      <c r="K69" s="373" t="s">
        <v>725</v>
      </c>
    </row>
    <row r="70" spans="1:11" ht="13.5" hidden="1" thickBot="1">
      <c r="A70" s="867"/>
      <c r="B70" s="294"/>
      <c r="C70" s="5543" t="s">
        <v>726</v>
      </c>
      <c r="D70" s="5544"/>
      <c r="E70" s="5544"/>
      <c r="F70" s="5544"/>
      <c r="G70" s="5544"/>
      <c r="H70" s="5544"/>
      <c r="I70" s="1616"/>
      <c r="J70" s="1616"/>
      <c r="K70" s="373" t="s">
        <v>727</v>
      </c>
    </row>
    <row r="71" spans="1:11" ht="13.5" hidden="1" thickBot="1">
      <c r="A71" s="867"/>
      <c r="B71" s="294"/>
      <c r="C71" s="5543" t="s">
        <v>54</v>
      </c>
      <c r="D71" s="5544"/>
      <c r="E71" s="5544"/>
      <c r="F71" s="5544"/>
      <c r="G71" s="5544"/>
      <c r="H71" s="5544"/>
      <c r="I71" s="1616"/>
      <c r="J71" s="1616"/>
      <c r="K71" s="373" t="s">
        <v>728</v>
      </c>
    </row>
    <row r="72" spans="1:11" ht="13.5" hidden="1" thickBot="1">
      <c r="A72" s="867"/>
      <c r="B72" s="294"/>
      <c r="C72" s="5543" t="s">
        <v>729</v>
      </c>
      <c r="D72" s="5544"/>
      <c r="E72" s="5544"/>
      <c r="F72" s="5544"/>
      <c r="G72" s="5544"/>
      <c r="H72" s="5544"/>
      <c r="I72" s="1616"/>
      <c r="J72" s="1616">
        <v>40</v>
      </c>
      <c r="K72" s="373" t="s">
        <v>730</v>
      </c>
    </row>
    <row r="73" spans="1:11" ht="13.5" hidden="1" thickBot="1">
      <c r="A73" s="867"/>
      <c r="B73" s="294"/>
      <c r="C73" s="5543" t="s">
        <v>731</v>
      </c>
      <c r="D73" s="5544"/>
      <c r="E73" s="5544"/>
      <c r="F73" s="5544"/>
      <c r="G73" s="5544"/>
      <c r="H73" s="5544"/>
      <c r="I73" s="1616"/>
      <c r="J73" s="1616">
        <v>36</v>
      </c>
      <c r="K73" s="373" t="s">
        <v>732</v>
      </c>
    </row>
    <row r="74" spans="1:11" ht="13.5" hidden="1" thickBot="1">
      <c r="A74" s="867"/>
      <c r="B74" s="294"/>
      <c r="C74" s="5543" t="s">
        <v>733</v>
      </c>
      <c r="D74" s="5544"/>
      <c r="E74" s="5544"/>
      <c r="F74" s="5544"/>
      <c r="G74" s="5544"/>
      <c r="H74" s="5544"/>
      <c r="I74" s="1616"/>
      <c r="J74" s="1616">
        <v>36</v>
      </c>
      <c r="K74" s="373" t="s">
        <v>734</v>
      </c>
    </row>
    <row r="75" spans="1:11" ht="13.5" hidden="1" thickBot="1">
      <c r="A75" s="867"/>
      <c r="B75" s="294"/>
      <c r="C75" s="5543" t="s">
        <v>735</v>
      </c>
      <c r="D75" s="5544"/>
      <c r="E75" s="5544"/>
      <c r="F75" s="5544"/>
      <c r="G75" s="5544"/>
      <c r="H75" s="5544"/>
      <c r="I75" s="1616"/>
      <c r="J75" s="1616">
        <v>71</v>
      </c>
      <c r="K75" s="373" t="s">
        <v>736</v>
      </c>
    </row>
    <row r="76" spans="1:11" ht="13.5" hidden="1" thickBot="1">
      <c r="A76" s="867"/>
      <c r="B76" s="294"/>
      <c r="C76" s="5543" t="s">
        <v>737</v>
      </c>
      <c r="D76" s="5544"/>
      <c r="E76" s="5544"/>
      <c r="F76" s="5544"/>
      <c r="G76" s="5544"/>
      <c r="H76" s="5544"/>
      <c r="I76" s="1616"/>
      <c r="J76" s="1616">
        <v>54</v>
      </c>
      <c r="K76" s="373" t="s">
        <v>738</v>
      </c>
    </row>
    <row r="77" spans="1:11" ht="13.5" hidden="1" thickBot="1">
      <c r="A77" s="867"/>
      <c r="B77" s="294"/>
      <c r="C77" s="5543" t="s">
        <v>739</v>
      </c>
      <c r="D77" s="5544"/>
      <c r="E77" s="5544"/>
      <c r="F77" s="5544"/>
      <c r="G77" s="5544"/>
      <c r="H77" s="5544"/>
      <c r="I77" s="1616"/>
      <c r="J77" s="1616"/>
      <c r="K77" s="373" t="s">
        <v>740</v>
      </c>
    </row>
    <row r="78" spans="1:11" ht="13.5" hidden="1" thickBot="1">
      <c r="A78" s="867"/>
      <c r="B78" s="294"/>
      <c r="C78" s="5543" t="s">
        <v>54</v>
      </c>
      <c r="D78" s="5544"/>
      <c r="E78" s="5544"/>
      <c r="F78" s="5544"/>
      <c r="G78" s="5544"/>
      <c r="H78" s="5544"/>
      <c r="I78" s="1616"/>
      <c r="J78" s="1616"/>
      <c r="K78" s="373" t="s">
        <v>741</v>
      </c>
    </row>
    <row r="79" spans="1:11" ht="13.5" hidden="1" thickBot="1">
      <c r="A79" s="867"/>
      <c r="B79" s="294"/>
      <c r="C79" s="5543" t="s">
        <v>742</v>
      </c>
      <c r="D79" s="5544"/>
      <c r="E79" s="5544"/>
      <c r="F79" s="5544"/>
      <c r="G79" s="5544"/>
      <c r="H79" s="5544"/>
      <c r="I79" s="1616"/>
      <c r="J79" s="1616">
        <v>18</v>
      </c>
      <c r="K79" s="373" t="s">
        <v>743</v>
      </c>
    </row>
    <row r="80" spans="1:11" ht="13.5" hidden="1" thickBot="1">
      <c r="A80" s="867"/>
      <c r="B80" s="294"/>
      <c r="C80" s="5543" t="s">
        <v>293</v>
      </c>
      <c r="D80" s="5544"/>
      <c r="E80" s="5544"/>
      <c r="F80" s="5544"/>
      <c r="G80" s="5544"/>
      <c r="H80" s="5544"/>
      <c r="I80" s="1616"/>
      <c r="J80" s="1616"/>
      <c r="K80" s="373" t="s">
        <v>675</v>
      </c>
    </row>
    <row r="81" spans="1:12" ht="13.5" hidden="1" thickBot="1">
      <c r="A81" s="854"/>
      <c r="B81" s="853"/>
      <c r="C81" s="5547" t="s">
        <v>744</v>
      </c>
      <c r="D81" s="5548"/>
      <c r="E81" s="5548"/>
      <c r="F81" s="5548"/>
      <c r="G81" s="5548"/>
      <c r="H81" s="5548"/>
      <c r="I81" s="1616"/>
      <c r="J81" s="1616"/>
      <c r="K81" s="373" t="s">
        <v>675</v>
      </c>
    </row>
    <row r="82" spans="1:12" ht="15.75" hidden="1">
      <c r="K82" s="877">
        <v>821297</v>
      </c>
    </row>
    <row r="83" spans="1:12" ht="13.5" thickBot="1"/>
    <row r="84" spans="1:12" ht="18.75">
      <c r="A84" s="5588" t="s">
        <v>745</v>
      </c>
      <c r="B84" s="5589"/>
      <c r="C84" s="5589"/>
      <c r="D84" s="5589"/>
      <c r="E84" s="5589"/>
      <c r="F84" s="5589"/>
      <c r="G84" s="5589"/>
      <c r="H84" s="5589"/>
      <c r="I84" s="5589"/>
      <c r="J84" s="5589"/>
      <c r="K84" s="5589"/>
      <c r="L84" s="868"/>
    </row>
    <row r="85" spans="1:12" ht="13.5">
      <c r="A85" s="5590" t="s">
        <v>668</v>
      </c>
      <c r="B85" s="5579"/>
      <c r="C85" s="5579"/>
      <c r="D85" s="5579"/>
      <c r="E85" s="5579"/>
      <c r="F85" s="5579"/>
      <c r="G85" s="5579"/>
      <c r="H85" s="5579"/>
      <c r="I85" s="5579"/>
      <c r="J85" s="5579"/>
      <c r="K85" s="5579"/>
      <c r="L85" s="1624"/>
    </row>
    <row r="86" spans="1:12" ht="18.75">
      <c r="A86" s="870"/>
      <c r="B86" s="1623"/>
      <c r="C86" s="1623"/>
      <c r="D86" s="1623"/>
      <c r="E86" s="1623"/>
      <c r="F86" s="1623"/>
      <c r="G86" s="1623"/>
      <c r="H86" s="1623"/>
      <c r="I86" s="1623"/>
      <c r="J86" s="1623"/>
      <c r="K86" s="1623"/>
      <c r="L86" s="1624"/>
    </row>
    <row r="87" spans="1:12" ht="18.75">
      <c r="A87" s="5591" t="s">
        <v>746</v>
      </c>
      <c r="B87" s="5579"/>
      <c r="C87" s="5579"/>
      <c r="D87" s="5579"/>
      <c r="E87" s="5579"/>
      <c r="F87" s="5579"/>
      <c r="G87" s="5579"/>
      <c r="H87" s="5579"/>
      <c r="I87" s="5579"/>
      <c r="J87" s="5579"/>
      <c r="K87" s="5579"/>
      <c r="L87" s="5580"/>
    </row>
    <row r="88" spans="1:12" ht="18">
      <c r="A88" s="859" t="s">
        <v>670</v>
      </c>
      <c r="B88" s="1623"/>
      <c r="C88" s="1623"/>
      <c r="D88" s="1623"/>
      <c r="E88" s="1623"/>
      <c r="F88" s="1623"/>
      <c r="G88" s="1623"/>
      <c r="H88" s="1623"/>
      <c r="I88" s="1623"/>
      <c r="J88" s="1623"/>
      <c r="K88" s="1623"/>
      <c r="L88" s="1624"/>
    </row>
    <row r="89" spans="1:12">
      <c r="A89" s="5578" t="s">
        <v>747</v>
      </c>
      <c r="B89" s="5579"/>
      <c r="C89" s="5579"/>
      <c r="D89" s="5579"/>
      <c r="E89" s="5579"/>
      <c r="F89" s="5579"/>
      <c r="G89" s="5579"/>
      <c r="H89" s="5579"/>
      <c r="I89" s="5579"/>
      <c r="J89" s="5579"/>
      <c r="K89" s="5579"/>
      <c r="L89" s="5580"/>
    </row>
    <row r="90" spans="1:12">
      <c r="A90" s="5581"/>
      <c r="B90" s="5579"/>
      <c r="C90" s="5579"/>
      <c r="D90" s="5579"/>
      <c r="E90" s="5579"/>
      <c r="F90" s="5579"/>
      <c r="G90" s="5579"/>
      <c r="H90" s="5579"/>
      <c r="I90" s="5579"/>
      <c r="J90" s="5579"/>
      <c r="K90" s="5579"/>
      <c r="L90" s="5580"/>
    </row>
    <row r="91" spans="1:12">
      <c r="A91" s="5582" t="s">
        <v>671</v>
      </c>
      <c r="B91" s="5583"/>
      <c r="C91" s="1623"/>
      <c r="D91" s="1623"/>
      <c r="E91" s="1623"/>
      <c r="F91" s="1623"/>
      <c r="G91" s="1623"/>
      <c r="H91" s="1623"/>
      <c r="I91" s="1623"/>
      <c r="J91" s="1623"/>
      <c r="K91" s="1623"/>
      <c r="L91" s="1624"/>
    </row>
    <row r="92" spans="1:12" ht="13.5">
      <c r="A92" s="872"/>
      <c r="B92" s="873"/>
      <c r="C92" s="1623"/>
      <c r="D92" s="1623"/>
      <c r="E92" s="1623"/>
      <c r="F92" s="1623"/>
      <c r="G92" s="1623"/>
      <c r="H92" s="1623"/>
      <c r="I92" s="1623"/>
      <c r="J92" s="1623"/>
      <c r="K92" s="1623"/>
      <c r="L92" s="1624"/>
    </row>
    <row r="93" spans="1:12">
      <c r="A93" s="5582" t="s">
        <v>672</v>
      </c>
      <c r="B93" s="5579"/>
      <c r="C93" s="5579"/>
      <c r="D93" s="5584" t="s">
        <v>748</v>
      </c>
      <c r="E93" s="5579"/>
      <c r="F93" s="5579"/>
      <c r="G93" s="5579"/>
      <c r="H93" s="5579"/>
      <c r="I93" s="5579"/>
      <c r="J93" s="5579"/>
      <c r="K93" s="5579"/>
      <c r="L93" s="5580"/>
    </row>
    <row r="94" spans="1:12" ht="18.75">
      <c r="A94" s="1619"/>
      <c r="B94" s="294"/>
      <c r="C94" s="294"/>
      <c r="D94" s="294"/>
      <c r="E94" s="294"/>
      <c r="F94" s="294"/>
      <c r="G94" s="294"/>
      <c r="H94" s="294"/>
      <c r="I94" s="294"/>
      <c r="J94" s="294"/>
      <c r="K94" s="294"/>
      <c r="L94" s="858"/>
    </row>
    <row r="95" spans="1:12" ht="12.75" customHeight="1">
      <c r="A95" s="5585" t="s">
        <v>674</v>
      </c>
      <c r="B95" s="5544"/>
      <c r="C95" s="5544"/>
      <c r="D95" s="5544"/>
      <c r="E95" s="5544"/>
      <c r="F95" s="5586" t="s">
        <v>749</v>
      </c>
      <c r="G95" s="5587" t="s">
        <v>676</v>
      </c>
      <c r="H95" s="294"/>
      <c r="I95" s="294"/>
      <c r="J95" s="294"/>
      <c r="K95" s="294"/>
      <c r="L95" s="858"/>
    </row>
    <row r="96" spans="1:12">
      <c r="A96" s="5585"/>
      <c r="B96" s="5544"/>
      <c r="C96" s="5544"/>
      <c r="D96" s="5544"/>
      <c r="E96" s="5544"/>
      <c r="F96" s="5586"/>
      <c r="G96" s="5587"/>
      <c r="H96" s="294"/>
      <c r="I96" s="294"/>
      <c r="J96" s="294"/>
      <c r="K96" s="294"/>
      <c r="L96" s="858"/>
    </row>
    <row r="97" spans="1:12" ht="13.5" customHeight="1">
      <c r="A97" s="5575" t="s">
        <v>677</v>
      </c>
      <c r="B97" s="5544"/>
      <c r="C97" s="5544"/>
      <c r="D97" s="5544"/>
      <c r="E97" s="5544"/>
      <c r="F97" s="5576">
        <v>951</v>
      </c>
      <c r="G97" s="5577" t="s">
        <v>678</v>
      </c>
      <c r="H97" s="294"/>
      <c r="I97" s="294"/>
      <c r="J97" s="294"/>
      <c r="K97" s="294"/>
      <c r="L97" s="858"/>
    </row>
    <row r="98" spans="1:12">
      <c r="A98" s="5575"/>
      <c r="B98" s="5544"/>
      <c r="C98" s="5544"/>
      <c r="D98" s="5544"/>
      <c r="E98" s="5544"/>
      <c r="F98" s="5576"/>
      <c r="G98" s="5577"/>
      <c r="H98" s="294"/>
      <c r="I98" s="294"/>
      <c r="J98" s="294"/>
      <c r="K98" s="294"/>
      <c r="L98" s="858"/>
    </row>
    <row r="99" spans="1:12" ht="13.5" customHeight="1">
      <c r="A99" s="5575" t="s">
        <v>679</v>
      </c>
      <c r="B99" s="5544"/>
      <c r="C99" s="5544"/>
      <c r="D99" s="5544"/>
      <c r="E99" s="5544"/>
      <c r="F99" s="5576" t="s">
        <v>750</v>
      </c>
      <c r="G99" s="5577" t="s">
        <v>676</v>
      </c>
      <c r="H99" s="294"/>
      <c r="I99" s="294"/>
      <c r="J99" s="294"/>
      <c r="K99" s="294"/>
      <c r="L99" s="858"/>
    </row>
    <row r="100" spans="1:12" ht="13.5" thickBot="1">
      <c r="A100" s="5575"/>
      <c r="B100" s="5544"/>
      <c r="C100" s="5544"/>
      <c r="D100" s="5544"/>
      <c r="E100" s="5544"/>
      <c r="F100" s="5576"/>
      <c r="G100" s="5577"/>
      <c r="H100" s="294"/>
      <c r="I100" s="294"/>
      <c r="J100" s="294"/>
      <c r="K100" s="294"/>
      <c r="L100" s="858"/>
    </row>
    <row r="101" spans="1:12" ht="13.5" thickBot="1">
      <c r="A101" s="1613" t="s">
        <v>175</v>
      </c>
      <c r="B101" s="1613" t="s">
        <v>458</v>
      </c>
      <c r="C101" s="1613" t="s">
        <v>374</v>
      </c>
      <c r="D101" s="356"/>
      <c r="E101" s="5565" t="s">
        <v>459</v>
      </c>
      <c r="F101" s="5566"/>
      <c r="G101" s="5565" t="s">
        <v>460</v>
      </c>
      <c r="H101" s="5567"/>
      <c r="I101" s="5566"/>
      <c r="J101" s="5568" t="s">
        <v>461</v>
      </c>
      <c r="K101" s="5569"/>
      <c r="L101" s="858"/>
    </row>
    <row r="102" spans="1:12" ht="13.5" thickBot="1">
      <c r="A102" s="359" t="s">
        <v>462</v>
      </c>
      <c r="B102" s="359" t="s">
        <v>463</v>
      </c>
      <c r="C102" s="359" t="s">
        <v>464</v>
      </c>
      <c r="D102" s="360" t="s">
        <v>465</v>
      </c>
      <c r="E102" s="1612" t="s">
        <v>466</v>
      </c>
      <c r="F102" s="1615" t="s">
        <v>467</v>
      </c>
      <c r="G102" s="359" t="s">
        <v>466</v>
      </c>
      <c r="H102" s="360" t="s">
        <v>468</v>
      </c>
      <c r="I102" s="362" t="s">
        <v>467</v>
      </c>
      <c r="J102" s="5570" t="s">
        <v>469</v>
      </c>
      <c r="K102" s="5571"/>
      <c r="L102" s="858"/>
    </row>
    <row r="103" spans="1:12" ht="13.5" thickBot="1">
      <c r="A103" s="1611"/>
      <c r="B103" s="1611" t="s">
        <v>470</v>
      </c>
      <c r="C103" s="1611"/>
      <c r="D103" s="364"/>
      <c r="E103" s="1612" t="s">
        <v>468</v>
      </c>
      <c r="F103" s="362" t="s">
        <v>471</v>
      </c>
      <c r="G103" s="1614"/>
      <c r="H103" s="365"/>
      <c r="I103" s="362" t="s">
        <v>471</v>
      </c>
      <c r="J103" s="1611" t="s">
        <v>472</v>
      </c>
      <c r="K103" s="364" t="s">
        <v>466</v>
      </c>
      <c r="L103" s="858"/>
    </row>
    <row r="104" spans="1:12" ht="13.5" thickBot="1">
      <c r="A104" s="864"/>
      <c r="B104" s="294"/>
      <c r="C104" s="294"/>
      <c r="D104" s="294"/>
      <c r="E104" s="294"/>
      <c r="F104" s="294"/>
      <c r="G104" s="294"/>
      <c r="H104" s="294"/>
      <c r="I104" s="294"/>
      <c r="J104" s="294"/>
      <c r="K104" s="294"/>
      <c r="L104" s="858"/>
    </row>
    <row r="105" spans="1:12" ht="13.5" thickBot="1">
      <c r="A105" s="367">
        <v>1</v>
      </c>
      <c r="B105" s="368">
        <v>2</v>
      </c>
      <c r="C105" s="368">
        <v>3</v>
      </c>
      <c r="D105" s="368">
        <v>4</v>
      </c>
      <c r="E105" s="368">
        <v>5</v>
      </c>
      <c r="F105" s="368">
        <v>6</v>
      </c>
      <c r="G105" s="368">
        <v>7</v>
      </c>
      <c r="H105" s="368">
        <v>8</v>
      </c>
      <c r="I105" s="368">
        <v>9</v>
      </c>
      <c r="J105" s="368">
        <v>10</v>
      </c>
      <c r="K105" s="368">
        <v>11</v>
      </c>
      <c r="L105" s="874"/>
    </row>
    <row r="106" spans="1:12" ht="13.5" thickBot="1">
      <c r="A106" s="850"/>
      <c r="B106" s="851"/>
      <c r="C106" s="851"/>
      <c r="D106" s="851"/>
      <c r="E106" s="851"/>
      <c r="F106" s="851"/>
      <c r="G106" s="851"/>
      <c r="H106" s="851"/>
      <c r="I106" s="851"/>
      <c r="J106" s="851"/>
      <c r="K106" s="851"/>
      <c r="L106" s="874"/>
    </row>
    <row r="107" spans="1:12" ht="13.5" thickBot="1">
      <c r="A107" s="5550"/>
      <c r="B107" s="5551"/>
      <c r="C107" s="5551"/>
      <c r="D107" s="5551"/>
      <c r="E107" s="5551"/>
      <c r="F107" s="5551"/>
      <c r="G107" s="5551"/>
      <c r="H107" s="5551"/>
      <c r="I107" s="5551"/>
      <c r="J107" s="5551"/>
      <c r="K107" s="5552"/>
      <c r="L107" s="874"/>
    </row>
    <row r="108" spans="1:12" ht="13.5" thickBot="1">
      <c r="A108" s="5572" t="s">
        <v>751</v>
      </c>
      <c r="B108" s="5573"/>
      <c r="C108" s="5573"/>
      <c r="D108" s="5573"/>
      <c r="E108" s="5573"/>
      <c r="F108" s="5573"/>
      <c r="G108" s="5573"/>
      <c r="H108" s="5573"/>
      <c r="I108" s="5573"/>
      <c r="J108" s="5573"/>
      <c r="K108" s="5574"/>
      <c r="L108" s="874"/>
    </row>
    <row r="109" spans="1:12" ht="13.5" thickBot="1">
      <c r="A109" s="5550"/>
      <c r="B109" s="5551"/>
      <c r="C109" s="5551"/>
      <c r="D109" s="5551"/>
      <c r="E109" s="5551"/>
      <c r="F109" s="5551"/>
      <c r="G109" s="5551"/>
      <c r="H109" s="5551"/>
      <c r="I109" s="5551"/>
      <c r="J109" s="5551"/>
      <c r="K109" s="5552"/>
      <c r="L109" s="875"/>
    </row>
    <row r="110" spans="1:12" ht="33.75">
      <c r="A110" s="5558">
        <v>1</v>
      </c>
      <c r="B110" s="5560" t="s">
        <v>752</v>
      </c>
      <c r="C110" s="5560" t="s">
        <v>689</v>
      </c>
      <c r="D110" s="374" t="s">
        <v>753</v>
      </c>
      <c r="E110" s="375">
        <v>0.8</v>
      </c>
      <c r="F110" s="376">
        <v>19221.080000000002</v>
      </c>
      <c r="G110" s="376">
        <v>19221.080000000002</v>
      </c>
      <c r="H110" s="5558">
        <v>15377</v>
      </c>
      <c r="I110" s="5558">
        <v>0</v>
      </c>
      <c r="J110" s="376">
        <v>15377</v>
      </c>
      <c r="K110" s="376">
        <v>0</v>
      </c>
      <c r="L110" s="376">
        <v>0</v>
      </c>
    </row>
    <row r="111" spans="1:12" ht="169.5" thickBot="1">
      <c r="A111" s="5559"/>
      <c r="B111" s="5561"/>
      <c r="C111" s="5561"/>
      <c r="D111" s="372" t="s">
        <v>684</v>
      </c>
      <c r="E111" s="373" t="s">
        <v>691</v>
      </c>
      <c r="F111" s="373">
        <v>0</v>
      </c>
      <c r="G111" s="373">
        <v>24389.57</v>
      </c>
      <c r="H111" s="5559"/>
      <c r="I111" s="5559"/>
      <c r="J111" s="373">
        <v>19512</v>
      </c>
      <c r="K111" s="373">
        <v>97.21</v>
      </c>
      <c r="L111" s="373">
        <v>77.77</v>
      </c>
    </row>
    <row r="112" spans="1:12" ht="22.5">
      <c r="A112" s="5558">
        <v>2</v>
      </c>
      <c r="B112" s="5560" t="s">
        <v>754</v>
      </c>
      <c r="C112" s="374" t="s">
        <v>755</v>
      </c>
      <c r="D112" s="375">
        <v>0.2</v>
      </c>
      <c r="E112" s="376">
        <v>110221.54</v>
      </c>
      <c r="F112" s="376">
        <v>49699.94</v>
      </c>
      <c r="G112" s="5558">
        <v>22044</v>
      </c>
      <c r="H112" s="5558">
        <v>12104</v>
      </c>
      <c r="I112" s="376">
        <v>9940</v>
      </c>
      <c r="J112" s="376">
        <v>292.02</v>
      </c>
      <c r="K112" s="376">
        <v>58.4</v>
      </c>
      <c r="L112" s="5564"/>
    </row>
    <row r="113" spans="1:12" ht="33.75">
      <c r="A113" s="5562"/>
      <c r="B113" s="5563"/>
      <c r="C113" s="374" t="s">
        <v>512</v>
      </c>
      <c r="D113" s="376" t="s">
        <v>757</v>
      </c>
      <c r="E113" s="376">
        <v>60521.599999999999</v>
      </c>
      <c r="F113" s="376">
        <v>12684.38</v>
      </c>
      <c r="G113" s="5562"/>
      <c r="H113" s="5562"/>
      <c r="I113" s="376">
        <v>2537</v>
      </c>
      <c r="J113" s="376">
        <v>49.67</v>
      </c>
      <c r="K113" s="376">
        <v>9.93</v>
      </c>
      <c r="L113" s="5549"/>
    </row>
    <row r="114" spans="1:12" ht="34.5" thickBot="1">
      <c r="A114" s="5559"/>
      <c r="B114" s="5561"/>
      <c r="C114" s="372" t="s">
        <v>756</v>
      </c>
      <c r="D114" s="377"/>
      <c r="E114" s="377"/>
      <c r="F114" s="377"/>
      <c r="G114" s="5559"/>
      <c r="H114" s="5559"/>
      <c r="I114" s="377"/>
      <c r="J114" s="377"/>
      <c r="K114" s="377"/>
      <c r="L114" s="5549"/>
    </row>
    <row r="115" spans="1:12">
      <c r="A115" s="5558">
        <v>3</v>
      </c>
      <c r="B115" s="5560" t="s">
        <v>758</v>
      </c>
      <c r="C115" s="374" t="s">
        <v>759</v>
      </c>
      <c r="D115" s="375">
        <v>20</v>
      </c>
      <c r="E115" s="376">
        <v>534.51</v>
      </c>
      <c r="F115" s="376">
        <v>0</v>
      </c>
      <c r="G115" s="5558">
        <v>10690</v>
      </c>
      <c r="H115" s="5558">
        <v>10690</v>
      </c>
      <c r="I115" s="376">
        <v>0</v>
      </c>
      <c r="J115" s="376">
        <v>2.72</v>
      </c>
      <c r="K115" s="376">
        <v>54.48</v>
      </c>
      <c r="L115" s="5549"/>
    </row>
    <row r="116" spans="1:12">
      <c r="A116" s="5562"/>
      <c r="B116" s="5563"/>
      <c r="C116" s="374" t="s">
        <v>512</v>
      </c>
      <c r="D116" s="376" t="s">
        <v>476</v>
      </c>
      <c r="E116" s="376">
        <v>534.51</v>
      </c>
      <c r="F116" s="376">
        <v>0</v>
      </c>
      <c r="G116" s="5562"/>
      <c r="H116" s="5562"/>
      <c r="I116" s="376">
        <v>0</v>
      </c>
      <c r="J116" s="376">
        <v>0</v>
      </c>
      <c r="K116" s="376">
        <v>0</v>
      </c>
      <c r="L116" s="5549"/>
    </row>
    <row r="117" spans="1:12" ht="34.5" thickBot="1">
      <c r="A117" s="5559"/>
      <c r="B117" s="5561"/>
      <c r="C117" s="372" t="s">
        <v>756</v>
      </c>
      <c r="D117" s="377"/>
      <c r="E117" s="377"/>
      <c r="F117" s="377"/>
      <c r="G117" s="5559"/>
      <c r="H117" s="5559"/>
      <c r="I117" s="377"/>
      <c r="J117" s="377"/>
      <c r="K117" s="377"/>
      <c r="L117" s="5549"/>
    </row>
    <row r="118" spans="1:12">
      <c r="A118" s="5558">
        <v>4</v>
      </c>
      <c r="B118" s="5560" t="s">
        <v>760</v>
      </c>
      <c r="C118" s="374" t="s">
        <v>761</v>
      </c>
      <c r="D118" s="375">
        <v>10</v>
      </c>
      <c r="E118" s="376">
        <v>345.7</v>
      </c>
      <c r="F118" s="376">
        <v>63.38</v>
      </c>
      <c r="G118" s="5558">
        <v>3457</v>
      </c>
      <c r="H118" s="5558">
        <v>2823</v>
      </c>
      <c r="I118" s="376">
        <v>634</v>
      </c>
      <c r="J118" s="376">
        <v>1.31</v>
      </c>
      <c r="K118" s="376">
        <v>13.1</v>
      </c>
      <c r="L118" s="5549"/>
    </row>
    <row r="119" spans="1:12" ht="34.5" thickBot="1">
      <c r="A119" s="5559"/>
      <c r="B119" s="5561"/>
      <c r="C119" s="372" t="s">
        <v>684</v>
      </c>
      <c r="D119" s="373" t="s">
        <v>762</v>
      </c>
      <c r="E119" s="373">
        <v>282.32</v>
      </c>
      <c r="F119" s="373">
        <v>0</v>
      </c>
      <c r="G119" s="5559"/>
      <c r="H119" s="5559"/>
      <c r="I119" s="373">
        <v>0</v>
      </c>
      <c r="J119" s="373">
        <v>7.0000000000000007E-2</v>
      </c>
      <c r="K119" s="373">
        <v>0.7</v>
      </c>
      <c r="L119" s="5549"/>
    </row>
    <row r="120" spans="1:12" ht="33.75">
      <c r="A120" s="5558">
        <v>5</v>
      </c>
      <c r="B120" s="5560" t="s">
        <v>510</v>
      </c>
      <c r="C120" s="374" t="s">
        <v>511</v>
      </c>
      <c r="D120" s="375">
        <v>0.8</v>
      </c>
      <c r="E120" s="376">
        <v>64165.23</v>
      </c>
      <c r="F120" s="376">
        <v>8630.9699999999993</v>
      </c>
      <c r="G120" s="5558">
        <v>51332</v>
      </c>
      <c r="H120" s="5558">
        <v>15897</v>
      </c>
      <c r="I120" s="376">
        <v>6905</v>
      </c>
      <c r="J120" s="376">
        <v>95.88</v>
      </c>
      <c r="K120" s="376">
        <v>76.7</v>
      </c>
      <c r="L120" s="5549"/>
    </row>
    <row r="121" spans="1:12">
      <c r="A121" s="5562"/>
      <c r="B121" s="5563"/>
      <c r="C121" s="374" t="s">
        <v>512</v>
      </c>
      <c r="D121" s="376" t="s">
        <v>513</v>
      </c>
      <c r="E121" s="376">
        <v>19871.29</v>
      </c>
      <c r="F121" s="376">
        <v>2421.77</v>
      </c>
      <c r="G121" s="5562"/>
      <c r="H121" s="5562"/>
      <c r="I121" s="376">
        <v>1937</v>
      </c>
      <c r="J121" s="376">
        <v>7.81</v>
      </c>
      <c r="K121" s="376">
        <v>6.25</v>
      </c>
      <c r="L121" s="5549"/>
    </row>
    <row r="122" spans="1:12" ht="34.5" thickBot="1">
      <c r="A122" s="5559"/>
      <c r="B122" s="5561"/>
      <c r="C122" s="372" t="s">
        <v>756</v>
      </c>
      <c r="D122" s="377"/>
      <c r="E122" s="377"/>
      <c r="F122" s="377"/>
      <c r="G122" s="5559"/>
      <c r="H122" s="5559"/>
      <c r="I122" s="377"/>
      <c r="J122" s="377"/>
      <c r="K122" s="377"/>
      <c r="L122" s="5549"/>
    </row>
    <row r="123" spans="1:12">
      <c r="A123" s="5558">
        <v>6</v>
      </c>
      <c r="B123" s="5560" t="s">
        <v>515</v>
      </c>
      <c r="C123" s="374" t="s">
        <v>516</v>
      </c>
      <c r="D123" s="375">
        <v>4.5</v>
      </c>
      <c r="E123" s="376">
        <v>11932</v>
      </c>
      <c r="F123" s="376">
        <v>307.44</v>
      </c>
      <c r="G123" s="5558">
        <v>53694</v>
      </c>
      <c r="H123" s="5558">
        <v>35040</v>
      </c>
      <c r="I123" s="376">
        <v>1383</v>
      </c>
      <c r="J123" s="376">
        <v>38.93</v>
      </c>
      <c r="K123" s="376">
        <v>175.18</v>
      </c>
      <c r="L123" s="5549"/>
    </row>
    <row r="124" spans="1:12">
      <c r="A124" s="5562"/>
      <c r="B124" s="5563"/>
      <c r="C124" s="374" t="s">
        <v>517</v>
      </c>
      <c r="D124" s="376" t="s">
        <v>518</v>
      </c>
      <c r="E124" s="376">
        <v>7786.59</v>
      </c>
      <c r="F124" s="376">
        <v>133.93</v>
      </c>
      <c r="G124" s="5562"/>
      <c r="H124" s="5562"/>
      <c r="I124" s="376">
        <v>603</v>
      </c>
      <c r="J124" s="376">
        <v>0.43</v>
      </c>
      <c r="K124" s="376">
        <v>1.94</v>
      </c>
      <c r="L124" s="5549"/>
    </row>
    <row r="125" spans="1:12" ht="34.5" thickBot="1">
      <c r="A125" s="5559"/>
      <c r="B125" s="5561"/>
      <c r="C125" s="372" t="s">
        <v>756</v>
      </c>
      <c r="D125" s="377"/>
      <c r="E125" s="377"/>
      <c r="F125" s="377"/>
      <c r="G125" s="5559"/>
      <c r="H125" s="5559"/>
      <c r="I125" s="377"/>
      <c r="J125" s="377"/>
      <c r="K125" s="377"/>
      <c r="L125" s="5549"/>
    </row>
    <row r="126" spans="1:12">
      <c r="A126" s="5558">
        <v>7</v>
      </c>
      <c r="B126" s="5560" t="s">
        <v>519</v>
      </c>
      <c r="C126" s="374" t="s">
        <v>520</v>
      </c>
      <c r="D126" s="375">
        <v>3.4</v>
      </c>
      <c r="E126" s="376">
        <v>13649.9</v>
      </c>
      <c r="F126" s="376">
        <v>54.34</v>
      </c>
      <c r="G126" s="5558">
        <v>46410</v>
      </c>
      <c r="H126" s="5558">
        <v>25063</v>
      </c>
      <c r="I126" s="376">
        <v>185</v>
      </c>
      <c r="J126" s="376">
        <v>34.65</v>
      </c>
      <c r="K126" s="376">
        <v>117.81</v>
      </c>
      <c r="L126" s="5549"/>
    </row>
    <row r="127" spans="1:12">
      <c r="A127" s="5562"/>
      <c r="B127" s="5563"/>
      <c r="C127" s="374" t="s">
        <v>517</v>
      </c>
      <c r="D127" s="376" t="s">
        <v>513</v>
      </c>
      <c r="E127" s="376">
        <v>7371.52</v>
      </c>
      <c r="F127" s="376">
        <v>0</v>
      </c>
      <c r="G127" s="5562"/>
      <c r="H127" s="5562"/>
      <c r="I127" s="376">
        <v>0</v>
      </c>
      <c r="J127" s="376">
        <v>0.06</v>
      </c>
      <c r="K127" s="376">
        <v>0.2</v>
      </c>
      <c r="L127" s="5549"/>
    </row>
    <row r="128" spans="1:12" ht="34.5" thickBot="1">
      <c r="A128" s="5559"/>
      <c r="B128" s="5561"/>
      <c r="C128" s="372" t="s">
        <v>756</v>
      </c>
      <c r="D128" s="377"/>
      <c r="E128" s="377"/>
      <c r="F128" s="377"/>
      <c r="G128" s="5559"/>
      <c r="H128" s="5559"/>
      <c r="I128" s="377"/>
      <c r="J128" s="377"/>
      <c r="K128" s="377"/>
      <c r="L128" s="5549"/>
    </row>
    <row r="129" spans="1:12" ht="22.5">
      <c r="A129" s="5558">
        <v>8</v>
      </c>
      <c r="B129" s="5560" t="s">
        <v>763</v>
      </c>
      <c r="C129" s="374" t="s">
        <v>764</v>
      </c>
      <c r="D129" s="375">
        <v>20</v>
      </c>
      <c r="E129" s="376">
        <v>1297.83</v>
      </c>
      <c r="F129" s="376">
        <v>27.64</v>
      </c>
      <c r="G129" s="5558">
        <v>25957</v>
      </c>
      <c r="H129" s="5558">
        <v>25404</v>
      </c>
      <c r="I129" s="376">
        <v>553</v>
      </c>
      <c r="J129" s="376">
        <v>6.58</v>
      </c>
      <c r="K129" s="376">
        <v>131.6</v>
      </c>
      <c r="L129" s="5549"/>
    </row>
    <row r="130" spans="1:12" ht="34.5" thickBot="1">
      <c r="A130" s="5559"/>
      <c r="B130" s="5561"/>
      <c r="C130" s="372" t="s">
        <v>684</v>
      </c>
      <c r="D130" s="373" t="s">
        <v>765</v>
      </c>
      <c r="E130" s="373">
        <v>1270.19</v>
      </c>
      <c r="F130" s="373">
        <v>0</v>
      </c>
      <c r="G130" s="5559"/>
      <c r="H130" s="5559"/>
      <c r="I130" s="373">
        <v>0</v>
      </c>
      <c r="J130" s="373">
        <v>0</v>
      </c>
      <c r="K130" s="373">
        <v>0</v>
      </c>
      <c r="L130" s="5549"/>
    </row>
    <row r="131" spans="1:12">
      <c r="A131" s="5558">
        <v>9</v>
      </c>
      <c r="B131" s="5560" t="s">
        <v>766</v>
      </c>
      <c r="C131" s="374" t="s">
        <v>767</v>
      </c>
      <c r="D131" s="375">
        <v>25</v>
      </c>
      <c r="E131" s="376">
        <v>336.26</v>
      </c>
      <c r="F131" s="376">
        <v>90.6</v>
      </c>
      <c r="G131" s="5558">
        <v>8406</v>
      </c>
      <c r="H131" s="5558">
        <v>6142</v>
      </c>
      <c r="I131" s="376">
        <v>2265</v>
      </c>
      <c r="J131" s="376">
        <v>1.1399999999999999</v>
      </c>
      <c r="K131" s="376">
        <v>28.5</v>
      </c>
      <c r="L131" s="5549"/>
    </row>
    <row r="132" spans="1:12" ht="34.5" thickBot="1">
      <c r="A132" s="5559"/>
      <c r="B132" s="5561"/>
      <c r="C132" s="372" t="s">
        <v>684</v>
      </c>
      <c r="D132" s="373" t="s">
        <v>768</v>
      </c>
      <c r="E132" s="373">
        <v>245.66</v>
      </c>
      <c r="F132" s="373">
        <v>0</v>
      </c>
      <c r="G132" s="5559"/>
      <c r="H132" s="5559"/>
      <c r="I132" s="373">
        <v>0</v>
      </c>
      <c r="J132" s="373">
        <v>0.1</v>
      </c>
      <c r="K132" s="373">
        <v>2.5</v>
      </c>
      <c r="L132" s="5549"/>
    </row>
    <row r="133" spans="1:12">
      <c r="A133" s="5558">
        <v>10</v>
      </c>
      <c r="B133" s="5560" t="s">
        <v>769</v>
      </c>
      <c r="C133" s="374" t="s">
        <v>770</v>
      </c>
      <c r="D133" s="375">
        <v>10</v>
      </c>
      <c r="E133" s="376">
        <v>491.39</v>
      </c>
      <c r="F133" s="376">
        <v>90.6</v>
      </c>
      <c r="G133" s="5558">
        <v>4914</v>
      </c>
      <c r="H133" s="5558">
        <v>4008</v>
      </c>
      <c r="I133" s="376">
        <v>906</v>
      </c>
      <c r="J133" s="376">
        <v>1.86</v>
      </c>
      <c r="K133" s="376">
        <v>18.600000000000001</v>
      </c>
      <c r="L133" s="5549"/>
    </row>
    <row r="134" spans="1:12" ht="34.5" thickBot="1">
      <c r="A134" s="5559"/>
      <c r="B134" s="5561"/>
      <c r="C134" s="372" t="s">
        <v>684</v>
      </c>
      <c r="D134" s="373" t="s">
        <v>768</v>
      </c>
      <c r="E134" s="373">
        <v>400.79</v>
      </c>
      <c r="F134" s="373">
        <v>0</v>
      </c>
      <c r="G134" s="5559"/>
      <c r="H134" s="5559"/>
      <c r="I134" s="373">
        <v>0</v>
      </c>
      <c r="J134" s="373">
        <v>0.1</v>
      </c>
      <c r="K134" s="373">
        <v>1</v>
      </c>
      <c r="L134" s="5549"/>
    </row>
    <row r="135" spans="1:12">
      <c r="A135" s="5558">
        <v>11</v>
      </c>
      <c r="B135" s="5560" t="s">
        <v>771</v>
      </c>
      <c r="C135" s="374" t="s">
        <v>772</v>
      </c>
      <c r="D135" s="375">
        <v>10</v>
      </c>
      <c r="E135" s="376">
        <v>1049.04</v>
      </c>
      <c r="F135" s="376">
        <v>521.05999999999995</v>
      </c>
      <c r="G135" s="5558">
        <v>10490</v>
      </c>
      <c r="H135" s="5558">
        <v>5280</v>
      </c>
      <c r="I135" s="376">
        <v>5211</v>
      </c>
      <c r="J135" s="376">
        <v>2.4500000000000002</v>
      </c>
      <c r="K135" s="376">
        <v>24.5</v>
      </c>
      <c r="L135" s="5549"/>
    </row>
    <row r="136" spans="1:12" ht="34.5" thickBot="1">
      <c r="A136" s="5559"/>
      <c r="B136" s="5561"/>
      <c r="C136" s="372" t="s">
        <v>684</v>
      </c>
      <c r="D136" s="373" t="s">
        <v>768</v>
      </c>
      <c r="E136" s="373">
        <v>527.98</v>
      </c>
      <c r="F136" s="373">
        <v>124.7</v>
      </c>
      <c r="G136" s="5559"/>
      <c r="H136" s="5559"/>
      <c r="I136" s="373">
        <v>1247</v>
      </c>
      <c r="J136" s="373">
        <v>0.47</v>
      </c>
      <c r="K136" s="373">
        <v>4.7</v>
      </c>
      <c r="L136" s="5549"/>
    </row>
    <row r="137" spans="1:12" ht="22.5">
      <c r="A137" s="5558">
        <v>12</v>
      </c>
      <c r="B137" s="5560" t="s">
        <v>473</v>
      </c>
      <c r="C137" s="374" t="s">
        <v>474</v>
      </c>
      <c r="D137" s="375">
        <v>10</v>
      </c>
      <c r="E137" s="376">
        <v>4803.8100000000004</v>
      </c>
      <c r="F137" s="376">
        <v>90.6</v>
      </c>
      <c r="G137" s="5558">
        <v>48038</v>
      </c>
      <c r="H137" s="5558">
        <v>9637</v>
      </c>
      <c r="I137" s="376">
        <v>906</v>
      </c>
      <c r="J137" s="376">
        <v>4.53</v>
      </c>
      <c r="K137" s="376">
        <v>45.3</v>
      </c>
      <c r="L137" s="5549"/>
    </row>
    <row r="138" spans="1:12" ht="34.5" thickBot="1">
      <c r="A138" s="5559"/>
      <c r="B138" s="5561"/>
      <c r="C138" s="372" t="s">
        <v>684</v>
      </c>
      <c r="D138" s="373" t="s">
        <v>476</v>
      </c>
      <c r="E138" s="373">
        <v>963.68</v>
      </c>
      <c r="F138" s="373">
        <v>0</v>
      </c>
      <c r="G138" s="5559"/>
      <c r="H138" s="5559"/>
      <c r="I138" s="373">
        <v>0</v>
      </c>
      <c r="J138" s="373">
        <v>0.1</v>
      </c>
      <c r="K138" s="373">
        <v>1</v>
      </c>
      <c r="L138" s="5549"/>
    </row>
    <row r="139" spans="1:12" ht="22.5">
      <c r="A139" s="5558">
        <v>13</v>
      </c>
      <c r="B139" s="5560" t="s">
        <v>477</v>
      </c>
      <c r="C139" s="374" t="s">
        <v>478</v>
      </c>
      <c r="D139" s="375">
        <v>6</v>
      </c>
      <c r="E139" s="376">
        <v>1472.01</v>
      </c>
      <c r="F139" s="376">
        <v>9.0399999999999991</v>
      </c>
      <c r="G139" s="5558">
        <v>8832</v>
      </c>
      <c r="H139" s="5558">
        <v>1339</v>
      </c>
      <c r="I139" s="376">
        <v>54</v>
      </c>
      <c r="J139" s="376">
        <v>1.01</v>
      </c>
      <c r="K139" s="376">
        <v>6.06</v>
      </c>
      <c r="L139" s="5549"/>
    </row>
    <row r="140" spans="1:12" ht="57" thickBot="1">
      <c r="A140" s="5559"/>
      <c r="B140" s="5561"/>
      <c r="C140" s="372" t="s">
        <v>684</v>
      </c>
      <c r="D140" s="373" t="s">
        <v>479</v>
      </c>
      <c r="E140" s="373">
        <v>223.21</v>
      </c>
      <c r="F140" s="373">
        <v>0</v>
      </c>
      <c r="G140" s="5559"/>
      <c r="H140" s="5559"/>
      <c r="I140" s="373">
        <v>0</v>
      </c>
      <c r="J140" s="373">
        <v>0.01</v>
      </c>
      <c r="K140" s="373">
        <v>0.06</v>
      </c>
      <c r="L140" s="5549"/>
    </row>
    <row r="141" spans="1:12" ht="22.5">
      <c r="A141" s="5558">
        <v>14</v>
      </c>
      <c r="B141" s="5560" t="s">
        <v>480</v>
      </c>
      <c r="C141" s="374" t="s">
        <v>481</v>
      </c>
      <c r="D141" s="375">
        <v>6</v>
      </c>
      <c r="E141" s="376">
        <v>2364.29</v>
      </c>
      <c r="F141" s="376">
        <v>27.22</v>
      </c>
      <c r="G141" s="5558">
        <v>14186</v>
      </c>
      <c r="H141" s="5558">
        <v>2215</v>
      </c>
      <c r="I141" s="376">
        <v>163</v>
      </c>
      <c r="J141" s="376">
        <v>1.67</v>
      </c>
      <c r="K141" s="376">
        <v>10.02</v>
      </c>
      <c r="L141" s="5549"/>
    </row>
    <row r="142" spans="1:12" ht="57" thickBot="1">
      <c r="A142" s="5559"/>
      <c r="B142" s="5561"/>
      <c r="C142" s="372" t="s">
        <v>684</v>
      </c>
      <c r="D142" s="373" t="s">
        <v>479</v>
      </c>
      <c r="E142" s="373">
        <v>369.11</v>
      </c>
      <c r="F142" s="373">
        <v>0</v>
      </c>
      <c r="G142" s="5559"/>
      <c r="H142" s="5559"/>
      <c r="I142" s="373">
        <v>0</v>
      </c>
      <c r="J142" s="373">
        <v>0.03</v>
      </c>
      <c r="K142" s="373">
        <v>0.18</v>
      </c>
      <c r="L142" s="5549"/>
    </row>
    <row r="143" spans="1:12" ht="22.5">
      <c r="A143" s="5558">
        <v>15</v>
      </c>
      <c r="B143" s="5560" t="s">
        <v>482</v>
      </c>
      <c r="C143" s="374" t="s">
        <v>483</v>
      </c>
      <c r="D143" s="375">
        <v>5</v>
      </c>
      <c r="E143" s="376">
        <v>2703.56</v>
      </c>
      <c r="F143" s="376">
        <v>27.22</v>
      </c>
      <c r="G143" s="5558">
        <v>13518</v>
      </c>
      <c r="H143" s="5558">
        <v>1878</v>
      </c>
      <c r="I143" s="376">
        <v>136</v>
      </c>
      <c r="J143" s="376">
        <v>1.7</v>
      </c>
      <c r="K143" s="376">
        <v>8.5</v>
      </c>
      <c r="L143" s="5549"/>
    </row>
    <row r="144" spans="1:12" ht="57" thickBot="1">
      <c r="A144" s="5559"/>
      <c r="B144" s="5561"/>
      <c r="C144" s="372" t="s">
        <v>684</v>
      </c>
      <c r="D144" s="373" t="s">
        <v>479</v>
      </c>
      <c r="E144" s="373">
        <v>375.6</v>
      </c>
      <c r="F144" s="373">
        <v>0</v>
      </c>
      <c r="G144" s="5559"/>
      <c r="H144" s="5559"/>
      <c r="I144" s="373">
        <v>0</v>
      </c>
      <c r="J144" s="373">
        <v>0.03</v>
      </c>
      <c r="K144" s="373">
        <v>0.15</v>
      </c>
      <c r="L144" s="5549"/>
    </row>
    <row r="145" spans="1:12" ht="22.5">
      <c r="A145" s="5558">
        <v>16</v>
      </c>
      <c r="B145" s="5560" t="s">
        <v>484</v>
      </c>
      <c r="C145" s="374" t="s">
        <v>485</v>
      </c>
      <c r="D145" s="375">
        <v>4</v>
      </c>
      <c r="E145" s="376">
        <v>4736.55</v>
      </c>
      <c r="F145" s="376">
        <v>63.38</v>
      </c>
      <c r="G145" s="5558">
        <v>18946</v>
      </c>
      <c r="H145" s="5558">
        <v>2515</v>
      </c>
      <c r="I145" s="376">
        <v>254</v>
      </c>
      <c r="J145" s="376">
        <v>2.78</v>
      </c>
      <c r="K145" s="376">
        <v>11.12</v>
      </c>
      <c r="L145" s="5549"/>
    </row>
    <row r="146" spans="1:12" ht="57" thickBot="1">
      <c r="A146" s="5559"/>
      <c r="B146" s="5561"/>
      <c r="C146" s="372" t="s">
        <v>684</v>
      </c>
      <c r="D146" s="373" t="s">
        <v>479</v>
      </c>
      <c r="E146" s="373">
        <v>628.74</v>
      </c>
      <c r="F146" s="373">
        <v>0</v>
      </c>
      <c r="G146" s="5559"/>
      <c r="H146" s="5559"/>
      <c r="I146" s="373">
        <v>0</v>
      </c>
      <c r="J146" s="373">
        <v>7.0000000000000007E-2</v>
      </c>
      <c r="K146" s="373">
        <v>0.28000000000000003</v>
      </c>
      <c r="L146" s="5549"/>
    </row>
    <row r="147" spans="1:12" ht="22.5">
      <c r="A147" s="5558">
        <v>17</v>
      </c>
      <c r="B147" s="5560" t="s">
        <v>486</v>
      </c>
      <c r="C147" s="374" t="s">
        <v>487</v>
      </c>
      <c r="D147" s="375">
        <v>4</v>
      </c>
      <c r="E147" s="376">
        <v>7296.17</v>
      </c>
      <c r="F147" s="376">
        <v>500.38</v>
      </c>
      <c r="G147" s="5558">
        <v>29185</v>
      </c>
      <c r="H147" s="5558">
        <v>3599</v>
      </c>
      <c r="I147" s="376">
        <v>2002</v>
      </c>
      <c r="J147" s="376">
        <v>3.93</v>
      </c>
      <c r="K147" s="376">
        <v>15.72</v>
      </c>
      <c r="L147" s="5549"/>
    </row>
    <row r="148" spans="1:12" ht="57" thickBot="1">
      <c r="A148" s="5559"/>
      <c r="B148" s="5561"/>
      <c r="C148" s="372" t="s">
        <v>684</v>
      </c>
      <c r="D148" s="373" t="s">
        <v>479</v>
      </c>
      <c r="E148" s="373">
        <v>899.84</v>
      </c>
      <c r="F148" s="373">
        <v>89.04</v>
      </c>
      <c r="G148" s="5559"/>
      <c r="H148" s="5559"/>
      <c r="I148" s="373">
        <v>356</v>
      </c>
      <c r="J148" s="373">
        <v>0.36</v>
      </c>
      <c r="K148" s="373">
        <v>1.44</v>
      </c>
      <c r="L148" s="5549"/>
    </row>
    <row r="149" spans="1:12" ht="22.5">
      <c r="A149" s="5558">
        <v>18</v>
      </c>
      <c r="B149" s="5560" t="s">
        <v>488</v>
      </c>
      <c r="C149" s="374" t="s">
        <v>489</v>
      </c>
      <c r="D149" s="375">
        <v>0.1</v>
      </c>
      <c r="E149" s="376">
        <v>127224.66</v>
      </c>
      <c r="F149" s="376">
        <v>36.26</v>
      </c>
      <c r="G149" s="5558">
        <v>12722</v>
      </c>
      <c r="H149" s="5558">
        <v>11222</v>
      </c>
      <c r="I149" s="376">
        <v>4</v>
      </c>
      <c r="J149" s="376">
        <v>520.79999999999995</v>
      </c>
      <c r="K149" s="376">
        <v>52.08</v>
      </c>
      <c r="L149" s="5549"/>
    </row>
    <row r="150" spans="1:12" ht="34.5" thickBot="1">
      <c r="A150" s="5559"/>
      <c r="B150" s="5561"/>
      <c r="C150" s="372" t="s">
        <v>684</v>
      </c>
      <c r="D150" s="373" t="s">
        <v>490</v>
      </c>
      <c r="E150" s="373">
        <v>112222.52</v>
      </c>
      <c r="F150" s="373">
        <v>0</v>
      </c>
      <c r="G150" s="5559"/>
      <c r="H150" s="5559"/>
      <c r="I150" s="373">
        <v>0</v>
      </c>
      <c r="J150" s="373">
        <v>0.04</v>
      </c>
      <c r="K150" s="373">
        <v>0</v>
      </c>
      <c r="L150" s="5549"/>
    </row>
    <row r="151" spans="1:12" ht="22.5">
      <c r="A151" s="5558">
        <v>19</v>
      </c>
      <c r="B151" s="5560" t="s">
        <v>491</v>
      </c>
      <c r="C151" s="374" t="s">
        <v>492</v>
      </c>
      <c r="D151" s="375">
        <v>0.06</v>
      </c>
      <c r="E151" s="376">
        <v>184530.95</v>
      </c>
      <c r="F151" s="376">
        <v>63.38</v>
      </c>
      <c r="G151" s="5558">
        <v>11072</v>
      </c>
      <c r="H151" s="5558">
        <v>9479</v>
      </c>
      <c r="I151" s="376">
        <v>4</v>
      </c>
      <c r="J151" s="376">
        <v>733.2</v>
      </c>
      <c r="K151" s="376">
        <v>43.99</v>
      </c>
      <c r="L151" s="5549"/>
    </row>
    <row r="152" spans="1:12" ht="34.5" thickBot="1">
      <c r="A152" s="5559"/>
      <c r="B152" s="5561"/>
      <c r="C152" s="372" t="s">
        <v>684</v>
      </c>
      <c r="D152" s="373" t="s">
        <v>490</v>
      </c>
      <c r="E152" s="373">
        <v>157991.16</v>
      </c>
      <c r="F152" s="373">
        <v>0</v>
      </c>
      <c r="G152" s="5559"/>
      <c r="H152" s="5559"/>
      <c r="I152" s="373">
        <v>0</v>
      </c>
      <c r="J152" s="373">
        <v>7.0000000000000007E-2</v>
      </c>
      <c r="K152" s="373">
        <v>0</v>
      </c>
      <c r="L152" s="5549"/>
    </row>
    <row r="153" spans="1:12" ht="22.5">
      <c r="A153" s="5558">
        <v>20</v>
      </c>
      <c r="B153" s="5560" t="s">
        <v>493</v>
      </c>
      <c r="C153" s="374" t="s">
        <v>494</v>
      </c>
      <c r="D153" s="375">
        <v>0.06</v>
      </c>
      <c r="E153" s="376">
        <v>249630.38</v>
      </c>
      <c r="F153" s="376">
        <v>81.56</v>
      </c>
      <c r="G153" s="5558">
        <v>14978</v>
      </c>
      <c r="H153" s="5558">
        <v>12766</v>
      </c>
      <c r="I153" s="376">
        <v>5</v>
      </c>
      <c r="J153" s="376">
        <v>987.4</v>
      </c>
      <c r="K153" s="376">
        <v>59.24</v>
      </c>
      <c r="L153" s="5549"/>
    </row>
    <row r="154" spans="1:12" ht="34.5" thickBot="1">
      <c r="A154" s="5559"/>
      <c r="B154" s="5561"/>
      <c r="C154" s="372" t="s">
        <v>684</v>
      </c>
      <c r="D154" s="373" t="s">
        <v>490</v>
      </c>
      <c r="E154" s="373">
        <v>212766.63</v>
      </c>
      <c r="F154" s="373">
        <v>0</v>
      </c>
      <c r="G154" s="5559"/>
      <c r="H154" s="5559"/>
      <c r="I154" s="373">
        <v>0</v>
      </c>
      <c r="J154" s="373">
        <v>0.09</v>
      </c>
      <c r="K154" s="373">
        <v>0.01</v>
      </c>
      <c r="L154" s="5549"/>
    </row>
    <row r="155" spans="1:12" ht="13.5" thickBot="1">
      <c r="A155" s="5550"/>
      <c r="B155" s="5551"/>
      <c r="C155" s="5551"/>
      <c r="D155" s="5551"/>
      <c r="E155" s="5551"/>
      <c r="F155" s="5551"/>
      <c r="G155" s="5551"/>
      <c r="H155" s="5551"/>
      <c r="I155" s="5551"/>
      <c r="J155" s="5551"/>
      <c r="K155" s="5552"/>
      <c r="L155" s="874"/>
    </row>
    <row r="156" spans="1:12">
      <c r="A156" s="5553" t="s">
        <v>709</v>
      </c>
      <c r="B156" s="5554"/>
      <c r="C156" s="5554"/>
      <c r="D156" s="5554"/>
      <c r="E156" s="5554"/>
      <c r="F156" s="5556"/>
      <c r="G156" s="5556">
        <v>424248</v>
      </c>
      <c r="H156" s="5556">
        <v>197101</v>
      </c>
      <c r="I156" s="865">
        <v>46887</v>
      </c>
      <c r="J156" s="5556"/>
      <c r="K156" s="376">
        <v>950.91</v>
      </c>
      <c r="L156" s="5549"/>
    </row>
    <row r="157" spans="1:12" ht="13.5" thickBot="1">
      <c r="A157" s="5555"/>
      <c r="B157" s="5547"/>
      <c r="C157" s="5547"/>
      <c r="D157" s="5547"/>
      <c r="E157" s="5547"/>
      <c r="F157" s="5557"/>
      <c r="G157" s="5557"/>
      <c r="H157" s="5557"/>
      <c r="I157" s="1616">
        <v>26192</v>
      </c>
      <c r="J157" s="5557"/>
      <c r="K157" s="373">
        <v>108.11</v>
      </c>
      <c r="L157" s="5549"/>
    </row>
    <row r="158" spans="1:12" ht="21" thickBot="1">
      <c r="A158" s="5545" t="s">
        <v>889</v>
      </c>
      <c r="B158" s="5546"/>
      <c r="C158" s="5546"/>
      <c r="D158" s="5546"/>
      <c r="E158" s="5546"/>
      <c r="F158" s="5546"/>
      <c r="G158" s="2302"/>
      <c r="H158" s="2302"/>
      <c r="I158" s="2303">
        <f>G156-H156-I156-I157</f>
        <v>154068</v>
      </c>
      <c r="J158" s="1616"/>
      <c r="K158" s="373"/>
      <c r="L158" s="874"/>
    </row>
    <row r="159" spans="1:12" ht="13.5" thickBot="1">
      <c r="A159" s="5550"/>
      <c r="B159" s="5551"/>
      <c r="C159" s="5551"/>
      <c r="D159" s="5551"/>
      <c r="E159" s="5551"/>
      <c r="F159" s="5551"/>
      <c r="G159" s="5551"/>
      <c r="H159" s="5551"/>
      <c r="I159" s="5551"/>
      <c r="J159" s="5551"/>
      <c r="K159" s="5552"/>
      <c r="L159" s="874"/>
    </row>
    <row r="160" spans="1:12" hidden="1">
      <c r="A160" s="5553" t="s">
        <v>710</v>
      </c>
      <c r="B160" s="5554"/>
      <c r="C160" s="5554"/>
      <c r="D160" s="5554"/>
      <c r="E160" s="5554"/>
      <c r="F160" s="5556"/>
      <c r="G160" s="5556">
        <v>424248</v>
      </c>
      <c r="H160" s="5556">
        <v>197101</v>
      </c>
      <c r="I160" s="865">
        <v>46887</v>
      </c>
      <c r="J160" s="5556"/>
      <c r="K160" s="376">
        <v>950.91</v>
      </c>
      <c r="L160" s="5549"/>
    </row>
    <row r="161" spans="1:12" ht="13.5" hidden="1" thickBot="1">
      <c r="A161" s="5555"/>
      <c r="B161" s="5547"/>
      <c r="C161" s="5547"/>
      <c r="D161" s="5547"/>
      <c r="E161" s="5547"/>
      <c r="F161" s="5557"/>
      <c r="G161" s="5557"/>
      <c r="H161" s="5557"/>
      <c r="I161" s="1616">
        <v>26192</v>
      </c>
      <c r="J161" s="5557"/>
      <c r="K161" s="373">
        <v>108.11</v>
      </c>
      <c r="L161" s="5549"/>
    </row>
    <row r="162" spans="1:12" ht="13.5" hidden="1" thickBot="1">
      <c r="A162" s="850"/>
      <c r="B162" s="851"/>
      <c r="C162" s="851"/>
      <c r="D162" s="851"/>
      <c r="E162" s="851"/>
      <c r="F162" s="851"/>
      <c r="G162" s="851"/>
      <c r="H162" s="851"/>
      <c r="I162" s="851"/>
      <c r="J162" s="851"/>
      <c r="K162" s="851"/>
      <c r="L162" s="874"/>
    </row>
    <row r="163" spans="1:12" hidden="1">
      <c r="A163" s="867"/>
      <c r="B163" s="294"/>
      <c r="C163" s="294"/>
      <c r="D163" s="294"/>
      <c r="E163" s="294"/>
      <c r="F163" s="294"/>
      <c r="G163" s="294"/>
      <c r="H163" s="294"/>
      <c r="I163" s="294"/>
      <c r="J163" s="294"/>
      <c r="K163" s="294"/>
      <c r="L163" s="858"/>
    </row>
    <row r="164" spans="1:12" hidden="1">
      <c r="A164" s="867"/>
      <c r="B164" s="294"/>
      <c r="C164" s="5543" t="s">
        <v>711</v>
      </c>
      <c r="D164" s="5544"/>
      <c r="E164" s="5544"/>
      <c r="F164" s="5544"/>
      <c r="G164" s="5544"/>
      <c r="H164" s="5544"/>
      <c r="I164" s="5543" t="s">
        <v>712</v>
      </c>
      <c r="J164" s="5543" t="s">
        <v>713</v>
      </c>
      <c r="K164" s="1620" t="s">
        <v>578</v>
      </c>
      <c r="L164" s="858"/>
    </row>
    <row r="165" spans="1:12" hidden="1">
      <c r="A165" s="867"/>
      <c r="B165" s="294"/>
      <c r="C165" s="5543"/>
      <c r="D165" s="5544"/>
      <c r="E165" s="5544"/>
      <c r="F165" s="5544"/>
      <c r="G165" s="5544"/>
      <c r="H165" s="5544"/>
      <c r="I165" s="5543"/>
      <c r="J165" s="5543"/>
      <c r="K165" s="1620" t="s">
        <v>714</v>
      </c>
      <c r="L165" s="858"/>
    </row>
    <row r="166" spans="1:12" ht="13.5" hidden="1" thickBot="1">
      <c r="A166" s="867"/>
      <c r="B166" s="294"/>
      <c r="C166" s="1622"/>
      <c r="D166" s="1622"/>
      <c r="E166" s="1622"/>
      <c r="F166" s="1622"/>
      <c r="G166" s="294"/>
      <c r="H166" s="294"/>
      <c r="I166" s="1622"/>
      <c r="J166" s="1622"/>
      <c r="K166" s="1622"/>
      <c r="L166" s="858"/>
    </row>
    <row r="167" spans="1:12" ht="13.5" hidden="1" thickBot="1">
      <c r="A167" s="867"/>
      <c r="B167" s="294"/>
      <c r="C167" s="5543" t="s">
        <v>54</v>
      </c>
      <c r="D167" s="5544"/>
      <c r="E167" s="5544"/>
      <c r="F167" s="5544"/>
      <c r="G167" s="5544"/>
      <c r="H167" s="5544"/>
      <c r="I167" s="1616"/>
      <c r="J167" s="1616"/>
      <c r="K167" s="1616" t="s">
        <v>773</v>
      </c>
      <c r="L167" s="858"/>
    </row>
    <row r="168" spans="1:12" ht="13.5" hidden="1" thickBot="1">
      <c r="A168" s="867"/>
      <c r="B168" s="294"/>
      <c r="C168" s="5543" t="s">
        <v>720</v>
      </c>
      <c r="D168" s="5544"/>
      <c r="E168" s="5544"/>
      <c r="F168" s="5544"/>
      <c r="G168" s="5544"/>
      <c r="H168" s="5544"/>
      <c r="I168" s="1616">
        <v>0.6</v>
      </c>
      <c r="J168" s="1616">
        <v>71</v>
      </c>
      <c r="K168" s="1616" t="s">
        <v>774</v>
      </c>
      <c r="L168" s="858"/>
    </row>
    <row r="169" spans="1:12" ht="13.5" hidden="1" thickBot="1">
      <c r="A169" s="867"/>
      <c r="B169" s="294"/>
      <c r="C169" s="5543" t="s">
        <v>775</v>
      </c>
      <c r="D169" s="5544"/>
      <c r="E169" s="5544"/>
      <c r="F169" s="5544"/>
      <c r="G169" s="5544"/>
      <c r="H169" s="5544"/>
      <c r="I169" s="1616">
        <v>0.6</v>
      </c>
      <c r="J169" s="1616">
        <v>93</v>
      </c>
      <c r="K169" s="1616" t="s">
        <v>776</v>
      </c>
      <c r="L169" s="858"/>
    </row>
    <row r="170" spans="1:12" ht="13.5" hidden="1" thickBot="1">
      <c r="A170" s="867"/>
      <c r="B170" s="294"/>
      <c r="C170" s="5543" t="s">
        <v>724</v>
      </c>
      <c r="D170" s="5544"/>
      <c r="E170" s="5544"/>
      <c r="F170" s="5544"/>
      <c r="G170" s="5544"/>
      <c r="H170" s="5544"/>
      <c r="I170" s="1616">
        <v>0.6</v>
      </c>
      <c r="J170" s="1616">
        <v>92</v>
      </c>
      <c r="K170" s="1616" t="s">
        <v>777</v>
      </c>
      <c r="L170" s="858"/>
    </row>
    <row r="171" spans="1:12" ht="13.5" hidden="1" thickBot="1">
      <c r="A171" s="867"/>
      <c r="B171" s="294"/>
      <c r="C171" s="5543" t="s">
        <v>722</v>
      </c>
      <c r="D171" s="5544"/>
      <c r="E171" s="5544"/>
      <c r="F171" s="5544"/>
      <c r="G171" s="5544"/>
      <c r="H171" s="5544"/>
      <c r="I171" s="1616">
        <v>0.6</v>
      </c>
      <c r="J171" s="1616">
        <v>116</v>
      </c>
      <c r="K171" s="1616" t="s">
        <v>778</v>
      </c>
      <c r="L171" s="858"/>
    </row>
    <row r="172" spans="1:12" ht="13.5" hidden="1" thickBot="1">
      <c r="A172" s="867"/>
      <c r="B172" s="294"/>
      <c r="C172" s="5543" t="s">
        <v>779</v>
      </c>
      <c r="D172" s="5544"/>
      <c r="E172" s="5544"/>
      <c r="F172" s="5544"/>
      <c r="G172" s="5544"/>
      <c r="H172" s="5544"/>
      <c r="I172" s="1616">
        <v>0.6</v>
      </c>
      <c r="J172" s="1616">
        <v>77</v>
      </c>
      <c r="K172" s="1616" t="s">
        <v>780</v>
      </c>
      <c r="L172" s="858"/>
    </row>
    <row r="173" spans="1:12" ht="13.5" hidden="1" thickBot="1">
      <c r="A173" s="867"/>
      <c r="B173" s="294"/>
      <c r="C173" s="5543" t="s">
        <v>781</v>
      </c>
      <c r="D173" s="5544"/>
      <c r="E173" s="5544"/>
      <c r="F173" s="5544"/>
      <c r="G173" s="5544"/>
      <c r="H173" s="5544"/>
      <c r="I173" s="1616">
        <v>0.6</v>
      </c>
      <c r="J173" s="1616">
        <v>83</v>
      </c>
      <c r="K173" s="1616" t="s">
        <v>782</v>
      </c>
      <c r="L173" s="858"/>
    </row>
    <row r="174" spans="1:12" ht="13.5" hidden="1" thickBot="1">
      <c r="A174" s="867"/>
      <c r="B174" s="294"/>
      <c r="C174" s="5543" t="s">
        <v>783</v>
      </c>
      <c r="D174" s="5544"/>
      <c r="E174" s="5544"/>
      <c r="F174" s="5544"/>
      <c r="G174" s="5544"/>
      <c r="H174" s="5544"/>
      <c r="I174" s="1616">
        <v>0.7</v>
      </c>
      <c r="J174" s="1616">
        <v>66</v>
      </c>
      <c r="K174" s="1616" t="s">
        <v>784</v>
      </c>
      <c r="L174" s="858"/>
    </row>
    <row r="175" spans="1:12" ht="13.5" hidden="1" thickBot="1">
      <c r="A175" s="867"/>
      <c r="B175" s="294"/>
      <c r="C175" s="5543" t="s">
        <v>785</v>
      </c>
      <c r="D175" s="5544"/>
      <c r="E175" s="5544"/>
      <c r="F175" s="5544"/>
      <c r="G175" s="5544"/>
      <c r="H175" s="5544"/>
      <c r="I175" s="1616">
        <v>0.6</v>
      </c>
      <c r="J175" s="1616">
        <v>92</v>
      </c>
      <c r="K175" s="1616" t="s">
        <v>786</v>
      </c>
      <c r="L175" s="858"/>
    </row>
    <row r="176" spans="1:12" ht="13.5" hidden="1" thickBot="1">
      <c r="A176" s="867"/>
      <c r="B176" s="294"/>
      <c r="C176" s="5543" t="s">
        <v>726</v>
      </c>
      <c r="D176" s="5544"/>
      <c r="E176" s="5544"/>
      <c r="F176" s="5544"/>
      <c r="G176" s="5544"/>
      <c r="H176" s="5544"/>
      <c r="I176" s="1616"/>
      <c r="J176" s="1616"/>
      <c r="K176" s="1616" t="s">
        <v>787</v>
      </c>
      <c r="L176" s="858"/>
    </row>
    <row r="177" spans="1:12" ht="13.5" hidden="1" thickBot="1">
      <c r="A177" s="867"/>
      <c r="B177" s="294"/>
      <c r="C177" s="5543" t="s">
        <v>54</v>
      </c>
      <c r="D177" s="5544"/>
      <c r="E177" s="5544"/>
      <c r="F177" s="5544"/>
      <c r="G177" s="5544"/>
      <c r="H177" s="5544"/>
      <c r="I177" s="1616"/>
      <c r="J177" s="1616"/>
      <c r="K177" s="1616" t="s">
        <v>788</v>
      </c>
      <c r="L177" s="858"/>
    </row>
    <row r="178" spans="1:12" ht="13.5" hidden="1" thickBot="1">
      <c r="A178" s="867"/>
      <c r="B178" s="294"/>
      <c r="C178" s="5543" t="s">
        <v>733</v>
      </c>
      <c r="D178" s="5544"/>
      <c r="E178" s="5544"/>
      <c r="F178" s="5544"/>
      <c r="G178" s="5544"/>
      <c r="H178" s="5544"/>
      <c r="I178" s="1616"/>
      <c r="J178" s="1616">
        <v>36</v>
      </c>
      <c r="K178" s="1616" t="s">
        <v>789</v>
      </c>
      <c r="L178" s="858"/>
    </row>
    <row r="179" spans="1:12" ht="13.5" hidden="1" thickBot="1">
      <c r="A179" s="867"/>
      <c r="B179" s="294"/>
      <c r="C179" s="5543" t="s">
        <v>790</v>
      </c>
      <c r="D179" s="5544"/>
      <c r="E179" s="5544"/>
      <c r="F179" s="5544"/>
      <c r="G179" s="5544"/>
      <c r="H179" s="5544"/>
      <c r="I179" s="1616"/>
      <c r="J179" s="1616">
        <v>48</v>
      </c>
      <c r="K179" s="1616" t="s">
        <v>791</v>
      </c>
      <c r="L179" s="858"/>
    </row>
    <row r="180" spans="1:12" ht="13.5" hidden="1" thickBot="1">
      <c r="A180" s="867"/>
      <c r="B180" s="294"/>
      <c r="C180" s="5543" t="s">
        <v>737</v>
      </c>
      <c r="D180" s="5544"/>
      <c r="E180" s="5544"/>
      <c r="F180" s="5544"/>
      <c r="G180" s="5544"/>
      <c r="H180" s="5544"/>
      <c r="I180" s="1616"/>
      <c r="J180" s="1616">
        <v>54</v>
      </c>
      <c r="K180" s="1616" t="s">
        <v>792</v>
      </c>
      <c r="L180" s="858"/>
    </row>
    <row r="181" spans="1:12" ht="13.5" hidden="1" thickBot="1">
      <c r="A181" s="867"/>
      <c r="B181" s="294"/>
      <c r="C181" s="5543" t="s">
        <v>735</v>
      </c>
      <c r="D181" s="5544"/>
      <c r="E181" s="5544"/>
      <c r="F181" s="5544"/>
      <c r="G181" s="5544"/>
      <c r="H181" s="5544"/>
      <c r="I181" s="1616"/>
      <c r="J181" s="1616">
        <v>61</v>
      </c>
      <c r="K181" s="1616" t="s">
        <v>793</v>
      </c>
      <c r="L181" s="858"/>
    </row>
    <row r="182" spans="1:12" ht="13.5" hidden="1" thickBot="1">
      <c r="A182" s="867"/>
      <c r="B182" s="294"/>
      <c r="C182" s="5543" t="s">
        <v>794</v>
      </c>
      <c r="D182" s="5544"/>
      <c r="E182" s="5544"/>
      <c r="F182" s="5544"/>
      <c r="G182" s="5544"/>
      <c r="H182" s="5544"/>
      <c r="I182" s="1616"/>
      <c r="J182" s="1616">
        <v>56</v>
      </c>
      <c r="K182" s="1616" t="s">
        <v>795</v>
      </c>
      <c r="L182" s="858"/>
    </row>
    <row r="183" spans="1:12" ht="13.5" hidden="1" thickBot="1">
      <c r="A183" s="867"/>
      <c r="B183" s="294"/>
      <c r="C183" s="5543" t="s">
        <v>796</v>
      </c>
      <c r="D183" s="5544"/>
      <c r="E183" s="5544"/>
      <c r="F183" s="5544"/>
      <c r="G183" s="5544"/>
      <c r="H183" s="5544"/>
      <c r="I183" s="1616"/>
      <c r="J183" s="1616">
        <v>60</v>
      </c>
      <c r="K183" s="1616" t="s">
        <v>797</v>
      </c>
      <c r="L183" s="858"/>
    </row>
    <row r="184" spans="1:12" ht="13.5" hidden="1" thickBot="1">
      <c r="A184" s="867"/>
      <c r="B184" s="294"/>
      <c r="C184" s="5543" t="s">
        <v>798</v>
      </c>
      <c r="D184" s="5544"/>
      <c r="E184" s="5544"/>
      <c r="F184" s="5544"/>
      <c r="G184" s="5544"/>
      <c r="H184" s="5544"/>
      <c r="I184" s="1616"/>
      <c r="J184" s="1616">
        <v>40</v>
      </c>
      <c r="K184" s="1616" t="s">
        <v>799</v>
      </c>
      <c r="L184" s="858"/>
    </row>
    <row r="185" spans="1:12" ht="13.5" hidden="1" thickBot="1">
      <c r="A185" s="867"/>
      <c r="B185" s="294"/>
      <c r="C185" s="5543" t="s">
        <v>735</v>
      </c>
      <c r="D185" s="5544"/>
      <c r="E185" s="5544"/>
      <c r="F185" s="5544"/>
      <c r="G185" s="5544"/>
      <c r="H185" s="5544"/>
      <c r="I185" s="1616"/>
      <c r="J185" s="1616">
        <v>71</v>
      </c>
      <c r="K185" s="1616" t="s">
        <v>800</v>
      </c>
      <c r="L185" s="858"/>
    </row>
    <row r="186" spans="1:12" ht="13.5" hidden="1" thickBot="1">
      <c r="A186" s="867"/>
      <c r="B186" s="294"/>
      <c r="C186" s="5543" t="s">
        <v>801</v>
      </c>
      <c r="D186" s="5544"/>
      <c r="E186" s="5544"/>
      <c r="F186" s="5544"/>
      <c r="G186" s="5544"/>
      <c r="H186" s="5544"/>
      <c r="I186" s="1616"/>
      <c r="J186" s="1616">
        <v>48</v>
      </c>
      <c r="K186" s="1616" t="s">
        <v>802</v>
      </c>
      <c r="L186" s="858"/>
    </row>
    <row r="187" spans="1:12" ht="13.5" hidden="1" thickBot="1">
      <c r="A187" s="867"/>
      <c r="B187" s="294"/>
      <c r="C187" s="5543" t="s">
        <v>739</v>
      </c>
      <c r="D187" s="5544"/>
      <c r="E187" s="5544"/>
      <c r="F187" s="5544"/>
      <c r="G187" s="5544"/>
      <c r="H187" s="5544"/>
      <c r="I187" s="1616"/>
      <c r="J187" s="1616"/>
      <c r="K187" s="1616" t="s">
        <v>803</v>
      </c>
      <c r="L187" s="858"/>
    </row>
    <row r="188" spans="1:12" ht="13.5" hidden="1" thickBot="1">
      <c r="A188" s="867"/>
      <c r="B188" s="294"/>
      <c r="C188" s="5543" t="s">
        <v>54</v>
      </c>
      <c r="D188" s="5544"/>
      <c r="E188" s="5544"/>
      <c r="F188" s="5544"/>
      <c r="G188" s="5544"/>
      <c r="H188" s="5544"/>
      <c r="I188" s="1616"/>
      <c r="J188" s="1616"/>
      <c r="K188" s="1616" t="s">
        <v>804</v>
      </c>
      <c r="L188" s="858"/>
    </row>
    <row r="189" spans="1:12" ht="13.5" hidden="1" thickBot="1">
      <c r="A189" s="867"/>
      <c r="B189" s="294"/>
      <c r="C189" s="5543" t="s">
        <v>293</v>
      </c>
      <c r="D189" s="5544"/>
      <c r="E189" s="5544"/>
      <c r="F189" s="5544"/>
      <c r="G189" s="5544"/>
      <c r="H189" s="5544"/>
      <c r="I189" s="1616"/>
      <c r="J189" s="1616"/>
      <c r="K189" s="1616" t="s">
        <v>804</v>
      </c>
      <c r="L189" s="858"/>
    </row>
    <row r="190" spans="1:12" ht="13.5" hidden="1" thickBot="1">
      <c r="A190" s="867"/>
      <c r="B190" s="294"/>
      <c r="C190" s="5543" t="s">
        <v>742</v>
      </c>
      <c r="D190" s="5544"/>
      <c r="E190" s="5544"/>
      <c r="F190" s="5544"/>
      <c r="G190" s="5544"/>
      <c r="H190" s="5544"/>
      <c r="I190" s="1616"/>
      <c r="J190" s="1616">
        <v>18</v>
      </c>
      <c r="K190" s="1616" t="s">
        <v>805</v>
      </c>
      <c r="L190" s="858"/>
    </row>
    <row r="191" spans="1:12" ht="13.5" hidden="1" thickBot="1">
      <c r="A191" s="867"/>
      <c r="B191" s="294"/>
      <c r="C191" s="5543" t="s">
        <v>293</v>
      </c>
      <c r="D191" s="5544"/>
      <c r="E191" s="5544"/>
      <c r="F191" s="5544"/>
      <c r="G191" s="5544"/>
      <c r="H191" s="5544"/>
      <c r="I191" s="1616"/>
      <c r="J191" s="1616"/>
      <c r="K191" s="1616" t="s">
        <v>749</v>
      </c>
      <c r="L191" s="858"/>
    </row>
    <row r="192" spans="1:12" ht="13.5" hidden="1" thickBot="1">
      <c r="A192" s="854"/>
      <c r="B192" s="853"/>
      <c r="C192" s="5547" t="s">
        <v>744</v>
      </c>
      <c r="D192" s="5548"/>
      <c r="E192" s="5548"/>
      <c r="F192" s="5548"/>
      <c r="G192" s="5548"/>
      <c r="H192" s="5548"/>
      <c r="I192" s="1616"/>
      <c r="J192" s="1616"/>
      <c r="K192" s="1616" t="s">
        <v>749</v>
      </c>
      <c r="L192" s="849"/>
    </row>
    <row r="193" spans="1:22" ht="15.75" hidden="1">
      <c r="C193" s="852"/>
      <c r="D193" s="852"/>
      <c r="E193" s="852"/>
      <c r="F193" s="852"/>
      <c r="K193" s="877">
        <v>772319</v>
      </c>
    </row>
    <row r="194" spans="1:22" ht="15.75">
      <c r="A194" s="878" t="s">
        <v>890</v>
      </c>
      <c r="B194" s="878"/>
      <c r="C194" s="878"/>
      <c r="D194" s="878"/>
      <c r="E194" s="878"/>
      <c r="F194" s="878"/>
      <c r="G194" s="878"/>
      <c r="H194" s="878"/>
      <c r="I194" s="878"/>
      <c r="J194" s="878"/>
      <c r="K194" s="878">
        <f>SUM(K82+K193)</f>
        <v>1593616</v>
      </c>
      <c r="L194" s="878"/>
    </row>
    <row r="196" spans="1:22" ht="13.5" thickBot="1"/>
    <row r="197" spans="1:22" ht="21" thickBot="1">
      <c r="A197" s="5545" t="s">
        <v>891</v>
      </c>
      <c r="B197" s="5546"/>
      <c r="C197" s="5546"/>
      <c r="D197" s="5546"/>
      <c r="E197" s="5546"/>
      <c r="F197" s="5546"/>
      <c r="G197" s="2298"/>
      <c r="H197" s="2298"/>
      <c r="I197" s="2299">
        <f>I158+I55</f>
        <v>256133</v>
      </c>
      <c r="J197" s="2298"/>
      <c r="K197" s="2298"/>
      <c r="L197" s="2298"/>
    </row>
    <row r="199" spans="1:22">
      <c r="I199" s="428"/>
      <c r="J199" s="428" t="s">
        <v>267</v>
      </c>
      <c r="K199" s="428" t="s">
        <v>268</v>
      </c>
      <c r="L199" s="428" t="s">
        <v>269</v>
      </c>
      <c r="M199" s="428" t="s">
        <v>270</v>
      </c>
      <c r="N199" s="428" t="s">
        <v>271</v>
      </c>
      <c r="O199" s="428" t="s">
        <v>272</v>
      </c>
      <c r="P199" s="428" t="s">
        <v>1227</v>
      </c>
      <c r="Q199" s="428" t="s">
        <v>273</v>
      </c>
      <c r="R199" s="428" t="s">
        <v>1245</v>
      </c>
      <c r="S199" s="428" t="s">
        <v>274</v>
      </c>
      <c r="T199" s="428" t="s">
        <v>275</v>
      </c>
      <c r="U199" s="428" t="s">
        <v>1336</v>
      </c>
      <c r="V199" s="428" t="s">
        <v>1589</v>
      </c>
    </row>
    <row r="200" spans="1:22">
      <c r="I200" s="2559">
        <f>SUM(I197/1000)</f>
        <v>256.13299999999998</v>
      </c>
      <c r="J200" s="2560">
        <v>0</v>
      </c>
      <c r="K200" s="2560">
        <v>0</v>
      </c>
      <c r="L200" s="2560">
        <v>0</v>
      </c>
      <c r="M200" s="2560">
        <v>0</v>
      </c>
      <c r="N200" s="2560">
        <v>0.1</v>
      </c>
      <c r="O200" s="2560">
        <v>0.15</v>
      </c>
      <c r="P200" s="2560">
        <v>0.2</v>
      </c>
      <c r="Q200" s="2560">
        <v>0.2</v>
      </c>
      <c r="R200" s="2560">
        <v>0.2</v>
      </c>
      <c r="S200" s="2560">
        <v>0.15</v>
      </c>
      <c r="T200" s="2560">
        <v>0</v>
      </c>
      <c r="U200" s="2560">
        <v>0</v>
      </c>
      <c r="V200" s="2560">
        <f>SUM(J200:U200)</f>
        <v>1</v>
      </c>
    </row>
    <row r="201" spans="1:22">
      <c r="I201" s="428"/>
      <c r="J201" s="2561">
        <f>SUM(I200*J200)</f>
        <v>0</v>
      </c>
      <c r="K201" s="2561">
        <f>SUM(I200*K200)</f>
        <v>0</v>
      </c>
      <c r="L201" s="2561">
        <f>SUM(I200*L200)</f>
        <v>0</v>
      </c>
      <c r="M201" s="2561">
        <f>SUM(I200*M200)</f>
        <v>0</v>
      </c>
      <c r="N201" s="2561">
        <f>SUM(I200*N200)</f>
        <v>25.613299999999999</v>
      </c>
      <c r="O201" s="2561">
        <f>SUM(I200*O200)</f>
        <v>38.419949999999993</v>
      </c>
      <c r="P201" s="2561">
        <f>SUM(I200*P200)</f>
        <v>51.226599999999998</v>
      </c>
      <c r="Q201" s="2561">
        <f>SUM(I200*Q200)</f>
        <v>51.226599999999998</v>
      </c>
      <c r="R201" s="2561">
        <f>SUM(I200*R200)</f>
        <v>51.226599999999998</v>
      </c>
      <c r="S201" s="2561">
        <f>SUM(I200*S200)</f>
        <v>38.419949999999993</v>
      </c>
      <c r="T201" s="2561">
        <f>SUM(I200*T200)</f>
        <v>0</v>
      </c>
      <c r="U201" s="2561">
        <f>SUM(I200*U200)</f>
        <v>0</v>
      </c>
      <c r="V201" s="2561">
        <f>SUM(I200*V200)</f>
        <v>256.13299999999998</v>
      </c>
    </row>
  </sheetData>
  <mergeCells count="276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9" fitToHeight="3" orientation="portrait" r:id="rId1"/>
  <rowBreaks count="1" manualBreakCount="1">
    <brk id="83" max="1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98"/>
  <sheetViews>
    <sheetView topLeftCell="F4" zoomScaleNormal="100" workbookViewId="0">
      <selection activeCell="K101" sqref="K101"/>
    </sheetView>
  </sheetViews>
  <sheetFormatPr defaultRowHeight="12.75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>
      <c r="I1" t="s">
        <v>1538</v>
      </c>
    </row>
    <row r="2" spans="1:11" ht="18.75">
      <c r="A2" s="5588" t="s">
        <v>807</v>
      </c>
      <c r="B2" s="5589"/>
      <c r="C2" s="5589"/>
      <c r="D2" s="5589"/>
      <c r="E2" s="5589"/>
      <c r="F2" s="5589"/>
      <c r="G2" s="5589"/>
      <c r="H2" s="5589"/>
      <c r="I2" s="5589"/>
      <c r="J2" s="5589"/>
      <c r="K2" s="5594"/>
    </row>
    <row r="3" spans="1:11" ht="13.5">
      <c r="A3" s="5590" t="s">
        <v>668</v>
      </c>
      <c r="B3" s="5544"/>
      <c r="C3" s="5544"/>
      <c r="D3" s="5544"/>
      <c r="E3" s="5544"/>
      <c r="F3" s="5544"/>
      <c r="G3" s="5544"/>
      <c r="H3" s="5544"/>
      <c r="I3" s="5544"/>
      <c r="J3" s="5544"/>
      <c r="K3" s="5595"/>
    </row>
    <row r="4" spans="1:11" ht="18.75">
      <c r="A4" s="857"/>
      <c r="B4" s="294"/>
      <c r="C4" s="294"/>
      <c r="D4" s="294"/>
      <c r="E4" s="294"/>
      <c r="F4" s="294"/>
      <c r="G4" s="294"/>
      <c r="H4" s="294"/>
      <c r="I4" s="294"/>
      <c r="J4" s="294"/>
      <c r="K4" s="858"/>
    </row>
    <row r="5" spans="1:11" ht="18.75">
      <c r="A5" s="5591" t="s">
        <v>808</v>
      </c>
      <c r="B5" s="5544"/>
      <c r="C5" s="5544"/>
      <c r="D5" s="5544"/>
      <c r="E5" s="5544"/>
      <c r="F5" s="5544"/>
      <c r="G5" s="5544"/>
      <c r="H5" s="5544"/>
      <c r="I5" s="5544"/>
      <c r="J5" s="5544"/>
      <c r="K5" s="5595"/>
    </row>
    <row r="6" spans="1:11" ht="18">
      <c r="A6" s="859" t="s">
        <v>670</v>
      </c>
      <c r="B6" s="294"/>
      <c r="C6" s="294"/>
      <c r="D6" s="294"/>
      <c r="E6" s="294"/>
      <c r="F6" s="294"/>
      <c r="G6" s="294"/>
      <c r="H6" s="294"/>
      <c r="I6" s="294"/>
      <c r="J6" s="294"/>
      <c r="K6" s="858"/>
    </row>
    <row r="7" spans="1:11" ht="15">
      <c r="A7" s="5578" t="s">
        <v>508</v>
      </c>
      <c r="B7" s="5544"/>
      <c r="C7" s="5544"/>
      <c r="D7" s="5544"/>
      <c r="E7" s="5544"/>
      <c r="F7" s="5544"/>
      <c r="G7" s="5544"/>
      <c r="H7" s="5544"/>
      <c r="I7" s="5544"/>
      <c r="J7" s="5544"/>
      <c r="K7" s="5595"/>
    </row>
    <row r="8" spans="1:11" ht="18.75">
      <c r="A8" s="1619"/>
      <c r="B8" s="294"/>
      <c r="C8" s="294"/>
      <c r="D8" s="294"/>
      <c r="E8" s="294"/>
      <c r="F8" s="294"/>
      <c r="G8" s="294"/>
      <c r="H8" s="294"/>
      <c r="I8" s="294"/>
      <c r="J8" s="294"/>
      <c r="K8" s="858"/>
    </row>
    <row r="9" spans="1:11">
      <c r="A9" s="5575" t="s">
        <v>671</v>
      </c>
      <c r="B9" s="5544"/>
      <c r="C9" s="5544"/>
      <c r="D9" s="5544"/>
      <c r="E9" s="5544"/>
      <c r="F9" s="5544"/>
      <c r="G9" s="5544"/>
      <c r="H9" s="5544"/>
      <c r="I9" s="5544"/>
      <c r="J9" s="5544"/>
      <c r="K9" s="5595"/>
    </row>
    <row r="10" spans="1:11" ht="13.5">
      <c r="A10" s="1621"/>
      <c r="B10" s="873"/>
      <c r="C10" s="294"/>
      <c r="D10" s="294"/>
      <c r="E10" s="294"/>
      <c r="F10" s="294"/>
      <c r="G10" s="294"/>
      <c r="H10" s="294"/>
      <c r="I10" s="294"/>
      <c r="J10" s="294"/>
      <c r="K10" s="858"/>
    </row>
    <row r="11" spans="1:11">
      <c r="A11" s="5575" t="s">
        <v>672</v>
      </c>
      <c r="B11" s="5544"/>
      <c r="C11" s="5544"/>
      <c r="D11" s="5577" t="s">
        <v>809</v>
      </c>
      <c r="E11" s="5544"/>
      <c r="F11" s="5544"/>
      <c r="G11" s="5544"/>
      <c r="H11" s="5544"/>
      <c r="I11" s="5544"/>
      <c r="J11" s="5544"/>
      <c r="K11" s="5595"/>
    </row>
    <row r="12" spans="1:11" ht="18.75">
      <c r="A12" s="1619"/>
      <c r="B12" s="294"/>
      <c r="C12" s="294"/>
      <c r="D12" s="294"/>
      <c r="E12" s="294"/>
      <c r="F12" s="294"/>
      <c r="G12" s="294"/>
      <c r="H12" s="294"/>
      <c r="I12" s="294"/>
      <c r="J12" s="294"/>
      <c r="K12" s="858"/>
    </row>
    <row r="13" spans="1:11" ht="12.75" customHeight="1">
      <c r="A13" s="5585" t="s">
        <v>674</v>
      </c>
      <c r="B13" s="5544"/>
      <c r="C13" s="5544"/>
      <c r="D13" s="5544"/>
      <c r="E13" s="5544"/>
      <c r="F13" s="5544"/>
      <c r="G13" s="5586" t="s">
        <v>810</v>
      </c>
      <c r="H13" s="5587" t="s">
        <v>676</v>
      </c>
      <c r="I13" s="294"/>
      <c r="J13" s="294"/>
      <c r="K13" s="858"/>
    </row>
    <row r="14" spans="1:11">
      <c r="A14" s="5585"/>
      <c r="B14" s="5544"/>
      <c r="C14" s="5544"/>
      <c r="D14" s="5544"/>
      <c r="E14" s="5544"/>
      <c r="F14" s="5544"/>
      <c r="G14" s="5586"/>
      <c r="H14" s="5587"/>
      <c r="I14" s="294"/>
      <c r="J14" s="294"/>
      <c r="K14" s="858"/>
    </row>
    <row r="15" spans="1:11" ht="15" customHeight="1">
      <c r="A15" s="5575" t="s">
        <v>677</v>
      </c>
      <c r="B15" s="5544"/>
      <c r="C15" s="5544"/>
      <c r="D15" s="5544"/>
      <c r="E15" s="5544"/>
      <c r="F15" s="5544"/>
      <c r="G15" s="5576">
        <v>854</v>
      </c>
      <c r="H15" s="5577" t="s">
        <v>678</v>
      </c>
      <c r="I15" s="294"/>
      <c r="J15" s="294"/>
      <c r="K15" s="858"/>
    </row>
    <row r="16" spans="1:11">
      <c r="A16" s="5575"/>
      <c r="B16" s="5544"/>
      <c r="C16" s="5544"/>
      <c r="D16" s="5544"/>
      <c r="E16" s="5544"/>
      <c r="F16" s="5544"/>
      <c r="G16" s="5576"/>
      <c r="H16" s="5577"/>
      <c r="I16" s="294"/>
      <c r="J16" s="294"/>
      <c r="K16" s="858"/>
    </row>
    <row r="17" spans="1:11" ht="13.5" customHeight="1">
      <c r="A17" s="5575" t="s">
        <v>679</v>
      </c>
      <c r="B17" s="5544"/>
      <c r="C17" s="5544"/>
      <c r="D17" s="5544"/>
      <c r="E17" s="5544"/>
      <c r="F17" s="5544"/>
      <c r="G17" s="5576" t="s">
        <v>811</v>
      </c>
      <c r="H17" s="5577" t="s">
        <v>676</v>
      </c>
      <c r="I17" s="294"/>
      <c r="J17" s="294"/>
      <c r="K17" s="858"/>
    </row>
    <row r="18" spans="1:11" ht="3.75" customHeight="1">
      <c r="A18" s="5575"/>
      <c r="B18" s="5544"/>
      <c r="C18" s="5544"/>
      <c r="D18" s="5544"/>
      <c r="E18" s="5544"/>
      <c r="F18" s="5544"/>
      <c r="G18" s="5576"/>
      <c r="H18" s="5577"/>
      <c r="I18" s="294"/>
      <c r="J18" s="294"/>
      <c r="K18" s="858"/>
    </row>
    <row r="19" spans="1:11" ht="19.5" thickBot="1">
      <c r="A19" s="880" t="s">
        <v>250</v>
      </c>
      <c r="B19" s="294"/>
      <c r="C19" s="294"/>
      <c r="D19" s="294"/>
      <c r="E19" s="294"/>
      <c r="F19" s="294"/>
      <c r="G19" s="294"/>
      <c r="H19" s="294"/>
      <c r="I19" s="294"/>
      <c r="J19" s="294"/>
      <c r="K19" s="858"/>
    </row>
    <row r="20" spans="1:11" ht="13.5" thickBot="1">
      <c r="A20" s="1613" t="s">
        <v>175</v>
      </c>
      <c r="B20" s="1613" t="s">
        <v>458</v>
      </c>
      <c r="C20" s="1613" t="s">
        <v>374</v>
      </c>
      <c r="D20" s="356"/>
      <c r="E20" s="5565" t="s">
        <v>459</v>
      </c>
      <c r="F20" s="5566"/>
      <c r="G20" s="5565" t="s">
        <v>460</v>
      </c>
      <c r="H20" s="5567"/>
      <c r="I20" s="5566"/>
      <c r="J20" s="5568" t="s">
        <v>461</v>
      </c>
      <c r="K20" s="5569"/>
    </row>
    <row r="21" spans="1:11" ht="13.5" thickBot="1">
      <c r="A21" s="359" t="s">
        <v>462</v>
      </c>
      <c r="B21" s="359" t="s">
        <v>463</v>
      </c>
      <c r="C21" s="359" t="s">
        <v>464</v>
      </c>
      <c r="D21" s="360" t="s">
        <v>465</v>
      </c>
      <c r="E21" s="1612" t="s">
        <v>466</v>
      </c>
      <c r="F21" s="1615" t="s">
        <v>467</v>
      </c>
      <c r="G21" s="359" t="s">
        <v>466</v>
      </c>
      <c r="H21" s="360" t="s">
        <v>468</v>
      </c>
      <c r="I21" s="362" t="s">
        <v>467</v>
      </c>
      <c r="J21" s="5570" t="s">
        <v>469</v>
      </c>
      <c r="K21" s="5571"/>
    </row>
    <row r="22" spans="1:11" ht="13.5" thickBot="1">
      <c r="A22" s="1611"/>
      <c r="B22" s="1611" t="s">
        <v>470</v>
      </c>
      <c r="C22" s="1611"/>
      <c r="D22" s="364"/>
      <c r="E22" s="1612" t="s">
        <v>468</v>
      </c>
      <c r="F22" s="362" t="s">
        <v>471</v>
      </c>
      <c r="G22" s="1614"/>
      <c r="H22" s="365"/>
      <c r="I22" s="362" t="s">
        <v>471</v>
      </c>
      <c r="J22" s="1611" t="s">
        <v>472</v>
      </c>
      <c r="K22" s="364" t="s">
        <v>466</v>
      </c>
    </row>
    <row r="23" spans="1:11" ht="13.5" thickBot="1">
      <c r="A23" s="864"/>
      <c r="B23" s="294"/>
      <c r="C23" s="294"/>
      <c r="D23" s="294"/>
      <c r="E23" s="294"/>
      <c r="F23" s="294"/>
      <c r="G23" s="294"/>
      <c r="H23" s="294"/>
      <c r="I23" s="294"/>
      <c r="J23" s="294"/>
      <c r="K23" s="858"/>
    </row>
    <row r="24" spans="1:11" ht="13.5" thickBot="1">
      <c r="A24" s="367">
        <v>1</v>
      </c>
      <c r="B24" s="368">
        <v>2</v>
      </c>
      <c r="C24" s="368">
        <v>3</v>
      </c>
      <c r="D24" s="368">
        <v>4</v>
      </c>
      <c r="E24" s="368">
        <v>5</v>
      </c>
      <c r="F24" s="368">
        <v>6</v>
      </c>
      <c r="G24" s="368">
        <v>7</v>
      </c>
      <c r="H24" s="368">
        <v>8</v>
      </c>
      <c r="I24" s="368">
        <v>9</v>
      </c>
      <c r="J24" s="368">
        <v>10</v>
      </c>
      <c r="K24" s="368">
        <v>11</v>
      </c>
    </row>
    <row r="25" spans="1:11" ht="13.5" thickBot="1">
      <c r="A25" s="850"/>
      <c r="B25" s="851"/>
      <c r="C25" s="851"/>
      <c r="D25" s="851"/>
      <c r="E25" s="851"/>
      <c r="F25" s="851"/>
      <c r="G25" s="851"/>
      <c r="H25" s="851"/>
      <c r="I25" s="851"/>
      <c r="J25" s="851"/>
      <c r="K25" s="851"/>
    </row>
    <row r="26" spans="1:11" ht="13.5" thickBot="1">
      <c r="A26" s="5550"/>
      <c r="B26" s="5551"/>
      <c r="C26" s="5551"/>
      <c r="D26" s="5551"/>
      <c r="E26" s="5551"/>
      <c r="F26" s="5551"/>
      <c r="G26" s="5551"/>
      <c r="H26" s="5551"/>
      <c r="I26" s="5551"/>
      <c r="J26" s="5551"/>
      <c r="K26" s="5552"/>
    </row>
    <row r="27" spans="1:11" ht="13.5" thickBot="1">
      <c r="A27" s="5572" t="s">
        <v>812</v>
      </c>
      <c r="B27" s="5573"/>
      <c r="C27" s="5573"/>
      <c r="D27" s="5573"/>
      <c r="E27" s="5573"/>
      <c r="F27" s="5573"/>
      <c r="G27" s="5573"/>
      <c r="H27" s="5573"/>
      <c r="I27" s="5573"/>
      <c r="J27" s="5573"/>
      <c r="K27" s="5574"/>
    </row>
    <row r="28" spans="1:11" ht="13.5" thickBot="1">
      <c r="A28" s="5550"/>
      <c r="B28" s="5551"/>
      <c r="C28" s="5551"/>
      <c r="D28" s="5551"/>
      <c r="E28" s="5551"/>
      <c r="F28" s="5551"/>
      <c r="G28" s="5551"/>
      <c r="H28" s="5551"/>
      <c r="I28" s="5551"/>
      <c r="J28" s="5551"/>
      <c r="K28" s="5552"/>
    </row>
    <row r="29" spans="1:11">
      <c r="A29" s="5558">
        <v>1</v>
      </c>
      <c r="B29" s="5560" t="s">
        <v>689</v>
      </c>
      <c r="C29" s="374" t="s">
        <v>753</v>
      </c>
      <c r="D29" s="375">
        <v>0.8</v>
      </c>
      <c r="E29" s="376">
        <v>21330.04</v>
      </c>
      <c r="F29" s="376">
        <v>21330.04</v>
      </c>
      <c r="G29" s="5558">
        <v>17064</v>
      </c>
      <c r="H29" s="5558">
        <v>0</v>
      </c>
      <c r="I29" s="376">
        <v>17064</v>
      </c>
      <c r="J29" s="376">
        <v>0</v>
      </c>
      <c r="K29" s="376">
        <v>0</v>
      </c>
    </row>
    <row r="30" spans="1:11" ht="34.5" customHeight="1" thickBot="1">
      <c r="A30" s="5559"/>
      <c r="B30" s="5561"/>
      <c r="C30" s="372" t="s">
        <v>813</v>
      </c>
      <c r="D30" s="373" t="s">
        <v>691</v>
      </c>
      <c r="E30" s="373">
        <v>0</v>
      </c>
      <c r="F30" s="373">
        <v>24389.57</v>
      </c>
      <c r="G30" s="5559"/>
      <c r="H30" s="5559"/>
      <c r="I30" s="373">
        <v>19512</v>
      </c>
      <c r="J30" s="373">
        <v>97.21</v>
      </c>
      <c r="K30" s="373">
        <v>77.77</v>
      </c>
    </row>
    <row r="31" spans="1:11" ht="22.5" customHeight="1">
      <c r="A31" s="5558">
        <v>2</v>
      </c>
      <c r="B31" s="5560" t="s">
        <v>763</v>
      </c>
      <c r="C31" s="374" t="s">
        <v>764</v>
      </c>
      <c r="D31" s="375">
        <v>20</v>
      </c>
      <c r="E31" s="376">
        <v>1300.8599999999999</v>
      </c>
      <c r="F31" s="376">
        <v>30.67</v>
      </c>
      <c r="G31" s="5558">
        <v>26017</v>
      </c>
      <c r="H31" s="5558">
        <v>25404</v>
      </c>
      <c r="I31" s="376">
        <v>613</v>
      </c>
      <c r="J31" s="376">
        <v>6.58</v>
      </c>
      <c r="K31" s="376">
        <v>131.6</v>
      </c>
    </row>
    <row r="32" spans="1:11" ht="33" customHeight="1" thickBot="1">
      <c r="A32" s="5559"/>
      <c r="B32" s="5561"/>
      <c r="C32" s="372" t="s">
        <v>813</v>
      </c>
      <c r="D32" s="373" t="s">
        <v>765</v>
      </c>
      <c r="E32" s="373">
        <v>1270.19</v>
      </c>
      <c r="F32" s="373">
        <v>0</v>
      </c>
      <c r="G32" s="5559"/>
      <c r="H32" s="5559"/>
      <c r="I32" s="373">
        <v>0</v>
      </c>
      <c r="J32" s="373">
        <v>0</v>
      </c>
      <c r="K32" s="373">
        <v>0</v>
      </c>
    </row>
    <row r="33" spans="1:11" ht="22.5" customHeight="1">
      <c r="A33" s="5558">
        <v>3</v>
      </c>
      <c r="B33" s="5560" t="s">
        <v>754</v>
      </c>
      <c r="C33" s="374" t="s">
        <v>755</v>
      </c>
      <c r="D33" s="375">
        <v>0.2</v>
      </c>
      <c r="E33" s="376">
        <v>115674.66</v>
      </c>
      <c r="F33" s="376">
        <v>55153.06</v>
      </c>
      <c r="G33" s="5558">
        <v>23135</v>
      </c>
      <c r="H33" s="5558">
        <v>12104</v>
      </c>
      <c r="I33" s="376">
        <v>11031</v>
      </c>
      <c r="J33" s="376">
        <v>292.02</v>
      </c>
      <c r="K33" s="376">
        <v>58.4</v>
      </c>
    </row>
    <row r="34" spans="1:11" ht="33.75" customHeight="1">
      <c r="A34" s="5562"/>
      <c r="B34" s="5563"/>
      <c r="C34" s="374" t="s">
        <v>512</v>
      </c>
      <c r="D34" s="376" t="s">
        <v>757</v>
      </c>
      <c r="E34" s="376">
        <v>60521.599999999999</v>
      </c>
      <c r="F34" s="376">
        <v>12684.38</v>
      </c>
      <c r="G34" s="5562"/>
      <c r="H34" s="5562"/>
      <c r="I34" s="376">
        <v>2537</v>
      </c>
      <c r="J34" s="376">
        <v>49.67</v>
      </c>
      <c r="K34" s="376">
        <v>9.93</v>
      </c>
    </row>
    <row r="35" spans="1:11" ht="33.75" customHeight="1" thickBot="1">
      <c r="A35" s="5559"/>
      <c r="B35" s="5561"/>
      <c r="C35" s="372" t="s">
        <v>814</v>
      </c>
      <c r="D35" s="377"/>
      <c r="E35" s="377"/>
      <c r="F35" s="377"/>
      <c r="G35" s="5559"/>
      <c r="H35" s="5559"/>
      <c r="I35" s="377"/>
      <c r="J35" s="377"/>
      <c r="K35" s="377"/>
    </row>
    <row r="36" spans="1:11" ht="10.5" customHeight="1">
      <c r="A36" s="5558">
        <v>4</v>
      </c>
      <c r="B36" s="5560" t="s">
        <v>758</v>
      </c>
      <c r="C36" s="374" t="s">
        <v>759</v>
      </c>
      <c r="D36" s="375">
        <v>20</v>
      </c>
      <c r="E36" s="376">
        <v>534.51</v>
      </c>
      <c r="F36" s="376">
        <v>0</v>
      </c>
      <c r="G36" s="5558">
        <v>10690</v>
      </c>
      <c r="H36" s="5558">
        <v>10690</v>
      </c>
      <c r="I36" s="376">
        <v>0</v>
      </c>
      <c r="J36" s="376">
        <v>2.72</v>
      </c>
      <c r="K36" s="376">
        <v>54.48</v>
      </c>
    </row>
    <row r="37" spans="1:11" ht="10.5" customHeight="1">
      <c r="A37" s="5562"/>
      <c r="B37" s="5563"/>
      <c r="C37" s="374" t="s">
        <v>512</v>
      </c>
      <c r="D37" s="376" t="s">
        <v>476</v>
      </c>
      <c r="E37" s="376">
        <v>534.51</v>
      </c>
      <c r="F37" s="376">
        <v>0</v>
      </c>
      <c r="G37" s="5562"/>
      <c r="H37" s="5562"/>
      <c r="I37" s="376">
        <v>0</v>
      </c>
      <c r="J37" s="376">
        <v>0</v>
      </c>
      <c r="K37" s="376">
        <v>0</v>
      </c>
    </row>
    <row r="38" spans="1:11" ht="33.75" customHeight="1" thickBot="1">
      <c r="A38" s="5559"/>
      <c r="B38" s="5561"/>
      <c r="C38" s="372" t="s">
        <v>814</v>
      </c>
      <c r="D38" s="377"/>
      <c r="E38" s="377"/>
      <c r="F38" s="377"/>
      <c r="G38" s="5559"/>
      <c r="H38" s="5559"/>
      <c r="I38" s="377"/>
      <c r="J38" s="377"/>
      <c r="K38" s="377"/>
    </row>
    <row r="39" spans="1:11" ht="10.5" customHeight="1">
      <c r="A39" s="5558">
        <v>5</v>
      </c>
      <c r="B39" s="5560" t="s">
        <v>760</v>
      </c>
      <c r="C39" s="374" t="s">
        <v>761</v>
      </c>
      <c r="D39" s="375">
        <v>12</v>
      </c>
      <c r="E39" s="376">
        <v>352.65</v>
      </c>
      <c r="F39" s="376">
        <v>70.33</v>
      </c>
      <c r="G39" s="5558">
        <v>4232</v>
      </c>
      <c r="H39" s="5558">
        <v>3388</v>
      </c>
      <c r="I39" s="376">
        <v>844</v>
      </c>
      <c r="J39" s="376">
        <v>1.31</v>
      </c>
      <c r="K39" s="376">
        <v>15.72</v>
      </c>
    </row>
    <row r="40" spans="1:11" ht="33" customHeight="1" thickBot="1">
      <c r="A40" s="5559"/>
      <c r="B40" s="5561"/>
      <c r="C40" s="372" t="s">
        <v>813</v>
      </c>
      <c r="D40" s="373" t="s">
        <v>762</v>
      </c>
      <c r="E40" s="373">
        <v>282.32</v>
      </c>
      <c r="F40" s="373">
        <v>0</v>
      </c>
      <c r="G40" s="5559"/>
      <c r="H40" s="5559"/>
      <c r="I40" s="373">
        <v>0</v>
      </c>
      <c r="J40" s="373">
        <v>7.0000000000000007E-2</v>
      </c>
      <c r="K40" s="373">
        <v>0.84</v>
      </c>
    </row>
    <row r="41" spans="1:11" ht="9.75" customHeight="1">
      <c r="A41" s="5558">
        <v>6</v>
      </c>
      <c r="B41" s="5560" t="s">
        <v>473</v>
      </c>
      <c r="C41" s="374" t="s">
        <v>474</v>
      </c>
      <c r="D41" s="375">
        <v>8</v>
      </c>
      <c r="E41" s="376">
        <v>7190.9</v>
      </c>
      <c r="F41" s="376">
        <v>100.54</v>
      </c>
      <c r="G41" s="5558">
        <v>57527</v>
      </c>
      <c r="H41" s="5558">
        <v>7709</v>
      </c>
      <c r="I41" s="376">
        <v>804</v>
      </c>
      <c r="J41" s="376">
        <v>4.53</v>
      </c>
      <c r="K41" s="376">
        <v>36.24</v>
      </c>
    </row>
    <row r="42" spans="1:11" ht="34.5" customHeight="1" thickBot="1">
      <c r="A42" s="5559"/>
      <c r="B42" s="5561"/>
      <c r="C42" s="372" t="s">
        <v>813</v>
      </c>
      <c r="D42" s="373" t="s">
        <v>476</v>
      </c>
      <c r="E42" s="373">
        <v>963.68</v>
      </c>
      <c r="F42" s="373">
        <v>0</v>
      </c>
      <c r="G42" s="5559"/>
      <c r="H42" s="5559"/>
      <c r="I42" s="373">
        <v>0</v>
      </c>
      <c r="J42" s="373">
        <v>0.1</v>
      </c>
      <c r="K42" s="373">
        <v>0.8</v>
      </c>
    </row>
    <row r="43" spans="1:11" ht="23.25" customHeight="1">
      <c r="A43" s="5558">
        <v>7</v>
      </c>
      <c r="B43" s="5560" t="s">
        <v>510</v>
      </c>
      <c r="C43" s="374" t="s">
        <v>511</v>
      </c>
      <c r="D43" s="375">
        <v>0.5</v>
      </c>
      <c r="E43" s="376">
        <v>87722.08</v>
      </c>
      <c r="F43" s="376">
        <v>9577.9699999999993</v>
      </c>
      <c r="G43" s="5558">
        <v>43861</v>
      </c>
      <c r="H43" s="5558">
        <v>9936</v>
      </c>
      <c r="I43" s="376">
        <v>4789</v>
      </c>
      <c r="J43" s="376">
        <v>95.88</v>
      </c>
      <c r="K43" s="376">
        <v>47.94</v>
      </c>
    </row>
    <row r="44" spans="1:11" ht="10.5" customHeight="1">
      <c r="A44" s="5562"/>
      <c r="B44" s="5563"/>
      <c r="C44" s="374" t="s">
        <v>512</v>
      </c>
      <c r="D44" s="376" t="s">
        <v>513</v>
      </c>
      <c r="E44" s="376">
        <v>19871.29</v>
      </c>
      <c r="F44" s="376">
        <v>2421.77</v>
      </c>
      <c r="G44" s="5562"/>
      <c r="H44" s="5562"/>
      <c r="I44" s="376">
        <v>1211</v>
      </c>
      <c r="J44" s="376">
        <v>7.81</v>
      </c>
      <c r="K44" s="376">
        <v>3.91</v>
      </c>
    </row>
    <row r="45" spans="1:11" ht="32.25" customHeight="1" thickBot="1">
      <c r="A45" s="5559"/>
      <c r="B45" s="5561"/>
      <c r="C45" s="372" t="s">
        <v>814</v>
      </c>
      <c r="D45" s="377"/>
      <c r="E45" s="377"/>
      <c r="F45" s="377"/>
      <c r="G45" s="5559"/>
      <c r="H45" s="5559"/>
      <c r="I45" s="377"/>
      <c r="J45" s="377"/>
      <c r="K45" s="377"/>
    </row>
    <row r="46" spans="1:11" ht="10.5" customHeight="1">
      <c r="A46" s="5558">
        <v>8</v>
      </c>
      <c r="B46" s="5560" t="s">
        <v>515</v>
      </c>
      <c r="C46" s="374" t="s">
        <v>516</v>
      </c>
      <c r="D46" s="375">
        <v>3.5</v>
      </c>
      <c r="E46" s="376">
        <v>14398.96</v>
      </c>
      <c r="F46" s="376">
        <v>341.17</v>
      </c>
      <c r="G46" s="5558">
        <v>50396</v>
      </c>
      <c r="H46" s="5558">
        <v>27253</v>
      </c>
      <c r="I46" s="376">
        <v>1194</v>
      </c>
      <c r="J46" s="376">
        <v>38.93</v>
      </c>
      <c r="K46" s="376">
        <v>136.25</v>
      </c>
    </row>
    <row r="47" spans="1:11" ht="12.75" customHeight="1">
      <c r="A47" s="5562"/>
      <c r="B47" s="5563"/>
      <c r="C47" s="374" t="s">
        <v>517</v>
      </c>
      <c r="D47" s="376" t="s">
        <v>518</v>
      </c>
      <c r="E47" s="376">
        <v>7786.59</v>
      </c>
      <c r="F47" s="376">
        <v>133.93</v>
      </c>
      <c r="G47" s="5562"/>
      <c r="H47" s="5562"/>
      <c r="I47" s="376">
        <v>469</v>
      </c>
      <c r="J47" s="376">
        <v>0.43</v>
      </c>
      <c r="K47" s="376">
        <v>1.51</v>
      </c>
    </row>
    <row r="48" spans="1:11" ht="32.25" customHeight="1" thickBot="1">
      <c r="A48" s="5559"/>
      <c r="B48" s="5561"/>
      <c r="C48" s="372" t="s">
        <v>814</v>
      </c>
      <c r="D48" s="377"/>
      <c r="E48" s="377"/>
      <c r="F48" s="377"/>
      <c r="G48" s="5559"/>
      <c r="H48" s="5559"/>
      <c r="I48" s="377"/>
      <c r="J48" s="377"/>
      <c r="K48" s="377"/>
    </row>
    <row r="49" spans="1:11" ht="11.25" customHeight="1">
      <c r="A49" s="5558">
        <v>9</v>
      </c>
      <c r="B49" s="5560" t="s">
        <v>519</v>
      </c>
      <c r="C49" s="374" t="s">
        <v>520</v>
      </c>
      <c r="D49" s="375">
        <v>2.5</v>
      </c>
      <c r="E49" s="376">
        <v>17601.82</v>
      </c>
      <c r="F49" s="376">
        <v>60.3</v>
      </c>
      <c r="G49" s="5558">
        <v>44005</v>
      </c>
      <c r="H49" s="5558">
        <v>18429</v>
      </c>
      <c r="I49" s="376">
        <v>151</v>
      </c>
      <c r="J49" s="376">
        <v>34.65</v>
      </c>
      <c r="K49" s="376">
        <v>86.63</v>
      </c>
    </row>
    <row r="50" spans="1:11" ht="12.75" customHeight="1">
      <c r="A50" s="5562"/>
      <c r="B50" s="5563"/>
      <c r="C50" s="374" t="s">
        <v>517</v>
      </c>
      <c r="D50" s="376" t="s">
        <v>513</v>
      </c>
      <c r="E50" s="376">
        <v>7371.52</v>
      </c>
      <c r="F50" s="376">
        <v>0</v>
      </c>
      <c r="G50" s="5562"/>
      <c r="H50" s="5562"/>
      <c r="I50" s="376">
        <v>0</v>
      </c>
      <c r="J50" s="376">
        <v>0.06</v>
      </c>
      <c r="K50" s="376">
        <v>0.15</v>
      </c>
    </row>
    <row r="51" spans="1:11" ht="33.75" customHeight="1" thickBot="1">
      <c r="A51" s="5559"/>
      <c r="B51" s="5561"/>
      <c r="C51" s="372" t="s">
        <v>814</v>
      </c>
      <c r="D51" s="377"/>
      <c r="E51" s="377"/>
      <c r="F51" s="377"/>
      <c r="G51" s="5559"/>
      <c r="H51" s="5559"/>
      <c r="I51" s="377"/>
      <c r="J51" s="377"/>
      <c r="K51" s="377"/>
    </row>
    <row r="52" spans="1:11" ht="24.75" customHeight="1">
      <c r="A52" s="5558">
        <v>10</v>
      </c>
      <c r="B52" s="5560" t="s">
        <v>521</v>
      </c>
      <c r="C52" s="374" t="s">
        <v>522</v>
      </c>
      <c r="D52" s="375">
        <v>2.2000000000000002</v>
      </c>
      <c r="E52" s="376">
        <v>182869.16</v>
      </c>
      <c r="F52" s="376">
        <v>149723.85</v>
      </c>
      <c r="G52" s="5558">
        <v>402312</v>
      </c>
      <c r="H52" s="5558">
        <v>69900</v>
      </c>
      <c r="I52" s="376">
        <v>329392</v>
      </c>
      <c r="J52" s="376">
        <v>130.53</v>
      </c>
      <c r="K52" s="376">
        <v>287.17</v>
      </c>
    </row>
    <row r="53" spans="1:11" ht="33.75" customHeight="1" thickBot="1">
      <c r="A53" s="5559"/>
      <c r="B53" s="5561"/>
      <c r="C53" s="372" t="s">
        <v>813</v>
      </c>
      <c r="D53" s="373" t="s">
        <v>523</v>
      </c>
      <c r="E53" s="373">
        <v>31772.81</v>
      </c>
      <c r="F53" s="373">
        <v>10028.870000000001</v>
      </c>
      <c r="G53" s="5559"/>
      <c r="H53" s="5559"/>
      <c r="I53" s="373">
        <v>22064</v>
      </c>
      <c r="J53" s="373">
        <v>47.81</v>
      </c>
      <c r="K53" s="373">
        <v>105.18</v>
      </c>
    </row>
    <row r="54" spans="1:11" ht="13.5" thickBot="1">
      <c r="A54" s="5550"/>
      <c r="B54" s="5551"/>
      <c r="C54" s="5551"/>
      <c r="D54" s="5551"/>
      <c r="E54" s="5551"/>
      <c r="F54" s="5551"/>
      <c r="G54" s="5551"/>
      <c r="H54" s="5551"/>
      <c r="I54" s="5551"/>
      <c r="J54" s="5551"/>
      <c r="K54" s="5552"/>
    </row>
    <row r="55" spans="1:11">
      <c r="A55" s="5553" t="s">
        <v>709</v>
      </c>
      <c r="B55" s="5554"/>
      <c r="C55" s="5554"/>
      <c r="D55" s="5554"/>
      <c r="E55" s="5554"/>
      <c r="F55" s="5556"/>
      <c r="G55" s="5556">
        <v>679239</v>
      </c>
      <c r="H55" s="5556">
        <v>184813</v>
      </c>
      <c r="I55" s="865">
        <v>365882</v>
      </c>
      <c r="J55" s="5556"/>
      <c r="K55" s="376">
        <v>854.43</v>
      </c>
    </row>
    <row r="56" spans="1:11" ht="13.5" thickBot="1">
      <c r="A56" s="5555"/>
      <c r="B56" s="5547"/>
      <c r="C56" s="5547"/>
      <c r="D56" s="5547"/>
      <c r="E56" s="5547"/>
      <c r="F56" s="5557"/>
      <c r="G56" s="5557"/>
      <c r="H56" s="5557"/>
      <c r="I56" s="1616">
        <v>45793</v>
      </c>
      <c r="J56" s="5557"/>
      <c r="K56" s="373">
        <v>200.08</v>
      </c>
    </row>
    <row r="57" spans="1:11" ht="13.5" thickBot="1">
      <c r="A57" s="5550"/>
      <c r="B57" s="5551"/>
      <c r="C57" s="5551"/>
      <c r="D57" s="5551"/>
      <c r="E57" s="5551"/>
      <c r="F57" s="5551"/>
      <c r="G57" s="5551"/>
      <c r="H57" s="5551"/>
      <c r="I57" s="5551"/>
      <c r="J57" s="5551"/>
      <c r="K57" s="5552"/>
    </row>
    <row r="58" spans="1:11" hidden="1">
      <c r="A58" s="5553" t="s">
        <v>710</v>
      </c>
      <c r="B58" s="5554"/>
      <c r="C58" s="5554"/>
      <c r="D58" s="5554"/>
      <c r="E58" s="5554"/>
      <c r="F58" s="5556"/>
      <c r="G58" s="5556">
        <v>679239</v>
      </c>
      <c r="H58" s="5556">
        <v>184813</v>
      </c>
      <c r="I58" s="865">
        <v>365882</v>
      </c>
      <c r="J58" s="5556"/>
      <c r="K58" s="376">
        <v>854.43</v>
      </c>
    </row>
    <row r="59" spans="1:11" ht="13.5" hidden="1" thickBot="1">
      <c r="A59" s="5555"/>
      <c r="B59" s="5547"/>
      <c r="C59" s="5547"/>
      <c r="D59" s="5547"/>
      <c r="E59" s="5547"/>
      <c r="F59" s="5557"/>
      <c r="G59" s="5557"/>
      <c r="H59" s="5557"/>
      <c r="I59" s="1616">
        <v>45793</v>
      </c>
      <c r="J59" s="5557"/>
      <c r="K59" s="373">
        <v>200.08</v>
      </c>
    </row>
    <row r="60" spans="1:11" ht="13.5" hidden="1" thickBot="1">
      <c r="A60" s="850"/>
      <c r="B60" s="851"/>
      <c r="C60" s="851"/>
      <c r="D60" s="851"/>
      <c r="E60" s="851"/>
      <c r="F60" s="851"/>
      <c r="G60" s="851"/>
      <c r="H60" s="851"/>
      <c r="I60" s="851"/>
      <c r="J60" s="851"/>
      <c r="K60" s="851"/>
    </row>
    <row r="61" spans="1:11" hidden="1">
      <c r="A61" s="881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 hidden="1">
      <c r="A62" s="867"/>
      <c r="B62" s="294"/>
      <c r="C62" s="294"/>
      <c r="D62" s="294"/>
      <c r="E62" s="294"/>
      <c r="F62" s="294"/>
      <c r="G62" s="294"/>
      <c r="H62" s="294"/>
      <c r="I62" s="294"/>
      <c r="J62" s="294"/>
      <c r="K62" s="858"/>
    </row>
    <row r="63" spans="1:11" hidden="1">
      <c r="A63" s="867"/>
      <c r="B63" s="294"/>
      <c r="C63" s="5543" t="s">
        <v>711</v>
      </c>
      <c r="D63" s="5544"/>
      <c r="E63" s="5544"/>
      <c r="F63" s="5544"/>
      <c r="G63" s="5544"/>
      <c r="H63" s="5544"/>
      <c r="I63" s="5543" t="s">
        <v>712</v>
      </c>
      <c r="J63" s="5543" t="s">
        <v>713</v>
      </c>
      <c r="K63" s="374" t="s">
        <v>578</v>
      </c>
    </row>
    <row r="64" spans="1:11" hidden="1">
      <c r="A64" s="867"/>
      <c r="B64" s="294"/>
      <c r="C64" s="5543"/>
      <c r="D64" s="5544"/>
      <c r="E64" s="5544"/>
      <c r="F64" s="5544"/>
      <c r="G64" s="5544"/>
      <c r="H64" s="5544"/>
      <c r="I64" s="5543"/>
      <c r="J64" s="5543"/>
      <c r="K64" s="374" t="s">
        <v>714</v>
      </c>
    </row>
    <row r="65" spans="1:11" ht="13.5" hidden="1" thickBot="1">
      <c r="A65" s="867"/>
      <c r="B65" s="294"/>
      <c r="C65" s="1622"/>
      <c r="D65" s="1622"/>
      <c r="E65" s="1622"/>
      <c r="F65" s="1622"/>
      <c r="G65" s="294"/>
      <c r="H65" s="294"/>
      <c r="I65" s="1622"/>
      <c r="J65" s="1622"/>
      <c r="K65" s="372"/>
    </row>
    <row r="66" spans="1:11" ht="13.5" hidden="1" thickBot="1">
      <c r="A66" s="867"/>
      <c r="B66" s="294"/>
      <c r="C66" s="5543" t="s">
        <v>54</v>
      </c>
      <c r="D66" s="5544"/>
      <c r="E66" s="5544"/>
      <c r="F66" s="5544"/>
      <c r="G66" s="5544"/>
      <c r="H66" s="5544"/>
      <c r="I66" s="1616"/>
      <c r="J66" s="1616"/>
      <c r="K66" s="373" t="s">
        <v>815</v>
      </c>
    </row>
    <row r="67" spans="1:11" ht="13.5" hidden="1" thickBot="1">
      <c r="A67" s="867"/>
      <c r="B67" s="294"/>
      <c r="C67" s="5543" t="s">
        <v>720</v>
      </c>
      <c r="D67" s="5544"/>
      <c r="E67" s="5544"/>
      <c r="F67" s="5544"/>
      <c r="G67" s="5544"/>
      <c r="H67" s="5544"/>
      <c r="I67" s="1616">
        <v>0.6</v>
      </c>
      <c r="J67" s="1616">
        <v>71</v>
      </c>
      <c r="K67" s="373" t="s">
        <v>774</v>
      </c>
    </row>
    <row r="68" spans="1:11" ht="13.5" hidden="1" thickBot="1">
      <c r="A68" s="867"/>
      <c r="B68" s="294"/>
      <c r="C68" s="5543" t="s">
        <v>783</v>
      </c>
      <c r="D68" s="5544"/>
      <c r="E68" s="5544"/>
      <c r="F68" s="5544"/>
      <c r="G68" s="5544"/>
      <c r="H68" s="5544"/>
      <c r="I68" s="1616">
        <v>0.7</v>
      </c>
      <c r="J68" s="1616">
        <v>66</v>
      </c>
      <c r="K68" s="373" t="s">
        <v>784</v>
      </c>
    </row>
    <row r="69" spans="1:11" ht="13.5" hidden="1" thickBot="1">
      <c r="A69" s="867"/>
      <c r="B69" s="294"/>
      <c r="C69" s="5543" t="s">
        <v>775</v>
      </c>
      <c r="D69" s="5544"/>
      <c r="E69" s="5544"/>
      <c r="F69" s="5544"/>
      <c r="G69" s="5544"/>
      <c r="H69" s="5544"/>
      <c r="I69" s="1616">
        <v>0.6</v>
      </c>
      <c r="J69" s="1616">
        <v>93</v>
      </c>
      <c r="K69" s="373" t="s">
        <v>816</v>
      </c>
    </row>
    <row r="70" spans="1:11" ht="13.5" hidden="1" thickBot="1">
      <c r="A70" s="867"/>
      <c r="B70" s="294"/>
      <c r="C70" s="5543" t="s">
        <v>724</v>
      </c>
      <c r="D70" s="5544"/>
      <c r="E70" s="5544"/>
      <c r="F70" s="5544"/>
      <c r="G70" s="5544"/>
      <c r="H70" s="5544"/>
      <c r="I70" s="1616">
        <v>0.6</v>
      </c>
      <c r="J70" s="1616">
        <v>92</v>
      </c>
      <c r="K70" s="373" t="s">
        <v>817</v>
      </c>
    </row>
    <row r="71" spans="1:11" ht="13.5" hidden="1" thickBot="1">
      <c r="A71" s="867"/>
      <c r="B71" s="294"/>
      <c r="C71" s="5543" t="s">
        <v>722</v>
      </c>
      <c r="D71" s="5544"/>
      <c r="E71" s="5544"/>
      <c r="F71" s="5544"/>
      <c r="G71" s="5544"/>
      <c r="H71" s="5544"/>
      <c r="I71" s="1616">
        <v>0.6</v>
      </c>
      <c r="J71" s="1616">
        <v>116</v>
      </c>
      <c r="K71" s="373" t="s">
        <v>818</v>
      </c>
    </row>
    <row r="72" spans="1:11" ht="13.5" hidden="1" thickBot="1">
      <c r="A72" s="867"/>
      <c r="B72" s="294"/>
      <c r="C72" s="5543" t="s">
        <v>779</v>
      </c>
      <c r="D72" s="5544"/>
      <c r="E72" s="5544"/>
      <c r="F72" s="5544"/>
      <c r="G72" s="5544"/>
      <c r="H72" s="5544"/>
      <c r="I72" s="1616">
        <v>0.6</v>
      </c>
      <c r="J72" s="1616">
        <v>77</v>
      </c>
      <c r="K72" s="373" t="s">
        <v>819</v>
      </c>
    </row>
    <row r="73" spans="1:11" ht="13.5" hidden="1" thickBot="1">
      <c r="A73" s="867"/>
      <c r="B73" s="294"/>
      <c r="C73" s="5543" t="s">
        <v>781</v>
      </c>
      <c r="D73" s="5544"/>
      <c r="E73" s="5544"/>
      <c r="F73" s="5544"/>
      <c r="G73" s="5544"/>
      <c r="H73" s="5544"/>
      <c r="I73" s="1616">
        <v>0.6</v>
      </c>
      <c r="J73" s="1616">
        <v>83</v>
      </c>
      <c r="K73" s="373" t="s">
        <v>820</v>
      </c>
    </row>
    <row r="74" spans="1:11" ht="13.5" hidden="1" thickBot="1">
      <c r="A74" s="867"/>
      <c r="B74" s="294"/>
      <c r="C74" s="5543" t="s">
        <v>726</v>
      </c>
      <c r="D74" s="5544"/>
      <c r="E74" s="5544"/>
      <c r="F74" s="5544"/>
      <c r="G74" s="5544"/>
      <c r="H74" s="5544"/>
      <c r="I74" s="1616"/>
      <c r="J74" s="1616"/>
      <c r="K74" s="373" t="s">
        <v>821</v>
      </c>
    </row>
    <row r="75" spans="1:11" ht="13.5" hidden="1" thickBot="1">
      <c r="A75" s="867"/>
      <c r="B75" s="294"/>
      <c r="C75" s="5543" t="s">
        <v>54</v>
      </c>
      <c r="D75" s="5544"/>
      <c r="E75" s="5544"/>
      <c r="F75" s="5544"/>
      <c r="G75" s="5544"/>
      <c r="H75" s="5544"/>
      <c r="I75" s="1616"/>
      <c r="J75" s="1616"/>
      <c r="K75" s="373" t="s">
        <v>822</v>
      </c>
    </row>
    <row r="76" spans="1:11" ht="13.5" hidden="1" thickBot="1">
      <c r="A76" s="867"/>
      <c r="B76" s="294"/>
      <c r="C76" s="5543" t="s">
        <v>733</v>
      </c>
      <c r="D76" s="5544"/>
      <c r="E76" s="5544"/>
      <c r="F76" s="5544"/>
      <c r="G76" s="5544"/>
      <c r="H76" s="5544"/>
      <c r="I76" s="1616"/>
      <c r="J76" s="1616">
        <v>36</v>
      </c>
      <c r="K76" s="373" t="s">
        <v>789</v>
      </c>
    </row>
    <row r="77" spans="1:11" ht="13.5" hidden="1" thickBot="1">
      <c r="A77" s="867"/>
      <c r="B77" s="294"/>
      <c r="C77" s="5543" t="s">
        <v>798</v>
      </c>
      <c r="D77" s="5544"/>
      <c r="E77" s="5544"/>
      <c r="F77" s="5544"/>
      <c r="G77" s="5544"/>
      <c r="H77" s="5544"/>
      <c r="I77" s="1616"/>
      <c r="J77" s="1616">
        <v>40</v>
      </c>
      <c r="K77" s="373" t="s">
        <v>799</v>
      </c>
    </row>
    <row r="78" spans="1:11" ht="13.5" hidden="1" thickBot="1">
      <c r="A78" s="867"/>
      <c r="B78" s="294"/>
      <c r="C78" s="5543" t="s">
        <v>790</v>
      </c>
      <c r="D78" s="5544"/>
      <c r="E78" s="5544"/>
      <c r="F78" s="5544"/>
      <c r="G78" s="5544"/>
      <c r="H78" s="5544"/>
      <c r="I78" s="1616"/>
      <c r="J78" s="1616">
        <v>48</v>
      </c>
      <c r="K78" s="373" t="s">
        <v>823</v>
      </c>
    </row>
    <row r="79" spans="1:11" ht="13.5" hidden="1" thickBot="1">
      <c r="A79" s="867"/>
      <c r="B79" s="294"/>
      <c r="C79" s="5543" t="s">
        <v>737</v>
      </c>
      <c r="D79" s="5544"/>
      <c r="E79" s="5544"/>
      <c r="F79" s="5544"/>
      <c r="G79" s="5544"/>
      <c r="H79" s="5544"/>
      <c r="I79" s="1616"/>
      <c r="J79" s="1616">
        <v>54</v>
      </c>
      <c r="K79" s="373" t="s">
        <v>824</v>
      </c>
    </row>
    <row r="80" spans="1:11" ht="13.5" hidden="1" thickBot="1">
      <c r="A80" s="867"/>
      <c r="B80" s="294"/>
      <c r="C80" s="5543" t="s">
        <v>735</v>
      </c>
      <c r="D80" s="5544"/>
      <c r="E80" s="5544"/>
      <c r="F80" s="5544"/>
      <c r="G80" s="5544"/>
      <c r="H80" s="5544"/>
      <c r="I80" s="1616"/>
      <c r="J80" s="1616">
        <v>61</v>
      </c>
      <c r="K80" s="373" t="s">
        <v>825</v>
      </c>
    </row>
    <row r="81" spans="1:22" ht="13.5" hidden="1" thickBot="1">
      <c r="A81" s="867"/>
      <c r="B81" s="294"/>
      <c r="C81" s="5543" t="s">
        <v>794</v>
      </c>
      <c r="D81" s="5544"/>
      <c r="E81" s="5544"/>
      <c r="F81" s="5544"/>
      <c r="G81" s="5544"/>
      <c r="H81" s="5544"/>
      <c r="I81" s="1616"/>
      <c r="J81" s="1616">
        <v>56</v>
      </c>
      <c r="K81" s="373" t="s">
        <v>826</v>
      </c>
    </row>
    <row r="82" spans="1:22" ht="13.5" hidden="1" thickBot="1">
      <c r="A82" s="867"/>
      <c r="B82" s="294"/>
      <c r="C82" s="5543" t="s">
        <v>796</v>
      </c>
      <c r="D82" s="5544"/>
      <c r="E82" s="5544"/>
      <c r="F82" s="5544"/>
      <c r="G82" s="5544"/>
      <c r="H82" s="5544"/>
      <c r="I82" s="1616"/>
      <c r="J82" s="1616">
        <v>60</v>
      </c>
      <c r="K82" s="373" t="s">
        <v>827</v>
      </c>
    </row>
    <row r="83" spans="1:22" ht="13.5" hidden="1" thickBot="1">
      <c r="A83" s="867"/>
      <c r="B83" s="294"/>
      <c r="C83" s="5543" t="s">
        <v>739</v>
      </c>
      <c r="D83" s="5544"/>
      <c r="E83" s="5544"/>
      <c r="F83" s="5544"/>
      <c r="G83" s="5544"/>
      <c r="H83" s="5544"/>
      <c r="I83" s="1616"/>
      <c r="J83" s="1616"/>
      <c r="K83" s="373" t="s">
        <v>828</v>
      </c>
    </row>
    <row r="84" spans="1:22" ht="13.5" hidden="1" thickBot="1">
      <c r="A84" s="867"/>
      <c r="B84" s="294"/>
      <c r="C84" s="5543" t="s">
        <v>54</v>
      </c>
      <c r="D84" s="5544"/>
      <c r="E84" s="5544"/>
      <c r="F84" s="5544"/>
      <c r="G84" s="5544"/>
      <c r="H84" s="5544"/>
      <c r="I84" s="1616"/>
      <c r="J84" s="1616"/>
      <c r="K84" s="373" t="s">
        <v>829</v>
      </c>
    </row>
    <row r="85" spans="1:22" ht="13.5" hidden="1" thickBot="1">
      <c r="A85" s="867"/>
      <c r="B85" s="294"/>
      <c r="C85" s="5543" t="s">
        <v>293</v>
      </c>
      <c r="D85" s="5544"/>
      <c r="E85" s="5544"/>
      <c r="F85" s="5544"/>
      <c r="G85" s="5544"/>
      <c r="H85" s="5544"/>
      <c r="I85" s="1616"/>
      <c r="J85" s="1616"/>
      <c r="K85" s="373" t="s">
        <v>829</v>
      </c>
    </row>
    <row r="86" spans="1:22" ht="13.5" hidden="1" thickBot="1">
      <c r="A86" s="867"/>
      <c r="B86" s="294"/>
      <c r="C86" s="5543" t="s">
        <v>742</v>
      </c>
      <c r="D86" s="5544"/>
      <c r="E86" s="5544"/>
      <c r="F86" s="5544"/>
      <c r="G86" s="5544"/>
      <c r="H86" s="5544"/>
      <c r="I86" s="1616"/>
      <c r="J86" s="1616">
        <v>18</v>
      </c>
      <c r="K86" s="373" t="s">
        <v>830</v>
      </c>
    </row>
    <row r="87" spans="1:22" ht="13.5" hidden="1" thickBot="1">
      <c r="A87" s="867"/>
      <c r="B87" s="294"/>
      <c r="C87" s="5543" t="s">
        <v>293</v>
      </c>
      <c r="D87" s="5544"/>
      <c r="E87" s="5544"/>
      <c r="F87" s="5544"/>
      <c r="G87" s="5544"/>
      <c r="H87" s="5544"/>
      <c r="I87" s="1616"/>
      <c r="J87" s="1616"/>
      <c r="K87" s="373" t="s">
        <v>810</v>
      </c>
    </row>
    <row r="88" spans="1:22" ht="13.5" hidden="1" thickBot="1">
      <c r="A88" s="854"/>
      <c r="B88" s="853"/>
      <c r="C88" s="5547" t="s">
        <v>744</v>
      </c>
      <c r="D88" s="5548"/>
      <c r="E88" s="5548"/>
      <c r="F88" s="5548"/>
      <c r="G88" s="5548"/>
      <c r="H88" s="5548"/>
      <c r="I88" s="1616"/>
      <c r="J88" s="1616"/>
      <c r="K88" s="373" t="s">
        <v>810</v>
      </c>
    </row>
    <row r="89" spans="1:22" ht="12.75" customHeight="1">
      <c r="A89" s="882" t="s">
        <v>831</v>
      </c>
      <c r="B89" s="428"/>
      <c r="C89" s="428"/>
      <c r="D89" s="428"/>
      <c r="E89" s="428"/>
      <c r="F89" s="428"/>
      <c r="G89" s="428"/>
      <c r="H89" s="428"/>
      <c r="I89" s="5597">
        <v>1081767</v>
      </c>
      <c r="J89" s="5597"/>
      <c r="K89" s="5597"/>
    </row>
    <row r="90" spans="1:22" ht="13.5" thickBot="1"/>
    <row r="91" spans="1:22" ht="24" thickBot="1">
      <c r="A91" s="5598" t="s">
        <v>891</v>
      </c>
      <c r="B91" s="5599"/>
      <c r="C91" s="5599"/>
      <c r="D91" s="5599"/>
      <c r="E91" s="5599"/>
      <c r="F91" s="5599"/>
      <c r="G91" s="2297"/>
      <c r="H91" s="2297"/>
      <c r="I91" s="2304">
        <f>57527-7709+43861-9936+50396-27253+44005-18429</f>
        <v>132462</v>
      </c>
    </row>
    <row r="94" spans="1:22" ht="20.25">
      <c r="I94" s="2299">
        <f>SUM(I91)</f>
        <v>132462</v>
      </c>
      <c r="J94" s="2298"/>
      <c r="K94" s="2298"/>
      <c r="L94" s="2298"/>
    </row>
    <row r="96" spans="1:22">
      <c r="I96" s="428"/>
      <c r="J96" s="428" t="s">
        <v>267</v>
      </c>
      <c r="K96" s="428" t="s">
        <v>268</v>
      </c>
      <c r="L96" s="428" t="s">
        <v>269</v>
      </c>
      <c r="M96" s="428" t="s">
        <v>270</v>
      </c>
      <c r="N96" s="428" t="s">
        <v>271</v>
      </c>
      <c r="O96" s="428" t="s">
        <v>272</v>
      </c>
      <c r="P96" s="428" t="s">
        <v>1227</v>
      </c>
      <c r="Q96" s="428" t="s">
        <v>273</v>
      </c>
      <c r="R96" s="428" t="s">
        <v>1245</v>
      </c>
      <c r="S96" s="428" t="s">
        <v>274</v>
      </c>
      <c r="T96" s="428" t="s">
        <v>275</v>
      </c>
      <c r="U96" s="428" t="s">
        <v>1336</v>
      </c>
      <c r="V96" s="428" t="s">
        <v>1589</v>
      </c>
    </row>
    <row r="97" spans="9:22">
      <c r="I97" s="2559">
        <f>SUM(I94/1000)</f>
        <v>132.46199999999999</v>
      </c>
      <c r="J97" s="2560">
        <v>0</v>
      </c>
      <c r="K97" s="2560">
        <v>0</v>
      </c>
      <c r="L97" s="2560">
        <v>0</v>
      </c>
      <c r="M97" s="2560">
        <v>0</v>
      </c>
      <c r="N97" s="2560">
        <v>0.1</v>
      </c>
      <c r="O97" s="2560">
        <v>0.15</v>
      </c>
      <c r="P97" s="2560">
        <v>0.2</v>
      </c>
      <c r="Q97" s="2560">
        <v>0.2</v>
      </c>
      <c r="R97" s="2560">
        <v>0.2</v>
      </c>
      <c r="S97" s="2560">
        <v>0.15</v>
      </c>
      <c r="T97" s="2560">
        <v>0</v>
      </c>
      <c r="U97" s="2560">
        <v>0</v>
      </c>
      <c r="V97" s="2560">
        <f>SUM(J97:U97)</f>
        <v>1</v>
      </c>
    </row>
    <row r="98" spans="9:22">
      <c r="I98" s="428"/>
      <c r="J98" s="2561">
        <f>SUM(I97*J97)</f>
        <v>0</v>
      </c>
      <c r="K98" s="2561">
        <f>SUM(I97*K97)</f>
        <v>0</v>
      </c>
      <c r="L98" s="2561">
        <f>SUM(I97*L97)</f>
        <v>0</v>
      </c>
      <c r="M98" s="2561">
        <f>SUM(I97*M97)</f>
        <v>0</v>
      </c>
      <c r="N98" s="2561">
        <f>SUM(I97*N97)</f>
        <v>13.2462</v>
      </c>
      <c r="O98" s="2561">
        <f>SUM(I97*O97)</f>
        <v>19.869299999999999</v>
      </c>
      <c r="P98" s="2561">
        <f>SUM(I97*P97)</f>
        <v>26.4924</v>
      </c>
      <c r="Q98" s="2561">
        <f>SUM(I97*Q97)</f>
        <v>26.4924</v>
      </c>
      <c r="R98" s="2561">
        <f>SUM(I97*R97)</f>
        <v>26.4924</v>
      </c>
      <c r="S98" s="2561">
        <f>SUM(I97*S97)</f>
        <v>19.869299999999999</v>
      </c>
      <c r="T98" s="2561">
        <f>SUM(I97*T97)</f>
        <v>0</v>
      </c>
      <c r="U98" s="2561">
        <f>SUM(I97*U97)</f>
        <v>0</v>
      </c>
      <c r="V98" s="2561">
        <f>SUM(I97*V97)</f>
        <v>132.46199999999999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J18"/>
  <sheetViews>
    <sheetView view="pageBreakPreview" zoomScale="75" zoomScaleSheetLayoutView="75" workbookViewId="0">
      <selection activeCell="F13" sqref="F13"/>
    </sheetView>
  </sheetViews>
  <sheetFormatPr defaultRowHeight="12.75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>
      <c r="I1" t="s">
        <v>1539</v>
      </c>
    </row>
    <row r="2" spans="1:10" ht="25.5" customHeight="1">
      <c r="A2" s="4896" t="s">
        <v>975</v>
      </c>
      <c r="B2" s="4896"/>
      <c r="C2" s="4896"/>
      <c r="D2" s="4896"/>
      <c r="E2" s="4896"/>
      <c r="F2" s="4896"/>
      <c r="G2" s="4896"/>
      <c r="H2" s="4896"/>
      <c r="I2" s="4896"/>
      <c r="J2" s="4896"/>
    </row>
    <row r="3" spans="1:10" ht="22.5" customHeight="1"/>
    <row r="4" spans="1:10">
      <c r="A4" s="5602" t="s">
        <v>971</v>
      </c>
      <c r="B4" s="5601" t="s">
        <v>283</v>
      </c>
      <c r="C4" s="5601"/>
      <c r="D4" s="5601"/>
      <c r="E4" s="5601"/>
      <c r="F4" s="5601" t="s">
        <v>393</v>
      </c>
      <c r="G4" s="5601"/>
      <c r="H4" s="5601"/>
      <c r="I4" s="5601"/>
      <c r="J4" s="5601"/>
    </row>
    <row r="5" spans="1:10" ht="25.5">
      <c r="A5" s="5603"/>
      <c r="B5" s="1987" t="s">
        <v>970</v>
      </c>
      <c r="C5" s="1988">
        <v>2016</v>
      </c>
      <c r="D5" s="1988">
        <v>2017</v>
      </c>
      <c r="E5" s="1988">
        <v>2018</v>
      </c>
      <c r="F5" s="1987" t="s">
        <v>970</v>
      </c>
      <c r="G5" s="1988">
        <v>2016</v>
      </c>
      <c r="H5" s="1988">
        <v>2017</v>
      </c>
      <c r="I5" s="1988">
        <v>2018</v>
      </c>
      <c r="J5" s="1988" t="s">
        <v>246</v>
      </c>
    </row>
    <row r="6" spans="1:10" ht="18">
      <c r="A6" s="5600" t="s">
        <v>362</v>
      </c>
      <c r="B6" s="5600"/>
      <c r="C6" s="5600"/>
      <c r="D6" s="5600"/>
      <c r="E6" s="5600"/>
      <c r="F6" s="5600"/>
      <c r="G6" s="5600"/>
      <c r="H6" s="5600"/>
      <c r="I6" s="5600"/>
      <c r="J6" s="5600"/>
    </row>
    <row r="7" spans="1:10" ht="57.75" customHeight="1">
      <c r="A7" s="1872" t="s">
        <v>967</v>
      </c>
      <c r="B7" s="1870">
        <f>10407.5/1.18</f>
        <v>8819.9152542372885</v>
      </c>
      <c r="C7" s="1870">
        <f>2316.1/1.18</f>
        <v>1962.7966101694915</v>
      </c>
      <c r="D7" s="1870">
        <f>4045.7/1.18</f>
        <v>3428.5593220338983</v>
      </c>
      <c r="E7" s="1870">
        <f>4045.7/1.18</f>
        <v>3428.5593220338983</v>
      </c>
      <c r="F7" s="1870">
        <f>G7+H7+I7</f>
        <v>0</v>
      </c>
      <c r="G7" s="1870">
        <v>0</v>
      </c>
      <c r="H7" s="1870">
        <v>0</v>
      </c>
      <c r="I7" s="1870">
        <v>0</v>
      </c>
      <c r="J7" s="1872" t="s">
        <v>972</v>
      </c>
    </row>
    <row r="8" spans="1:10" ht="26.25" customHeight="1">
      <c r="A8" s="1872" t="s">
        <v>968</v>
      </c>
      <c r="B8" s="1870">
        <f>835.7/1.18</f>
        <v>708.22033898305096</v>
      </c>
      <c r="C8" s="1870">
        <f>278.5/1.18</f>
        <v>236.0169491525424</v>
      </c>
      <c r="D8" s="1870">
        <f>278.6/1.18</f>
        <v>236.10169491525426</v>
      </c>
      <c r="E8" s="1870">
        <f>278.6/1.18</f>
        <v>236.10169491525426</v>
      </c>
      <c r="F8" s="1870">
        <f t="shared" ref="F8:F9" si="0">G8+H8+I8</f>
        <v>0</v>
      </c>
      <c r="G8" s="1870">
        <v>0</v>
      </c>
      <c r="H8" s="1870">
        <v>0</v>
      </c>
      <c r="I8" s="1870">
        <v>0</v>
      </c>
      <c r="J8" s="1872" t="s">
        <v>973</v>
      </c>
    </row>
    <row r="9" spans="1:10" ht="24.75" customHeight="1">
      <c r="A9" s="1872" t="s">
        <v>969</v>
      </c>
      <c r="B9" s="1870">
        <f>865.4/1.18</f>
        <v>733.38983050847457</v>
      </c>
      <c r="C9" s="1870">
        <f>288.4/1.18</f>
        <v>244.40677966101694</v>
      </c>
      <c r="D9" s="1870">
        <f>288.5/1.18</f>
        <v>244.49152542372883</v>
      </c>
      <c r="E9" s="1870">
        <f>288.5/1.18</f>
        <v>244.49152542372883</v>
      </c>
      <c r="F9" s="1870">
        <f t="shared" si="0"/>
        <v>733.38983050847457</v>
      </c>
      <c r="G9" s="1870">
        <f>C9</f>
        <v>244.40677966101694</v>
      </c>
      <c r="H9" s="1870">
        <f t="shared" ref="H9:I9" si="1">D9</f>
        <v>244.49152542372883</v>
      </c>
      <c r="I9" s="1870">
        <f t="shared" si="1"/>
        <v>244.49152542372883</v>
      </c>
      <c r="J9" s="1872" t="s">
        <v>297</v>
      </c>
    </row>
    <row r="10" spans="1:10">
      <c r="A10" s="1872" t="s">
        <v>974</v>
      </c>
      <c r="B10" s="1870">
        <f>SUM(B7:B9)</f>
        <v>10261.525423728814</v>
      </c>
      <c r="C10" s="1870">
        <f t="shared" ref="C10:I10" si="2">SUM(C7:C9)</f>
        <v>2443.2203389830511</v>
      </c>
      <c r="D10" s="1870">
        <f t="shared" si="2"/>
        <v>3909.1525423728813</v>
      </c>
      <c r="E10" s="1870">
        <f t="shared" si="2"/>
        <v>3909.1525423728813</v>
      </c>
      <c r="F10" s="1870">
        <f t="shared" si="2"/>
        <v>733.38983050847457</v>
      </c>
      <c r="G10" s="1870">
        <f t="shared" si="2"/>
        <v>244.40677966101694</v>
      </c>
      <c r="H10" s="1870">
        <f t="shared" si="2"/>
        <v>244.49152542372883</v>
      </c>
      <c r="I10" s="1870">
        <f t="shared" si="2"/>
        <v>244.49152542372883</v>
      </c>
      <c r="J10" s="1869"/>
    </row>
    <row r="11" spans="1:10" ht="18">
      <c r="A11" s="5600" t="s">
        <v>352</v>
      </c>
      <c r="B11" s="5600"/>
      <c r="C11" s="5600"/>
      <c r="D11" s="5600"/>
      <c r="E11" s="5600"/>
      <c r="F11" s="5600"/>
      <c r="G11" s="5600"/>
      <c r="H11" s="5600"/>
      <c r="I11" s="5600"/>
      <c r="J11" s="5600"/>
    </row>
    <row r="12" spans="1:10" ht="25.5">
      <c r="A12" s="1872" t="s">
        <v>1004</v>
      </c>
      <c r="B12" s="1870">
        <f>1286.5/1.18</f>
        <v>1090.2542372881358</v>
      </c>
      <c r="C12" s="1870">
        <f>428.8/1.18</f>
        <v>363.38983050847463</v>
      </c>
      <c r="D12" s="1870">
        <f t="shared" ref="D12" si="3">428.8/1.18</f>
        <v>363.38983050847463</v>
      </c>
      <c r="E12" s="1870">
        <f>428.9/1.18</f>
        <v>363.47457627118644</v>
      </c>
      <c r="F12" s="1870">
        <f t="shared" ref="F12:F15" si="4">G12+H12+I12</f>
        <v>0</v>
      </c>
      <c r="G12" s="1870">
        <v>0</v>
      </c>
      <c r="H12" s="1870">
        <v>0</v>
      </c>
      <c r="I12" s="1870">
        <v>0</v>
      </c>
      <c r="J12" s="1872" t="s">
        <v>973</v>
      </c>
    </row>
    <row r="13" spans="1:10" ht="38.25">
      <c r="A13" s="1872" t="s">
        <v>976</v>
      </c>
      <c r="B13" s="1870">
        <f>597.7/1.18</f>
        <v>506.52542372881362</v>
      </c>
      <c r="C13" s="1870">
        <f>199.2/1.18</f>
        <v>168.81355932203391</v>
      </c>
      <c r="D13" s="1870">
        <f t="shared" ref="D13" si="5">199.2/1.18</f>
        <v>168.81355932203391</v>
      </c>
      <c r="E13" s="1870">
        <f>199.3/1.18</f>
        <v>168.89830508474577</v>
      </c>
      <c r="F13" s="1870">
        <f t="shared" si="4"/>
        <v>506.52542372881362</v>
      </c>
      <c r="G13" s="1870">
        <f>C13</f>
        <v>168.81355932203391</v>
      </c>
      <c r="H13" s="1870">
        <f t="shared" ref="H13:I13" si="6">D13</f>
        <v>168.81355932203391</v>
      </c>
      <c r="I13" s="1870">
        <f t="shared" si="6"/>
        <v>168.89830508474577</v>
      </c>
      <c r="J13" s="1869" t="s">
        <v>297</v>
      </c>
    </row>
    <row r="14" spans="1:10" ht="38.25">
      <c r="A14" s="1872" t="s">
        <v>977</v>
      </c>
      <c r="B14" s="1870">
        <f>2278/1.18</f>
        <v>1930.5084745762713</v>
      </c>
      <c r="C14" s="1870">
        <f>759.3/1.18</f>
        <v>643.47457627118649</v>
      </c>
      <c r="D14" s="1870">
        <f t="shared" ref="D14" si="7">759.3/1.18</f>
        <v>643.47457627118649</v>
      </c>
      <c r="E14" s="1870">
        <f>759.4/1.18</f>
        <v>643.5593220338983</v>
      </c>
      <c r="F14" s="1870">
        <f t="shared" si="4"/>
        <v>0</v>
      </c>
      <c r="G14" s="1870">
        <v>0</v>
      </c>
      <c r="H14" s="1870">
        <v>0</v>
      </c>
      <c r="I14" s="1870">
        <v>0</v>
      </c>
      <c r="J14" s="1872" t="s">
        <v>980</v>
      </c>
    </row>
    <row r="15" spans="1:10" ht="38.25">
      <c r="A15" s="1872" t="s">
        <v>978</v>
      </c>
      <c r="B15" s="1870">
        <f>9697/1.18</f>
        <v>8217.7966101694929</v>
      </c>
      <c r="C15" s="1870">
        <f>3232.3/1.18</f>
        <v>2739.2372881355936</v>
      </c>
      <c r="D15" s="1870">
        <f t="shared" ref="D15:E15" si="8">3232.3/1.18</f>
        <v>2739.2372881355936</v>
      </c>
      <c r="E15" s="1870">
        <f t="shared" si="8"/>
        <v>2739.2372881355936</v>
      </c>
      <c r="F15" s="1870">
        <f t="shared" si="4"/>
        <v>0</v>
      </c>
      <c r="G15" s="1870">
        <v>0</v>
      </c>
      <c r="H15" s="1870">
        <v>0</v>
      </c>
      <c r="I15" s="1870">
        <v>0</v>
      </c>
      <c r="J15" s="1872" t="s">
        <v>980</v>
      </c>
    </row>
    <row r="16" spans="1:10">
      <c r="A16" s="1872" t="s">
        <v>979</v>
      </c>
      <c r="B16" s="1870">
        <f>SUM(B12:B15)</f>
        <v>11745.084745762713</v>
      </c>
      <c r="C16" s="1870">
        <f t="shared" ref="C16:I16" si="9">SUM(C12:C15)</f>
        <v>3914.9152542372885</v>
      </c>
      <c r="D16" s="1870">
        <f t="shared" si="9"/>
        <v>3914.9152542372885</v>
      </c>
      <c r="E16" s="1870">
        <f t="shared" si="9"/>
        <v>3915.1694915254243</v>
      </c>
      <c r="F16" s="1870">
        <f t="shared" si="9"/>
        <v>506.52542372881362</v>
      </c>
      <c r="G16" s="1870">
        <f t="shared" si="9"/>
        <v>168.81355932203391</v>
      </c>
      <c r="H16" s="1870">
        <f t="shared" si="9"/>
        <v>168.81355932203391</v>
      </c>
      <c r="I16" s="1870">
        <f t="shared" si="9"/>
        <v>168.89830508474577</v>
      </c>
      <c r="J16" s="1869"/>
    </row>
    <row r="17" spans="1:10">
      <c r="A17" s="1872"/>
      <c r="B17" s="1869"/>
      <c r="C17" s="1869"/>
      <c r="D17" s="1869"/>
      <c r="E17" s="1869"/>
      <c r="F17" s="1869"/>
      <c r="G17" s="1869"/>
      <c r="H17" s="1869"/>
      <c r="I17" s="1869"/>
      <c r="J17" s="1869"/>
    </row>
    <row r="18" spans="1:10">
      <c r="A18" s="1872"/>
      <c r="B18" s="1869"/>
      <c r="C18" s="1869"/>
      <c r="D18" s="1869"/>
      <c r="E18" s="1869"/>
      <c r="F18" s="1869"/>
      <c r="G18" s="1869"/>
      <c r="H18" s="1869"/>
      <c r="I18" s="1869"/>
      <c r="J18" s="1869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W25"/>
  <sheetViews>
    <sheetView view="pageBreakPreview" topLeftCell="A6" zoomScale="60" workbookViewId="0">
      <selection activeCell="AB14" sqref="AB14"/>
    </sheetView>
  </sheetViews>
  <sheetFormatPr defaultRowHeight="15"/>
  <cols>
    <col min="1" max="1" width="50.85546875" style="2185" customWidth="1"/>
    <col min="2" max="7" width="0" style="2185" hidden="1" customWidth="1"/>
    <col min="8" max="8" width="10.28515625" style="2185" customWidth="1"/>
    <col min="9" max="9" width="9.42578125" style="2185" customWidth="1"/>
    <col min="10" max="10" width="9.140625" style="2185"/>
    <col min="11" max="11" width="11.140625" style="2185" customWidth="1"/>
    <col min="12" max="12" width="11.42578125" style="2185" customWidth="1"/>
    <col min="13" max="13" width="10.42578125" style="2185" customWidth="1"/>
    <col min="14" max="14" width="10.85546875" style="2185" customWidth="1"/>
    <col min="15" max="15" width="10" style="2185" customWidth="1"/>
    <col min="16" max="16" width="9.140625" style="2185"/>
    <col min="17" max="17" width="11.140625" style="2185" customWidth="1"/>
    <col min="18" max="18" width="10.42578125" style="2185" customWidth="1"/>
    <col min="19" max="19" width="9.140625" style="2185"/>
    <col min="20" max="20" width="11" style="2185" customWidth="1"/>
    <col min="21" max="21" width="11.85546875" style="2185" customWidth="1"/>
    <col min="22" max="22" width="14.85546875" style="2185" customWidth="1"/>
    <col min="23" max="23" width="14.28515625" style="2185" customWidth="1"/>
    <col min="24" max="16384" width="9.140625" style="2185"/>
  </cols>
  <sheetData>
    <row r="1" spans="1:23">
      <c r="U1" s="2296" t="s">
        <v>1540</v>
      </c>
    </row>
    <row r="3" spans="1:23" ht="28.5">
      <c r="A3" s="5604" t="s">
        <v>1491</v>
      </c>
      <c r="B3" s="5604"/>
      <c r="C3" s="5604"/>
      <c r="D3" s="5604"/>
      <c r="E3" s="5604"/>
      <c r="F3" s="5604"/>
      <c r="G3" s="5604"/>
      <c r="H3" s="5604"/>
      <c r="I3" s="5604"/>
      <c r="J3" s="5604"/>
      <c r="K3" s="5604"/>
      <c r="L3" s="5604"/>
      <c r="M3" s="5604"/>
      <c r="N3" s="5604"/>
      <c r="O3" s="5604"/>
      <c r="P3" s="5604"/>
      <c r="Q3" s="5604"/>
      <c r="R3" s="5604"/>
      <c r="S3" s="5604"/>
      <c r="T3" s="5604"/>
      <c r="U3" s="5604"/>
      <c r="V3" s="5604"/>
    </row>
    <row r="5" spans="1:23">
      <c r="A5" s="2184"/>
      <c r="B5" s="5614" t="s">
        <v>67</v>
      </c>
      <c r="C5" s="5614"/>
      <c r="D5" s="5614"/>
      <c r="E5" s="5614" t="s">
        <v>95</v>
      </c>
      <c r="F5" s="5614"/>
      <c r="G5" s="5614"/>
      <c r="H5" s="5614" t="s">
        <v>124</v>
      </c>
      <c r="I5" s="5614"/>
      <c r="J5" s="5614"/>
      <c r="K5" s="5614" t="s">
        <v>163</v>
      </c>
      <c r="L5" s="5614"/>
      <c r="M5" s="5614"/>
      <c r="N5" s="5614" t="s">
        <v>238</v>
      </c>
      <c r="O5" s="5614"/>
      <c r="P5" s="5614"/>
      <c r="Q5" s="5614" t="s">
        <v>380</v>
      </c>
      <c r="R5" s="5614"/>
      <c r="S5" s="5614"/>
      <c r="T5" s="5614" t="s">
        <v>833</v>
      </c>
      <c r="U5" s="5614"/>
      <c r="V5" s="5615"/>
      <c r="W5" s="5605" t="s">
        <v>1493</v>
      </c>
    </row>
    <row r="6" spans="1:23">
      <c r="A6" s="2184"/>
      <c r="B6" s="2186" t="s">
        <v>299</v>
      </c>
      <c r="C6" s="2186" t="s">
        <v>331</v>
      </c>
      <c r="D6" s="2186" t="s">
        <v>300</v>
      </c>
      <c r="E6" s="2186" t="s">
        <v>299</v>
      </c>
      <c r="F6" s="2186" t="s">
        <v>331</v>
      </c>
      <c r="G6" s="2186" t="s">
        <v>300</v>
      </c>
      <c r="H6" s="2186" t="s">
        <v>299</v>
      </c>
      <c r="I6" s="2186" t="s">
        <v>331</v>
      </c>
      <c r="J6" s="2186" t="s">
        <v>300</v>
      </c>
      <c r="K6" s="2186" t="s">
        <v>299</v>
      </c>
      <c r="L6" s="2186" t="s">
        <v>331</v>
      </c>
      <c r="M6" s="2186" t="s">
        <v>300</v>
      </c>
      <c r="N6" s="2186" t="s">
        <v>299</v>
      </c>
      <c r="O6" s="2186" t="s">
        <v>331</v>
      </c>
      <c r="P6" s="2186" t="s">
        <v>300</v>
      </c>
      <c r="Q6" s="2186" t="s">
        <v>299</v>
      </c>
      <c r="R6" s="2186" t="s">
        <v>331</v>
      </c>
      <c r="S6" s="2186" t="s">
        <v>300</v>
      </c>
      <c r="T6" s="2186" t="s">
        <v>299</v>
      </c>
      <c r="U6" s="2186" t="s">
        <v>331</v>
      </c>
      <c r="V6" s="2190" t="s">
        <v>300</v>
      </c>
      <c r="W6" s="5605"/>
    </row>
    <row r="7" spans="1:23">
      <c r="A7" s="5605" t="s">
        <v>1480</v>
      </c>
      <c r="B7" s="5605"/>
      <c r="C7" s="5605"/>
      <c r="D7" s="5605"/>
      <c r="E7" s="5605"/>
      <c r="F7" s="5605"/>
      <c r="G7" s="5605"/>
      <c r="H7" s="5605"/>
      <c r="I7" s="5605"/>
      <c r="J7" s="5605"/>
      <c r="K7" s="5605"/>
      <c r="L7" s="5605"/>
      <c r="M7" s="5605"/>
      <c r="N7" s="5605"/>
      <c r="O7" s="5605"/>
      <c r="P7" s="5605"/>
      <c r="Q7" s="5605"/>
      <c r="R7" s="5605"/>
      <c r="S7" s="5605"/>
      <c r="T7" s="5605"/>
      <c r="U7" s="5605"/>
      <c r="V7" s="5616"/>
      <c r="W7" s="2188"/>
    </row>
    <row r="8" spans="1:23" ht="37.5" customHeight="1">
      <c r="A8" s="2184" t="s">
        <v>1489</v>
      </c>
      <c r="B8" s="2187"/>
      <c r="C8" s="2187"/>
      <c r="D8" s="2187"/>
      <c r="E8" s="2187"/>
      <c r="F8" s="2187"/>
      <c r="G8" s="2187"/>
      <c r="H8" s="2187">
        <v>4099</v>
      </c>
      <c r="I8" s="2187">
        <v>3507.9</v>
      </c>
      <c r="J8" s="2187">
        <v>299.7</v>
      </c>
      <c r="K8" s="2187">
        <v>7199</v>
      </c>
      <c r="L8" s="2187">
        <v>3538.9</v>
      </c>
      <c r="M8" s="2187">
        <v>216.9</v>
      </c>
      <c r="N8" s="2187">
        <f>7295.1</f>
        <v>7295.1</v>
      </c>
      <c r="O8" s="2187">
        <f>4787.73</f>
        <v>4787.7299999999996</v>
      </c>
      <c r="P8" s="2187">
        <f>'ОХР '!W23+'ОХР '!X23</f>
        <v>189.15722480612965</v>
      </c>
      <c r="Q8" s="2187">
        <f>7550.3+1287.3</f>
        <v>8837.6</v>
      </c>
      <c r="R8" s="2187">
        <f>4822.1+1355.2</f>
        <v>6177.3</v>
      </c>
      <c r="S8" s="2187">
        <v>192.15</v>
      </c>
      <c r="T8" s="2187">
        <f>7550.3+1785.8</f>
        <v>9336.1</v>
      </c>
      <c r="U8" s="2187">
        <v>4822.1000000000004</v>
      </c>
      <c r="V8" s="2191">
        <v>192.66</v>
      </c>
      <c r="W8" s="2187">
        <f>SUM(H8:V8)</f>
        <v>60691.297224806134</v>
      </c>
    </row>
    <row r="9" spans="1:23" s="2198" customFormat="1" ht="30">
      <c r="A9" s="2194" t="s">
        <v>1494</v>
      </c>
      <c r="B9" s="2195">
        <f>2944</f>
        <v>2944</v>
      </c>
      <c r="C9" s="2195">
        <v>2430.6999999999998</v>
      </c>
      <c r="D9" s="2195"/>
      <c r="E9" s="2195">
        <v>5065.2</v>
      </c>
      <c r="F9" s="2195">
        <v>4702.8</v>
      </c>
      <c r="G9" s="2195"/>
      <c r="H9" s="2195">
        <v>7172.1</v>
      </c>
      <c r="I9" s="2195">
        <v>4863.1000000000004</v>
      </c>
      <c r="J9" s="2195">
        <v>206.6</v>
      </c>
      <c r="K9" s="2195">
        <v>7355</v>
      </c>
      <c r="L9" s="2195">
        <v>4787.7299999999996</v>
      </c>
      <c r="M9" s="2195">
        <v>192.4</v>
      </c>
      <c r="N9" s="2195">
        <v>7609.8</v>
      </c>
      <c r="O9" s="2195">
        <v>4702.5</v>
      </c>
      <c r="P9" s="2195">
        <f>'ОХР '!AA23</f>
        <v>182.16</v>
      </c>
      <c r="Q9" s="2195">
        <v>6102.07</v>
      </c>
      <c r="R9" s="2195">
        <v>3628.35</v>
      </c>
      <c r="S9" s="2195">
        <v>112.52</v>
      </c>
      <c r="T9" s="2195"/>
      <c r="U9" s="2195"/>
      <c r="V9" s="2196"/>
      <c r="W9" s="2197"/>
    </row>
    <row r="10" spans="1:23" ht="30">
      <c r="A10" s="2184" t="s">
        <v>1481</v>
      </c>
      <c r="B10" s="2187"/>
      <c r="C10" s="2187"/>
      <c r="D10" s="2187"/>
      <c r="E10" s="2187"/>
      <c r="F10" s="2187"/>
      <c r="G10" s="2187"/>
      <c r="H10" s="2187">
        <f>477.1+864.8+583.2+1667.9</f>
        <v>3593</v>
      </c>
      <c r="I10" s="2187">
        <f>430+841.5+196.9+735.9</f>
        <v>2204.3000000000002</v>
      </c>
      <c r="J10" s="2187"/>
      <c r="K10" s="2187">
        <f>124.5+300</f>
        <v>424.5</v>
      </c>
      <c r="L10" s="2187">
        <f>451+882.7+206.7+771.96</f>
        <v>2312.36</v>
      </c>
      <c r="M10" s="2187"/>
      <c r="N10" s="2187">
        <f>780</f>
        <v>780</v>
      </c>
      <c r="O10" s="2187">
        <f>стоки!Z12+стоки!Y22+стоки!Y28+стоки!Y37</f>
        <v>699.72213333333343</v>
      </c>
      <c r="P10" s="2187"/>
      <c r="Q10" s="2187">
        <v>215.85</v>
      </c>
      <c r="R10" s="2187">
        <f>стоки!AI12+стоки!AI22+стоки!AI28+стоки!AI37</f>
        <v>361.53</v>
      </c>
      <c r="S10" s="2187"/>
      <c r="T10" s="2187">
        <f>вода!BG12+вода!BG22+вода!BG28+вода!BG38</f>
        <v>500.53977966101695</v>
      </c>
      <c r="U10" s="2187">
        <f>стоки!BC12+стоки!BC22+стоки!BC28+стоки!BC37</f>
        <v>301.27555932203393</v>
      </c>
      <c r="V10" s="2191"/>
      <c r="W10" s="2187">
        <f>SUM(H10:V10)</f>
        <v>11393.077472316385</v>
      </c>
    </row>
    <row r="11" spans="1:23">
      <c r="A11" s="2184" t="s">
        <v>1487</v>
      </c>
      <c r="B11" s="2187"/>
      <c r="C11" s="2187"/>
      <c r="D11" s="2187"/>
      <c r="E11" s="2187"/>
      <c r="F11" s="2187"/>
      <c r="G11" s="2187"/>
      <c r="H11" s="2187"/>
      <c r="I11" s="2187"/>
      <c r="J11" s="2187"/>
      <c r="K11" s="2187"/>
      <c r="L11" s="2187"/>
      <c r="M11" s="2187"/>
      <c r="N11" s="2187">
        <f>вода!AA57</f>
        <v>4665</v>
      </c>
      <c r="O11" s="2187">
        <f>стоки!Y61</f>
        <v>4947</v>
      </c>
      <c r="P11" s="2187"/>
      <c r="Q11" s="2187">
        <f>вода!AN57</f>
        <v>4444</v>
      </c>
      <c r="R11" s="2187">
        <f>стоки!AI61</f>
        <v>3568.1</v>
      </c>
      <c r="S11" s="2187"/>
      <c r="T11" s="2187">
        <f>вода!BG57</f>
        <v>3976</v>
      </c>
      <c r="U11" s="2187">
        <f>стоки!BC61</f>
        <v>0.9</v>
      </c>
      <c r="V11" s="2191"/>
      <c r="W11" s="2187">
        <f t="shared" ref="W11:W12" si="0">SUM(H11:V11)</f>
        <v>21601</v>
      </c>
    </row>
    <row r="12" spans="1:23">
      <c r="A12" s="2184" t="s">
        <v>1484</v>
      </c>
      <c r="B12" s="2187">
        <f t="shared" ref="B12:G12" si="1">B8+B10</f>
        <v>0</v>
      </c>
      <c r="C12" s="2187">
        <f t="shared" si="1"/>
        <v>0</v>
      </c>
      <c r="D12" s="2187">
        <f t="shared" si="1"/>
        <v>0</v>
      </c>
      <c r="E12" s="2187">
        <f t="shared" si="1"/>
        <v>0</v>
      </c>
      <c r="F12" s="2187">
        <f t="shared" si="1"/>
        <v>0</v>
      </c>
      <c r="G12" s="2187">
        <f t="shared" si="1"/>
        <v>0</v>
      </c>
      <c r="H12" s="2187">
        <f t="shared" ref="H12:V12" si="2">H8+H10+H11</f>
        <v>7692</v>
      </c>
      <c r="I12" s="2187">
        <f t="shared" si="2"/>
        <v>5712.2000000000007</v>
      </c>
      <c r="J12" s="2187">
        <f t="shared" si="2"/>
        <v>299.7</v>
      </c>
      <c r="K12" s="2187">
        <f t="shared" si="2"/>
        <v>7623.5</v>
      </c>
      <c r="L12" s="2187">
        <f t="shared" si="2"/>
        <v>5851.26</v>
      </c>
      <c r="M12" s="2187">
        <f t="shared" si="2"/>
        <v>216.9</v>
      </c>
      <c r="N12" s="2187">
        <f t="shared" si="2"/>
        <v>12740.1</v>
      </c>
      <c r="O12" s="2187">
        <f t="shared" si="2"/>
        <v>10434.452133333332</v>
      </c>
      <c r="P12" s="2187">
        <f t="shared" si="2"/>
        <v>189.15722480612965</v>
      </c>
      <c r="Q12" s="2187">
        <f t="shared" si="2"/>
        <v>13497.45</v>
      </c>
      <c r="R12" s="2187">
        <f t="shared" si="2"/>
        <v>10106.93</v>
      </c>
      <c r="S12" s="2187">
        <f t="shared" si="2"/>
        <v>192.15</v>
      </c>
      <c r="T12" s="2187">
        <f t="shared" si="2"/>
        <v>13812.639779661018</v>
      </c>
      <c r="U12" s="2187">
        <f t="shared" si="2"/>
        <v>5124.2755593220336</v>
      </c>
      <c r="V12" s="2191">
        <f t="shared" si="2"/>
        <v>192.66</v>
      </c>
      <c r="W12" s="2187">
        <f t="shared" si="0"/>
        <v>93685.374697122519</v>
      </c>
    </row>
    <row r="13" spans="1:23">
      <c r="A13" s="5606"/>
      <c r="B13" s="5607"/>
      <c r="C13" s="5607"/>
      <c r="D13" s="5607"/>
      <c r="E13" s="5607"/>
      <c r="F13" s="5607"/>
      <c r="G13" s="5607"/>
      <c r="H13" s="5607"/>
      <c r="I13" s="5607"/>
      <c r="J13" s="5607"/>
      <c r="K13" s="5607"/>
      <c r="L13" s="5607"/>
      <c r="M13" s="5607"/>
      <c r="N13" s="5607"/>
      <c r="O13" s="5607"/>
      <c r="P13" s="5607"/>
      <c r="Q13" s="5607"/>
      <c r="R13" s="5607"/>
      <c r="S13" s="5607"/>
      <c r="T13" s="5607"/>
      <c r="U13" s="5607"/>
      <c r="V13" s="5607"/>
      <c r="W13" s="5608"/>
    </row>
    <row r="14" spans="1:23" ht="30">
      <c r="A14" s="2184" t="s">
        <v>1482</v>
      </c>
      <c r="B14" s="2187"/>
      <c r="C14" s="2187"/>
      <c r="D14" s="2187"/>
      <c r="E14" s="2187"/>
      <c r="F14" s="2187"/>
      <c r="G14" s="2187"/>
      <c r="H14" s="5611">
        <f>3801.4</f>
        <v>3801.4</v>
      </c>
      <c r="I14" s="5612"/>
      <c r="J14" s="5613"/>
      <c r="K14" s="5611">
        <v>3970.2</v>
      </c>
      <c r="L14" s="5612"/>
      <c r="M14" s="5613"/>
      <c r="N14" s="5611">
        <v>3057.9</v>
      </c>
      <c r="O14" s="5612"/>
      <c r="P14" s="5613"/>
      <c r="Q14" s="2187"/>
      <c r="R14" s="2187"/>
      <c r="S14" s="2187"/>
      <c r="T14" s="2187"/>
      <c r="U14" s="2187"/>
      <c r="V14" s="2191"/>
      <c r="W14" s="2187">
        <f>SUM(H14:V14)</f>
        <v>10829.5</v>
      </c>
    </row>
    <row r="15" spans="1:23">
      <c r="A15" s="2184" t="s">
        <v>1483</v>
      </c>
      <c r="B15" s="2187">
        <f>196.7+1504.8+562.4+1300.3</f>
        <v>3564.2</v>
      </c>
      <c r="C15" s="2187"/>
      <c r="D15" s="2187"/>
      <c r="E15" s="2187">
        <f>430.7+822.8+623.8+3074.9</f>
        <v>4952.2</v>
      </c>
      <c r="F15" s="2187"/>
      <c r="G15" s="2187"/>
      <c r="H15" s="2187">
        <f>94.7+1076.6+710+2187.1</f>
        <v>4068.3999999999996</v>
      </c>
      <c r="I15" s="2187">
        <f>427+279.7+300.6+250.9</f>
        <v>1258.2</v>
      </c>
      <c r="J15" s="2187"/>
      <c r="K15" s="2187">
        <f>20+1500+300+1238.7</f>
        <v>3058.7</v>
      </c>
      <c r="L15" s="2187"/>
      <c r="M15" s="2187"/>
      <c r="N15" s="2187">
        <v>2797.4</v>
      </c>
      <c r="O15" s="2187">
        <f>стоки!AB12+стоки!AB22+стоки!AB28+стоки!AB37</f>
        <v>658.1</v>
      </c>
      <c r="P15" s="2187"/>
      <c r="Q15" s="2187">
        <v>2859.9</v>
      </c>
      <c r="R15" s="2187">
        <f>стоки!AS12+стоки!AS22+стоки!AS28+стоки!AS37</f>
        <v>0</v>
      </c>
      <c r="S15" s="2187"/>
      <c r="T15" s="2187"/>
      <c r="U15" s="2187"/>
      <c r="V15" s="2191"/>
      <c r="W15" s="2187">
        <f>SUM(H15:V15)</f>
        <v>14700.699999999999</v>
      </c>
    </row>
    <row r="16" spans="1:23">
      <c r="A16" s="2184" t="s">
        <v>1488</v>
      </c>
      <c r="B16" s="2187"/>
      <c r="C16" s="2187"/>
      <c r="D16" s="2187"/>
      <c r="E16" s="2187"/>
      <c r="F16" s="2187"/>
      <c r="G16" s="2187"/>
      <c r="H16" s="2187"/>
      <c r="I16" s="2187"/>
      <c r="J16" s="2187"/>
      <c r="K16" s="2187"/>
      <c r="L16" s="2187"/>
      <c r="M16" s="2187"/>
      <c r="N16" s="2187">
        <v>824.7</v>
      </c>
      <c r="O16" s="2187">
        <v>1044.8800000000001</v>
      </c>
      <c r="P16" s="2187"/>
      <c r="Q16" s="2187"/>
      <c r="R16" s="2187"/>
      <c r="S16" s="2187"/>
      <c r="T16" s="2187"/>
      <c r="U16" s="2187"/>
      <c r="V16" s="2191"/>
      <c r="W16" s="2187">
        <f>SUM(H16:V16)</f>
        <v>1869.5800000000002</v>
      </c>
    </row>
    <row r="17" spans="1:23">
      <c r="A17" s="5609"/>
      <c r="B17" s="5609"/>
      <c r="C17" s="5609"/>
      <c r="D17" s="5609"/>
      <c r="E17" s="5609"/>
      <c r="F17" s="5609"/>
      <c r="G17" s="5609"/>
      <c r="H17" s="5609"/>
      <c r="I17" s="5609"/>
      <c r="J17" s="5609"/>
      <c r="K17" s="5609"/>
      <c r="L17" s="5609"/>
      <c r="M17" s="5609"/>
      <c r="N17" s="5609"/>
      <c r="O17" s="5609"/>
      <c r="P17" s="5609"/>
      <c r="Q17" s="5609"/>
      <c r="R17" s="5609"/>
      <c r="S17" s="5609"/>
      <c r="T17" s="5609"/>
      <c r="U17" s="5609"/>
      <c r="V17" s="5609"/>
      <c r="W17" s="5610"/>
    </row>
    <row r="18" spans="1:23">
      <c r="A18" s="2184"/>
      <c r="B18" s="2187"/>
      <c r="C18" s="2187"/>
      <c r="D18" s="2187"/>
      <c r="E18" s="2187"/>
      <c r="F18" s="2187"/>
      <c r="G18" s="2187"/>
      <c r="H18" s="2187"/>
      <c r="I18" s="2187"/>
      <c r="J18" s="2187"/>
      <c r="K18" s="2187"/>
      <c r="L18" s="2187"/>
      <c r="M18" s="2187"/>
      <c r="N18" s="2187"/>
      <c r="O18" s="2187"/>
      <c r="P18" s="2187"/>
      <c r="Q18" s="2187"/>
      <c r="R18" s="2187"/>
      <c r="S18" s="2187"/>
      <c r="T18" s="2187"/>
      <c r="U18" s="2187"/>
      <c r="V18" s="2191"/>
      <c r="W18" s="2188"/>
    </row>
    <row r="19" spans="1:23" ht="30">
      <c r="A19" s="2184" t="s">
        <v>1485</v>
      </c>
      <c r="B19" s="2187">
        <f t="shared" ref="B19:G19" si="3">B14+B15</f>
        <v>3564.2</v>
      </c>
      <c r="C19" s="2187">
        <f t="shared" si="3"/>
        <v>0</v>
      </c>
      <c r="D19" s="2187">
        <f t="shared" si="3"/>
        <v>0</v>
      </c>
      <c r="E19" s="2187">
        <f t="shared" si="3"/>
        <v>4952.2</v>
      </c>
      <c r="F19" s="2187">
        <f t="shared" si="3"/>
        <v>0</v>
      </c>
      <c r="G19" s="2187">
        <f t="shared" si="3"/>
        <v>0</v>
      </c>
      <c r="H19" s="2187">
        <f>H14+H15+H16</f>
        <v>7869.7999999999993</v>
      </c>
      <c r="I19" s="2187">
        <f t="shared" ref="I19:V19" si="4">I14+I15+I16</f>
        <v>1258.2</v>
      </c>
      <c r="J19" s="2187">
        <f t="shared" si="4"/>
        <v>0</v>
      </c>
      <c r="K19" s="2187">
        <f t="shared" si="4"/>
        <v>7028.9</v>
      </c>
      <c r="L19" s="2187">
        <f t="shared" si="4"/>
        <v>0</v>
      </c>
      <c r="M19" s="2187">
        <f t="shared" si="4"/>
        <v>0</v>
      </c>
      <c r="N19" s="2187">
        <f t="shared" si="4"/>
        <v>6680</v>
      </c>
      <c r="O19" s="2187">
        <f t="shared" si="4"/>
        <v>1702.98</v>
      </c>
      <c r="P19" s="2187">
        <f t="shared" si="4"/>
        <v>0</v>
      </c>
      <c r="Q19" s="2187">
        <f t="shared" si="4"/>
        <v>2859.9</v>
      </c>
      <c r="R19" s="2187">
        <f t="shared" si="4"/>
        <v>0</v>
      </c>
      <c r="S19" s="2187">
        <f t="shared" si="4"/>
        <v>0</v>
      </c>
      <c r="T19" s="2187">
        <f t="shared" si="4"/>
        <v>0</v>
      </c>
      <c r="U19" s="2187">
        <f t="shared" si="4"/>
        <v>0</v>
      </c>
      <c r="V19" s="2191">
        <f t="shared" si="4"/>
        <v>0</v>
      </c>
      <c r="W19" s="2187">
        <f>SUM(H19:V19)</f>
        <v>27399.780000000002</v>
      </c>
    </row>
    <row r="20" spans="1:23">
      <c r="A20" s="2184" t="s">
        <v>1486</v>
      </c>
      <c r="B20" s="2188"/>
      <c r="C20" s="2188"/>
      <c r="D20" s="2188"/>
      <c r="E20" s="2188"/>
      <c r="F20" s="2188"/>
      <c r="G20" s="2188"/>
      <c r="H20" s="2187">
        <f t="shared" ref="H20:V20" si="5">H12-H19</f>
        <v>-177.79999999999927</v>
      </c>
      <c r="I20" s="2187">
        <f t="shared" si="5"/>
        <v>4454.0000000000009</v>
      </c>
      <c r="J20" s="2187">
        <f t="shared" si="5"/>
        <v>299.7</v>
      </c>
      <c r="K20" s="2187">
        <f t="shared" si="5"/>
        <v>594.60000000000036</v>
      </c>
      <c r="L20" s="2187">
        <f t="shared" si="5"/>
        <v>5851.26</v>
      </c>
      <c r="M20" s="2187">
        <f t="shared" si="5"/>
        <v>216.9</v>
      </c>
      <c r="N20" s="2187">
        <f t="shared" si="5"/>
        <v>6060.1</v>
      </c>
      <c r="O20" s="2187">
        <f t="shared" si="5"/>
        <v>8731.4721333333327</v>
      </c>
      <c r="P20" s="2187">
        <f t="shared" si="5"/>
        <v>189.15722480612965</v>
      </c>
      <c r="Q20" s="2187">
        <f t="shared" si="5"/>
        <v>10637.550000000001</v>
      </c>
      <c r="R20" s="2187">
        <f t="shared" si="5"/>
        <v>10106.93</v>
      </c>
      <c r="S20" s="2187">
        <f t="shared" si="5"/>
        <v>192.15</v>
      </c>
      <c r="T20" s="2187">
        <f t="shared" si="5"/>
        <v>13812.639779661018</v>
      </c>
      <c r="U20" s="2187">
        <f t="shared" si="5"/>
        <v>5124.2755593220336</v>
      </c>
      <c r="V20" s="2191">
        <f t="shared" si="5"/>
        <v>192.66</v>
      </c>
      <c r="W20" s="2189">
        <f>SUM(H20:V20)</f>
        <v>66285.59469712252</v>
      </c>
    </row>
    <row r="21" spans="1:23" ht="30" customHeight="1">
      <c r="A21" s="5617" t="s">
        <v>1492</v>
      </c>
      <c r="B21" s="5618"/>
      <c r="C21" s="5618"/>
      <c r="D21" s="5618"/>
      <c r="E21" s="5618"/>
      <c r="F21" s="5618"/>
      <c r="G21" s="5618"/>
      <c r="H21" s="5618"/>
      <c r="I21" s="5618"/>
      <c r="J21" s="5618"/>
      <c r="K21" s="5618"/>
      <c r="L21" s="5618"/>
      <c r="M21" s="5618"/>
      <c r="N21" s="5618"/>
      <c r="O21" s="5618"/>
      <c r="P21" s="5618"/>
      <c r="Q21" s="5618"/>
      <c r="R21" s="5618"/>
      <c r="S21" s="5618"/>
      <c r="T21" s="5618"/>
      <c r="U21" s="5619"/>
      <c r="V21" s="2192">
        <f>SUM(H20:V20)</f>
        <v>66285.59469712252</v>
      </c>
      <c r="W21" s="2188"/>
    </row>
    <row r="22" spans="1:23">
      <c r="A22" s="5607"/>
      <c r="B22" s="5607"/>
      <c r="C22" s="5607"/>
      <c r="D22" s="5607"/>
      <c r="E22" s="5607"/>
      <c r="F22" s="5607"/>
      <c r="G22" s="5607"/>
      <c r="H22" s="5607"/>
      <c r="I22" s="5607"/>
      <c r="J22" s="5607"/>
      <c r="K22" s="5607"/>
      <c r="L22" s="5607"/>
      <c r="M22" s="5607"/>
      <c r="N22" s="5607"/>
      <c r="O22" s="5607"/>
      <c r="P22" s="5607"/>
      <c r="Q22" s="5607"/>
      <c r="R22" s="5607"/>
      <c r="S22" s="5607"/>
      <c r="T22" s="5607"/>
      <c r="U22" s="5607"/>
      <c r="V22" s="5607"/>
      <c r="W22" s="5608"/>
    </row>
    <row r="23" spans="1:23">
      <c r="A23" s="5605" t="s">
        <v>1490</v>
      </c>
      <c r="B23" s="5605"/>
      <c r="C23" s="5605"/>
      <c r="D23" s="5605"/>
      <c r="E23" s="5605"/>
      <c r="F23" s="5605"/>
      <c r="G23" s="5605"/>
      <c r="H23" s="5605"/>
      <c r="I23" s="5605"/>
      <c r="J23" s="5605"/>
      <c r="K23" s="5605"/>
      <c r="L23" s="5605"/>
      <c r="M23" s="5605"/>
      <c r="N23" s="5605"/>
      <c r="O23" s="5605"/>
      <c r="P23" s="5605"/>
      <c r="Q23" s="5605"/>
      <c r="R23" s="5605"/>
      <c r="S23" s="5605"/>
      <c r="T23" s="5605"/>
      <c r="U23" s="5605"/>
      <c r="V23" s="5616"/>
      <c r="W23" s="2188"/>
    </row>
    <row r="24" spans="1:23" ht="30">
      <c r="A24" s="2184" t="s">
        <v>1495</v>
      </c>
      <c r="B24" s="2188"/>
      <c r="C24" s="2188"/>
      <c r="D24" s="2188"/>
      <c r="E24" s="2188"/>
      <c r="F24" s="2188"/>
      <c r="G24" s="2188"/>
      <c r="H24" s="2188"/>
      <c r="I24" s="2188"/>
      <c r="J24" s="2188"/>
      <c r="K24" s="2188"/>
      <c r="L24" s="2188"/>
      <c r="M24" s="2188"/>
      <c r="N24" s="2188"/>
      <c r="O24" s="2188"/>
      <c r="P24" s="2188"/>
      <c r="Q24" s="2188"/>
      <c r="R24" s="2188"/>
      <c r="S24" s="2188"/>
      <c r="T24" s="2187">
        <f>10+15+4100.22+5000+5000</f>
        <v>14125.220000000001</v>
      </c>
      <c r="U24" s="2187">
        <f>1497.7+1500+1500</f>
        <v>4497.7</v>
      </c>
      <c r="V24" s="2193"/>
      <c r="W24" s="2187">
        <f>SUM(H24:V24)</f>
        <v>18622.920000000002</v>
      </c>
    </row>
    <row r="25" spans="1:23" ht="30">
      <c r="A25" s="2184" t="s">
        <v>1496</v>
      </c>
      <c r="B25" s="2188"/>
      <c r="C25" s="2188"/>
      <c r="D25" s="2188"/>
      <c r="E25" s="2188"/>
      <c r="F25" s="2188"/>
      <c r="G25" s="2188"/>
      <c r="H25" s="2188"/>
      <c r="I25" s="2188"/>
      <c r="J25" s="2188"/>
      <c r="K25" s="2188"/>
      <c r="L25" s="2188"/>
      <c r="M25" s="2188"/>
      <c r="N25" s="2188"/>
      <c r="O25" s="2188"/>
      <c r="P25" s="2188"/>
      <c r="Q25" s="2188"/>
      <c r="R25" s="2188"/>
      <c r="S25" s="2188"/>
      <c r="T25" s="2188">
        <v>4735.2</v>
      </c>
      <c r="U25" s="2188">
        <v>4491.5</v>
      </c>
      <c r="V25" s="2193"/>
      <c r="W25" s="2187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191"/>
  <sheetViews>
    <sheetView topLeftCell="A136" workbookViewId="0">
      <selection activeCell="A163" sqref="A163:L191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>
      <c r="A1" s="5588" t="s">
        <v>667</v>
      </c>
      <c r="B1" s="5589"/>
      <c r="C1" s="5589"/>
      <c r="D1" s="5589"/>
      <c r="E1" s="5589"/>
      <c r="F1" s="5589"/>
      <c r="G1" s="5589"/>
      <c r="H1" s="5589"/>
      <c r="I1" s="5589"/>
      <c r="J1" s="5589"/>
      <c r="K1" s="5594"/>
    </row>
    <row r="2" spans="1:11" ht="13.5">
      <c r="A2" s="5590" t="s">
        <v>668</v>
      </c>
      <c r="B2" s="5544"/>
      <c r="C2" s="5544"/>
      <c r="D2" s="5544"/>
      <c r="E2" s="5544"/>
      <c r="F2" s="5544"/>
      <c r="G2" s="5544"/>
      <c r="H2" s="5544"/>
      <c r="I2" s="5544"/>
      <c r="J2" s="5544"/>
      <c r="K2" s="5595"/>
    </row>
    <row r="3" spans="1:11" ht="18.75">
      <c r="A3" s="857"/>
      <c r="B3" s="294"/>
      <c r="C3" s="294"/>
      <c r="D3" s="294"/>
      <c r="E3" s="294"/>
      <c r="F3" s="294"/>
      <c r="G3" s="294"/>
      <c r="H3" s="294"/>
      <c r="I3" s="294"/>
      <c r="J3" s="294"/>
      <c r="K3" s="858"/>
    </row>
    <row r="4" spans="1:11" ht="18.75">
      <c r="A4" s="5591" t="s">
        <v>669</v>
      </c>
      <c r="B4" s="5544"/>
      <c r="C4" s="5544"/>
      <c r="D4" s="5544"/>
      <c r="E4" s="5544"/>
      <c r="F4" s="5544"/>
      <c r="G4" s="5544"/>
      <c r="H4" s="5544"/>
      <c r="I4" s="5544"/>
      <c r="J4" s="5544"/>
      <c r="K4" s="5595"/>
    </row>
    <row r="5" spans="1:11" ht="18">
      <c r="A5" s="859" t="s">
        <v>670</v>
      </c>
      <c r="B5" s="294"/>
      <c r="C5" s="294"/>
      <c r="D5" s="294"/>
      <c r="E5" s="294"/>
      <c r="F5" s="294"/>
      <c r="G5" s="294"/>
      <c r="H5" s="294"/>
      <c r="I5" s="294"/>
      <c r="J5" s="294"/>
      <c r="K5" s="858"/>
    </row>
    <row r="6" spans="1:11" ht="15">
      <c r="A6" s="5578" t="s">
        <v>496</v>
      </c>
      <c r="B6" s="5544"/>
      <c r="C6" s="5544"/>
      <c r="D6" s="5544"/>
      <c r="E6" s="5544"/>
      <c r="F6" s="5544"/>
      <c r="G6" s="5544"/>
      <c r="H6" s="5544"/>
      <c r="I6" s="5544"/>
      <c r="J6" s="5544"/>
      <c r="K6" s="5595"/>
    </row>
    <row r="7" spans="1:11" ht="18.75">
      <c r="A7" s="860"/>
      <c r="B7" s="294"/>
      <c r="C7" s="294"/>
      <c r="D7" s="294"/>
      <c r="E7" s="294"/>
      <c r="F7" s="294"/>
      <c r="G7" s="294"/>
      <c r="H7" s="294"/>
      <c r="I7" s="294"/>
      <c r="J7" s="294"/>
      <c r="K7" s="858"/>
    </row>
    <row r="8" spans="1:11">
      <c r="A8" s="5596" t="s">
        <v>671</v>
      </c>
      <c r="B8" s="5544"/>
      <c r="C8" s="5544"/>
      <c r="D8" s="5544"/>
      <c r="E8" s="5544"/>
      <c r="F8" s="5544"/>
      <c r="G8" s="5544"/>
      <c r="H8" s="5544"/>
      <c r="I8" s="5544"/>
      <c r="J8" s="5544"/>
      <c r="K8" s="5595"/>
    </row>
    <row r="9" spans="1:11" ht="15" customHeight="1">
      <c r="A9" s="5575" t="s">
        <v>672</v>
      </c>
      <c r="B9" s="5544"/>
      <c r="C9" s="5544"/>
      <c r="D9" s="861" t="s">
        <v>673</v>
      </c>
      <c r="E9" s="862"/>
      <c r="F9" s="862"/>
      <c r="G9" s="862"/>
      <c r="H9" s="862"/>
      <c r="I9" s="862"/>
      <c r="J9" s="862"/>
      <c r="K9" s="863"/>
    </row>
    <row r="10" spans="1:11" ht="15" customHeight="1">
      <c r="A10" s="5585" t="s">
        <v>674</v>
      </c>
      <c r="B10" s="5544"/>
      <c r="C10" s="5544"/>
      <c r="D10" s="5544"/>
      <c r="E10" s="5544"/>
      <c r="F10" s="5544"/>
      <c r="G10" s="5586" t="s">
        <v>675</v>
      </c>
      <c r="H10" s="5587" t="s">
        <v>676</v>
      </c>
      <c r="I10" s="294"/>
      <c r="J10" s="294"/>
      <c r="K10" s="858"/>
    </row>
    <row r="11" spans="1:11" ht="5.25" customHeight="1">
      <c r="A11" s="5585"/>
      <c r="B11" s="5544"/>
      <c r="C11" s="5544"/>
      <c r="D11" s="5544"/>
      <c r="E11" s="5544"/>
      <c r="F11" s="5544"/>
      <c r="G11" s="5586"/>
      <c r="H11" s="5587"/>
      <c r="I11" s="294"/>
      <c r="J11" s="294"/>
      <c r="K11" s="858"/>
    </row>
    <row r="12" spans="1:11" ht="11.25" customHeight="1">
      <c r="A12" s="5575" t="s">
        <v>677</v>
      </c>
      <c r="B12" s="5544"/>
      <c r="C12" s="5544"/>
      <c r="D12" s="5544"/>
      <c r="E12" s="5544"/>
      <c r="F12" s="5544"/>
      <c r="G12" s="5576">
        <v>584</v>
      </c>
      <c r="H12" s="5577" t="s">
        <v>678</v>
      </c>
      <c r="I12" s="294"/>
      <c r="J12" s="294"/>
      <c r="K12" s="858"/>
    </row>
    <row r="13" spans="1:11" ht="6.75" customHeight="1">
      <c r="A13" s="5575"/>
      <c r="B13" s="5544"/>
      <c r="C13" s="5544"/>
      <c r="D13" s="5544"/>
      <c r="E13" s="5544"/>
      <c r="F13" s="5544"/>
      <c r="G13" s="5576"/>
      <c r="H13" s="5577"/>
      <c r="I13" s="294"/>
      <c r="J13" s="294"/>
      <c r="K13" s="858"/>
    </row>
    <row r="14" spans="1:11" ht="15.75" customHeight="1">
      <c r="A14" s="5575" t="s">
        <v>679</v>
      </c>
      <c r="B14" s="5544"/>
      <c r="C14" s="5544"/>
      <c r="D14" s="5544"/>
      <c r="E14" s="5544"/>
      <c r="F14" s="5544"/>
      <c r="G14" s="5576" t="s">
        <v>680</v>
      </c>
      <c r="H14" s="5577" t="s">
        <v>676</v>
      </c>
      <c r="I14" s="294"/>
      <c r="J14" s="294"/>
      <c r="K14" s="858"/>
    </row>
    <row r="15" spans="1:11" ht="13.5" thickBot="1">
      <c r="A15" s="5575"/>
      <c r="B15" s="5544"/>
      <c r="C15" s="5544"/>
      <c r="D15" s="5544"/>
      <c r="E15" s="5544"/>
      <c r="F15" s="5544"/>
      <c r="G15" s="5576"/>
      <c r="H15" s="5577"/>
      <c r="I15" s="294"/>
      <c r="J15" s="294"/>
      <c r="K15" s="858"/>
    </row>
    <row r="16" spans="1:11" ht="23.25" customHeight="1" thickBot="1">
      <c r="A16" s="708" t="s">
        <v>175</v>
      </c>
      <c r="B16" s="708" t="s">
        <v>458</v>
      </c>
      <c r="C16" s="708" t="s">
        <v>374</v>
      </c>
      <c r="D16" s="356"/>
      <c r="E16" s="5565" t="s">
        <v>459</v>
      </c>
      <c r="F16" s="5566"/>
      <c r="G16" s="5565" t="s">
        <v>460</v>
      </c>
      <c r="H16" s="5567"/>
      <c r="I16" s="5566"/>
      <c r="J16" s="5568" t="s">
        <v>461</v>
      </c>
      <c r="K16" s="5569"/>
    </row>
    <row r="17" spans="1:11" ht="23.25" customHeight="1" thickBot="1">
      <c r="A17" s="359" t="s">
        <v>462</v>
      </c>
      <c r="B17" s="359" t="s">
        <v>463</v>
      </c>
      <c r="C17" s="359" t="s">
        <v>464</v>
      </c>
      <c r="D17" s="360" t="s">
        <v>465</v>
      </c>
      <c r="E17" s="710" t="s">
        <v>466</v>
      </c>
      <c r="F17" s="707" t="s">
        <v>467</v>
      </c>
      <c r="G17" s="359" t="s">
        <v>466</v>
      </c>
      <c r="H17" s="360" t="s">
        <v>468</v>
      </c>
      <c r="I17" s="362" t="s">
        <v>467</v>
      </c>
      <c r="J17" s="5570" t="s">
        <v>469</v>
      </c>
      <c r="K17" s="5571"/>
    </row>
    <row r="18" spans="1:11" ht="13.5" thickBot="1">
      <c r="A18" s="709"/>
      <c r="B18" s="709" t="s">
        <v>470</v>
      </c>
      <c r="C18" s="709"/>
      <c r="D18" s="364"/>
      <c r="E18" s="710" t="s">
        <v>468</v>
      </c>
      <c r="F18" s="362" t="s">
        <v>471</v>
      </c>
      <c r="G18" s="706"/>
      <c r="H18" s="365"/>
      <c r="I18" s="362" t="s">
        <v>471</v>
      </c>
      <c r="J18" s="709" t="s">
        <v>472</v>
      </c>
      <c r="K18" s="364" t="s">
        <v>466</v>
      </c>
    </row>
    <row r="19" spans="1:11" ht="13.5" thickBot="1">
      <c r="A19" s="864"/>
      <c r="B19" s="294"/>
      <c r="C19" s="294"/>
      <c r="D19" s="294"/>
      <c r="E19" s="294"/>
      <c r="F19" s="294"/>
      <c r="G19" s="294"/>
      <c r="H19" s="294"/>
      <c r="I19" s="294"/>
      <c r="J19" s="294"/>
      <c r="K19" s="858"/>
    </row>
    <row r="20" spans="1:11" ht="13.5" thickBot="1">
      <c r="A20" s="367">
        <v>1</v>
      </c>
      <c r="B20" s="368">
        <v>2</v>
      </c>
      <c r="C20" s="368">
        <v>3</v>
      </c>
      <c r="D20" s="368">
        <v>4</v>
      </c>
      <c r="E20" s="368">
        <v>5</v>
      </c>
      <c r="F20" s="368">
        <v>6</v>
      </c>
      <c r="G20" s="368">
        <v>7</v>
      </c>
      <c r="H20" s="368">
        <v>8</v>
      </c>
      <c r="I20" s="368">
        <v>9</v>
      </c>
      <c r="J20" s="368">
        <v>10</v>
      </c>
      <c r="K20" s="368">
        <v>11</v>
      </c>
    </row>
    <row r="21" spans="1:11" ht="13.5" thickBot="1">
      <c r="A21" s="850"/>
      <c r="B21" s="851"/>
      <c r="C21" s="851"/>
      <c r="D21" s="851"/>
      <c r="E21" s="851"/>
      <c r="F21" s="851"/>
      <c r="G21" s="851"/>
      <c r="H21" s="851"/>
      <c r="I21" s="851"/>
      <c r="J21" s="851"/>
      <c r="K21" s="851"/>
    </row>
    <row r="22" spans="1:11" ht="13.5" thickBot="1">
      <c r="A22" s="5550"/>
      <c r="B22" s="5551"/>
      <c r="C22" s="5551"/>
      <c r="D22" s="5551"/>
      <c r="E22" s="5551"/>
      <c r="F22" s="5551"/>
      <c r="G22" s="5551"/>
      <c r="H22" s="5551"/>
      <c r="I22" s="5551"/>
      <c r="J22" s="5551"/>
      <c r="K22" s="5552"/>
    </row>
    <row r="23" spans="1:11" ht="13.5" thickBot="1">
      <c r="A23" s="5572" t="s">
        <v>681</v>
      </c>
      <c r="B23" s="5573"/>
      <c r="C23" s="5573"/>
      <c r="D23" s="5573"/>
      <c r="E23" s="5573"/>
      <c r="F23" s="5573"/>
      <c r="G23" s="5573"/>
      <c r="H23" s="5573"/>
      <c r="I23" s="5573"/>
      <c r="J23" s="5573"/>
      <c r="K23" s="5574"/>
    </row>
    <row r="24" spans="1:11" ht="13.5" thickBot="1">
      <c r="A24" s="5550"/>
      <c r="B24" s="5551"/>
      <c r="C24" s="5551"/>
      <c r="D24" s="5551"/>
      <c r="E24" s="5551"/>
      <c r="F24" s="5551"/>
      <c r="G24" s="5551"/>
      <c r="H24" s="5551"/>
      <c r="I24" s="5551"/>
      <c r="J24" s="5551"/>
      <c r="K24" s="5552"/>
    </row>
    <row r="25" spans="1:11" ht="34.5" customHeight="1">
      <c r="A25" s="5558">
        <v>1</v>
      </c>
      <c r="B25" s="5560" t="s">
        <v>682</v>
      </c>
      <c r="C25" s="374" t="s">
        <v>683</v>
      </c>
      <c r="D25" s="375">
        <v>0.26</v>
      </c>
      <c r="E25" s="376">
        <v>40328.97</v>
      </c>
      <c r="F25" s="376">
        <v>37757.160000000003</v>
      </c>
      <c r="G25" s="5558">
        <v>10486</v>
      </c>
      <c r="H25" s="5558">
        <v>669</v>
      </c>
      <c r="I25" s="376">
        <v>9817</v>
      </c>
      <c r="J25" s="376">
        <v>13.22</v>
      </c>
      <c r="K25" s="376">
        <v>3.44</v>
      </c>
    </row>
    <row r="26" spans="1:11" ht="35.25" customHeight="1" thickBot="1">
      <c r="A26" s="5559"/>
      <c r="B26" s="5561"/>
      <c r="C26" s="372" t="s">
        <v>684</v>
      </c>
      <c r="D26" s="373" t="s">
        <v>685</v>
      </c>
      <c r="E26" s="373">
        <v>2571.81</v>
      </c>
      <c r="F26" s="373">
        <v>9733.83</v>
      </c>
      <c r="G26" s="5559"/>
      <c r="H26" s="5559"/>
      <c r="I26" s="373">
        <v>2531</v>
      </c>
      <c r="J26" s="373">
        <v>28.91</v>
      </c>
      <c r="K26" s="373">
        <v>7.52</v>
      </c>
    </row>
    <row r="27" spans="1:11" ht="24" customHeight="1">
      <c r="A27" s="5558">
        <v>2</v>
      </c>
      <c r="B27" s="5560" t="s">
        <v>686</v>
      </c>
      <c r="C27" s="374" t="s">
        <v>687</v>
      </c>
      <c r="D27" s="375">
        <v>0.16</v>
      </c>
      <c r="E27" s="376">
        <v>79627.929999999993</v>
      </c>
      <c r="F27" s="376">
        <v>0</v>
      </c>
      <c r="G27" s="5558">
        <v>12740</v>
      </c>
      <c r="H27" s="5558">
        <v>12740</v>
      </c>
      <c r="I27" s="376">
        <v>0</v>
      </c>
      <c r="J27" s="376">
        <v>381</v>
      </c>
      <c r="K27" s="376">
        <v>60.96</v>
      </c>
    </row>
    <row r="28" spans="1:11" ht="34.5" customHeight="1" thickBot="1">
      <c r="A28" s="5559"/>
      <c r="B28" s="5561"/>
      <c r="C28" s="372" t="s">
        <v>684</v>
      </c>
      <c r="D28" s="373" t="s">
        <v>688</v>
      </c>
      <c r="E28" s="373">
        <v>79627.929999999993</v>
      </c>
      <c r="F28" s="373">
        <v>0</v>
      </c>
      <c r="G28" s="5559"/>
      <c r="H28" s="5559"/>
      <c r="I28" s="373">
        <v>0</v>
      </c>
      <c r="J28" s="373">
        <v>0</v>
      </c>
      <c r="K28" s="373">
        <v>0</v>
      </c>
    </row>
    <row r="29" spans="1:11" ht="12" customHeight="1">
      <c r="A29" s="5558">
        <v>3</v>
      </c>
      <c r="B29" s="5560" t="s">
        <v>689</v>
      </c>
      <c r="C29" s="374" t="s">
        <v>690</v>
      </c>
      <c r="D29" s="375">
        <v>0.5</v>
      </c>
      <c r="E29" s="376">
        <v>19221.080000000002</v>
      </c>
      <c r="F29" s="376">
        <v>19221.080000000002</v>
      </c>
      <c r="G29" s="5558">
        <v>9611</v>
      </c>
      <c r="H29" s="5558">
        <v>0</v>
      </c>
      <c r="I29" s="376">
        <v>9611</v>
      </c>
      <c r="J29" s="376">
        <v>0</v>
      </c>
      <c r="K29" s="376">
        <v>0</v>
      </c>
    </row>
    <row r="30" spans="1:11" ht="34.5" customHeight="1" thickBot="1">
      <c r="A30" s="5559"/>
      <c r="B30" s="5561"/>
      <c r="C30" s="372" t="s">
        <v>684</v>
      </c>
      <c r="D30" s="373" t="s">
        <v>691</v>
      </c>
      <c r="E30" s="373">
        <v>0</v>
      </c>
      <c r="F30" s="373">
        <v>24389.57</v>
      </c>
      <c r="G30" s="5559"/>
      <c r="H30" s="5559"/>
      <c r="I30" s="373">
        <v>12195</v>
      </c>
      <c r="J30" s="373">
        <v>97.21</v>
      </c>
      <c r="K30" s="373">
        <v>48.61</v>
      </c>
    </row>
    <row r="31" spans="1:11" ht="21" customHeight="1">
      <c r="A31" s="5558">
        <v>4</v>
      </c>
      <c r="B31" s="5560" t="s">
        <v>692</v>
      </c>
      <c r="C31" s="374" t="s">
        <v>693</v>
      </c>
      <c r="D31" s="375">
        <v>1</v>
      </c>
      <c r="E31" s="376">
        <v>12431.39</v>
      </c>
      <c r="F31" s="376">
        <v>726.88</v>
      </c>
      <c r="G31" s="5558">
        <v>12431</v>
      </c>
      <c r="H31" s="5558">
        <v>5531</v>
      </c>
      <c r="I31" s="376">
        <v>727</v>
      </c>
      <c r="J31" s="376">
        <v>26</v>
      </c>
      <c r="K31" s="376">
        <v>26</v>
      </c>
    </row>
    <row r="32" spans="1:11" ht="33" customHeight="1" thickBot="1">
      <c r="A32" s="5559"/>
      <c r="B32" s="5561"/>
      <c r="C32" s="372" t="s">
        <v>684</v>
      </c>
      <c r="D32" s="373" t="s">
        <v>694</v>
      </c>
      <c r="E32" s="373">
        <v>5531.19</v>
      </c>
      <c r="F32" s="373">
        <v>97.76</v>
      </c>
      <c r="G32" s="5559"/>
      <c r="H32" s="5559"/>
      <c r="I32" s="373">
        <v>98</v>
      </c>
      <c r="J32" s="373">
        <v>0.72</v>
      </c>
      <c r="K32" s="373">
        <v>0.72</v>
      </c>
    </row>
    <row r="33" spans="1:11" ht="11.25" customHeight="1">
      <c r="A33" s="5558">
        <v>5</v>
      </c>
      <c r="B33" s="5560" t="s">
        <v>695</v>
      </c>
      <c r="C33" s="374" t="s">
        <v>696</v>
      </c>
      <c r="D33" s="375">
        <v>2</v>
      </c>
      <c r="E33" s="376">
        <v>5195.62</v>
      </c>
      <c r="F33" s="376">
        <v>327.29000000000002</v>
      </c>
      <c r="G33" s="5558">
        <v>10391</v>
      </c>
      <c r="H33" s="5558">
        <v>4156</v>
      </c>
      <c r="I33" s="376">
        <v>655</v>
      </c>
      <c r="J33" s="376">
        <v>10.199999999999999</v>
      </c>
      <c r="K33" s="376">
        <v>20.399999999999999</v>
      </c>
    </row>
    <row r="34" spans="1:11" ht="32.25" customHeight="1" thickBot="1">
      <c r="A34" s="5559"/>
      <c r="B34" s="5561"/>
      <c r="C34" s="372" t="s">
        <v>684</v>
      </c>
      <c r="D34" s="373" t="s">
        <v>697</v>
      </c>
      <c r="E34" s="373">
        <v>2078.25</v>
      </c>
      <c r="F34" s="373">
        <v>87.79</v>
      </c>
      <c r="G34" s="5559"/>
      <c r="H34" s="5559"/>
      <c r="I34" s="373">
        <v>176</v>
      </c>
      <c r="J34" s="373">
        <v>0.35</v>
      </c>
      <c r="K34" s="373">
        <v>0.7</v>
      </c>
    </row>
    <row r="35" spans="1:11" ht="32.25" customHeight="1">
      <c r="A35" s="5558">
        <v>6</v>
      </c>
      <c r="B35" s="5560" t="s">
        <v>698</v>
      </c>
      <c r="C35" s="374" t="s">
        <v>699</v>
      </c>
      <c r="D35" s="375">
        <v>6</v>
      </c>
      <c r="E35" s="376">
        <v>904.33</v>
      </c>
      <c r="F35" s="376">
        <v>310.14</v>
      </c>
      <c r="G35" s="5558">
        <v>5426</v>
      </c>
      <c r="H35" s="5558">
        <v>1634</v>
      </c>
      <c r="I35" s="376">
        <v>1861</v>
      </c>
      <c r="J35" s="376">
        <v>1.28</v>
      </c>
      <c r="K35" s="376">
        <v>7.68</v>
      </c>
    </row>
    <row r="36" spans="1:11" ht="34.5" customHeight="1" thickBot="1">
      <c r="A36" s="5559"/>
      <c r="B36" s="5561"/>
      <c r="C36" s="372" t="s">
        <v>684</v>
      </c>
      <c r="D36" s="373" t="s">
        <v>700</v>
      </c>
      <c r="E36" s="373">
        <v>272.33999999999997</v>
      </c>
      <c r="F36" s="373">
        <v>39.409999999999997</v>
      </c>
      <c r="G36" s="5559"/>
      <c r="H36" s="5559"/>
      <c r="I36" s="373">
        <v>236</v>
      </c>
      <c r="J36" s="373">
        <v>0.26</v>
      </c>
      <c r="K36" s="373">
        <v>1.56</v>
      </c>
    </row>
    <row r="37" spans="1:11" ht="33" customHeight="1">
      <c r="A37" s="5558">
        <v>7</v>
      </c>
      <c r="B37" s="5560" t="s">
        <v>701</v>
      </c>
      <c r="C37" s="374" t="s">
        <v>702</v>
      </c>
      <c r="D37" s="375">
        <v>0.27</v>
      </c>
      <c r="E37" s="376">
        <v>7223.86</v>
      </c>
      <c r="F37" s="376">
        <v>7223.86</v>
      </c>
      <c r="G37" s="5558">
        <v>1950</v>
      </c>
      <c r="H37" s="5558">
        <v>0</v>
      </c>
      <c r="I37" s="376">
        <v>1950</v>
      </c>
      <c r="J37" s="376">
        <v>0</v>
      </c>
      <c r="K37" s="376">
        <v>0</v>
      </c>
    </row>
    <row r="38" spans="1:11" ht="33.75" customHeight="1" thickBot="1">
      <c r="A38" s="5559"/>
      <c r="B38" s="5561"/>
      <c r="C38" s="372" t="s">
        <v>684</v>
      </c>
      <c r="D38" s="373" t="s">
        <v>685</v>
      </c>
      <c r="E38" s="373">
        <v>0</v>
      </c>
      <c r="F38" s="373">
        <v>2650.37</v>
      </c>
      <c r="G38" s="5559"/>
      <c r="H38" s="5559"/>
      <c r="I38" s="373">
        <v>716</v>
      </c>
      <c r="J38" s="373">
        <v>7.38</v>
      </c>
      <c r="K38" s="373">
        <v>1.99</v>
      </c>
    </row>
    <row r="39" spans="1:11" ht="24" customHeight="1">
      <c r="A39" s="5558">
        <v>8</v>
      </c>
      <c r="B39" s="5560" t="s">
        <v>703</v>
      </c>
      <c r="C39" s="374" t="s">
        <v>704</v>
      </c>
      <c r="D39" s="375">
        <v>0.16500000000000001</v>
      </c>
      <c r="E39" s="376">
        <v>22633.05</v>
      </c>
      <c r="F39" s="376">
        <v>0</v>
      </c>
      <c r="G39" s="5558">
        <v>3734</v>
      </c>
      <c r="H39" s="5558">
        <v>3734</v>
      </c>
      <c r="I39" s="376">
        <v>0</v>
      </c>
      <c r="J39" s="376">
        <v>121</v>
      </c>
      <c r="K39" s="376">
        <v>19.97</v>
      </c>
    </row>
    <row r="40" spans="1:11" ht="34.5" customHeight="1" thickBot="1">
      <c r="A40" s="5559"/>
      <c r="B40" s="5561"/>
      <c r="C40" s="372" t="s">
        <v>684</v>
      </c>
      <c r="D40" s="373" t="s">
        <v>688</v>
      </c>
      <c r="E40" s="373">
        <v>22633.05</v>
      </c>
      <c r="F40" s="373">
        <v>0</v>
      </c>
      <c r="G40" s="5559"/>
      <c r="H40" s="5559"/>
      <c r="I40" s="373">
        <v>0</v>
      </c>
      <c r="J40" s="373">
        <v>0</v>
      </c>
      <c r="K40" s="373">
        <v>0</v>
      </c>
    </row>
    <row r="41" spans="1:11" ht="12" customHeight="1">
      <c r="A41" s="5558">
        <v>9</v>
      </c>
      <c r="B41" s="5560" t="s">
        <v>497</v>
      </c>
      <c r="C41" s="374" t="s">
        <v>498</v>
      </c>
      <c r="D41" s="375">
        <v>15</v>
      </c>
      <c r="E41" s="376">
        <v>4006.63</v>
      </c>
      <c r="F41" s="376">
        <v>751.4</v>
      </c>
      <c r="G41" s="5558">
        <v>60099</v>
      </c>
      <c r="H41" s="5558">
        <v>20123</v>
      </c>
      <c r="I41" s="376">
        <v>11271</v>
      </c>
      <c r="J41" s="376">
        <v>5.86</v>
      </c>
      <c r="K41" s="376">
        <v>87.9</v>
      </c>
    </row>
    <row r="42" spans="1:11" ht="33.75" customHeight="1" thickBot="1">
      <c r="A42" s="5559"/>
      <c r="B42" s="5561"/>
      <c r="C42" s="372" t="s">
        <v>684</v>
      </c>
      <c r="D42" s="373" t="s">
        <v>499</v>
      </c>
      <c r="E42" s="373">
        <v>1341.52</v>
      </c>
      <c r="F42" s="373">
        <v>138.16999999999999</v>
      </c>
      <c r="G42" s="5559"/>
      <c r="H42" s="5559"/>
      <c r="I42" s="373">
        <v>2073</v>
      </c>
      <c r="J42" s="373">
        <v>0.55000000000000004</v>
      </c>
      <c r="K42" s="373">
        <v>8.25</v>
      </c>
    </row>
    <row r="43" spans="1:11" ht="10.5" customHeight="1">
      <c r="A43" s="5558">
        <v>10</v>
      </c>
      <c r="B43" s="5560" t="s">
        <v>500</v>
      </c>
      <c r="C43" s="374" t="s">
        <v>501</v>
      </c>
      <c r="D43" s="375">
        <v>12</v>
      </c>
      <c r="E43" s="376">
        <v>8765.59</v>
      </c>
      <c r="F43" s="376">
        <v>936.14</v>
      </c>
      <c r="G43" s="5558">
        <v>105187</v>
      </c>
      <c r="H43" s="5558">
        <v>26923</v>
      </c>
      <c r="I43" s="376">
        <v>11234</v>
      </c>
      <c r="J43" s="376">
        <v>9.8000000000000007</v>
      </c>
      <c r="K43" s="376">
        <v>117.6</v>
      </c>
    </row>
    <row r="44" spans="1:11" ht="35.25" customHeight="1" thickBot="1">
      <c r="A44" s="5559"/>
      <c r="B44" s="5561"/>
      <c r="C44" s="372" t="s">
        <v>684</v>
      </c>
      <c r="D44" s="373" t="s">
        <v>499</v>
      </c>
      <c r="E44" s="373">
        <v>2243.6</v>
      </c>
      <c r="F44" s="373">
        <v>138.16999999999999</v>
      </c>
      <c r="G44" s="5559"/>
      <c r="H44" s="5559"/>
      <c r="I44" s="373">
        <v>1658</v>
      </c>
      <c r="J44" s="373">
        <v>0.55000000000000004</v>
      </c>
      <c r="K44" s="373">
        <v>6.6</v>
      </c>
    </row>
    <row r="45" spans="1:11" ht="12" customHeight="1">
      <c r="A45" s="5558">
        <v>11</v>
      </c>
      <c r="B45" s="5560" t="s">
        <v>502</v>
      </c>
      <c r="C45" s="374" t="s">
        <v>503</v>
      </c>
      <c r="D45" s="375">
        <v>3</v>
      </c>
      <c r="E45" s="376">
        <v>14254.95</v>
      </c>
      <c r="F45" s="376">
        <v>1157.76</v>
      </c>
      <c r="G45" s="5558">
        <v>42765</v>
      </c>
      <c r="H45" s="5558">
        <v>9272</v>
      </c>
      <c r="I45" s="376">
        <v>3473</v>
      </c>
      <c r="J45" s="376">
        <v>13.5</v>
      </c>
      <c r="K45" s="376">
        <v>40.5</v>
      </c>
    </row>
    <row r="46" spans="1:11" ht="34.5" customHeight="1" thickBot="1">
      <c r="A46" s="5559"/>
      <c r="B46" s="5561"/>
      <c r="C46" s="372" t="s">
        <v>684</v>
      </c>
      <c r="D46" s="373" t="s">
        <v>499</v>
      </c>
      <c r="E46" s="373">
        <v>3090.81</v>
      </c>
      <c r="F46" s="373">
        <v>138.16999999999999</v>
      </c>
      <c r="G46" s="5559"/>
      <c r="H46" s="5559"/>
      <c r="I46" s="373">
        <v>415</v>
      </c>
      <c r="J46" s="373">
        <v>0.55000000000000004</v>
      </c>
      <c r="K46" s="373">
        <v>1.65</v>
      </c>
    </row>
    <row r="47" spans="1:11" ht="10.5" customHeight="1">
      <c r="A47" s="5558">
        <v>12</v>
      </c>
      <c r="B47" s="5560" t="s">
        <v>705</v>
      </c>
      <c r="C47" s="374" t="s">
        <v>706</v>
      </c>
      <c r="D47" s="375">
        <v>0.6</v>
      </c>
      <c r="E47" s="376">
        <v>145994.18</v>
      </c>
      <c r="F47" s="376">
        <v>103149.95</v>
      </c>
      <c r="G47" s="5558">
        <v>87597</v>
      </c>
      <c r="H47" s="5558">
        <v>24932</v>
      </c>
      <c r="I47" s="376">
        <v>61890</v>
      </c>
      <c r="J47" s="376">
        <v>128.96</v>
      </c>
      <c r="K47" s="376">
        <v>77.38</v>
      </c>
    </row>
    <row r="48" spans="1:11" ht="36" customHeight="1" thickBot="1">
      <c r="A48" s="5559"/>
      <c r="B48" s="5561"/>
      <c r="C48" s="372" t="s">
        <v>684</v>
      </c>
      <c r="D48" s="373" t="s">
        <v>523</v>
      </c>
      <c r="E48" s="373">
        <v>41554.03</v>
      </c>
      <c r="F48" s="373">
        <v>12446.06</v>
      </c>
      <c r="G48" s="5559"/>
      <c r="H48" s="5559"/>
      <c r="I48" s="373">
        <v>7468</v>
      </c>
      <c r="J48" s="373">
        <v>55.8</v>
      </c>
      <c r="K48" s="373">
        <v>33.479999999999997</v>
      </c>
    </row>
    <row r="49" spans="1:11" ht="12.75" customHeight="1">
      <c r="A49" s="5558">
        <v>13</v>
      </c>
      <c r="B49" s="5560" t="s">
        <v>707</v>
      </c>
      <c r="C49" s="374" t="s">
        <v>708</v>
      </c>
      <c r="D49" s="375">
        <v>0.72</v>
      </c>
      <c r="E49" s="376">
        <v>190490.87</v>
      </c>
      <c r="F49" s="376">
        <v>134224.35999999999</v>
      </c>
      <c r="G49" s="5558">
        <v>137153</v>
      </c>
      <c r="H49" s="5558">
        <v>39273</v>
      </c>
      <c r="I49" s="376">
        <v>96642</v>
      </c>
      <c r="J49" s="376">
        <v>169.28</v>
      </c>
      <c r="K49" s="376">
        <v>121.88</v>
      </c>
    </row>
    <row r="50" spans="1:11" ht="33.75" customHeight="1" thickBot="1">
      <c r="A50" s="5559"/>
      <c r="B50" s="5561"/>
      <c r="C50" s="372" t="s">
        <v>684</v>
      </c>
      <c r="D50" s="373" t="s">
        <v>523</v>
      </c>
      <c r="E50" s="373">
        <v>54546.27</v>
      </c>
      <c r="F50" s="373">
        <v>16418</v>
      </c>
      <c r="G50" s="5559"/>
      <c r="H50" s="5559"/>
      <c r="I50" s="373">
        <v>11821</v>
      </c>
      <c r="J50" s="373">
        <v>73.400000000000006</v>
      </c>
      <c r="K50" s="373">
        <v>52.85</v>
      </c>
    </row>
    <row r="51" spans="1:11" ht="13.5" thickBot="1">
      <c r="A51" s="5550"/>
      <c r="B51" s="5551"/>
      <c r="C51" s="5551"/>
      <c r="D51" s="5551"/>
      <c r="E51" s="5551"/>
      <c r="F51" s="5551"/>
      <c r="G51" s="5551"/>
      <c r="H51" s="5551"/>
      <c r="I51" s="5551"/>
      <c r="J51" s="5551"/>
      <c r="K51" s="5552"/>
    </row>
    <row r="52" spans="1:11">
      <c r="A52" s="5553" t="s">
        <v>709</v>
      </c>
      <c r="B52" s="5554"/>
      <c r="C52" s="5554"/>
      <c r="D52" s="5554"/>
      <c r="E52" s="5554"/>
      <c r="F52" s="5556"/>
      <c r="G52" s="5556">
        <v>499570</v>
      </c>
      <c r="H52" s="5556">
        <v>148987</v>
      </c>
      <c r="I52" s="865">
        <v>209131</v>
      </c>
      <c r="J52" s="5556"/>
      <c r="K52" s="376">
        <v>583.70000000000005</v>
      </c>
    </row>
    <row r="53" spans="1:11" ht="13.5" thickBot="1">
      <c r="A53" s="5555"/>
      <c r="B53" s="5547"/>
      <c r="C53" s="5547"/>
      <c r="D53" s="5547"/>
      <c r="E53" s="5547"/>
      <c r="F53" s="5557"/>
      <c r="G53" s="5557"/>
      <c r="H53" s="5557"/>
      <c r="I53" s="855">
        <v>39387</v>
      </c>
      <c r="J53" s="5557"/>
      <c r="K53" s="373">
        <v>163.92</v>
      </c>
    </row>
    <row r="54" spans="1:11" ht="13.5" thickBot="1">
      <c r="A54" s="5550"/>
      <c r="B54" s="5551"/>
      <c r="C54" s="5551"/>
      <c r="D54" s="5551"/>
      <c r="E54" s="5551"/>
      <c r="F54" s="5551"/>
      <c r="G54" s="5551"/>
      <c r="H54" s="5551"/>
      <c r="I54" s="5551"/>
      <c r="J54" s="5551"/>
      <c r="K54" s="5552"/>
    </row>
    <row r="55" spans="1:11">
      <c r="A55" s="5553" t="s">
        <v>710</v>
      </c>
      <c r="B55" s="5554"/>
      <c r="C55" s="5554"/>
      <c r="D55" s="5554"/>
      <c r="E55" s="5554"/>
      <c r="F55" s="5556"/>
      <c r="G55" s="5556">
        <v>499570</v>
      </c>
      <c r="H55" s="5556">
        <v>148987</v>
      </c>
      <c r="I55" s="865">
        <v>209131</v>
      </c>
      <c r="J55" s="5556"/>
      <c r="K55" s="376">
        <v>583.70000000000005</v>
      </c>
    </row>
    <row r="56" spans="1:11" ht="13.5" thickBot="1">
      <c r="A56" s="5555"/>
      <c r="B56" s="5547"/>
      <c r="C56" s="5547"/>
      <c r="D56" s="5547"/>
      <c r="E56" s="5547"/>
      <c r="F56" s="5557"/>
      <c r="G56" s="5557"/>
      <c r="H56" s="5557"/>
      <c r="I56" s="855">
        <v>39387</v>
      </c>
      <c r="J56" s="5557"/>
      <c r="K56" s="373">
        <v>163.92</v>
      </c>
    </row>
    <row r="57" spans="1:11" ht="13.5" thickBot="1">
      <c r="A57" s="850"/>
      <c r="B57" s="851"/>
      <c r="C57" s="851"/>
      <c r="D57" s="851"/>
      <c r="E57" s="851"/>
      <c r="F57" s="851"/>
      <c r="G57" s="851"/>
      <c r="H57" s="851"/>
      <c r="I57" s="851"/>
      <c r="J57" s="851"/>
      <c r="K57" s="851"/>
    </row>
    <row r="58" spans="1:11">
      <c r="A58" s="866"/>
      <c r="B58" s="294"/>
      <c r="C58" s="294"/>
      <c r="D58" s="294"/>
      <c r="E58" s="294"/>
      <c r="F58" s="294"/>
      <c r="G58" s="294"/>
      <c r="H58" s="294"/>
      <c r="I58" s="294"/>
      <c r="J58" s="294"/>
      <c r="K58" s="858"/>
    </row>
    <row r="59" spans="1:11">
      <c r="A59" s="867"/>
      <c r="B59" s="294"/>
      <c r="C59" s="294"/>
      <c r="D59" s="294"/>
      <c r="E59" s="294"/>
      <c r="F59" s="294"/>
      <c r="G59" s="294"/>
      <c r="H59" s="294"/>
      <c r="I59" s="294"/>
      <c r="J59" s="294"/>
      <c r="K59" s="858"/>
    </row>
    <row r="60" spans="1:11">
      <c r="A60" s="867"/>
      <c r="B60" s="294"/>
      <c r="C60" s="5543" t="s">
        <v>711</v>
      </c>
      <c r="D60" s="5544"/>
      <c r="E60" s="5544"/>
      <c r="F60" s="5544"/>
      <c r="G60" s="5544"/>
      <c r="H60" s="5544"/>
      <c r="I60" s="5543" t="s">
        <v>712</v>
      </c>
      <c r="J60" s="5543" t="s">
        <v>713</v>
      </c>
      <c r="K60" s="374" t="s">
        <v>578</v>
      </c>
    </row>
    <row r="61" spans="1:11">
      <c r="A61" s="867"/>
      <c r="B61" s="294"/>
      <c r="C61" s="5543"/>
      <c r="D61" s="5544"/>
      <c r="E61" s="5544"/>
      <c r="F61" s="5544"/>
      <c r="G61" s="5544"/>
      <c r="H61" s="5544"/>
      <c r="I61" s="5543"/>
      <c r="J61" s="5543"/>
      <c r="K61" s="374" t="s">
        <v>714</v>
      </c>
    </row>
    <row r="62" spans="1:11" ht="13.5" thickBot="1">
      <c r="A62" s="867"/>
      <c r="B62" s="294"/>
      <c r="C62" s="5543" t="s">
        <v>54</v>
      </c>
      <c r="D62" s="5544"/>
      <c r="E62" s="5544"/>
      <c r="F62" s="5544"/>
      <c r="G62" s="5544"/>
      <c r="H62" s="5544"/>
      <c r="I62" s="855"/>
      <c r="J62" s="855"/>
      <c r="K62" s="373" t="s">
        <v>715</v>
      </c>
    </row>
    <row r="63" spans="1:11" ht="13.5" thickBot="1">
      <c r="A63" s="867"/>
      <c r="B63" s="294"/>
      <c r="C63" s="5543" t="s">
        <v>716</v>
      </c>
      <c r="D63" s="5544"/>
      <c r="E63" s="5544"/>
      <c r="F63" s="5544"/>
      <c r="G63" s="5544"/>
      <c r="H63" s="5544"/>
      <c r="I63" s="855">
        <v>0.6</v>
      </c>
      <c r="J63" s="855">
        <v>85</v>
      </c>
      <c r="K63" s="373" t="s">
        <v>717</v>
      </c>
    </row>
    <row r="64" spans="1:11" ht="13.5" thickBot="1">
      <c r="A64" s="867"/>
      <c r="B64" s="294"/>
      <c r="C64" s="5543" t="s">
        <v>718</v>
      </c>
      <c r="D64" s="5544"/>
      <c r="E64" s="5544"/>
      <c r="F64" s="5544"/>
      <c r="G64" s="5544"/>
      <c r="H64" s="5544"/>
      <c r="I64" s="855">
        <v>0.6</v>
      </c>
      <c r="J64" s="855">
        <v>71</v>
      </c>
      <c r="K64" s="373" t="s">
        <v>719</v>
      </c>
    </row>
    <row r="65" spans="1:11" ht="13.5" thickBot="1">
      <c r="A65" s="867"/>
      <c r="B65" s="294"/>
      <c r="C65" s="5543" t="s">
        <v>720</v>
      </c>
      <c r="D65" s="5544"/>
      <c r="E65" s="5544"/>
      <c r="F65" s="5544"/>
      <c r="G65" s="5544"/>
      <c r="H65" s="5544"/>
      <c r="I65" s="855">
        <v>0.6</v>
      </c>
      <c r="J65" s="855">
        <v>71</v>
      </c>
      <c r="K65" s="373" t="s">
        <v>721</v>
      </c>
    </row>
    <row r="66" spans="1:11" ht="13.5" thickBot="1">
      <c r="A66" s="867"/>
      <c r="B66" s="294"/>
      <c r="C66" s="5543" t="s">
        <v>722</v>
      </c>
      <c r="D66" s="5544"/>
      <c r="E66" s="5544"/>
      <c r="F66" s="5544"/>
      <c r="G66" s="5544"/>
      <c r="H66" s="5544"/>
      <c r="I66" s="855">
        <v>0.6</v>
      </c>
      <c r="J66" s="855">
        <v>116</v>
      </c>
      <c r="K66" s="373" t="s">
        <v>723</v>
      </c>
    </row>
    <row r="67" spans="1:11" ht="13.5" thickBot="1">
      <c r="A67" s="867"/>
      <c r="B67" s="294"/>
      <c r="C67" s="5543" t="s">
        <v>724</v>
      </c>
      <c r="D67" s="5544"/>
      <c r="E67" s="5544"/>
      <c r="F67" s="5544"/>
      <c r="G67" s="5544"/>
      <c r="H67" s="5544"/>
      <c r="I67" s="855">
        <v>0.6</v>
      </c>
      <c r="J67" s="855">
        <v>92</v>
      </c>
      <c r="K67" s="373" t="s">
        <v>725</v>
      </c>
    </row>
    <row r="68" spans="1:11" ht="13.5" thickBot="1">
      <c r="A68" s="867"/>
      <c r="B68" s="294"/>
      <c r="C68" s="5543" t="s">
        <v>726</v>
      </c>
      <c r="D68" s="5544"/>
      <c r="E68" s="5544"/>
      <c r="F68" s="5544"/>
      <c r="G68" s="5544"/>
      <c r="H68" s="5544"/>
      <c r="I68" s="855"/>
      <c r="J68" s="855"/>
      <c r="K68" s="373" t="s">
        <v>727</v>
      </c>
    </row>
    <row r="69" spans="1:11" ht="13.5" thickBot="1">
      <c r="A69" s="867"/>
      <c r="B69" s="294"/>
      <c r="C69" s="5543" t="s">
        <v>54</v>
      </c>
      <c r="D69" s="5544"/>
      <c r="E69" s="5544"/>
      <c r="F69" s="5544"/>
      <c r="G69" s="5544"/>
      <c r="H69" s="5544"/>
      <c r="I69" s="855"/>
      <c r="J69" s="855"/>
      <c r="K69" s="373" t="s">
        <v>728</v>
      </c>
    </row>
    <row r="70" spans="1:11" ht="13.5" thickBot="1">
      <c r="A70" s="867"/>
      <c r="B70" s="294"/>
      <c r="C70" s="5543" t="s">
        <v>729</v>
      </c>
      <c r="D70" s="5544"/>
      <c r="E70" s="5544"/>
      <c r="F70" s="5544"/>
      <c r="G70" s="5544"/>
      <c r="H70" s="5544"/>
      <c r="I70" s="855"/>
      <c r="J70" s="855">
        <v>40</v>
      </c>
      <c r="K70" s="373" t="s">
        <v>730</v>
      </c>
    </row>
    <row r="71" spans="1:11" ht="13.5" thickBot="1">
      <c r="A71" s="867"/>
      <c r="B71" s="294"/>
      <c r="C71" s="5543" t="s">
        <v>731</v>
      </c>
      <c r="D71" s="5544"/>
      <c r="E71" s="5544"/>
      <c r="F71" s="5544"/>
      <c r="G71" s="5544"/>
      <c r="H71" s="5544"/>
      <c r="I71" s="855"/>
      <c r="J71" s="855">
        <v>36</v>
      </c>
      <c r="K71" s="373" t="s">
        <v>732</v>
      </c>
    </row>
    <row r="72" spans="1:11" ht="13.5" thickBot="1">
      <c r="A72" s="867"/>
      <c r="B72" s="294"/>
      <c r="C72" s="5543" t="s">
        <v>733</v>
      </c>
      <c r="D72" s="5544"/>
      <c r="E72" s="5544"/>
      <c r="F72" s="5544"/>
      <c r="G72" s="5544"/>
      <c r="H72" s="5544"/>
      <c r="I72" s="855"/>
      <c r="J72" s="855">
        <v>36</v>
      </c>
      <c r="K72" s="373" t="s">
        <v>734</v>
      </c>
    </row>
    <row r="73" spans="1:11" ht="13.5" thickBot="1">
      <c r="A73" s="867"/>
      <c r="B73" s="294"/>
      <c r="C73" s="5543" t="s">
        <v>735</v>
      </c>
      <c r="D73" s="5544"/>
      <c r="E73" s="5544"/>
      <c r="F73" s="5544"/>
      <c r="G73" s="5544"/>
      <c r="H73" s="5544"/>
      <c r="I73" s="855"/>
      <c r="J73" s="855">
        <v>71</v>
      </c>
      <c r="K73" s="373" t="s">
        <v>736</v>
      </c>
    </row>
    <row r="74" spans="1:11" ht="13.5" thickBot="1">
      <c r="A74" s="867"/>
      <c r="B74" s="294"/>
      <c r="C74" s="5543" t="s">
        <v>737</v>
      </c>
      <c r="D74" s="5544"/>
      <c r="E74" s="5544"/>
      <c r="F74" s="5544"/>
      <c r="G74" s="5544"/>
      <c r="H74" s="5544"/>
      <c r="I74" s="855"/>
      <c r="J74" s="855">
        <v>54</v>
      </c>
      <c r="K74" s="373" t="s">
        <v>738</v>
      </c>
    </row>
    <row r="75" spans="1:11" ht="13.5" thickBot="1">
      <c r="A75" s="867"/>
      <c r="B75" s="294"/>
      <c r="C75" s="5543" t="s">
        <v>739</v>
      </c>
      <c r="D75" s="5544"/>
      <c r="E75" s="5544"/>
      <c r="F75" s="5544"/>
      <c r="G75" s="5544"/>
      <c r="H75" s="5544"/>
      <c r="I75" s="855"/>
      <c r="J75" s="855"/>
      <c r="K75" s="373" t="s">
        <v>740</v>
      </c>
    </row>
    <row r="76" spans="1:11" ht="13.5" thickBot="1">
      <c r="A76" s="867"/>
      <c r="B76" s="294"/>
      <c r="C76" s="5543" t="s">
        <v>54</v>
      </c>
      <c r="D76" s="5544"/>
      <c r="E76" s="5544"/>
      <c r="F76" s="5544"/>
      <c r="G76" s="5544"/>
      <c r="H76" s="5544"/>
      <c r="I76" s="855"/>
      <c r="J76" s="855"/>
      <c r="K76" s="373" t="s">
        <v>741</v>
      </c>
    </row>
    <row r="77" spans="1:11" ht="13.5" thickBot="1">
      <c r="A77" s="867"/>
      <c r="B77" s="294"/>
      <c r="C77" s="5543" t="s">
        <v>742</v>
      </c>
      <c r="D77" s="5544"/>
      <c r="E77" s="5544"/>
      <c r="F77" s="5544"/>
      <c r="G77" s="5544"/>
      <c r="H77" s="5544"/>
      <c r="I77" s="855"/>
      <c r="J77" s="855">
        <v>18</v>
      </c>
      <c r="K77" s="373" t="s">
        <v>743</v>
      </c>
    </row>
    <row r="78" spans="1:11" ht="13.5" thickBot="1">
      <c r="A78" s="867"/>
      <c r="B78" s="294"/>
      <c r="C78" s="5543" t="s">
        <v>293</v>
      </c>
      <c r="D78" s="5544"/>
      <c r="E78" s="5544"/>
      <c r="F78" s="5544"/>
      <c r="G78" s="5544"/>
      <c r="H78" s="5544"/>
      <c r="I78" s="855"/>
      <c r="J78" s="855"/>
      <c r="K78" s="373" t="s">
        <v>675</v>
      </c>
    </row>
    <row r="79" spans="1:11" ht="13.5" thickBot="1">
      <c r="A79" s="854"/>
      <c r="B79" s="853"/>
      <c r="C79" s="5547" t="s">
        <v>744</v>
      </c>
      <c r="D79" s="5548"/>
      <c r="E79" s="5548"/>
      <c r="F79" s="5548"/>
      <c r="G79" s="5548"/>
      <c r="H79" s="5548"/>
      <c r="I79" s="855"/>
      <c r="J79" s="855"/>
      <c r="K79" s="373" t="s">
        <v>675</v>
      </c>
    </row>
    <row r="80" spans="1:11" ht="15.75">
      <c r="K80" s="877">
        <v>821297</v>
      </c>
    </row>
    <row r="81" spans="1:12" ht="13.5" thickBot="1"/>
    <row r="82" spans="1:12" ht="18.75">
      <c r="A82" s="5588" t="s">
        <v>745</v>
      </c>
      <c r="B82" s="5589"/>
      <c r="C82" s="5589"/>
      <c r="D82" s="5589"/>
      <c r="E82" s="5589"/>
      <c r="F82" s="5589"/>
      <c r="G82" s="5589"/>
      <c r="H82" s="5589"/>
      <c r="I82" s="5589"/>
      <c r="J82" s="5589"/>
      <c r="K82" s="5589"/>
      <c r="L82" s="868"/>
    </row>
    <row r="83" spans="1:12" ht="13.5">
      <c r="A83" s="5590" t="s">
        <v>668</v>
      </c>
      <c r="B83" s="5579"/>
      <c r="C83" s="5579"/>
      <c r="D83" s="5579"/>
      <c r="E83" s="5579"/>
      <c r="F83" s="5579"/>
      <c r="G83" s="5579"/>
      <c r="H83" s="5579"/>
      <c r="I83" s="5579"/>
      <c r="J83" s="5579"/>
      <c r="K83" s="5579"/>
      <c r="L83" s="869"/>
    </row>
    <row r="84" spans="1:12" ht="18.75">
      <c r="A84" s="870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69"/>
    </row>
    <row r="85" spans="1:12" ht="18.75">
      <c r="A85" s="5591" t="s">
        <v>746</v>
      </c>
      <c r="B85" s="5579"/>
      <c r="C85" s="5579"/>
      <c r="D85" s="5579"/>
      <c r="E85" s="5579"/>
      <c r="F85" s="5579"/>
      <c r="G85" s="5579"/>
      <c r="H85" s="5579"/>
      <c r="I85" s="5579"/>
      <c r="J85" s="5579"/>
      <c r="K85" s="5579"/>
      <c r="L85" s="5580"/>
    </row>
    <row r="86" spans="1:12" ht="18">
      <c r="A86" s="859" t="s">
        <v>670</v>
      </c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69"/>
    </row>
    <row r="87" spans="1:12">
      <c r="A87" s="5578" t="s">
        <v>747</v>
      </c>
      <c r="B87" s="5579"/>
      <c r="C87" s="5579"/>
      <c r="D87" s="5579"/>
      <c r="E87" s="5579"/>
      <c r="F87" s="5579"/>
      <c r="G87" s="5579"/>
      <c r="H87" s="5579"/>
      <c r="I87" s="5579"/>
      <c r="J87" s="5579"/>
      <c r="K87" s="5579"/>
      <c r="L87" s="5580"/>
    </row>
    <row r="88" spans="1:12">
      <c r="A88" s="5581"/>
      <c r="B88" s="5579"/>
      <c r="C88" s="5579"/>
      <c r="D88" s="5579"/>
      <c r="E88" s="5579"/>
      <c r="F88" s="5579"/>
      <c r="G88" s="5579"/>
      <c r="H88" s="5579"/>
      <c r="I88" s="5579"/>
      <c r="J88" s="5579"/>
      <c r="K88" s="5579"/>
      <c r="L88" s="5580"/>
    </row>
    <row r="89" spans="1:12">
      <c r="A89" s="5582" t="s">
        <v>671</v>
      </c>
      <c r="B89" s="5583"/>
      <c r="C89" s="871"/>
      <c r="D89" s="871"/>
      <c r="E89" s="871"/>
      <c r="F89" s="871"/>
      <c r="G89" s="871"/>
      <c r="H89" s="871"/>
      <c r="I89" s="871"/>
      <c r="J89" s="871"/>
      <c r="K89" s="871"/>
      <c r="L89" s="869"/>
    </row>
    <row r="90" spans="1:12" ht="13.5">
      <c r="A90" s="872"/>
      <c r="B90" s="873"/>
      <c r="C90" s="871"/>
      <c r="D90" s="871"/>
      <c r="E90" s="871"/>
      <c r="F90" s="871"/>
      <c r="G90" s="871"/>
      <c r="H90" s="871"/>
      <c r="I90" s="871"/>
      <c r="J90" s="871"/>
      <c r="K90" s="871"/>
      <c r="L90" s="869"/>
    </row>
    <row r="91" spans="1:12">
      <c r="A91" s="5582" t="s">
        <v>672</v>
      </c>
      <c r="B91" s="5579"/>
      <c r="C91" s="5579"/>
      <c r="D91" s="5584" t="s">
        <v>748</v>
      </c>
      <c r="E91" s="5579"/>
      <c r="F91" s="5579"/>
      <c r="G91" s="5579"/>
      <c r="H91" s="5579"/>
      <c r="I91" s="5579"/>
      <c r="J91" s="5579"/>
      <c r="K91" s="5579"/>
      <c r="L91" s="5580"/>
    </row>
    <row r="92" spans="1:12" ht="18.75">
      <c r="A92" s="860"/>
      <c r="B92" s="294"/>
      <c r="C92" s="294"/>
      <c r="D92" s="294"/>
      <c r="E92" s="294"/>
      <c r="F92" s="294"/>
      <c r="G92" s="294"/>
      <c r="H92" s="294"/>
      <c r="I92" s="294"/>
      <c r="J92" s="294"/>
      <c r="K92" s="294"/>
      <c r="L92" s="858"/>
    </row>
    <row r="93" spans="1:12" ht="12.75" customHeight="1">
      <c r="A93" s="5585" t="s">
        <v>674</v>
      </c>
      <c r="B93" s="5544"/>
      <c r="C93" s="5544"/>
      <c r="D93" s="5544"/>
      <c r="E93" s="5544"/>
      <c r="F93" s="5586" t="s">
        <v>749</v>
      </c>
      <c r="G93" s="5587" t="s">
        <v>676</v>
      </c>
      <c r="H93" s="294"/>
      <c r="I93" s="294"/>
      <c r="J93" s="294"/>
      <c r="K93" s="294"/>
      <c r="L93" s="858"/>
    </row>
    <row r="94" spans="1:12">
      <c r="A94" s="5585"/>
      <c r="B94" s="5544"/>
      <c r="C94" s="5544"/>
      <c r="D94" s="5544"/>
      <c r="E94" s="5544"/>
      <c r="F94" s="5586"/>
      <c r="G94" s="5587"/>
      <c r="H94" s="294"/>
      <c r="I94" s="294"/>
      <c r="J94" s="294"/>
      <c r="K94" s="294"/>
      <c r="L94" s="858"/>
    </row>
    <row r="95" spans="1:12" ht="13.5" customHeight="1">
      <c r="A95" s="5575" t="s">
        <v>677</v>
      </c>
      <c r="B95" s="5544"/>
      <c r="C95" s="5544"/>
      <c r="D95" s="5544"/>
      <c r="E95" s="5544"/>
      <c r="F95" s="5576">
        <v>951</v>
      </c>
      <c r="G95" s="5577" t="s">
        <v>678</v>
      </c>
      <c r="H95" s="294"/>
      <c r="I95" s="294"/>
      <c r="J95" s="294"/>
      <c r="K95" s="294"/>
      <c r="L95" s="858"/>
    </row>
    <row r="96" spans="1:12">
      <c r="A96" s="5575"/>
      <c r="B96" s="5544"/>
      <c r="C96" s="5544"/>
      <c r="D96" s="5544"/>
      <c r="E96" s="5544"/>
      <c r="F96" s="5576"/>
      <c r="G96" s="5577"/>
      <c r="H96" s="294"/>
      <c r="I96" s="294"/>
      <c r="J96" s="294"/>
      <c r="K96" s="294"/>
      <c r="L96" s="858"/>
    </row>
    <row r="97" spans="1:12" ht="13.5" customHeight="1">
      <c r="A97" s="5575" t="s">
        <v>679</v>
      </c>
      <c r="B97" s="5544"/>
      <c r="C97" s="5544"/>
      <c r="D97" s="5544"/>
      <c r="E97" s="5544"/>
      <c r="F97" s="5576" t="s">
        <v>750</v>
      </c>
      <c r="G97" s="5577" t="s">
        <v>676</v>
      </c>
      <c r="H97" s="294"/>
      <c r="I97" s="294"/>
      <c r="J97" s="294"/>
      <c r="K97" s="294"/>
      <c r="L97" s="858"/>
    </row>
    <row r="98" spans="1:12" ht="13.5" thickBot="1">
      <c r="A98" s="5575"/>
      <c r="B98" s="5544"/>
      <c r="C98" s="5544"/>
      <c r="D98" s="5544"/>
      <c r="E98" s="5544"/>
      <c r="F98" s="5576"/>
      <c r="G98" s="5577"/>
      <c r="H98" s="294"/>
      <c r="I98" s="294"/>
      <c r="J98" s="294"/>
      <c r="K98" s="294"/>
      <c r="L98" s="858"/>
    </row>
    <row r="99" spans="1:12" ht="13.5" thickBot="1">
      <c r="A99" s="708" t="s">
        <v>175</v>
      </c>
      <c r="B99" s="708" t="s">
        <v>458</v>
      </c>
      <c r="C99" s="708" t="s">
        <v>374</v>
      </c>
      <c r="D99" s="356"/>
      <c r="E99" s="5565" t="s">
        <v>459</v>
      </c>
      <c r="F99" s="5566"/>
      <c r="G99" s="5565" t="s">
        <v>460</v>
      </c>
      <c r="H99" s="5567"/>
      <c r="I99" s="5566"/>
      <c r="J99" s="5568" t="s">
        <v>461</v>
      </c>
      <c r="K99" s="5569"/>
      <c r="L99" s="858"/>
    </row>
    <row r="100" spans="1:12" ht="13.5" thickBot="1">
      <c r="A100" s="359" t="s">
        <v>462</v>
      </c>
      <c r="B100" s="359" t="s">
        <v>463</v>
      </c>
      <c r="C100" s="359" t="s">
        <v>464</v>
      </c>
      <c r="D100" s="360" t="s">
        <v>465</v>
      </c>
      <c r="E100" s="710" t="s">
        <v>466</v>
      </c>
      <c r="F100" s="707" t="s">
        <v>467</v>
      </c>
      <c r="G100" s="359" t="s">
        <v>466</v>
      </c>
      <c r="H100" s="360" t="s">
        <v>468</v>
      </c>
      <c r="I100" s="362" t="s">
        <v>467</v>
      </c>
      <c r="J100" s="5570" t="s">
        <v>469</v>
      </c>
      <c r="K100" s="5571"/>
      <c r="L100" s="858"/>
    </row>
    <row r="101" spans="1:12" ht="13.5" thickBot="1">
      <c r="A101" s="709"/>
      <c r="B101" s="709" t="s">
        <v>470</v>
      </c>
      <c r="C101" s="709"/>
      <c r="D101" s="364"/>
      <c r="E101" s="710" t="s">
        <v>468</v>
      </c>
      <c r="F101" s="362" t="s">
        <v>471</v>
      </c>
      <c r="G101" s="706"/>
      <c r="H101" s="365"/>
      <c r="I101" s="362" t="s">
        <v>471</v>
      </c>
      <c r="J101" s="709" t="s">
        <v>472</v>
      </c>
      <c r="K101" s="364" t="s">
        <v>466</v>
      </c>
      <c r="L101" s="858"/>
    </row>
    <row r="102" spans="1:12" ht="13.5" thickBot="1">
      <c r="A102" s="864"/>
      <c r="B102" s="294"/>
      <c r="C102" s="294"/>
      <c r="D102" s="294"/>
      <c r="E102" s="294"/>
      <c r="F102" s="294"/>
      <c r="G102" s="294"/>
      <c r="H102" s="294"/>
      <c r="I102" s="294"/>
      <c r="J102" s="294"/>
      <c r="K102" s="294"/>
      <c r="L102" s="858"/>
    </row>
    <row r="103" spans="1:12" ht="13.5" thickBot="1">
      <c r="A103" s="367">
        <v>1</v>
      </c>
      <c r="B103" s="368">
        <v>2</v>
      </c>
      <c r="C103" s="368">
        <v>3</v>
      </c>
      <c r="D103" s="368">
        <v>4</v>
      </c>
      <c r="E103" s="368">
        <v>5</v>
      </c>
      <c r="F103" s="368">
        <v>6</v>
      </c>
      <c r="G103" s="368">
        <v>7</v>
      </c>
      <c r="H103" s="368">
        <v>8</v>
      </c>
      <c r="I103" s="368">
        <v>9</v>
      </c>
      <c r="J103" s="368">
        <v>10</v>
      </c>
      <c r="K103" s="368">
        <v>11</v>
      </c>
      <c r="L103" s="874"/>
    </row>
    <row r="104" spans="1:12" ht="13.5" thickBot="1">
      <c r="A104" s="850"/>
      <c r="B104" s="851"/>
      <c r="C104" s="851"/>
      <c r="D104" s="851"/>
      <c r="E104" s="851"/>
      <c r="F104" s="851"/>
      <c r="G104" s="851"/>
      <c r="H104" s="851"/>
      <c r="I104" s="851"/>
      <c r="J104" s="851"/>
      <c r="K104" s="851"/>
      <c r="L104" s="874"/>
    </row>
    <row r="105" spans="1:12" ht="13.5" thickBot="1">
      <c r="A105" s="5550"/>
      <c r="B105" s="5551"/>
      <c r="C105" s="5551"/>
      <c r="D105" s="5551"/>
      <c r="E105" s="5551"/>
      <c r="F105" s="5551"/>
      <c r="G105" s="5551"/>
      <c r="H105" s="5551"/>
      <c r="I105" s="5551"/>
      <c r="J105" s="5551"/>
      <c r="K105" s="5552"/>
      <c r="L105" s="874"/>
    </row>
    <row r="106" spans="1:12" ht="13.5" thickBot="1">
      <c r="A106" s="5572" t="s">
        <v>751</v>
      </c>
      <c r="B106" s="5573"/>
      <c r="C106" s="5573"/>
      <c r="D106" s="5573"/>
      <c r="E106" s="5573"/>
      <c r="F106" s="5573"/>
      <c r="G106" s="5573"/>
      <c r="H106" s="5573"/>
      <c r="I106" s="5573"/>
      <c r="J106" s="5573"/>
      <c r="K106" s="5574"/>
      <c r="L106" s="874"/>
    </row>
    <row r="107" spans="1:12" ht="13.5" thickBot="1">
      <c r="A107" s="5550"/>
      <c r="B107" s="5551"/>
      <c r="C107" s="5551"/>
      <c r="D107" s="5551"/>
      <c r="E107" s="5551"/>
      <c r="F107" s="5551"/>
      <c r="G107" s="5551"/>
      <c r="H107" s="5551"/>
      <c r="I107" s="5551"/>
      <c r="J107" s="5551"/>
      <c r="K107" s="5552"/>
      <c r="L107" s="875"/>
    </row>
    <row r="108" spans="1:12" ht="33.75">
      <c r="A108" s="5558">
        <v>1</v>
      </c>
      <c r="B108" s="5560" t="s">
        <v>752</v>
      </c>
      <c r="C108" s="5560" t="s">
        <v>689</v>
      </c>
      <c r="D108" s="374" t="s">
        <v>753</v>
      </c>
      <c r="E108" s="375">
        <v>0.8</v>
      </c>
      <c r="F108" s="376">
        <v>19221.080000000002</v>
      </c>
      <c r="G108" s="376">
        <v>19221.080000000002</v>
      </c>
      <c r="H108" s="5558">
        <v>15377</v>
      </c>
      <c r="I108" s="5558">
        <v>0</v>
      </c>
      <c r="J108" s="376">
        <v>15377</v>
      </c>
      <c r="K108" s="376">
        <v>0</v>
      </c>
      <c r="L108" s="376">
        <v>0</v>
      </c>
    </row>
    <row r="109" spans="1:12" ht="169.5" thickBot="1">
      <c r="A109" s="5559"/>
      <c r="B109" s="5561"/>
      <c r="C109" s="5561"/>
      <c r="D109" s="372" t="s">
        <v>684</v>
      </c>
      <c r="E109" s="373" t="s">
        <v>691</v>
      </c>
      <c r="F109" s="373">
        <v>0</v>
      </c>
      <c r="G109" s="373">
        <v>24389.57</v>
      </c>
      <c r="H109" s="5559"/>
      <c r="I109" s="5559"/>
      <c r="J109" s="373">
        <v>19512</v>
      </c>
      <c r="K109" s="373">
        <v>97.21</v>
      </c>
      <c r="L109" s="373">
        <v>77.77</v>
      </c>
    </row>
    <row r="110" spans="1:12" ht="22.5">
      <c r="A110" s="5558">
        <v>2</v>
      </c>
      <c r="B110" s="5560" t="s">
        <v>754</v>
      </c>
      <c r="C110" s="374" t="s">
        <v>755</v>
      </c>
      <c r="D110" s="375">
        <v>0.2</v>
      </c>
      <c r="E110" s="376">
        <v>110221.54</v>
      </c>
      <c r="F110" s="376">
        <v>49699.94</v>
      </c>
      <c r="G110" s="5558">
        <v>22044</v>
      </c>
      <c r="H110" s="5558">
        <v>12104</v>
      </c>
      <c r="I110" s="376">
        <v>9940</v>
      </c>
      <c r="J110" s="376">
        <v>292.02</v>
      </c>
      <c r="K110" s="376">
        <v>58.4</v>
      </c>
      <c r="L110" s="5564"/>
    </row>
    <row r="111" spans="1:12" ht="33.75">
      <c r="A111" s="5562"/>
      <c r="B111" s="5563"/>
      <c r="C111" s="374" t="s">
        <v>512</v>
      </c>
      <c r="D111" s="376" t="s">
        <v>757</v>
      </c>
      <c r="E111" s="376">
        <v>60521.599999999999</v>
      </c>
      <c r="F111" s="376">
        <v>12684.38</v>
      </c>
      <c r="G111" s="5562"/>
      <c r="H111" s="5562"/>
      <c r="I111" s="376">
        <v>2537</v>
      </c>
      <c r="J111" s="376">
        <v>49.67</v>
      </c>
      <c r="K111" s="376">
        <v>9.93</v>
      </c>
      <c r="L111" s="5549"/>
    </row>
    <row r="112" spans="1:12" ht="34.5" thickBot="1">
      <c r="A112" s="5559"/>
      <c r="B112" s="5561"/>
      <c r="C112" s="372" t="s">
        <v>756</v>
      </c>
      <c r="D112" s="377"/>
      <c r="E112" s="377"/>
      <c r="F112" s="377"/>
      <c r="G112" s="5559"/>
      <c r="H112" s="5559"/>
      <c r="I112" s="377"/>
      <c r="J112" s="377"/>
      <c r="K112" s="377"/>
      <c r="L112" s="5549"/>
    </row>
    <row r="113" spans="1:12">
      <c r="A113" s="5558">
        <v>3</v>
      </c>
      <c r="B113" s="5560" t="s">
        <v>758</v>
      </c>
      <c r="C113" s="374" t="s">
        <v>759</v>
      </c>
      <c r="D113" s="375">
        <v>20</v>
      </c>
      <c r="E113" s="376">
        <v>534.51</v>
      </c>
      <c r="F113" s="376">
        <v>0</v>
      </c>
      <c r="G113" s="5558">
        <v>10690</v>
      </c>
      <c r="H113" s="5558">
        <v>10690</v>
      </c>
      <c r="I113" s="376">
        <v>0</v>
      </c>
      <c r="J113" s="376">
        <v>2.72</v>
      </c>
      <c r="K113" s="376">
        <v>54.48</v>
      </c>
      <c r="L113" s="5549"/>
    </row>
    <row r="114" spans="1:12">
      <c r="A114" s="5562"/>
      <c r="B114" s="5563"/>
      <c r="C114" s="374" t="s">
        <v>512</v>
      </c>
      <c r="D114" s="376" t="s">
        <v>476</v>
      </c>
      <c r="E114" s="376">
        <v>534.51</v>
      </c>
      <c r="F114" s="376">
        <v>0</v>
      </c>
      <c r="G114" s="5562"/>
      <c r="H114" s="5562"/>
      <c r="I114" s="376">
        <v>0</v>
      </c>
      <c r="J114" s="376">
        <v>0</v>
      </c>
      <c r="K114" s="376">
        <v>0</v>
      </c>
      <c r="L114" s="5549"/>
    </row>
    <row r="115" spans="1:12" ht="34.5" thickBot="1">
      <c r="A115" s="5559"/>
      <c r="B115" s="5561"/>
      <c r="C115" s="372" t="s">
        <v>756</v>
      </c>
      <c r="D115" s="377"/>
      <c r="E115" s="377"/>
      <c r="F115" s="377"/>
      <c r="G115" s="5559"/>
      <c r="H115" s="5559"/>
      <c r="I115" s="377"/>
      <c r="J115" s="377"/>
      <c r="K115" s="377"/>
      <c r="L115" s="5549"/>
    </row>
    <row r="116" spans="1:12">
      <c r="A116" s="5558">
        <v>4</v>
      </c>
      <c r="B116" s="5560" t="s">
        <v>760</v>
      </c>
      <c r="C116" s="374" t="s">
        <v>761</v>
      </c>
      <c r="D116" s="375">
        <v>10</v>
      </c>
      <c r="E116" s="376">
        <v>345.7</v>
      </c>
      <c r="F116" s="376">
        <v>63.38</v>
      </c>
      <c r="G116" s="5558">
        <v>3457</v>
      </c>
      <c r="H116" s="5558">
        <v>2823</v>
      </c>
      <c r="I116" s="376">
        <v>634</v>
      </c>
      <c r="J116" s="376">
        <v>1.31</v>
      </c>
      <c r="K116" s="376">
        <v>13.1</v>
      </c>
      <c r="L116" s="5549"/>
    </row>
    <row r="117" spans="1:12" ht="34.5" thickBot="1">
      <c r="A117" s="5559"/>
      <c r="B117" s="5561"/>
      <c r="C117" s="372" t="s">
        <v>684</v>
      </c>
      <c r="D117" s="373" t="s">
        <v>762</v>
      </c>
      <c r="E117" s="373">
        <v>282.32</v>
      </c>
      <c r="F117" s="373">
        <v>0</v>
      </c>
      <c r="G117" s="5559"/>
      <c r="H117" s="5559"/>
      <c r="I117" s="373">
        <v>0</v>
      </c>
      <c r="J117" s="373">
        <v>7.0000000000000007E-2</v>
      </c>
      <c r="K117" s="373">
        <v>0.7</v>
      </c>
      <c r="L117" s="5549"/>
    </row>
    <row r="118" spans="1:12" ht="33.75">
      <c r="A118" s="5558">
        <v>5</v>
      </c>
      <c r="B118" s="5560" t="s">
        <v>510</v>
      </c>
      <c r="C118" s="374" t="s">
        <v>511</v>
      </c>
      <c r="D118" s="375">
        <v>0.8</v>
      </c>
      <c r="E118" s="376">
        <v>64165.23</v>
      </c>
      <c r="F118" s="376">
        <v>8630.9699999999993</v>
      </c>
      <c r="G118" s="5558">
        <v>51332</v>
      </c>
      <c r="H118" s="5558">
        <v>15897</v>
      </c>
      <c r="I118" s="376">
        <v>6905</v>
      </c>
      <c r="J118" s="376">
        <v>95.88</v>
      </c>
      <c r="K118" s="376">
        <v>76.7</v>
      </c>
      <c r="L118" s="5549"/>
    </row>
    <row r="119" spans="1:12">
      <c r="A119" s="5562"/>
      <c r="B119" s="5563"/>
      <c r="C119" s="374" t="s">
        <v>512</v>
      </c>
      <c r="D119" s="376" t="s">
        <v>513</v>
      </c>
      <c r="E119" s="376">
        <v>19871.29</v>
      </c>
      <c r="F119" s="376">
        <v>2421.77</v>
      </c>
      <c r="G119" s="5562"/>
      <c r="H119" s="5562"/>
      <c r="I119" s="376">
        <v>1937</v>
      </c>
      <c r="J119" s="376">
        <v>7.81</v>
      </c>
      <c r="K119" s="376">
        <v>6.25</v>
      </c>
      <c r="L119" s="5549"/>
    </row>
    <row r="120" spans="1:12" ht="34.5" thickBot="1">
      <c r="A120" s="5559"/>
      <c r="B120" s="5561"/>
      <c r="C120" s="372" t="s">
        <v>756</v>
      </c>
      <c r="D120" s="377"/>
      <c r="E120" s="377"/>
      <c r="F120" s="377"/>
      <c r="G120" s="5559"/>
      <c r="H120" s="5559"/>
      <c r="I120" s="377"/>
      <c r="J120" s="377"/>
      <c r="K120" s="377"/>
      <c r="L120" s="5549"/>
    </row>
    <row r="121" spans="1:12">
      <c r="A121" s="5558">
        <v>6</v>
      </c>
      <c r="B121" s="5560" t="s">
        <v>515</v>
      </c>
      <c r="C121" s="374" t="s">
        <v>516</v>
      </c>
      <c r="D121" s="375">
        <v>4.5</v>
      </c>
      <c r="E121" s="376">
        <v>11932</v>
      </c>
      <c r="F121" s="376">
        <v>307.44</v>
      </c>
      <c r="G121" s="5558">
        <v>53694</v>
      </c>
      <c r="H121" s="5558">
        <v>35040</v>
      </c>
      <c r="I121" s="376">
        <v>1383</v>
      </c>
      <c r="J121" s="376">
        <v>38.93</v>
      </c>
      <c r="K121" s="376">
        <v>175.18</v>
      </c>
      <c r="L121" s="5549"/>
    </row>
    <row r="122" spans="1:12">
      <c r="A122" s="5562"/>
      <c r="B122" s="5563"/>
      <c r="C122" s="374" t="s">
        <v>517</v>
      </c>
      <c r="D122" s="376" t="s">
        <v>518</v>
      </c>
      <c r="E122" s="376">
        <v>7786.59</v>
      </c>
      <c r="F122" s="376">
        <v>133.93</v>
      </c>
      <c r="G122" s="5562"/>
      <c r="H122" s="5562"/>
      <c r="I122" s="376">
        <v>603</v>
      </c>
      <c r="J122" s="376">
        <v>0.43</v>
      </c>
      <c r="K122" s="376">
        <v>1.94</v>
      </c>
      <c r="L122" s="5549"/>
    </row>
    <row r="123" spans="1:12" ht="34.5" thickBot="1">
      <c r="A123" s="5559"/>
      <c r="B123" s="5561"/>
      <c r="C123" s="372" t="s">
        <v>756</v>
      </c>
      <c r="D123" s="377"/>
      <c r="E123" s="377"/>
      <c r="F123" s="377"/>
      <c r="G123" s="5559"/>
      <c r="H123" s="5559"/>
      <c r="I123" s="377"/>
      <c r="J123" s="377"/>
      <c r="K123" s="377"/>
      <c r="L123" s="5549"/>
    </row>
    <row r="124" spans="1:12">
      <c r="A124" s="5558">
        <v>7</v>
      </c>
      <c r="B124" s="5560" t="s">
        <v>519</v>
      </c>
      <c r="C124" s="374" t="s">
        <v>520</v>
      </c>
      <c r="D124" s="375">
        <v>3.4</v>
      </c>
      <c r="E124" s="376">
        <v>13649.9</v>
      </c>
      <c r="F124" s="376">
        <v>54.34</v>
      </c>
      <c r="G124" s="5558">
        <v>46410</v>
      </c>
      <c r="H124" s="5558">
        <v>25063</v>
      </c>
      <c r="I124" s="376">
        <v>185</v>
      </c>
      <c r="J124" s="376">
        <v>34.65</v>
      </c>
      <c r="K124" s="376">
        <v>117.81</v>
      </c>
      <c r="L124" s="5549"/>
    </row>
    <row r="125" spans="1:12">
      <c r="A125" s="5562"/>
      <c r="B125" s="5563"/>
      <c r="C125" s="374" t="s">
        <v>517</v>
      </c>
      <c r="D125" s="376" t="s">
        <v>513</v>
      </c>
      <c r="E125" s="376">
        <v>7371.52</v>
      </c>
      <c r="F125" s="376">
        <v>0</v>
      </c>
      <c r="G125" s="5562"/>
      <c r="H125" s="5562"/>
      <c r="I125" s="376">
        <v>0</v>
      </c>
      <c r="J125" s="376">
        <v>0.06</v>
      </c>
      <c r="K125" s="376">
        <v>0.2</v>
      </c>
      <c r="L125" s="5549"/>
    </row>
    <row r="126" spans="1:12" ht="34.5" thickBot="1">
      <c r="A126" s="5559"/>
      <c r="B126" s="5561"/>
      <c r="C126" s="372" t="s">
        <v>756</v>
      </c>
      <c r="D126" s="377"/>
      <c r="E126" s="377"/>
      <c r="F126" s="377"/>
      <c r="G126" s="5559"/>
      <c r="H126" s="5559"/>
      <c r="I126" s="377"/>
      <c r="J126" s="377"/>
      <c r="K126" s="377"/>
      <c r="L126" s="5549"/>
    </row>
    <row r="127" spans="1:12" ht="22.5">
      <c r="A127" s="5558">
        <v>8</v>
      </c>
      <c r="B127" s="5560" t="s">
        <v>763</v>
      </c>
      <c r="C127" s="374" t="s">
        <v>764</v>
      </c>
      <c r="D127" s="375">
        <v>20</v>
      </c>
      <c r="E127" s="376">
        <v>1297.83</v>
      </c>
      <c r="F127" s="376">
        <v>27.64</v>
      </c>
      <c r="G127" s="5558">
        <v>25957</v>
      </c>
      <c r="H127" s="5558">
        <v>25404</v>
      </c>
      <c r="I127" s="376">
        <v>553</v>
      </c>
      <c r="J127" s="376">
        <v>6.58</v>
      </c>
      <c r="K127" s="376">
        <v>131.6</v>
      </c>
      <c r="L127" s="5549"/>
    </row>
    <row r="128" spans="1:12" ht="34.5" thickBot="1">
      <c r="A128" s="5559"/>
      <c r="B128" s="5561"/>
      <c r="C128" s="372" t="s">
        <v>684</v>
      </c>
      <c r="D128" s="373" t="s">
        <v>765</v>
      </c>
      <c r="E128" s="373">
        <v>1270.19</v>
      </c>
      <c r="F128" s="373">
        <v>0</v>
      </c>
      <c r="G128" s="5559"/>
      <c r="H128" s="5559"/>
      <c r="I128" s="373">
        <v>0</v>
      </c>
      <c r="J128" s="373">
        <v>0</v>
      </c>
      <c r="K128" s="373">
        <v>0</v>
      </c>
      <c r="L128" s="5549"/>
    </row>
    <row r="129" spans="1:12">
      <c r="A129" s="5558">
        <v>9</v>
      </c>
      <c r="B129" s="5560" t="s">
        <v>766</v>
      </c>
      <c r="C129" s="374" t="s">
        <v>767</v>
      </c>
      <c r="D129" s="375">
        <v>25</v>
      </c>
      <c r="E129" s="376">
        <v>336.26</v>
      </c>
      <c r="F129" s="376">
        <v>90.6</v>
      </c>
      <c r="G129" s="5558">
        <v>8406</v>
      </c>
      <c r="H129" s="5558">
        <v>6142</v>
      </c>
      <c r="I129" s="376">
        <v>2265</v>
      </c>
      <c r="J129" s="376">
        <v>1.1399999999999999</v>
      </c>
      <c r="K129" s="376">
        <v>28.5</v>
      </c>
      <c r="L129" s="5549"/>
    </row>
    <row r="130" spans="1:12" ht="34.5" thickBot="1">
      <c r="A130" s="5559"/>
      <c r="B130" s="5561"/>
      <c r="C130" s="372" t="s">
        <v>684</v>
      </c>
      <c r="D130" s="373" t="s">
        <v>768</v>
      </c>
      <c r="E130" s="373">
        <v>245.66</v>
      </c>
      <c r="F130" s="373">
        <v>0</v>
      </c>
      <c r="G130" s="5559"/>
      <c r="H130" s="5559"/>
      <c r="I130" s="373">
        <v>0</v>
      </c>
      <c r="J130" s="373">
        <v>0.1</v>
      </c>
      <c r="K130" s="373">
        <v>2.5</v>
      </c>
      <c r="L130" s="5549"/>
    </row>
    <row r="131" spans="1:12">
      <c r="A131" s="5558">
        <v>10</v>
      </c>
      <c r="B131" s="5560" t="s">
        <v>769</v>
      </c>
      <c r="C131" s="374" t="s">
        <v>770</v>
      </c>
      <c r="D131" s="375">
        <v>10</v>
      </c>
      <c r="E131" s="376">
        <v>491.39</v>
      </c>
      <c r="F131" s="376">
        <v>90.6</v>
      </c>
      <c r="G131" s="5558">
        <v>4914</v>
      </c>
      <c r="H131" s="5558">
        <v>4008</v>
      </c>
      <c r="I131" s="376">
        <v>906</v>
      </c>
      <c r="J131" s="376">
        <v>1.86</v>
      </c>
      <c r="K131" s="376">
        <v>18.600000000000001</v>
      </c>
      <c r="L131" s="5549"/>
    </row>
    <row r="132" spans="1:12" ht="34.5" thickBot="1">
      <c r="A132" s="5559"/>
      <c r="B132" s="5561"/>
      <c r="C132" s="372" t="s">
        <v>684</v>
      </c>
      <c r="D132" s="373" t="s">
        <v>768</v>
      </c>
      <c r="E132" s="373">
        <v>400.79</v>
      </c>
      <c r="F132" s="373">
        <v>0</v>
      </c>
      <c r="G132" s="5559"/>
      <c r="H132" s="5559"/>
      <c r="I132" s="373">
        <v>0</v>
      </c>
      <c r="J132" s="373">
        <v>0.1</v>
      </c>
      <c r="K132" s="373">
        <v>1</v>
      </c>
      <c r="L132" s="5549"/>
    </row>
    <row r="133" spans="1:12">
      <c r="A133" s="5558">
        <v>11</v>
      </c>
      <c r="B133" s="5560" t="s">
        <v>771</v>
      </c>
      <c r="C133" s="374" t="s">
        <v>772</v>
      </c>
      <c r="D133" s="375">
        <v>10</v>
      </c>
      <c r="E133" s="376">
        <v>1049.04</v>
      </c>
      <c r="F133" s="376">
        <v>521.05999999999995</v>
      </c>
      <c r="G133" s="5558">
        <v>10490</v>
      </c>
      <c r="H133" s="5558">
        <v>5280</v>
      </c>
      <c r="I133" s="376">
        <v>5211</v>
      </c>
      <c r="J133" s="376">
        <v>2.4500000000000002</v>
      </c>
      <c r="K133" s="376">
        <v>24.5</v>
      </c>
      <c r="L133" s="5549"/>
    </row>
    <row r="134" spans="1:12" ht="34.5" thickBot="1">
      <c r="A134" s="5559"/>
      <c r="B134" s="5561"/>
      <c r="C134" s="372" t="s">
        <v>684</v>
      </c>
      <c r="D134" s="373" t="s">
        <v>768</v>
      </c>
      <c r="E134" s="373">
        <v>527.98</v>
      </c>
      <c r="F134" s="373">
        <v>124.7</v>
      </c>
      <c r="G134" s="5559"/>
      <c r="H134" s="5559"/>
      <c r="I134" s="373">
        <v>1247</v>
      </c>
      <c r="J134" s="373">
        <v>0.47</v>
      </c>
      <c r="K134" s="373">
        <v>4.7</v>
      </c>
      <c r="L134" s="5549"/>
    </row>
    <row r="135" spans="1:12" ht="22.5">
      <c r="A135" s="5558">
        <v>12</v>
      </c>
      <c r="B135" s="5560" t="s">
        <v>473</v>
      </c>
      <c r="C135" s="374" t="s">
        <v>474</v>
      </c>
      <c r="D135" s="375">
        <v>10</v>
      </c>
      <c r="E135" s="376">
        <v>4803.8100000000004</v>
      </c>
      <c r="F135" s="376">
        <v>90.6</v>
      </c>
      <c r="G135" s="5558">
        <v>48038</v>
      </c>
      <c r="H135" s="5558">
        <v>9637</v>
      </c>
      <c r="I135" s="376">
        <v>906</v>
      </c>
      <c r="J135" s="376">
        <v>4.53</v>
      </c>
      <c r="K135" s="376">
        <v>45.3</v>
      </c>
      <c r="L135" s="5549"/>
    </row>
    <row r="136" spans="1:12" ht="34.5" thickBot="1">
      <c r="A136" s="5559"/>
      <c r="B136" s="5561"/>
      <c r="C136" s="372" t="s">
        <v>684</v>
      </c>
      <c r="D136" s="373" t="s">
        <v>476</v>
      </c>
      <c r="E136" s="373">
        <v>963.68</v>
      </c>
      <c r="F136" s="373">
        <v>0</v>
      </c>
      <c r="G136" s="5559"/>
      <c r="H136" s="5559"/>
      <c r="I136" s="373">
        <v>0</v>
      </c>
      <c r="J136" s="373">
        <v>0.1</v>
      </c>
      <c r="K136" s="373">
        <v>1</v>
      </c>
      <c r="L136" s="5549"/>
    </row>
    <row r="137" spans="1:12" ht="22.5">
      <c r="A137" s="5558">
        <v>13</v>
      </c>
      <c r="B137" s="5560" t="s">
        <v>477</v>
      </c>
      <c r="C137" s="374" t="s">
        <v>478</v>
      </c>
      <c r="D137" s="375">
        <v>6</v>
      </c>
      <c r="E137" s="376">
        <v>1472.01</v>
      </c>
      <c r="F137" s="376">
        <v>9.0399999999999991</v>
      </c>
      <c r="G137" s="5558">
        <v>8832</v>
      </c>
      <c r="H137" s="5558">
        <v>1339</v>
      </c>
      <c r="I137" s="376">
        <v>54</v>
      </c>
      <c r="J137" s="376">
        <v>1.01</v>
      </c>
      <c r="K137" s="376">
        <v>6.06</v>
      </c>
      <c r="L137" s="5549"/>
    </row>
    <row r="138" spans="1:12" ht="57" thickBot="1">
      <c r="A138" s="5559"/>
      <c r="B138" s="5561"/>
      <c r="C138" s="372" t="s">
        <v>684</v>
      </c>
      <c r="D138" s="373" t="s">
        <v>479</v>
      </c>
      <c r="E138" s="373">
        <v>223.21</v>
      </c>
      <c r="F138" s="373">
        <v>0</v>
      </c>
      <c r="G138" s="5559"/>
      <c r="H138" s="5559"/>
      <c r="I138" s="373">
        <v>0</v>
      </c>
      <c r="J138" s="373">
        <v>0.01</v>
      </c>
      <c r="K138" s="373">
        <v>0.06</v>
      </c>
      <c r="L138" s="5549"/>
    </row>
    <row r="139" spans="1:12" ht="22.5">
      <c r="A139" s="5558">
        <v>14</v>
      </c>
      <c r="B139" s="5560" t="s">
        <v>480</v>
      </c>
      <c r="C139" s="374" t="s">
        <v>481</v>
      </c>
      <c r="D139" s="375">
        <v>6</v>
      </c>
      <c r="E139" s="376">
        <v>2364.29</v>
      </c>
      <c r="F139" s="376">
        <v>27.22</v>
      </c>
      <c r="G139" s="5558">
        <v>14186</v>
      </c>
      <c r="H139" s="5558">
        <v>2215</v>
      </c>
      <c r="I139" s="376">
        <v>163</v>
      </c>
      <c r="J139" s="376">
        <v>1.67</v>
      </c>
      <c r="K139" s="376">
        <v>10.02</v>
      </c>
      <c r="L139" s="5549"/>
    </row>
    <row r="140" spans="1:12" ht="57" thickBot="1">
      <c r="A140" s="5559"/>
      <c r="B140" s="5561"/>
      <c r="C140" s="372" t="s">
        <v>684</v>
      </c>
      <c r="D140" s="373" t="s">
        <v>479</v>
      </c>
      <c r="E140" s="373">
        <v>369.11</v>
      </c>
      <c r="F140" s="373">
        <v>0</v>
      </c>
      <c r="G140" s="5559"/>
      <c r="H140" s="5559"/>
      <c r="I140" s="373">
        <v>0</v>
      </c>
      <c r="J140" s="373">
        <v>0.03</v>
      </c>
      <c r="K140" s="373">
        <v>0.18</v>
      </c>
      <c r="L140" s="5549"/>
    </row>
    <row r="141" spans="1:12" ht="22.5">
      <c r="A141" s="5558">
        <v>15</v>
      </c>
      <c r="B141" s="5560" t="s">
        <v>482</v>
      </c>
      <c r="C141" s="374" t="s">
        <v>483</v>
      </c>
      <c r="D141" s="375">
        <v>5</v>
      </c>
      <c r="E141" s="376">
        <v>2703.56</v>
      </c>
      <c r="F141" s="376">
        <v>27.22</v>
      </c>
      <c r="G141" s="5558">
        <v>13518</v>
      </c>
      <c r="H141" s="5558">
        <v>1878</v>
      </c>
      <c r="I141" s="376">
        <v>136</v>
      </c>
      <c r="J141" s="376">
        <v>1.7</v>
      </c>
      <c r="K141" s="376">
        <v>8.5</v>
      </c>
      <c r="L141" s="5549"/>
    </row>
    <row r="142" spans="1:12" ht="57" thickBot="1">
      <c r="A142" s="5559"/>
      <c r="B142" s="5561"/>
      <c r="C142" s="372" t="s">
        <v>684</v>
      </c>
      <c r="D142" s="373" t="s">
        <v>479</v>
      </c>
      <c r="E142" s="373">
        <v>375.6</v>
      </c>
      <c r="F142" s="373">
        <v>0</v>
      </c>
      <c r="G142" s="5559"/>
      <c r="H142" s="5559"/>
      <c r="I142" s="373">
        <v>0</v>
      </c>
      <c r="J142" s="373">
        <v>0.03</v>
      </c>
      <c r="K142" s="373">
        <v>0.15</v>
      </c>
      <c r="L142" s="5549"/>
    </row>
    <row r="143" spans="1:12" ht="22.5">
      <c r="A143" s="5558">
        <v>16</v>
      </c>
      <c r="B143" s="5560" t="s">
        <v>484</v>
      </c>
      <c r="C143" s="374" t="s">
        <v>485</v>
      </c>
      <c r="D143" s="375">
        <v>4</v>
      </c>
      <c r="E143" s="376">
        <v>4736.55</v>
      </c>
      <c r="F143" s="376">
        <v>63.38</v>
      </c>
      <c r="G143" s="5558">
        <v>18946</v>
      </c>
      <c r="H143" s="5558">
        <v>2515</v>
      </c>
      <c r="I143" s="376">
        <v>254</v>
      </c>
      <c r="J143" s="376">
        <v>2.78</v>
      </c>
      <c r="K143" s="376">
        <v>11.12</v>
      </c>
      <c r="L143" s="5549"/>
    </row>
    <row r="144" spans="1:12" ht="57" thickBot="1">
      <c r="A144" s="5559"/>
      <c r="B144" s="5561"/>
      <c r="C144" s="372" t="s">
        <v>684</v>
      </c>
      <c r="D144" s="373" t="s">
        <v>479</v>
      </c>
      <c r="E144" s="373">
        <v>628.74</v>
      </c>
      <c r="F144" s="373">
        <v>0</v>
      </c>
      <c r="G144" s="5559"/>
      <c r="H144" s="5559"/>
      <c r="I144" s="373">
        <v>0</v>
      </c>
      <c r="J144" s="373">
        <v>7.0000000000000007E-2</v>
      </c>
      <c r="K144" s="373">
        <v>0.28000000000000003</v>
      </c>
      <c r="L144" s="5549"/>
    </row>
    <row r="145" spans="1:12" ht="22.5">
      <c r="A145" s="5558">
        <v>17</v>
      </c>
      <c r="B145" s="5560" t="s">
        <v>486</v>
      </c>
      <c r="C145" s="374" t="s">
        <v>487</v>
      </c>
      <c r="D145" s="375">
        <v>4</v>
      </c>
      <c r="E145" s="376">
        <v>7296.17</v>
      </c>
      <c r="F145" s="376">
        <v>500.38</v>
      </c>
      <c r="G145" s="5558">
        <v>29185</v>
      </c>
      <c r="H145" s="5558">
        <v>3599</v>
      </c>
      <c r="I145" s="376">
        <v>2002</v>
      </c>
      <c r="J145" s="376">
        <v>3.93</v>
      </c>
      <c r="K145" s="376">
        <v>15.72</v>
      </c>
      <c r="L145" s="5549"/>
    </row>
    <row r="146" spans="1:12" ht="57" thickBot="1">
      <c r="A146" s="5559"/>
      <c r="B146" s="5561"/>
      <c r="C146" s="372" t="s">
        <v>684</v>
      </c>
      <c r="D146" s="373" t="s">
        <v>479</v>
      </c>
      <c r="E146" s="373">
        <v>899.84</v>
      </c>
      <c r="F146" s="373">
        <v>89.04</v>
      </c>
      <c r="G146" s="5559"/>
      <c r="H146" s="5559"/>
      <c r="I146" s="373">
        <v>356</v>
      </c>
      <c r="J146" s="373">
        <v>0.36</v>
      </c>
      <c r="K146" s="373">
        <v>1.44</v>
      </c>
      <c r="L146" s="5549"/>
    </row>
    <row r="147" spans="1:12" ht="22.5">
      <c r="A147" s="5558">
        <v>18</v>
      </c>
      <c r="B147" s="5560" t="s">
        <v>488</v>
      </c>
      <c r="C147" s="374" t="s">
        <v>489</v>
      </c>
      <c r="D147" s="375">
        <v>0.1</v>
      </c>
      <c r="E147" s="376">
        <v>127224.66</v>
      </c>
      <c r="F147" s="376">
        <v>36.26</v>
      </c>
      <c r="G147" s="5558">
        <v>12722</v>
      </c>
      <c r="H147" s="5558">
        <v>11222</v>
      </c>
      <c r="I147" s="376">
        <v>4</v>
      </c>
      <c r="J147" s="376">
        <v>520.79999999999995</v>
      </c>
      <c r="K147" s="376">
        <v>52.08</v>
      </c>
      <c r="L147" s="5549"/>
    </row>
    <row r="148" spans="1:12" ht="34.5" thickBot="1">
      <c r="A148" s="5559"/>
      <c r="B148" s="5561"/>
      <c r="C148" s="372" t="s">
        <v>684</v>
      </c>
      <c r="D148" s="373" t="s">
        <v>490</v>
      </c>
      <c r="E148" s="373">
        <v>112222.52</v>
      </c>
      <c r="F148" s="373">
        <v>0</v>
      </c>
      <c r="G148" s="5559"/>
      <c r="H148" s="5559"/>
      <c r="I148" s="373">
        <v>0</v>
      </c>
      <c r="J148" s="373">
        <v>0.04</v>
      </c>
      <c r="K148" s="373">
        <v>0</v>
      </c>
      <c r="L148" s="5549"/>
    </row>
    <row r="149" spans="1:12" ht="22.5">
      <c r="A149" s="5558">
        <v>19</v>
      </c>
      <c r="B149" s="5560" t="s">
        <v>491</v>
      </c>
      <c r="C149" s="374" t="s">
        <v>492</v>
      </c>
      <c r="D149" s="375">
        <v>0.06</v>
      </c>
      <c r="E149" s="376">
        <v>184530.95</v>
      </c>
      <c r="F149" s="376">
        <v>63.38</v>
      </c>
      <c r="G149" s="5558">
        <v>11072</v>
      </c>
      <c r="H149" s="5558">
        <v>9479</v>
      </c>
      <c r="I149" s="376">
        <v>4</v>
      </c>
      <c r="J149" s="376">
        <v>733.2</v>
      </c>
      <c r="K149" s="376">
        <v>43.99</v>
      </c>
      <c r="L149" s="5549"/>
    </row>
    <row r="150" spans="1:12" ht="34.5" thickBot="1">
      <c r="A150" s="5559"/>
      <c r="B150" s="5561"/>
      <c r="C150" s="372" t="s">
        <v>684</v>
      </c>
      <c r="D150" s="373" t="s">
        <v>490</v>
      </c>
      <c r="E150" s="373">
        <v>157991.16</v>
      </c>
      <c r="F150" s="373">
        <v>0</v>
      </c>
      <c r="G150" s="5559"/>
      <c r="H150" s="5559"/>
      <c r="I150" s="373">
        <v>0</v>
      </c>
      <c r="J150" s="373">
        <v>7.0000000000000007E-2</v>
      </c>
      <c r="K150" s="373">
        <v>0</v>
      </c>
      <c r="L150" s="5549"/>
    </row>
    <row r="151" spans="1:12" ht="22.5">
      <c r="A151" s="5558">
        <v>20</v>
      </c>
      <c r="B151" s="5560" t="s">
        <v>493</v>
      </c>
      <c r="C151" s="374" t="s">
        <v>494</v>
      </c>
      <c r="D151" s="375">
        <v>0.06</v>
      </c>
      <c r="E151" s="376">
        <v>249630.38</v>
      </c>
      <c r="F151" s="376">
        <v>81.56</v>
      </c>
      <c r="G151" s="5558">
        <v>14978</v>
      </c>
      <c r="H151" s="5558">
        <v>12766</v>
      </c>
      <c r="I151" s="376">
        <v>5</v>
      </c>
      <c r="J151" s="376">
        <v>987.4</v>
      </c>
      <c r="K151" s="376">
        <v>59.24</v>
      </c>
      <c r="L151" s="5549"/>
    </row>
    <row r="152" spans="1:12" ht="34.5" thickBot="1">
      <c r="A152" s="5559"/>
      <c r="B152" s="5561"/>
      <c r="C152" s="372" t="s">
        <v>684</v>
      </c>
      <c r="D152" s="373" t="s">
        <v>490</v>
      </c>
      <c r="E152" s="373">
        <v>212766.63</v>
      </c>
      <c r="F152" s="373">
        <v>0</v>
      </c>
      <c r="G152" s="5559"/>
      <c r="H152" s="5559"/>
      <c r="I152" s="373">
        <v>0</v>
      </c>
      <c r="J152" s="373">
        <v>0.09</v>
      </c>
      <c r="K152" s="373">
        <v>0.01</v>
      </c>
      <c r="L152" s="5549"/>
    </row>
    <row r="153" spans="1:12" ht="13.5" thickBot="1">
      <c r="A153" s="5550"/>
      <c r="B153" s="5551"/>
      <c r="C153" s="5551"/>
      <c r="D153" s="5551"/>
      <c r="E153" s="5551"/>
      <c r="F153" s="5551"/>
      <c r="G153" s="5551"/>
      <c r="H153" s="5551"/>
      <c r="I153" s="5551"/>
      <c r="J153" s="5551"/>
      <c r="K153" s="5552"/>
      <c r="L153" s="874"/>
    </row>
    <row r="154" spans="1:12">
      <c r="A154" s="5553" t="s">
        <v>709</v>
      </c>
      <c r="B154" s="5554"/>
      <c r="C154" s="5554"/>
      <c r="D154" s="5554"/>
      <c r="E154" s="5554"/>
      <c r="F154" s="5556"/>
      <c r="G154" s="5556">
        <v>424248</v>
      </c>
      <c r="H154" s="5556">
        <v>197101</v>
      </c>
      <c r="I154" s="865">
        <v>46887</v>
      </c>
      <c r="J154" s="5556"/>
      <c r="K154" s="376">
        <v>950.91</v>
      </c>
      <c r="L154" s="5549"/>
    </row>
    <row r="155" spans="1:12" ht="13.5" thickBot="1">
      <c r="A155" s="5555"/>
      <c r="B155" s="5547"/>
      <c r="C155" s="5547"/>
      <c r="D155" s="5547"/>
      <c r="E155" s="5547"/>
      <c r="F155" s="5557"/>
      <c r="G155" s="5557"/>
      <c r="H155" s="5557"/>
      <c r="I155" s="855">
        <v>26192</v>
      </c>
      <c r="J155" s="5557"/>
      <c r="K155" s="373">
        <v>108.11</v>
      </c>
      <c r="L155" s="5549"/>
    </row>
    <row r="156" spans="1:12" ht="13.5" thickBot="1">
      <c r="A156" s="5550"/>
      <c r="B156" s="5551"/>
      <c r="C156" s="5551"/>
      <c r="D156" s="5551"/>
      <c r="E156" s="5551"/>
      <c r="F156" s="5551"/>
      <c r="G156" s="5551"/>
      <c r="H156" s="5551"/>
      <c r="I156" s="5551"/>
      <c r="J156" s="5551"/>
      <c r="K156" s="5552"/>
      <c r="L156" s="874"/>
    </row>
    <row r="157" spans="1:12">
      <c r="A157" s="5553" t="s">
        <v>710</v>
      </c>
      <c r="B157" s="5554"/>
      <c r="C157" s="5554"/>
      <c r="D157" s="5554"/>
      <c r="E157" s="5554"/>
      <c r="F157" s="5556"/>
      <c r="G157" s="5556">
        <v>424248</v>
      </c>
      <c r="H157" s="5556">
        <v>197101</v>
      </c>
      <c r="I157" s="865">
        <v>46887</v>
      </c>
      <c r="J157" s="5556"/>
      <c r="K157" s="376">
        <v>950.91</v>
      </c>
      <c r="L157" s="5549"/>
    </row>
    <row r="158" spans="1:12" ht="13.5" thickBot="1">
      <c r="A158" s="5555"/>
      <c r="B158" s="5547"/>
      <c r="C158" s="5547"/>
      <c r="D158" s="5547"/>
      <c r="E158" s="5547"/>
      <c r="F158" s="5557"/>
      <c r="G158" s="5557"/>
      <c r="H158" s="5557"/>
      <c r="I158" s="855">
        <v>26192</v>
      </c>
      <c r="J158" s="5557"/>
      <c r="K158" s="373">
        <v>108.11</v>
      </c>
      <c r="L158" s="5549"/>
    </row>
    <row r="159" spans="1:12" ht="13.5" thickBot="1">
      <c r="A159" s="850"/>
      <c r="B159" s="851"/>
      <c r="C159" s="851"/>
      <c r="D159" s="851"/>
      <c r="E159" s="851"/>
      <c r="F159" s="851"/>
      <c r="G159" s="851"/>
      <c r="H159" s="851"/>
      <c r="I159" s="851"/>
      <c r="J159" s="851"/>
      <c r="K159" s="851"/>
      <c r="L159" s="874"/>
    </row>
    <row r="160" spans="1:12">
      <c r="A160" s="867"/>
      <c r="B160" s="294"/>
      <c r="C160" s="294"/>
      <c r="D160" s="294"/>
      <c r="E160" s="294"/>
      <c r="F160" s="294"/>
      <c r="G160" s="294"/>
      <c r="H160" s="294"/>
      <c r="I160" s="294"/>
      <c r="J160" s="294"/>
      <c r="K160" s="294"/>
      <c r="L160" s="858"/>
    </row>
    <row r="161" spans="1:12">
      <c r="A161" s="867"/>
      <c r="B161" s="294"/>
      <c r="C161" s="5543" t="s">
        <v>711</v>
      </c>
      <c r="D161" s="5544"/>
      <c r="E161" s="5544"/>
      <c r="F161" s="5544"/>
      <c r="G161" s="5544"/>
      <c r="H161" s="5544"/>
      <c r="I161" s="5543" t="s">
        <v>712</v>
      </c>
      <c r="J161" s="5543" t="s">
        <v>713</v>
      </c>
      <c r="K161" s="876" t="s">
        <v>578</v>
      </c>
      <c r="L161" s="858"/>
    </row>
    <row r="162" spans="1:12">
      <c r="A162" s="867"/>
      <c r="B162" s="294"/>
      <c r="C162" s="5543"/>
      <c r="D162" s="5544"/>
      <c r="E162" s="5544"/>
      <c r="F162" s="5544"/>
      <c r="G162" s="5544"/>
      <c r="H162" s="5544"/>
      <c r="I162" s="5543"/>
      <c r="J162" s="5543"/>
      <c r="K162" s="876" t="s">
        <v>714</v>
      </c>
      <c r="L162" s="858"/>
    </row>
    <row r="163" spans="1:12" ht="13.5" thickBot="1">
      <c r="A163" s="867"/>
      <c r="B163" s="294"/>
      <c r="C163" s="856"/>
      <c r="D163" s="856"/>
      <c r="E163" s="856"/>
      <c r="F163" s="856"/>
      <c r="G163" s="294"/>
      <c r="H163" s="294"/>
      <c r="I163" s="856"/>
      <c r="J163" s="856"/>
      <c r="K163" s="856"/>
      <c r="L163" s="858"/>
    </row>
    <row r="164" spans="1:12" ht="13.5" thickBot="1">
      <c r="A164" s="867"/>
      <c r="B164" s="294"/>
      <c r="C164" s="5543" t="s">
        <v>54</v>
      </c>
      <c r="D164" s="5544"/>
      <c r="E164" s="5544"/>
      <c r="F164" s="5544"/>
      <c r="G164" s="5544"/>
      <c r="H164" s="5544"/>
      <c r="I164" s="855"/>
      <c r="J164" s="855"/>
      <c r="K164" s="855" t="s">
        <v>773</v>
      </c>
      <c r="L164" s="858"/>
    </row>
    <row r="165" spans="1:12" ht="13.5" thickBot="1">
      <c r="A165" s="867"/>
      <c r="B165" s="294"/>
      <c r="C165" s="5543" t="s">
        <v>720</v>
      </c>
      <c r="D165" s="5544"/>
      <c r="E165" s="5544"/>
      <c r="F165" s="5544"/>
      <c r="G165" s="5544"/>
      <c r="H165" s="5544"/>
      <c r="I165" s="855">
        <v>0.6</v>
      </c>
      <c r="J165" s="855">
        <v>71</v>
      </c>
      <c r="K165" s="855" t="s">
        <v>774</v>
      </c>
      <c r="L165" s="858"/>
    </row>
    <row r="166" spans="1:12" ht="13.5" thickBot="1">
      <c r="A166" s="867"/>
      <c r="B166" s="294"/>
      <c r="C166" s="5543" t="s">
        <v>775</v>
      </c>
      <c r="D166" s="5544"/>
      <c r="E166" s="5544"/>
      <c r="F166" s="5544"/>
      <c r="G166" s="5544"/>
      <c r="H166" s="5544"/>
      <c r="I166" s="855">
        <v>0.6</v>
      </c>
      <c r="J166" s="855">
        <v>93</v>
      </c>
      <c r="K166" s="855" t="s">
        <v>776</v>
      </c>
      <c r="L166" s="858"/>
    </row>
    <row r="167" spans="1:12" ht="13.5" thickBot="1">
      <c r="A167" s="867"/>
      <c r="B167" s="294"/>
      <c r="C167" s="5543" t="s">
        <v>724</v>
      </c>
      <c r="D167" s="5544"/>
      <c r="E167" s="5544"/>
      <c r="F167" s="5544"/>
      <c r="G167" s="5544"/>
      <c r="H167" s="5544"/>
      <c r="I167" s="855">
        <v>0.6</v>
      </c>
      <c r="J167" s="855">
        <v>92</v>
      </c>
      <c r="K167" s="855" t="s">
        <v>777</v>
      </c>
      <c r="L167" s="858"/>
    </row>
    <row r="168" spans="1:12" ht="13.5" thickBot="1">
      <c r="A168" s="867"/>
      <c r="B168" s="294"/>
      <c r="C168" s="5543" t="s">
        <v>722</v>
      </c>
      <c r="D168" s="5544"/>
      <c r="E168" s="5544"/>
      <c r="F168" s="5544"/>
      <c r="G168" s="5544"/>
      <c r="H168" s="5544"/>
      <c r="I168" s="855">
        <v>0.6</v>
      </c>
      <c r="J168" s="855">
        <v>116</v>
      </c>
      <c r="K168" s="855" t="s">
        <v>778</v>
      </c>
      <c r="L168" s="858"/>
    </row>
    <row r="169" spans="1:12" ht="13.5" thickBot="1">
      <c r="A169" s="867"/>
      <c r="B169" s="294"/>
      <c r="C169" s="5543" t="s">
        <v>779</v>
      </c>
      <c r="D169" s="5544"/>
      <c r="E169" s="5544"/>
      <c r="F169" s="5544"/>
      <c r="G169" s="5544"/>
      <c r="H169" s="5544"/>
      <c r="I169" s="855">
        <v>0.6</v>
      </c>
      <c r="J169" s="855">
        <v>77</v>
      </c>
      <c r="K169" s="855" t="s">
        <v>780</v>
      </c>
      <c r="L169" s="858"/>
    </row>
    <row r="170" spans="1:12" ht="13.5" thickBot="1">
      <c r="A170" s="867"/>
      <c r="B170" s="294"/>
      <c r="C170" s="5543" t="s">
        <v>781</v>
      </c>
      <c r="D170" s="5544"/>
      <c r="E170" s="5544"/>
      <c r="F170" s="5544"/>
      <c r="G170" s="5544"/>
      <c r="H170" s="5544"/>
      <c r="I170" s="855">
        <v>0.6</v>
      </c>
      <c r="J170" s="855">
        <v>83</v>
      </c>
      <c r="K170" s="855" t="s">
        <v>782</v>
      </c>
      <c r="L170" s="858"/>
    </row>
    <row r="171" spans="1:12" ht="13.5" thickBot="1">
      <c r="A171" s="867"/>
      <c r="B171" s="294"/>
      <c r="C171" s="5543" t="s">
        <v>783</v>
      </c>
      <c r="D171" s="5544"/>
      <c r="E171" s="5544"/>
      <c r="F171" s="5544"/>
      <c r="G171" s="5544"/>
      <c r="H171" s="5544"/>
      <c r="I171" s="855">
        <v>0.7</v>
      </c>
      <c r="J171" s="855">
        <v>66</v>
      </c>
      <c r="K171" s="855" t="s">
        <v>784</v>
      </c>
      <c r="L171" s="858"/>
    </row>
    <row r="172" spans="1:12" ht="13.5" thickBot="1">
      <c r="A172" s="867"/>
      <c r="B172" s="294"/>
      <c r="C172" s="5543" t="s">
        <v>785</v>
      </c>
      <c r="D172" s="5544"/>
      <c r="E172" s="5544"/>
      <c r="F172" s="5544"/>
      <c r="G172" s="5544"/>
      <c r="H172" s="5544"/>
      <c r="I172" s="855">
        <v>0.6</v>
      </c>
      <c r="J172" s="855">
        <v>92</v>
      </c>
      <c r="K172" s="855" t="s">
        <v>786</v>
      </c>
      <c r="L172" s="858"/>
    </row>
    <row r="173" spans="1:12" ht="13.5" thickBot="1">
      <c r="A173" s="867"/>
      <c r="B173" s="294"/>
      <c r="C173" s="5543" t="s">
        <v>726</v>
      </c>
      <c r="D173" s="5544"/>
      <c r="E173" s="5544"/>
      <c r="F173" s="5544"/>
      <c r="G173" s="5544"/>
      <c r="H173" s="5544"/>
      <c r="I173" s="855"/>
      <c r="J173" s="855"/>
      <c r="K173" s="855" t="s">
        <v>787</v>
      </c>
      <c r="L173" s="858"/>
    </row>
    <row r="174" spans="1:12" ht="13.5" thickBot="1">
      <c r="A174" s="867"/>
      <c r="B174" s="294"/>
      <c r="C174" s="5543" t="s">
        <v>54</v>
      </c>
      <c r="D174" s="5544"/>
      <c r="E174" s="5544"/>
      <c r="F174" s="5544"/>
      <c r="G174" s="5544"/>
      <c r="H174" s="5544"/>
      <c r="I174" s="855"/>
      <c r="J174" s="855"/>
      <c r="K174" s="855" t="s">
        <v>788</v>
      </c>
      <c r="L174" s="858"/>
    </row>
    <row r="175" spans="1:12" ht="13.5" thickBot="1">
      <c r="A175" s="867"/>
      <c r="B175" s="294"/>
      <c r="C175" s="5543" t="s">
        <v>733</v>
      </c>
      <c r="D175" s="5544"/>
      <c r="E175" s="5544"/>
      <c r="F175" s="5544"/>
      <c r="G175" s="5544"/>
      <c r="H175" s="5544"/>
      <c r="I175" s="855"/>
      <c r="J175" s="855">
        <v>36</v>
      </c>
      <c r="K175" s="855" t="s">
        <v>789</v>
      </c>
      <c r="L175" s="858"/>
    </row>
    <row r="176" spans="1:12" ht="13.5" thickBot="1">
      <c r="A176" s="867"/>
      <c r="B176" s="294"/>
      <c r="C176" s="5543" t="s">
        <v>790</v>
      </c>
      <c r="D176" s="5544"/>
      <c r="E176" s="5544"/>
      <c r="F176" s="5544"/>
      <c r="G176" s="5544"/>
      <c r="H176" s="5544"/>
      <c r="I176" s="855"/>
      <c r="J176" s="855">
        <v>48</v>
      </c>
      <c r="K176" s="855" t="s">
        <v>791</v>
      </c>
      <c r="L176" s="858"/>
    </row>
    <row r="177" spans="1:12" ht="13.5" thickBot="1">
      <c r="A177" s="867"/>
      <c r="B177" s="294"/>
      <c r="C177" s="5543" t="s">
        <v>737</v>
      </c>
      <c r="D177" s="5544"/>
      <c r="E177" s="5544"/>
      <c r="F177" s="5544"/>
      <c r="G177" s="5544"/>
      <c r="H177" s="5544"/>
      <c r="I177" s="855"/>
      <c r="J177" s="855">
        <v>54</v>
      </c>
      <c r="K177" s="855" t="s">
        <v>792</v>
      </c>
      <c r="L177" s="858"/>
    </row>
    <row r="178" spans="1:12" ht="13.5" thickBot="1">
      <c r="A178" s="867"/>
      <c r="B178" s="294"/>
      <c r="C178" s="5543" t="s">
        <v>735</v>
      </c>
      <c r="D178" s="5544"/>
      <c r="E178" s="5544"/>
      <c r="F178" s="5544"/>
      <c r="G178" s="5544"/>
      <c r="H178" s="5544"/>
      <c r="I178" s="855"/>
      <c r="J178" s="855">
        <v>61</v>
      </c>
      <c r="K178" s="855" t="s">
        <v>793</v>
      </c>
      <c r="L178" s="858"/>
    </row>
    <row r="179" spans="1:12" ht="13.5" thickBot="1">
      <c r="A179" s="867"/>
      <c r="B179" s="294"/>
      <c r="C179" s="5543" t="s">
        <v>794</v>
      </c>
      <c r="D179" s="5544"/>
      <c r="E179" s="5544"/>
      <c r="F179" s="5544"/>
      <c r="G179" s="5544"/>
      <c r="H179" s="5544"/>
      <c r="I179" s="855"/>
      <c r="J179" s="855">
        <v>56</v>
      </c>
      <c r="K179" s="855" t="s">
        <v>795</v>
      </c>
      <c r="L179" s="858"/>
    </row>
    <row r="180" spans="1:12" ht="13.5" thickBot="1">
      <c r="A180" s="867"/>
      <c r="B180" s="294"/>
      <c r="C180" s="5543" t="s">
        <v>796</v>
      </c>
      <c r="D180" s="5544"/>
      <c r="E180" s="5544"/>
      <c r="F180" s="5544"/>
      <c r="G180" s="5544"/>
      <c r="H180" s="5544"/>
      <c r="I180" s="855"/>
      <c r="J180" s="855">
        <v>60</v>
      </c>
      <c r="K180" s="855" t="s">
        <v>797</v>
      </c>
      <c r="L180" s="858"/>
    </row>
    <row r="181" spans="1:12" ht="13.5" thickBot="1">
      <c r="A181" s="867"/>
      <c r="B181" s="294"/>
      <c r="C181" s="5543" t="s">
        <v>798</v>
      </c>
      <c r="D181" s="5544"/>
      <c r="E181" s="5544"/>
      <c r="F181" s="5544"/>
      <c r="G181" s="5544"/>
      <c r="H181" s="5544"/>
      <c r="I181" s="855"/>
      <c r="J181" s="855">
        <v>40</v>
      </c>
      <c r="K181" s="855" t="s">
        <v>799</v>
      </c>
      <c r="L181" s="858"/>
    </row>
    <row r="182" spans="1:12" ht="13.5" thickBot="1">
      <c r="A182" s="867"/>
      <c r="B182" s="294"/>
      <c r="C182" s="5543" t="s">
        <v>735</v>
      </c>
      <c r="D182" s="5544"/>
      <c r="E182" s="5544"/>
      <c r="F182" s="5544"/>
      <c r="G182" s="5544"/>
      <c r="H182" s="5544"/>
      <c r="I182" s="855"/>
      <c r="J182" s="855">
        <v>71</v>
      </c>
      <c r="K182" s="855" t="s">
        <v>800</v>
      </c>
      <c r="L182" s="858"/>
    </row>
    <row r="183" spans="1:12" ht="13.5" thickBot="1">
      <c r="A183" s="867"/>
      <c r="B183" s="294"/>
      <c r="C183" s="5543" t="s">
        <v>801</v>
      </c>
      <c r="D183" s="5544"/>
      <c r="E183" s="5544"/>
      <c r="F183" s="5544"/>
      <c r="G183" s="5544"/>
      <c r="H183" s="5544"/>
      <c r="I183" s="855"/>
      <c r="J183" s="855">
        <v>48</v>
      </c>
      <c r="K183" s="855" t="s">
        <v>802</v>
      </c>
      <c r="L183" s="858"/>
    </row>
    <row r="184" spans="1:12" ht="13.5" thickBot="1">
      <c r="A184" s="867"/>
      <c r="B184" s="294"/>
      <c r="C184" s="5543" t="s">
        <v>739</v>
      </c>
      <c r="D184" s="5544"/>
      <c r="E184" s="5544"/>
      <c r="F184" s="5544"/>
      <c r="G184" s="5544"/>
      <c r="H184" s="5544"/>
      <c r="I184" s="855"/>
      <c r="J184" s="855"/>
      <c r="K184" s="855" t="s">
        <v>803</v>
      </c>
      <c r="L184" s="858"/>
    </row>
    <row r="185" spans="1:12" ht="13.5" thickBot="1">
      <c r="A185" s="867"/>
      <c r="B185" s="294"/>
      <c r="C185" s="5543" t="s">
        <v>54</v>
      </c>
      <c r="D185" s="5544"/>
      <c r="E185" s="5544"/>
      <c r="F185" s="5544"/>
      <c r="G185" s="5544"/>
      <c r="H185" s="5544"/>
      <c r="I185" s="855"/>
      <c r="J185" s="855"/>
      <c r="K185" s="855" t="s">
        <v>804</v>
      </c>
      <c r="L185" s="858"/>
    </row>
    <row r="186" spans="1:12" ht="13.5" thickBot="1">
      <c r="A186" s="867"/>
      <c r="B186" s="294"/>
      <c r="C186" s="5543" t="s">
        <v>293</v>
      </c>
      <c r="D186" s="5544"/>
      <c r="E186" s="5544"/>
      <c r="F186" s="5544"/>
      <c r="G186" s="5544"/>
      <c r="H186" s="5544"/>
      <c r="I186" s="855"/>
      <c r="J186" s="855"/>
      <c r="K186" s="855" t="s">
        <v>804</v>
      </c>
      <c r="L186" s="858"/>
    </row>
    <row r="187" spans="1:12" ht="13.5" thickBot="1">
      <c r="A187" s="867"/>
      <c r="B187" s="294"/>
      <c r="C187" s="5543" t="s">
        <v>742</v>
      </c>
      <c r="D187" s="5544"/>
      <c r="E187" s="5544"/>
      <c r="F187" s="5544"/>
      <c r="G187" s="5544"/>
      <c r="H187" s="5544"/>
      <c r="I187" s="855"/>
      <c r="J187" s="855">
        <v>18</v>
      </c>
      <c r="K187" s="855" t="s">
        <v>805</v>
      </c>
      <c r="L187" s="858"/>
    </row>
    <row r="188" spans="1:12" ht="13.5" thickBot="1">
      <c r="A188" s="867"/>
      <c r="B188" s="294"/>
      <c r="C188" s="5543" t="s">
        <v>293</v>
      </c>
      <c r="D188" s="5544"/>
      <c r="E188" s="5544"/>
      <c r="F188" s="5544"/>
      <c r="G188" s="5544"/>
      <c r="H188" s="5544"/>
      <c r="I188" s="855"/>
      <c r="J188" s="855"/>
      <c r="K188" s="855" t="s">
        <v>749</v>
      </c>
      <c r="L188" s="858"/>
    </row>
    <row r="189" spans="1:12" ht="13.5" thickBot="1">
      <c r="A189" s="854"/>
      <c r="B189" s="853"/>
      <c r="C189" s="5547" t="s">
        <v>744</v>
      </c>
      <c r="D189" s="5548"/>
      <c r="E189" s="5548"/>
      <c r="F189" s="5548"/>
      <c r="G189" s="5548"/>
      <c r="H189" s="5548"/>
      <c r="I189" s="855"/>
      <c r="J189" s="855"/>
      <c r="K189" s="855" t="s">
        <v>749</v>
      </c>
      <c r="L189" s="849"/>
    </row>
    <row r="190" spans="1:12" ht="15.75">
      <c r="C190" s="852"/>
      <c r="D190" s="852"/>
      <c r="E190" s="852"/>
      <c r="F190" s="852"/>
      <c r="K190" s="877">
        <v>772319</v>
      </c>
    </row>
    <row r="191" spans="1:12" ht="15.75">
      <c r="A191" s="878" t="s">
        <v>806</v>
      </c>
      <c r="B191" s="878"/>
      <c r="C191" s="878"/>
      <c r="D191" s="878"/>
      <c r="E191" s="878"/>
      <c r="F191" s="878"/>
      <c r="G191" s="878"/>
      <c r="H191" s="878"/>
      <c r="I191" s="878"/>
      <c r="J191" s="878"/>
      <c r="K191" s="878">
        <f>SUM(K80+K190)</f>
        <v>1593616</v>
      </c>
      <c r="L191" s="878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88"/>
  <sheetViews>
    <sheetView topLeftCell="A55" workbookViewId="0">
      <selection activeCell="C75" sqref="C75:H75"/>
    </sheetView>
  </sheetViews>
  <sheetFormatPr defaultRowHeight="12.75"/>
  <cols>
    <col min="2" max="2" width="18.85546875" customWidth="1"/>
    <col min="3" max="3" width="43.7109375" customWidth="1"/>
    <col min="11" max="11" width="10.28515625" bestFit="1" customWidth="1"/>
  </cols>
  <sheetData>
    <row r="1" spans="1:11" ht="18.75">
      <c r="A1" s="5588" t="s">
        <v>807</v>
      </c>
      <c r="B1" s="5589"/>
      <c r="C1" s="5589"/>
      <c r="D1" s="5589"/>
      <c r="E1" s="5589"/>
      <c r="F1" s="5589"/>
      <c r="G1" s="5589"/>
      <c r="H1" s="5589"/>
      <c r="I1" s="5589"/>
      <c r="J1" s="5589"/>
      <c r="K1" s="5594"/>
    </row>
    <row r="2" spans="1:11" ht="13.5">
      <c r="A2" s="5590" t="s">
        <v>668</v>
      </c>
      <c r="B2" s="5544"/>
      <c r="C2" s="5544"/>
      <c r="D2" s="5544"/>
      <c r="E2" s="5544"/>
      <c r="F2" s="5544"/>
      <c r="G2" s="5544"/>
      <c r="H2" s="5544"/>
      <c r="I2" s="5544"/>
      <c r="J2" s="5544"/>
      <c r="K2" s="5595"/>
    </row>
    <row r="3" spans="1:11" ht="18.75">
      <c r="A3" s="857"/>
      <c r="B3" s="294"/>
      <c r="C3" s="294"/>
      <c r="D3" s="294"/>
      <c r="E3" s="294"/>
      <c r="F3" s="294"/>
      <c r="G3" s="294"/>
      <c r="H3" s="294"/>
      <c r="I3" s="294"/>
      <c r="J3" s="294"/>
      <c r="K3" s="858"/>
    </row>
    <row r="4" spans="1:11" ht="18.75">
      <c r="A4" s="5591" t="s">
        <v>808</v>
      </c>
      <c r="B4" s="5544"/>
      <c r="C4" s="5544"/>
      <c r="D4" s="5544"/>
      <c r="E4" s="5544"/>
      <c r="F4" s="5544"/>
      <c r="G4" s="5544"/>
      <c r="H4" s="5544"/>
      <c r="I4" s="5544"/>
      <c r="J4" s="5544"/>
      <c r="K4" s="5595"/>
    </row>
    <row r="5" spans="1:11" ht="18">
      <c r="A5" s="859" t="s">
        <v>670</v>
      </c>
      <c r="B5" s="294"/>
      <c r="C5" s="294"/>
      <c r="D5" s="294"/>
      <c r="E5" s="294"/>
      <c r="F5" s="294"/>
      <c r="G5" s="294"/>
      <c r="H5" s="294"/>
      <c r="I5" s="294"/>
      <c r="J5" s="294"/>
      <c r="K5" s="858"/>
    </row>
    <row r="6" spans="1:11" ht="15">
      <c r="A6" s="5578" t="s">
        <v>508</v>
      </c>
      <c r="B6" s="5544"/>
      <c r="C6" s="5544"/>
      <c r="D6" s="5544"/>
      <c r="E6" s="5544"/>
      <c r="F6" s="5544"/>
      <c r="G6" s="5544"/>
      <c r="H6" s="5544"/>
      <c r="I6" s="5544"/>
      <c r="J6" s="5544"/>
      <c r="K6" s="5595"/>
    </row>
    <row r="7" spans="1:11" ht="18.75">
      <c r="A7" s="860"/>
      <c r="B7" s="294"/>
      <c r="C7" s="294"/>
      <c r="D7" s="294"/>
      <c r="E7" s="294"/>
      <c r="F7" s="294"/>
      <c r="G7" s="294"/>
      <c r="H7" s="294"/>
      <c r="I7" s="294"/>
      <c r="J7" s="294"/>
      <c r="K7" s="858"/>
    </row>
    <row r="8" spans="1:11">
      <c r="A8" s="5575" t="s">
        <v>671</v>
      </c>
      <c r="B8" s="5544"/>
      <c r="C8" s="5544"/>
      <c r="D8" s="5544"/>
      <c r="E8" s="5544"/>
      <c r="F8" s="5544"/>
      <c r="G8" s="5544"/>
      <c r="H8" s="5544"/>
      <c r="I8" s="5544"/>
      <c r="J8" s="5544"/>
      <c r="K8" s="5595"/>
    </row>
    <row r="9" spans="1:11" ht="13.5">
      <c r="A9" s="879"/>
      <c r="B9" s="873"/>
      <c r="C9" s="294"/>
      <c r="D9" s="294"/>
      <c r="E9" s="294"/>
      <c r="F9" s="294"/>
      <c r="G9" s="294"/>
      <c r="H9" s="294"/>
      <c r="I9" s="294"/>
      <c r="J9" s="294"/>
      <c r="K9" s="858"/>
    </row>
    <row r="10" spans="1:11">
      <c r="A10" s="5575" t="s">
        <v>672</v>
      </c>
      <c r="B10" s="5544"/>
      <c r="C10" s="5544"/>
      <c r="D10" s="5577" t="s">
        <v>809</v>
      </c>
      <c r="E10" s="5544"/>
      <c r="F10" s="5544"/>
      <c r="G10" s="5544"/>
      <c r="H10" s="5544"/>
      <c r="I10" s="5544"/>
      <c r="J10" s="5544"/>
      <c r="K10" s="5595"/>
    </row>
    <row r="11" spans="1:11" ht="18.75">
      <c r="A11" s="860"/>
      <c r="B11" s="294"/>
      <c r="C11" s="294"/>
      <c r="D11" s="294"/>
      <c r="E11" s="294"/>
      <c r="F11" s="294"/>
      <c r="G11" s="294"/>
      <c r="H11" s="294"/>
      <c r="I11" s="294"/>
      <c r="J11" s="294"/>
      <c r="K11" s="858"/>
    </row>
    <row r="12" spans="1:11" ht="12.75" customHeight="1">
      <c r="A12" s="5585" t="s">
        <v>674</v>
      </c>
      <c r="B12" s="5544"/>
      <c r="C12" s="5544"/>
      <c r="D12" s="5544"/>
      <c r="E12" s="5544"/>
      <c r="F12" s="5544"/>
      <c r="G12" s="5586" t="s">
        <v>810</v>
      </c>
      <c r="H12" s="5587" t="s">
        <v>676</v>
      </c>
      <c r="I12" s="294"/>
      <c r="J12" s="294"/>
      <c r="K12" s="858"/>
    </row>
    <row r="13" spans="1:11">
      <c r="A13" s="5585"/>
      <c r="B13" s="5544"/>
      <c r="C13" s="5544"/>
      <c r="D13" s="5544"/>
      <c r="E13" s="5544"/>
      <c r="F13" s="5544"/>
      <c r="G13" s="5586"/>
      <c r="H13" s="5587"/>
      <c r="I13" s="294"/>
      <c r="J13" s="294"/>
      <c r="K13" s="858"/>
    </row>
    <row r="14" spans="1:11" ht="15" customHeight="1">
      <c r="A14" s="5575" t="s">
        <v>677</v>
      </c>
      <c r="B14" s="5544"/>
      <c r="C14" s="5544"/>
      <c r="D14" s="5544"/>
      <c r="E14" s="5544"/>
      <c r="F14" s="5544"/>
      <c r="G14" s="5576">
        <v>854</v>
      </c>
      <c r="H14" s="5577" t="s">
        <v>678</v>
      </c>
      <c r="I14" s="294"/>
      <c r="J14" s="294"/>
      <c r="K14" s="858"/>
    </row>
    <row r="15" spans="1:11">
      <c r="A15" s="5575"/>
      <c r="B15" s="5544"/>
      <c r="C15" s="5544"/>
      <c r="D15" s="5544"/>
      <c r="E15" s="5544"/>
      <c r="F15" s="5544"/>
      <c r="G15" s="5576"/>
      <c r="H15" s="5577"/>
      <c r="I15" s="294"/>
      <c r="J15" s="294"/>
      <c r="K15" s="858"/>
    </row>
    <row r="16" spans="1:11" ht="13.5" customHeight="1">
      <c r="A16" s="5575" t="s">
        <v>679</v>
      </c>
      <c r="B16" s="5544"/>
      <c r="C16" s="5544"/>
      <c r="D16" s="5544"/>
      <c r="E16" s="5544"/>
      <c r="F16" s="5544"/>
      <c r="G16" s="5576" t="s">
        <v>811</v>
      </c>
      <c r="H16" s="5577" t="s">
        <v>676</v>
      </c>
      <c r="I16" s="294"/>
      <c r="J16" s="294"/>
      <c r="K16" s="858"/>
    </row>
    <row r="17" spans="1:11" ht="3.75" customHeight="1">
      <c r="A17" s="5575"/>
      <c r="B17" s="5544"/>
      <c r="C17" s="5544"/>
      <c r="D17" s="5544"/>
      <c r="E17" s="5544"/>
      <c r="F17" s="5544"/>
      <c r="G17" s="5576"/>
      <c r="H17" s="5577"/>
      <c r="I17" s="294"/>
      <c r="J17" s="294"/>
      <c r="K17" s="858"/>
    </row>
    <row r="18" spans="1:11" ht="19.5" thickBot="1">
      <c r="A18" s="880" t="s">
        <v>250</v>
      </c>
      <c r="B18" s="294"/>
      <c r="C18" s="294"/>
      <c r="D18" s="294"/>
      <c r="E18" s="294"/>
      <c r="F18" s="294"/>
      <c r="G18" s="294"/>
      <c r="H18" s="294"/>
      <c r="I18" s="294"/>
      <c r="J18" s="294"/>
      <c r="K18" s="858"/>
    </row>
    <row r="19" spans="1:11" ht="13.5" thickBot="1">
      <c r="A19" s="708" t="s">
        <v>175</v>
      </c>
      <c r="B19" s="708" t="s">
        <v>458</v>
      </c>
      <c r="C19" s="708" t="s">
        <v>374</v>
      </c>
      <c r="D19" s="356"/>
      <c r="E19" s="5565" t="s">
        <v>459</v>
      </c>
      <c r="F19" s="5566"/>
      <c r="G19" s="5565" t="s">
        <v>460</v>
      </c>
      <c r="H19" s="5567"/>
      <c r="I19" s="5566"/>
      <c r="J19" s="5568" t="s">
        <v>461</v>
      </c>
      <c r="K19" s="5569"/>
    </row>
    <row r="20" spans="1:11" ht="13.5" thickBot="1">
      <c r="A20" s="359" t="s">
        <v>462</v>
      </c>
      <c r="B20" s="359" t="s">
        <v>463</v>
      </c>
      <c r="C20" s="359" t="s">
        <v>464</v>
      </c>
      <c r="D20" s="360" t="s">
        <v>465</v>
      </c>
      <c r="E20" s="710" t="s">
        <v>466</v>
      </c>
      <c r="F20" s="707" t="s">
        <v>467</v>
      </c>
      <c r="G20" s="359" t="s">
        <v>466</v>
      </c>
      <c r="H20" s="360" t="s">
        <v>468</v>
      </c>
      <c r="I20" s="362" t="s">
        <v>467</v>
      </c>
      <c r="J20" s="5570" t="s">
        <v>469</v>
      </c>
      <c r="K20" s="5571"/>
    </row>
    <row r="21" spans="1:11" ht="13.5" thickBot="1">
      <c r="A21" s="709"/>
      <c r="B21" s="709" t="s">
        <v>470</v>
      </c>
      <c r="C21" s="709"/>
      <c r="D21" s="364"/>
      <c r="E21" s="710" t="s">
        <v>468</v>
      </c>
      <c r="F21" s="362" t="s">
        <v>471</v>
      </c>
      <c r="G21" s="706"/>
      <c r="H21" s="365"/>
      <c r="I21" s="362" t="s">
        <v>471</v>
      </c>
      <c r="J21" s="709" t="s">
        <v>472</v>
      </c>
      <c r="K21" s="364" t="s">
        <v>466</v>
      </c>
    </row>
    <row r="22" spans="1:11" ht="13.5" thickBot="1">
      <c r="A22" s="864"/>
      <c r="B22" s="294"/>
      <c r="C22" s="294"/>
      <c r="D22" s="294"/>
      <c r="E22" s="294"/>
      <c r="F22" s="294"/>
      <c r="G22" s="294"/>
      <c r="H22" s="294"/>
      <c r="I22" s="294"/>
      <c r="J22" s="294"/>
      <c r="K22" s="858"/>
    </row>
    <row r="23" spans="1:11" ht="13.5" thickBot="1">
      <c r="A23" s="367">
        <v>1</v>
      </c>
      <c r="B23" s="368">
        <v>2</v>
      </c>
      <c r="C23" s="368">
        <v>3</v>
      </c>
      <c r="D23" s="368">
        <v>4</v>
      </c>
      <c r="E23" s="368">
        <v>5</v>
      </c>
      <c r="F23" s="368">
        <v>6</v>
      </c>
      <c r="G23" s="368">
        <v>7</v>
      </c>
      <c r="H23" s="368">
        <v>8</v>
      </c>
      <c r="I23" s="368">
        <v>9</v>
      </c>
      <c r="J23" s="368">
        <v>10</v>
      </c>
      <c r="K23" s="368">
        <v>11</v>
      </c>
    </row>
    <row r="24" spans="1:11" ht="13.5" thickBot="1">
      <c r="A24" s="850"/>
      <c r="B24" s="851"/>
      <c r="C24" s="851"/>
      <c r="D24" s="851"/>
      <c r="E24" s="851"/>
      <c r="F24" s="851"/>
      <c r="G24" s="851"/>
      <c r="H24" s="851"/>
      <c r="I24" s="851"/>
      <c r="J24" s="851"/>
      <c r="K24" s="851"/>
    </row>
    <row r="25" spans="1:11" ht="13.5" thickBot="1">
      <c r="A25" s="5550"/>
      <c r="B25" s="5551"/>
      <c r="C25" s="5551"/>
      <c r="D25" s="5551"/>
      <c r="E25" s="5551"/>
      <c r="F25" s="5551"/>
      <c r="G25" s="5551"/>
      <c r="H25" s="5551"/>
      <c r="I25" s="5551"/>
      <c r="J25" s="5551"/>
      <c r="K25" s="5552"/>
    </row>
    <row r="26" spans="1:11" ht="13.5" thickBot="1">
      <c r="A26" s="5572" t="s">
        <v>812</v>
      </c>
      <c r="B26" s="5573"/>
      <c r="C26" s="5573"/>
      <c r="D26" s="5573"/>
      <c r="E26" s="5573"/>
      <c r="F26" s="5573"/>
      <c r="G26" s="5573"/>
      <c r="H26" s="5573"/>
      <c r="I26" s="5573"/>
      <c r="J26" s="5573"/>
      <c r="K26" s="5574"/>
    </row>
    <row r="27" spans="1:11" ht="13.5" thickBot="1">
      <c r="A27" s="5550"/>
      <c r="B27" s="5551"/>
      <c r="C27" s="5551"/>
      <c r="D27" s="5551"/>
      <c r="E27" s="5551"/>
      <c r="F27" s="5551"/>
      <c r="G27" s="5551"/>
      <c r="H27" s="5551"/>
      <c r="I27" s="5551"/>
      <c r="J27" s="5551"/>
      <c r="K27" s="5552"/>
    </row>
    <row r="28" spans="1:11">
      <c r="A28" s="5558">
        <v>1</v>
      </c>
      <c r="B28" s="5560" t="s">
        <v>689</v>
      </c>
      <c r="C28" s="374" t="s">
        <v>753</v>
      </c>
      <c r="D28" s="375">
        <v>0.8</v>
      </c>
      <c r="E28" s="376">
        <v>21330.04</v>
      </c>
      <c r="F28" s="376">
        <v>21330.04</v>
      </c>
      <c r="G28" s="5558">
        <v>17064</v>
      </c>
      <c r="H28" s="5558">
        <v>0</v>
      </c>
      <c r="I28" s="376">
        <v>17064</v>
      </c>
      <c r="J28" s="376">
        <v>0</v>
      </c>
      <c r="K28" s="376">
        <v>0</v>
      </c>
    </row>
    <row r="29" spans="1:11" ht="34.5" customHeight="1" thickBot="1">
      <c r="A29" s="5559"/>
      <c r="B29" s="5561"/>
      <c r="C29" s="372" t="s">
        <v>813</v>
      </c>
      <c r="D29" s="373" t="s">
        <v>691</v>
      </c>
      <c r="E29" s="373">
        <v>0</v>
      </c>
      <c r="F29" s="373">
        <v>24389.57</v>
      </c>
      <c r="G29" s="5559"/>
      <c r="H29" s="5559"/>
      <c r="I29" s="373">
        <v>19512</v>
      </c>
      <c r="J29" s="373">
        <v>97.21</v>
      </c>
      <c r="K29" s="373">
        <v>77.77</v>
      </c>
    </row>
    <row r="30" spans="1:11" ht="22.5" customHeight="1">
      <c r="A30" s="5558">
        <v>2</v>
      </c>
      <c r="B30" s="5560" t="s">
        <v>763</v>
      </c>
      <c r="C30" s="374" t="s">
        <v>764</v>
      </c>
      <c r="D30" s="375">
        <v>20</v>
      </c>
      <c r="E30" s="376">
        <v>1300.8599999999999</v>
      </c>
      <c r="F30" s="376">
        <v>30.67</v>
      </c>
      <c r="G30" s="5558">
        <v>26017</v>
      </c>
      <c r="H30" s="5558">
        <v>25404</v>
      </c>
      <c r="I30" s="376">
        <v>613</v>
      </c>
      <c r="J30" s="376">
        <v>6.58</v>
      </c>
      <c r="K30" s="376">
        <v>131.6</v>
      </c>
    </row>
    <row r="31" spans="1:11" ht="33" customHeight="1" thickBot="1">
      <c r="A31" s="5559"/>
      <c r="B31" s="5561"/>
      <c r="C31" s="372" t="s">
        <v>813</v>
      </c>
      <c r="D31" s="373" t="s">
        <v>765</v>
      </c>
      <c r="E31" s="373">
        <v>1270.19</v>
      </c>
      <c r="F31" s="373">
        <v>0</v>
      </c>
      <c r="G31" s="5559"/>
      <c r="H31" s="5559"/>
      <c r="I31" s="373">
        <v>0</v>
      </c>
      <c r="J31" s="373">
        <v>0</v>
      </c>
      <c r="K31" s="373">
        <v>0</v>
      </c>
    </row>
    <row r="32" spans="1:11" ht="22.5" customHeight="1">
      <c r="A32" s="5558">
        <v>3</v>
      </c>
      <c r="B32" s="5560" t="s">
        <v>754</v>
      </c>
      <c r="C32" s="374" t="s">
        <v>755</v>
      </c>
      <c r="D32" s="375">
        <v>0.2</v>
      </c>
      <c r="E32" s="376">
        <v>115674.66</v>
      </c>
      <c r="F32" s="376">
        <v>55153.06</v>
      </c>
      <c r="G32" s="5558">
        <v>23135</v>
      </c>
      <c r="H32" s="5558">
        <v>12104</v>
      </c>
      <c r="I32" s="376">
        <v>11031</v>
      </c>
      <c r="J32" s="376">
        <v>292.02</v>
      </c>
      <c r="K32" s="376">
        <v>58.4</v>
      </c>
    </row>
    <row r="33" spans="1:11" ht="33.75" customHeight="1">
      <c r="A33" s="5562"/>
      <c r="B33" s="5563"/>
      <c r="C33" s="374" t="s">
        <v>512</v>
      </c>
      <c r="D33" s="376" t="s">
        <v>757</v>
      </c>
      <c r="E33" s="376">
        <v>60521.599999999999</v>
      </c>
      <c r="F33" s="376">
        <v>12684.38</v>
      </c>
      <c r="G33" s="5562"/>
      <c r="H33" s="5562"/>
      <c r="I33" s="376">
        <v>2537</v>
      </c>
      <c r="J33" s="376">
        <v>49.67</v>
      </c>
      <c r="K33" s="376">
        <v>9.93</v>
      </c>
    </row>
    <row r="34" spans="1:11" ht="33.75" customHeight="1" thickBot="1">
      <c r="A34" s="5559"/>
      <c r="B34" s="5561"/>
      <c r="C34" s="372" t="s">
        <v>814</v>
      </c>
      <c r="D34" s="377"/>
      <c r="E34" s="377"/>
      <c r="F34" s="377"/>
      <c r="G34" s="5559"/>
      <c r="H34" s="5559"/>
      <c r="I34" s="377"/>
      <c r="J34" s="377"/>
      <c r="K34" s="377"/>
    </row>
    <row r="35" spans="1:11" ht="10.5" customHeight="1">
      <c r="A35" s="5558">
        <v>4</v>
      </c>
      <c r="B35" s="5560" t="s">
        <v>758</v>
      </c>
      <c r="C35" s="374" t="s">
        <v>759</v>
      </c>
      <c r="D35" s="375">
        <v>20</v>
      </c>
      <c r="E35" s="376">
        <v>534.51</v>
      </c>
      <c r="F35" s="376">
        <v>0</v>
      </c>
      <c r="G35" s="5558">
        <v>10690</v>
      </c>
      <c r="H35" s="5558">
        <v>10690</v>
      </c>
      <c r="I35" s="376">
        <v>0</v>
      </c>
      <c r="J35" s="376">
        <v>2.72</v>
      </c>
      <c r="K35" s="376">
        <v>54.48</v>
      </c>
    </row>
    <row r="36" spans="1:11" ht="10.5" customHeight="1">
      <c r="A36" s="5562"/>
      <c r="B36" s="5563"/>
      <c r="C36" s="374" t="s">
        <v>512</v>
      </c>
      <c r="D36" s="376" t="s">
        <v>476</v>
      </c>
      <c r="E36" s="376">
        <v>534.51</v>
      </c>
      <c r="F36" s="376">
        <v>0</v>
      </c>
      <c r="G36" s="5562"/>
      <c r="H36" s="5562"/>
      <c r="I36" s="376">
        <v>0</v>
      </c>
      <c r="J36" s="376">
        <v>0</v>
      </c>
      <c r="K36" s="376">
        <v>0</v>
      </c>
    </row>
    <row r="37" spans="1:11" ht="33.75" customHeight="1" thickBot="1">
      <c r="A37" s="5559"/>
      <c r="B37" s="5561"/>
      <c r="C37" s="372" t="s">
        <v>814</v>
      </c>
      <c r="D37" s="377"/>
      <c r="E37" s="377"/>
      <c r="F37" s="377"/>
      <c r="G37" s="5559"/>
      <c r="H37" s="5559"/>
      <c r="I37" s="377"/>
      <c r="J37" s="377"/>
      <c r="K37" s="377"/>
    </row>
    <row r="38" spans="1:11" ht="10.5" customHeight="1">
      <c r="A38" s="5558">
        <v>5</v>
      </c>
      <c r="B38" s="5560" t="s">
        <v>760</v>
      </c>
      <c r="C38" s="374" t="s">
        <v>761</v>
      </c>
      <c r="D38" s="375">
        <v>12</v>
      </c>
      <c r="E38" s="376">
        <v>352.65</v>
      </c>
      <c r="F38" s="376">
        <v>70.33</v>
      </c>
      <c r="G38" s="5558">
        <v>4232</v>
      </c>
      <c r="H38" s="5558">
        <v>3388</v>
      </c>
      <c r="I38" s="376">
        <v>844</v>
      </c>
      <c r="J38" s="376">
        <v>1.31</v>
      </c>
      <c r="K38" s="376">
        <v>15.72</v>
      </c>
    </row>
    <row r="39" spans="1:11" ht="33" customHeight="1" thickBot="1">
      <c r="A39" s="5559"/>
      <c r="B39" s="5561"/>
      <c r="C39" s="372" t="s">
        <v>813</v>
      </c>
      <c r="D39" s="373" t="s">
        <v>762</v>
      </c>
      <c r="E39" s="373">
        <v>282.32</v>
      </c>
      <c r="F39" s="373">
        <v>0</v>
      </c>
      <c r="G39" s="5559"/>
      <c r="H39" s="5559"/>
      <c r="I39" s="373">
        <v>0</v>
      </c>
      <c r="J39" s="373">
        <v>7.0000000000000007E-2</v>
      </c>
      <c r="K39" s="373">
        <v>0.84</v>
      </c>
    </row>
    <row r="40" spans="1:11" ht="9.75" customHeight="1">
      <c r="A40" s="5558">
        <v>6</v>
      </c>
      <c r="B40" s="5560" t="s">
        <v>473</v>
      </c>
      <c r="C40" s="374" t="s">
        <v>474</v>
      </c>
      <c r="D40" s="375">
        <v>8</v>
      </c>
      <c r="E40" s="376">
        <v>7190.9</v>
      </c>
      <c r="F40" s="376">
        <v>100.54</v>
      </c>
      <c r="G40" s="5558">
        <v>57527</v>
      </c>
      <c r="H40" s="5558">
        <v>7709</v>
      </c>
      <c r="I40" s="376">
        <v>804</v>
      </c>
      <c r="J40" s="376">
        <v>4.53</v>
      </c>
      <c r="K40" s="376">
        <v>36.24</v>
      </c>
    </row>
    <row r="41" spans="1:11" ht="34.5" customHeight="1" thickBot="1">
      <c r="A41" s="5559"/>
      <c r="B41" s="5561"/>
      <c r="C41" s="372" t="s">
        <v>813</v>
      </c>
      <c r="D41" s="373" t="s">
        <v>476</v>
      </c>
      <c r="E41" s="373">
        <v>963.68</v>
      </c>
      <c r="F41" s="373">
        <v>0</v>
      </c>
      <c r="G41" s="5559"/>
      <c r="H41" s="5559"/>
      <c r="I41" s="373">
        <v>0</v>
      </c>
      <c r="J41" s="373">
        <v>0.1</v>
      </c>
      <c r="K41" s="373">
        <v>0.8</v>
      </c>
    </row>
    <row r="42" spans="1:11" ht="23.25" customHeight="1">
      <c r="A42" s="5558">
        <v>7</v>
      </c>
      <c r="B42" s="5560" t="s">
        <v>510</v>
      </c>
      <c r="C42" s="374" t="s">
        <v>511</v>
      </c>
      <c r="D42" s="375">
        <v>0.5</v>
      </c>
      <c r="E42" s="376">
        <v>87722.08</v>
      </c>
      <c r="F42" s="376">
        <v>9577.9699999999993</v>
      </c>
      <c r="G42" s="5558">
        <v>43861</v>
      </c>
      <c r="H42" s="5558">
        <v>9936</v>
      </c>
      <c r="I42" s="376">
        <v>4789</v>
      </c>
      <c r="J42" s="376">
        <v>95.88</v>
      </c>
      <c r="K42" s="376">
        <v>47.94</v>
      </c>
    </row>
    <row r="43" spans="1:11" ht="10.5" customHeight="1">
      <c r="A43" s="5562"/>
      <c r="B43" s="5563"/>
      <c r="C43" s="374" t="s">
        <v>512</v>
      </c>
      <c r="D43" s="376" t="s">
        <v>513</v>
      </c>
      <c r="E43" s="376">
        <v>19871.29</v>
      </c>
      <c r="F43" s="376">
        <v>2421.77</v>
      </c>
      <c r="G43" s="5562"/>
      <c r="H43" s="5562"/>
      <c r="I43" s="376">
        <v>1211</v>
      </c>
      <c r="J43" s="376">
        <v>7.81</v>
      </c>
      <c r="K43" s="376">
        <v>3.91</v>
      </c>
    </row>
    <row r="44" spans="1:11" ht="32.25" customHeight="1" thickBot="1">
      <c r="A44" s="5559"/>
      <c r="B44" s="5561"/>
      <c r="C44" s="372" t="s">
        <v>814</v>
      </c>
      <c r="D44" s="377"/>
      <c r="E44" s="377"/>
      <c r="F44" s="377"/>
      <c r="G44" s="5559"/>
      <c r="H44" s="5559"/>
      <c r="I44" s="377"/>
      <c r="J44" s="377"/>
      <c r="K44" s="377"/>
    </row>
    <row r="45" spans="1:11" ht="10.5" customHeight="1">
      <c r="A45" s="5558">
        <v>8</v>
      </c>
      <c r="B45" s="5560" t="s">
        <v>515</v>
      </c>
      <c r="C45" s="374" t="s">
        <v>516</v>
      </c>
      <c r="D45" s="375">
        <v>3.5</v>
      </c>
      <c r="E45" s="376">
        <v>14398.96</v>
      </c>
      <c r="F45" s="376">
        <v>341.17</v>
      </c>
      <c r="G45" s="5558">
        <v>50396</v>
      </c>
      <c r="H45" s="5558">
        <v>27253</v>
      </c>
      <c r="I45" s="376">
        <v>1194</v>
      </c>
      <c r="J45" s="376">
        <v>38.93</v>
      </c>
      <c r="K45" s="376">
        <v>136.25</v>
      </c>
    </row>
    <row r="46" spans="1:11" ht="12.75" customHeight="1">
      <c r="A46" s="5562"/>
      <c r="B46" s="5563"/>
      <c r="C46" s="374" t="s">
        <v>517</v>
      </c>
      <c r="D46" s="376" t="s">
        <v>518</v>
      </c>
      <c r="E46" s="376">
        <v>7786.59</v>
      </c>
      <c r="F46" s="376">
        <v>133.93</v>
      </c>
      <c r="G46" s="5562"/>
      <c r="H46" s="5562"/>
      <c r="I46" s="376">
        <v>469</v>
      </c>
      <c r="J46" s="376">
        <v>0.43</v>
      </c>
      <c r="K46" s="376">
        <v>1.51</v>
      </c>
    </row>
    <row r="47" spans="1:11" ht="32.25" customHeight="1" thickBot="1">
      <c r="A47" s="5559"/>
      <c r="B47" s="5561"/>
      <c r="C47" s="372" t="s">
        <v>814</v>
      </c>
      <c r="D47" s="377"/>
      <c r="E47" s="377"/>
      <c r="F47" s="377"/>
      <c r="G47" s="5559"/>
      <c r="H47" s="5559"/>
      <c r="I47" s="377"/>
      <c r="J47" s="377"/>
      <c r="K47" s="377"/>
    </row>
    <row r="48" spans="1:11" ht="11.25" customHeight="1">
      <c r="A48" s="5558">
        <v>9</v>
      </c>
      <c r="B48" s="5560" t="s">
        <v>519</v>
      </c>
      <c r="C48" s="374" t="s">
        <v>520</v>
      </c>
      <c r="D48" s="375">
        <v>2.5</v>
      </c>
      <c r="E48" s="376">
        <v>17601.82</v>
      </c>
      <c r="F48" s="376">
        <v>60.3</v>
      </c>
      <c r="G48" s="5558">
        <v>44005</v>
      </c>
      <c r="H48" s="5558">
        <v>18429</v>
      </c>
      <c r="I48" s="376">
        <v>151</v>
      </c>
      <c r="J48" s="376">
        <v>34.65</v>
      </c>
      <c r="K48" s="376">
        <v>86.63</v>
      </c>
    </row>
    <row r="49" spans="1:11" ht="12.75" customHeight="1">
      <c r="A49" s="5562"/>
      <c r="B49" s="5563"/>
      <c r="C49" s="374" t="s">
        <v>517</v>
      </c>
      <c r="D49" s="376" t="s">
        <v>513</v>
      </c>
      <c r="E49" s="376">
        <v>7371.52</v>
      </c>
      <c r="F49" s="376">
        <v>0</v>
      </c>
      <c r="G49" s="5562"/>
      <c r="H49" s="5562"/>
      <c r="I49" s="376">
        <v>0</v>
      </c>
      <c r="J49" s="376">
        <v>0.06</v>
      </c>
      <c r="K49" s="376">
        <v>0.15</v>
      </c>
    </row>
    <row r="50" spans="1:11" ht="33.75" customHeight="1" thickBot="1">
      <c r="A50" s="5559"/>
      <c r="B50" s="5561"/>
      <c r="C50" s="372" t="s">
        <v>814</v>
      </c>
      <c r="D50" s="377"/>
      <c r="E50" s="377"/>
      <c r="F50" s="377"/>
      <c r="G50" s="5559"/>
      <c r="H50" s="5559"/>
      <c r="I50" s="377"/>
      <c r="J50" s="377"/>
      <c r="K50" s="377"/>
    </row>
    <row r="51" spans="1:11" ht="24.75" customHeight="1">
      <c r="A51" s="5558">
        <v>10</v>
      </c>
      <c r="B51" s="5560" t="s">
        <v>521</v>
      </c>
      <c r="C51" s="374" t="s">
        <v>522</v>
      </c>
      <c r="D51" s="375">
        <v>2.2000000000000002</v>
      </c>
      <c r="E51" s="376">
        <v>182869.16</v>
      </c>
      <c r="F51" s="376">
        <v>149723.85</v>
      </c>
      <c r="G51" s="5558">
        <v>402312</v>
      </c>
      <c r="H51" s="5558">
        <v>69900</v>
      </c>
      <c r="I51" s="376">
        <v>329392</v>
      </c>
      <c r="J51" s="376">
        <v>130.53</v>
      </c>
      <c r="K51" s="376">
        <v>287.17</v>
      </c>
    </row>
    <row r="52" spans="1:11" ht="33.75" customHeight="1" thickBot="1">
      <c r="A52" s="5559"/>
      <c r="B52" s="5561"/>
      <c r="C52" s="372" t="s">
        <v>813</v>
      </c>
      <c r="D52" s="373" t="s">
        <v>523</v>
      </c>
      <c r="E52" s="373">
        <v>31772.81</v>
      </c>
      <c r="F52" s="373">
        <v>10028.870000000001</v>
      </c>
      <c r="G52" s="5559"/>
      <c r="H52" s="5559"/>
      <c r="I52" s="373">
        <v>22064</v>
      </c>
      <c r="J52" s="373">
        <v>47.81</v>
      </c>
      <c r="K52" s="373">
        <v>105.18</v>
      </c>
    </row>
    <row r="53" spans="1:11" ht="13.5" thickBot="1">
      <c r="A53" s="5550"/>
      <c r="B53" s="5551"/>
      <c r="C53" s="5551"/>
      <c r="D53" s="5551"/>
      <c r="E53" s="5551"/>
      <c r="F53" s="5551"/>
      <c r="G53" s="5551"/>
      <c r="H53" s="5551"/>
      <c r="I53" s="5551"/>
      <c r="J53" s="5551"/>
      <c r="K53" s="5552"/>
    </row>
    <row r="54" spans="1:11">
      <c r="A54" s="5553" t="s">
        <v>709</v>
      </c>
      <c r="B54" s="5554"/>
      <c r="C54" s="5554"/>
      <c r="D54" s="5554"/>
      <c r="E54" s="5554"/>
      <c r="F54" s="5556"/>
      <c r="G54" s="5556">
        <v>679239</v>
      </c>
      <c r="H54" s="5556">
        <v>184813</v>
      </c>
      <c r="I54" s="865">
        <v>365882</v>
      </c>
      <c r="J54" s="5556"/>
      <c r="K54" s="376">
        <v>854.43</v>
      </c>
    </row>
    <row r="55" spans="1:11" ht="13.5" thickBot="1">
      <c r="A55" s="5555"/>
      <c r="B55" s="5547"/>
      <c r="C55" s="5547"/>
      <c r="D55" s="5547"/>
      <c r="E55" s="5547"/>
      <c r="F55" s="5557"/>
      <c r="G55" s="5557"/>
      <c r="H55" s="5557"/>
      <c r="I55" s="855">
        <v>45793</v>
      </c>
      <c r="J55" s="5557"/>
      <c r="K55" s="373">
        <v>200.08</v>
      </c>
    </row>
    <row r="56" spans="1:11" ht="13.5" thickBot="1">
      <c r="A56" s="5550"/>
      <c r="B56" s="5551"/>
      <c r="C56" s="5551"/>
      <c r="D56" s="5551"/>
      <c r="E56" s="5551"/>
      <c r="F56" s="5551"/>
      <c r="G56" s="5551"/>
      <c r="H56" s="5551"/>
      <c r="I56" s="5551"/>
      <c r="J56" s="5551"/>
      <c r="K56" s="5552"/>
    </row>
    <row r="57" spans="1:11">
      <c r="A57" s="5553" t="s">
        <v>710</v>
      </c>
      <c r="B57" s="5554"/>
      <c r="C57" s="5554"/>
      <c r="D57" s="5554"/>
      <c r="E57" s="5554"/>
      <c r="F57" s="5556"/>
      <c r="G57" s="5556">
        <v>679239</v>
      </c>
      <c r="H57" s="5556">
        <v>184813</v>
      </c>
      <c r="I57" s="865">
        <v>365882</v>
      </c>
      <c r="J57" s="5556"/>
      <c r="K57" s="376">
        <v>854.43</v>
      </c>
    </row>
    <row r="58" spans="1:11" ht="13.5" thickBot="1">
      <c r="A58" s="5555"/>
      <c r="B58" s="5547"/>
      <c r="C58" s="5547"/>
      <c r="D58" s="5547"/>
      <c r="E58" s="5547"/>
      <c r="F58" s="5557"/>
      <c r="G58" s="5557"/>
      <c r="H58" s="5557"/>
      <c r="I58" s="855">
        <v>45793</v>
      </c>
      <c r="J58" s="5557"/>
      <c r="K58" s="373">
        <v>200.08</v>
      </c>
    </row>
    <row r="59" spans="1:11" ht="13.5" thickBot="1">
      <c r="A59" s="850"/>
      <c r="B59" s="851"/>
      <c r="C59" s="851"/>
      <c r="D59" s="851"/>
      <c r="E59" s="851"/>
      <c r="F59" s="851"/>
      <c r="G59" s="851"/>
      <c r="H59" s="851"/>
      <c r="I59" s="851"/>
      <c r="J59" s="851"/>
      <c r="K59" s="851"/>
    </row>
    <row r="60" spans="1:11">
      <c r="A60" s="881"/>
      <c r="B60" s="294"/>
      <c r="C60" s="294"/>
      <c r="D60" s="294"/>
      <c r="E60" s="294"/>
      <c r="F60" s="294"/>
      <c r="G60" s="294"/>
      <c r="H60" s="294"/>
      <c r="I60" s="294"/>
      <c r="J60" s="294"/>
      <c r="K60" s="858"/>
    </row>
    <row r="61" spans="1:11">
      <c r="A61" s="867"/>
      <c r="B61" s="294"/>
      <c r="C61" s="294"/>
      <c r="D61" s="294"/>
      <c r="E61" s="294"/>
      <c r="F61" s="294"/>
      <c r="G61" s="294"/>
      <c r="H61" s="294"/>
      <c r="I61" s="294"/>
      <c r="J61" s="294"/>
      <c r="K61" s="858"/>
    </row>
    <row r="62" spans="1:11">
      <c r="A62" s="867"/>
      <c r="B62" s="294"/>
      <c r="C62" s="5543" t="s">
        <v>711</v>
      </c>
      <c r="D62" s="5544"/>
      <c r="E62" s="5544"/>
      <c r="F62" s="5544"/>
      <c r="G62" s="5544"/>
      <c r="H62" s="5544"/>
      <c r="I62" s="5543" t="s">
        <v>712</v>
      </c>
      <c r="J62" s="5543" t="s">
        <v>713</v>
      </c>
      <c r="K62" s="374" t="s">
        <v>578</v>
      </c>
    </row>
    <row r="63" spans="1:11">
      <c r="A63" s="867"/>
      <c r="B63" s="294"/>
      <c r="C63" s="5543"/>
      <c r="D63" s="5544"/>
      <c r="E63" s="5544"/>
      <c r="F63" s="5544"/>
      <c r="G63" s="5544"/>
      <c r="H63" s="5544"/>
      <c r="I63" s="5543"/>
      <c r="J63" s="5543"/>
      <c r="K63" s="374" t="s">
        <v>714</v>
      </c>
    </row>
    <row r="64" spans="1:11" ht="13.5" thickBot="1">
      <c r="A64" s="867"/>
      <c r="B64" s="294"/>
      <c r="C64" s="856"/>
      <c r="D64" s="856"/>
      <c r="E64" s="856"/>
      <c r="F64" s="856"/>
      <c r="G64" s="294"/>
      <c r="H64" s="294"/>
      <c r="I64" s="856"/>
      <c r="J64" s="856"/>
      <c r="K64" s="372"/>
    </row>
    <row r="65" spans="1:11" ht="13.5" thickBot="1">
      <c r="A65" s="867"/>
      <c r="B65" s="294"/>
      <c r="C65" s="5543" t="s">
        <v>54</v>
      </c>
      <c r="D65" s="5544"/>
      <c r="E65" s="5544"/>
      <c r="F65" s="5544"/>
      <c r="G65" s="5544"/>
      <c r="H65" s="5544"/>
      <c r="I65" s="855"/>
      <c r="J65" s="855"/>
      <c r="K65" s="373" t="s">
        <v>815</v>
      </c>
    </row>
    <row r="66" spans="1:11" ht="13.5" thickBot="1">
      <c r="A66" s="867"/>
      <c r="B66" s="294"/>
      <c r="C66" s="5543" t="s">
        <v>720</v>
      </c>
      <c r="D66" s="5544"/>
      <c r="E66" s="5544"/>
      <c r="F66" s="5544"/>
      <c r="G66" s="5544"/>
      <c r="H66" s="5544"/>
      <c r="I66" s="855">
        <v>0.6</v>
      </c>
      <c r="J66" s="855">
        <v>71</v>
      </c>
      <c r="K66" s="373" t="s">
        <v>774</v>
      </c>
    </row>
    <row r="67" spans="1:11" ht="13.5" thickBot="1">
      <c r="A67" s="867"/>
      <c r="B67" s="294"/>
      <c r="C67" s="5543" t="s">
        <v>783</v>
      </c>
      <c r="D67" s="5544"/>
      <c r="E67" s="5544"/>
      <c r="F67" s="5544"/>
      <c r="G67" s="5544"/>
      <c r="H67" s="5544"/>
      <c r="I67" s="855">
        <v>0.7</v>
      </c>
      <c r="J67" s="855">
        <v>66</v>
      </c>
      <c r="K67" s="373" t="s">
        <v>784</v>
      </c>
    </row>
    <row r="68" spans="1:11" ht="13.5" thickBot="1">
      <c r="A68" s="867"/>
      <c r="B68" s="294"/>
      <c r="C68" s="5543" t="s">
        <v>775</v>
      </c>
      <c r="D68" s="5544"/>
      <c r="E68" s="5544"/>
      <c r="F68" s="5544"/>
      <c r="G68" s="5544"/>
      <c r="H68" s="5544"/>
      <c r="I68" s="855">
        <v>0.6</v>
      </c>
      <c r="J68" s="855">
        <v>93</v>
      </c>
      <c r="K68" s="373" t="s">
        <v>816</v>
      </c>
    </row>
    <row r="69" spans="1:11" ht="13.5" thickBot="1">
      <c r="A69" s="867"/>
      <c r="B69" s="294"/>
      <c r="C69" s="5543" t="s">
        <v>724</v>
      </c>
      <c r="D69" s="5544"/>
      <c r="E69" s="5544"/>
      <c r="F69" s="5544"/>
      <c r="G69" s="5544"/>
      <c r="H69" s="5544"/>
      <c r="I69" s="855">
        <v>0.6</v>
      </c>
      <c r="J69" s="855">
        <v>92</v>
      </c>
      <c r="K69" s="373" t="s">
        <v>817</v>
      </c>
    </row>
    <row r="70" spans="1:11" ht="13.5" thickBot="1">
      <c r="A70" s="867"/>
      <c r="B70" s="294"/>
      <c r="C70" s="5543" t="s">
        <v>722</v>
      </c>
      <c r="D70" s="5544"/>
      <c r="E70" s="5544"/>
      <c r="F70" s="5544"/>
      <c r="G70" s="5544"/>
      <c r="H70" s="5544"/>
      <c r="I70" s="855">
        <v>0.6</v>
      </c>
      <c r="J70" s="855">
        <v>116</v>
      </c>
      <c r="K70" s="373" t="s">
        <v>818</v>
      </c>
    </row>
    <row r="71" spans="1:11" ht="13.5" thickBot="1">
      <c r="A71" s="867"/>
      <c r="B71" s="294"/>
      <c r="C71" s="5543" t="s">
        <v>779</v>
      </c>
      <c r="D71" s="5544"/>
      <c r="E71" s="5544"/>
      <c r="F71" s="5544"/>
      <c r="G71" s="5544"/>
      <c r="H71" s="5544"/>
      <c r="I71" s="855">
        <v>0.6</v>
      </c>
      <c r="J71" s="855">
        <v>77</v>
      </c>
      <c r="K71" s="373" t="s">
        <v>819</v>
      </c>
    </row>
    <row r="72" spans="1:11" ht="13.5" thickBot="1">
      <c r="A72" s="867"/>
      <c r="B72" s="294"/>
      <c r="C72" s="5543" t="s">
        <v>781</v>
      </c>
      <c r="D72" s="5544"/>
      <c r="E72" s="5544"/>
      <c r="F72" s="5544"/>
      <c r="G72" s="5544"/>
      <c r="H72" s="5544"/>
      <c r="I72" s="855">
        <v>0.6</v>
      </c>
      <c r="J72" s="855">
        <v>83</v>
      </c>
      <c r="K72" s="373" t="s">
        <v>820</v>
      </c>
    </row>
    <row r="73" spans="1:11" ht="13.5" thickBot="1">
      <c r="A73" s="867"/>
      <c r="B73" s="294"/>
      <c r="C73" s="5543" t="s">
        <v>726</v>
      </c>
      <c r="D73" s="5544"/>
      <c r="E73" s="5544"/>
      <c r="F73" s="5544"/>
      <c r="G73" s="5544"/>
      <c r="H73" s="5544"/>
      <c r="I73" s="855"/>
      <c r="J73" s="855"/>
      <c r="K73" s="373" t="s">
        <v>821</v>
      </c>
    </row>
    <row r="74" spans="1:11" ht="13.5" thickBot="1">
      <c r="A74" s="867"/>
      <c r="B74" s="294"/>
      <c r="C74" s="5543" t="s">
        <v>54</v>
      </c>
      <c r="D74" s="5544"/>
      <c r="E74" s="5544"/>
      <c r="F74" s="5544"/>
      <c r="G74" s="5544"/>
      <c r="H74" s="5544"/>
      <c r="I74" s="855"/>
      <c r="J74" s="855"/>
      <c r="K74" s="373" t="s">
        <v>822</v>
      </c>
    </row>
    <row r="75" spans="1:11" ht="13.5" thickBot="1">
      <c r="A75" s="867"/>
      <c r="B75" s="294"/>
      <c r="C75" s="5543" t="s">
        <v>733</v>
      </c>
      <c r="D75" s="5544"/>
      <c r="E75" s="5544"/>
      <c r="F75" s="5544"/>
      <c r="G75" s="5544"/>
      <c r="H75" s="5544"/>
      <c r="I75" s="855"/>
      <c r="J75" s="855">
        <v>36</v>
      </c>
      <c r="K75" s="373" t="s">
        <v>789</v>
      </c>
    </row>
    <row r="76" spans="1:11" ht="13.5" thickBot="1">
      <c r="A76" s="867"/>
      <c r="B76" s="294"/>
      <c r="C76" s="5543" t="s">
        <v>798</v>
      </c>
      <c r="D76" s="5544"/>
      <c r="E76" s="5544"/>
      <c r="F76" s="5544"/>
      <c r="G76" s="5544"/>
      <c r="H76" s="5544"/>
      <c r="I76" s="855"/>
      <c r="J76" s="855">
        <v>40</v>
      </c>
      <c r="K76" s="373" t="s">
        <v>799</v>
      </c>
    </row>
    <row r="77" spans="1:11" ht="13.5" thickBot="1">
      <c r="A77" s="867"/>
      <c r="B77" s="294"/>
      <c r="C77" s="5543" t="s">
        <v>790</v>
      </c>
      <c r="D77" s="5544"/>
      <c r="E77" s="5544"/>
      <c r="F77" s="5544"/>
      <c r="G77" s="5544"/>
      <c r="H77" s="5544"/>
      <c r="I77" s="855"/>
      <c r="J77" s="855">
        <v>48</v>
      </c>
      <c r="K77" s="373" t="s">
        <v>823</v>
      </c>
    </row>
    <row r="78" spans="1:11" ht="13.5" thickBot="1">
      <c r="A78" s="867"/>
      <c r="B78" s="294"/>
      <c r="C78" s="5543" t="s">
        <v>737</v>
      </c>
      <c r="D78" s="5544"/>
      <c r="E78" s="5544"/>
      <c r="F78" s="5544"/>
      <c r="G78" s="5544"/>
      <c r="H78" s="5544"/>
      <c r="I78" s="855"/>
      <c r="J78" s="855">
        <v>54</v>
      </c>
      <c r="K78" s="373" t="s">
        <v>824</v>
      </c>
    </row>
    <row r="79" spans="1:11" ht="13.5" thickBot="1">
      <c r="A79" s="867"/>
      <c r="B79" s="294"/>
      <c r="C79" s="5543" t="s">
        <v>735</v>
      </c>
      <c r="D79" s="5544"/>
      <c r="E79" s="5544"/>
      <c r="F79" s="5544"/>
      <c r="G79" s="5544"/>
      <c r="H79" s="5544"/>
      <c r="I79" s="855"/>
      <c r="J79" s="855">
        <v>61</v>
      </c>
      <c r="K79" s="373" t="s">
        <v>825</v>
      </c>
    </row>
    <row r="80" spans="1:11" ht="13.5" thickBot="1">
      <c r="A80" s="867"/>
      <c r="B80" s="294"/>
      <c r="C80" s="5543" t="s">
        <v>794</v>
      </c>
      <c r="D80" s="5544"/>
      <c r="E80" s="5544"/>
      <c r="F80" s="5544"/>
      <c r="G80" s="5544"/>
      <c r="H80" s="5544"/>
      <c r="I80" s="855"/>
      <c r="J80" s="855">
        <v>56</v>
      </c>
      <c r="K80" s="373" t="s">
        <v>826</v>
      </c>
    </row>
    <row r="81" spans="1:11" ht="13.5" thickBot="1">
      <c r="A81" s="867"/>
      <c r="B81" s="294"/>
      <c r="C81" s="5543" t="s">
        <v>796</v>
      </c>
      <c r="D81" s="5544"/>
      <c r="E81" s="5544"/>
      <c r="F81" s="5544"/>
      <c r="G81" s="5544"/>
      <c r="H81" s="5544"/>
      <c r="I81" s="855"/>
      <c r="J81" s="855">
        <v>60</v>
      </c>
      <c r="K81" s="373" t="s">
        <v>827</v>
      </c>
    </row>
    <row r="82" spans="1:11" ht="13.5" thickBot="1">
      <c r="A82" s="867"/>
      <c r="B82" s="294"/>
      <c r="C82" s="5543" t="s">
        <v>739</v>
      </c>
      <c r="D82" s="5544"/>
      <c r="E82" s="5544"/>
      <c r="F82" s="5544"/>
      <c r="G82" s="5544"/>
      <c r="H82" s="5544"/>
      <c r="I82" s="855"/>
      <c r="J82" s="855"/>
      <c r="K82" s="373" t="s">
        <v>828</v>
      </c>
    </row>
    <row r="83" spans="1:11" ht="13.5" thickBot="1">
      <c r="A83" s="867"/>
      <c r="B83" s="294"/>
      <c r="C83" s="5543" t="s">
        <v>54</v>
      </c>
      <c r="D83" s="5544"/>
      <c r="E83" s="5544"/>
      <c r="F83" s="5544"/>
      <c r="G83" s="5544"/>
      <c r="H83" s="5544"/>
      <c r="I83" s="855"/>
      <c r="J83" s="855"/>
      <c r="K83" s="373" t="s">
        <v>829</v>
      </c>
    </row>
    <row r="84" spans="1:11" ht="13.5" thickBot="1">
      <c r="A84" s="867"/>
      <c r="B84" s="294"/>
      <c r="C84" s="5543" t="s">
        <v>293</v>
      </c>
      <c r="D84" s="5544"/>
      <c r="E84" s="5544"/>
      <c r="F84" s="5544"/>
      <c r="G84" s="5544"/>
      <c r="H84" s="5544"/>
      <c r="I84" s="855"/>
      <c r="J84" s="855"/>
      <c r="K84" s="373" t="s">
        <v>829</v>
      </c>
    </row>
    <row r="85" spans="1:11" ht="13.5" thickBot="1">
      <c r="A85" s="867"/>
      <c r="B85" s="294"/>
      <c r="C85" s="5543" t="s">
        <v>742</v>
      </c>
      <c r="D85" s="5544"/>
      <c r="E85" s="5544"/>
      <c r="F85" s="5544"/>
      <c r="G85" s="5544"/>
      <c r="H85" s="5544"/>
      <c r="I85" s="855"/>
      <c r="J85" s="855">
        <v>18</v>
      </c>
      <c r="K85" s="373" t="s">
        <v>830</v>
      </c>
    </row>
    <row r="86" spans="1:11" ht="13.5" thickBot="1">
      <c r="A86" s="867"/>
      <c r="B86" s="294"/>
      <c r="C86" s="5543" t="s">
        <v>293</v>
      </c>
      <c r="D86" s="5544"/>
      <c r="E86" s="5544"/>
      <c r="F86" s="5544"/>
      <c r="G86" s="5544"/>
      <c r="H86" s="5544"/>
      <c r="I86" s="855"/>
      <c r="J86" s="855"/>
      <c r="K86" s="373" t="s">
        <v>810</v>
      </c>
    </row>
    <row r="87" spans="1:11" ht="13.5" thickBot="1">
      <c r="A87" s="854"/>
      <c r="B87" s="853"/>
      <c r="C87" s="5547" t="s">
        <v>744</v>
      </c>
      <c r="D87" s="5548"/>
      <c r="E87" s="5548"/>
      <c r="F87" s="5548"/>
      <c r="G87" s="5548"/>
      <c r="H87" s="5548"/>
      <c r="I87" s="855"/>
      <c r="J87" s="855"/>
      <c r="K87" s="373" t="s">
        <v>810</v>
      </c>
    </row>
    <row r="88" spans="1:11" ht="15.75">
      <c r="A88" s="882" t="s">
        <v>831</v>
      </c>
      <c r="B88" s="428"/>
      <c r="C88" s="428"/>
      <c r="D88" s="428"/>
      <c r="E88" s="428"/>
      <c r="F88" s="428"/>
      <c r="G88" s="428"/>
      <c r="H88" s="428"/>
      <c r="I88" s="428"/>
      <c r="J88" s="428"/>
      <c r="K88" s="878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16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V7"/>
    </sheetView>
  </sheetViews>
  <sheetFormatPr defaultRowHeight="12.75"/>
  <cols>
    <col min="1" max="1" width="52" customWidth="1"/>
    <col min="2" max="12" width="12.7109375" customWidth="1"/>
    <col min="13" max="13" width="12.28515625" customWidth="1"/>
    <col min="14" max="14" width="12" customWidth="1"/>
    <col min="15" max="19" width="12.7109375" customWidth="1"/>
    <col min="20" max="20" width="21.7109375" customWidth="1"/>
    <col min="21" max="21" width="21.42578125" customWidth="1"/>
    <col min="22" max="22" width="17.42578125" customWidth="1"/>
    <col min="23" max="27" width="12.7109375" customWidth="1"/>
    <col min="28" max="29" width="14.28515625" customWidth="1"/>
    <col min="30" max="30" width="14.140625" customWidth="1"/>
  </cols>
  <sheetData>
    <row r="1" spans="1:37" ht="20.25">
      <c r="A1" s="4088" t="s">
        <v>1918</v>
      </c>
      <c r="B1" s="4089"/>
      <c r="C1" s="4089"/>
      <c r="D1" s="4089"/>
      <c r="E1" s="4089"/>
      <c r="F1" s="4089"/>
      <c r="G1" s="4090"/>
      <c r="H1" s="4091"/>
      <c r="I1" s="4091"/>
      <c r="J1" s="4090"/>
      <c r="K1" s="4091"/>
      <c r="L1" s="4091"/>
      <c r="M1" s="4091"/>
      <c r="N1" s="4091"/>
      <c r="O1" s="4090"/>
      <c r="P1" s="4090"/>
      <c r="Q1" s="4090"/>
      <c r="R1" s="4090"/>
      <c r="S1" s="4090"/>
      <c r="T1" s="4090"/>
      <c r="U1" s="4090"/>
      <c r="V1" s="4090"/>
      <c r="W1" s="4090"/>
      <c r="X1" s="4090"/>
      <c r="Y1" s="4090"/>
      <c r="Z1" s="4090"/>
      <c r="AA1" s="4090"/>
      <c r="AB1" s="4090"/>
      <c r="AC1" s="4090"/>
      <c r="AD1" s="4090"/>
      <c r="AE1" s="4092"/>
      <c r="AF1" s="4092"/>
      <c r="AG1" s="4092"/>
      <c r="AH1" s="4092"/>
      <c r="AI1" s="4092"/>
      <c r="AJ1" s="4093"/>
      <c r="AK1" s="4093"/>
    </row>
    <row r="2" spans="1:37" ht="20.25">
      <c r="A2" s="4094" t="s">
        <v>1867</v>
      </c>
      <c r="B2" s="4092"/>
      <c r="C2" s="4092"/>
      <c r="D2" s="4092"/>
      <c r="E2" s="4092"/>
      <c r="F2" s="4092"/>
      <c r="G2" s="4092"/>
      <c r="H2" s="4095"/>
      <c r="I2" s="4095"/>
      <c r="J2" s="4092"/>
      <c r="K2" s="4095"/>
      <c r="L2" s="4095"/>
      <c r="M2" s="4095"/>
      <c r="N2" s="4095"/>
      <c r="O2" s="4092"/>
      <c r="P2" s="4092"/>
      <c r="Q2" s="4092"/>
      <c r="R2" s="4092"/>
      <c r="S2" s="4092"/>
      <c r="T2" s="4092"/>
      <c r="U2" s="4092"/>
      <c r="V2" s="4092"/>
      <c r="W2" s="4092"/>
      <c r="X2" s="4092"/>
      <c r="Y2" s="4092"/>
      <c r="Z2" s="4092"/>
      <c r="AA2" s="4092"/>
      <c r="AB2" s="4092"/>
      <c r="AC2" s="4092"/>
      <c r="AD2" s="4092"/>
      <c r="AE2" s="4092"/>
      <c r="AF2" s="4092"/>
      <c r="AG2" s="4092"/>
      <c r="AH2" s="4092"/>
      <c r="AI2" s="4092"/>
      <c r="AJ2" s="4093"/>
      <c r="AK2" s="4093"/>
    </row>
    <row r="3" spans="1:37" ht="20.25">
      <c r="A3" s="4094"/>
      <c r="B3" s="4092"/>
      <c r="C3" s="4092"/>
      <c r="D3" s="4092"/>
      <c r="E3" s="4092"/>
      <c r="F3" s="4092"/>
      <c r="G3" s="4092"/>
      <c r="H3" s="4092"/>
      <c r="I3" s="4092"/>
      <c r="J3" s="4092"/>
      <c r="K3" s="4092"/>
      <c r="L3" s="4092"/>
      <c r="M3" s="4092"/>
      <c r="N3" s="4092"/>
      <c r="O3" s="4092"/>
      <c r="P3" s="4092"/>
      <c r="Q3" s="4092"/>
      <c r="R3" s="4092"/>
      <c r="S3" s="4092"/>
      <c r="T3" s="4092"/>
      <c r="U3" s="4092"/>
      <c r="V3" s="4092"/>
      <c r="W3" s="4092"/>
      <c r="X3" s="4092"/>
      <c r="Y3" s="4092"/>
      <c r="Z3" s="4092"/>
      <c r="AA3" s="4092"/>
      <c r="AB3" s="4092"/>
      <c r="AC3" s="4092"/>
      <c r="AD3" s="4092"/>
      <c r="AE3" s="4092"/>
      <c r="AF3" s="4092"/>
      <c r="AG3" s="4092"/>
      <c r="AH3" s="4092"/>
      <c r="AI3" s="4092"/>
      <c r="AJ3" s="4093"/>
      <c r="AK3" s="4093"/>
    </row>
    <row r="4" spans="1:37" ht="18.75">
      <c r="A4" s="4096" t="s">
        <v>1868</v>
      </c>
      <c r="B4" s="4097"/>
      <c r="C4" s="4097"/>
      <c r="D4" s="4097"/>
      <c r="E4" s="4097"/>
      <c r="F4" s="4097"/>
      <c r="G4" s="4097"/>
      <c r="H4" s="4097"/>
      <c r="I4" s="4097"/>
      <c r="J4" s="4097"/>
      <c r="K4" s="4097"/>
      <c r="L4" s="4097"/>
      <c r="M4" s="4097"/>
      <c r="N4" s="4097"/>
      <c r="O4" s="4097"/>
      <c r="P4" s="4097"/>
      <c r="Q4" s="4097"/>
      <c r="R4" s="4097"/>
      <c r="S4" s="4097"/>
      <c r="T4" s="4097"/>
      <c r="U4" s="4097"/>
      <c r="V4" s="4097"/>
      <c r="W4" s="4097"/>
      <c r="X4" s="4097"/>
      <c r="Y4" s="4097"/>
      <c r="Z4" s="4097"/>
      <c r="AA4" s="4097"/>
      <c r="AB4" s="4097"/>
      <c r="AC4" s="4097"/>
      <c r="AD4" s="4098"/>
      <c r="AE4" s="4092"/>
      <c r="AF4" s="4092"/>
      <c r="AG4" s="4092"/>
      <c r="AH4" s="4092"/>
      <c r="AI4" s="4092"/>
      <c r="AJ4" s="4093"/>
      <c r="AK4" s="4093"/>
    </row>
    <row r="5" spans="1:37" ht="18.75" customHeight="1">
      <c r="A5" s="4340" t="s">
        <v>546</v>
      </c>
      <c r="B5" s="4338" t="s">
        <v>1869</v>
      </c>
      <c r="C5" s="4338"/>
      <c r="D5" s="4338"/>
      <c r="E5" s="4338"/>
      <c r="F5" s="4338"/>
      <c r="G5" s="4338" t="s">
        <v>1870</v>
      </c>
      <c r="H5" s="4338"/>
      <c r="I5" s="4338"/>
      <c r="J5" s="4338"/>
      <c r="K5" s="4338"/>
      <c r="L5" s="4336" t="s">
        <v>1871</v>
      </c>
      <c r="M5" s="4336"/>
      <c r="N5" s="4336"/>
      <c r="O5" s="4338" t="s">
        <v>1872</v>
      </c>
      <c r="P5" s="4338"/>
      <c r="Q5" s="4338"/>
      <c r="R5" s="4338"/>
      <c r="S5" s="4338"/>
      <c r="T5" s="4336" t="s">
        <v>1873</v>
      </c>
      <c r="U5" s="4336"/>
      <c r="V5" s="4336"/>
      <c r="W5" s="4338" t="s">
        <v>1874</v>
      </c>
      <c r="X5" s="4338"/>
      <c r="Y5" s="4338"/>
      <c r="Z5" s="4338"/>
      <c r="AA5" s="4338"/>
      <c r="AB5" s="4336" t="s">
        <v>887</v>
      </c>
      <c r="AC5" s="4336"/>
      <c r="AD5" s="4336"/>
      <c r="AE5" s="4099"/>
      <c r="AF5" s="4099"/>
      <c r="AG5" s="4099"/>
      <c r="AH5" s="4099"/>
      <c r="AI5" s="4099"/>
      <c r="AJ5" s="4100"/>
      <c r="AK5" s="4100"/>
    </row>
    <row r="6" spans="1:37" ht="18.75" customHeight="1">
      <c r="A6" s="4341"/>
      <c r="B6" s="4337" t="s">
        <v>1875</v>
      </c>
      <c r="C6" s="4338" t="s">
        <v>587</v>
      </c>
      <c r="D6" s="4338" t="s">
        <v>588</v>
      </c>
      <c r="E6" s="4338" t="s">
        <v>589</v>
      </c>
      <c r="F6" s="4337" t="s">
        <v>1876</v>
      </c>
      <c r="G6" s="4337" t="s">
        <v>1875</v>
      </c>
      <c r="H6" s="4338" t="s">
        <v>1563</v>
      </c>
      <c r="I6" s="4338" t="s">
        <v>591</v>
      </c>
      <c r="J6" s="4338" t="s">
        <v>592</v>
      </c>
      <c r="K6" s="4337" t="s">
        <v>1876</v>
      </c>
      <c r="L6" s="4339" t="s">
        <v>1875</v>
      </c>
      <c r="M6" s="4339" t="s">
        <v>1876</v>
      </c>
      <c r="N6" s="4336" t="s">
        <v>1877</v>
      </c>
      <c r="O6" s="4337" t="s">
        <v>1875</v>
      </c>
      <c r="P6" s="4338" t="s">
        <v>593</v>
      </c>
      <c r="Q6" s="4338" t="s">
        <v>594</v>
      </c>
      <c r="R6" s="4338" t="s">
        <v>595</v>
      </c>
      <c r="S6" s="4337" t="s">
        <v>1876</v>
      </c>
      <c r="T6" s="4339" t="s">
        <v>1875</v>
      </c>
      <c r="U6" s="4339" t="s">
        <v>1876</v>
      </c>
      <c r="V6" s="4336" t="s">
        <v>1877</v>
      </c>
      <c r="W6" s="4337" t="s">
        <v>1875</v>
      </c>
      <c r="X6" s="4338" t="s">
        <v>596</v>
      </c>
      <c r="Y6" s="4338" t="s">
        <v>597</v>
      </c>
      <c r="Z6" s="4338" t="s">
        <v>598</v>
      </c>
      <c r="AA6" s="4337" t="s">
        <v>1876</v>
      </c>
      <c r="AB6" s="4339" t="s">
        <v>1875</v>
      </c>
      <c r="AC6" s="4339" t="s">
        <v>1876</v>
      </c>
      <c r="AD6" s="4336" t="s">
        <v>1877</v>
      </c>
      <c r="AE6" s="4099"/>
      <c r="AF6" s="4099"/>
      <c r="AG6" s="4099"/>
      <c r="AH6" s="4099"/>
      <c r="AI6" s="4099"/>
      <c r="AJ6" s="4100"/>
      <c r="AK6" s="4100"/>
    </row>
    <row r="7" spans="1:37" ht="18.75" customHeight="1">
      <c r="A7" s="4341"/>
      <c r="B7" s="4337"/>
      <c r="C7" s="4338"/>
      <c r="D7" s="4338"/>
      <c r="E7" s="4338"/>
      <c r="F7" s="4337"/>
      <c r="G7" s="4337"/>
      <c r="H7" s="4338"/>
      <c r="I7" s="4338"/>
      <c r="J7" s="4338"/>
      <c r="K7" s="4337"/>
      <c r="L7" s="4339"/>
      <c r="M7" s="4339"/>
      <c r="N7" s="4336"/>
      <c r="O7" s="4337"/>
      <c r="P7" s="4338"/>
      <c r="Q7" s="4338"/>
      <c r="R7" s="4338"/>
      <c r="S7" s="4337"/>
      <c r="T7" s="4339"/>
      <c r="U7" s="4339"/>
      <c r="V7" s="4336"/>
      <c r="W7" s="4337"/>
      <c r="X7" s="4338"/>
      <c r="Y7" s="4338"/>
      <c r="Z7" s="4338"/>
      <c r="AA7" s="4337"/>
      <c r="AB7" s="4339"/>
      <c r="AC7" s="4339"/>
      <c r="AD7" s="4336"/>
      <c r="AE7" s="4099"/>
      <c r="AF7" s="4099"/>
      <c r="AG7" s="4099"/>
      <c r="AH7" s="4099"/>
      <c r="AI7" s="4099"/>
      <c r="AJ7" s="4100"/>
      <c r="AK7" s="4100"/>
    </row>
    <row r="8" spans="1:37" ht="18.75" customHeight="1">
      <c r="A8" s="4101" t="s">
        <v>1726</v>
      </c>
      <c r="B8" s="4117">
        <f>SUM('Произв. прогр. Вода'!H11)</f>
        <v>1423.8436242759692</v>
      </c>
      <c r="C8" s="4268">
        <v>508.25</v>
      </c>
      <c r="D8" s="4268">
        <v>454.69</v>
      </c>
      <c r="E8" s="4268">
        <v>498.41199999999998</v>
      </c>
      <c r="F8" s="4117">
        <f>SUM(C8:E8)</f>
        <v>1461.3520000000001</v>
      </c>
      <c r="G8" s="4117">
        <f>SUM('Произв. прогр. Вода'!L11)</f>
        <v>1373.5479785308526</v>
      </c>
      <c r="H8" s="4268">
        <v>538.62</v>
      </c>
      <c r="I8" s="4268">
        <v>593.98299999999995</v>
      </c>
      <c r="J8" s="4268">
        <v>608.50800000000004</v>
      </c>
      <c r="K8" s="4117">
        <f>SUM(H8:J8)</f>
        <v>1741.1110000000001</v>
      </c>
      <c r="L8" s="4118">
        <f>SUM('Произв. прогр. Вода'!M11)</f>
        <v>2797.3916028068215</v>
      </c>
      <c r="M8" s="4118">
        <f>SUM(F8+K8)</f>
        <v>3202.4630000000002</v>
      </c>
      <c r="N8" s="4118">
        <f>SUM(M8-L8)</f>
        <v>405.07139719317865</v>
      </c>
      <c r="O8" s="4117">
        <f>SUM('Произв. прогр. Вода'!Q11)</f>
        <v>1345.187898248372</v>
      </c>
      <c r="P8" s="4268">
        <v>612.81299999999999</v>
      </c>
      <c r="Q8" s="4268">
        <v>615.16999999999996</v>
      </c>
      <c r="R8" s="4268">
        <v>603.98</v>
      </c>
      <c r="S8" s="4117">
        <f>SUM(P8:R8)</f>
        <v>1831.963</v>
      </c>
      <c r="T8" s="4118">
        <f>SUM('Произв. прогр. Вода'!R11)</f>
        <v>4142.5795010551938</v>
      </c>
      <c r="U8" s="4118">
        <f>SUM(M8+S8)</f>
        <v>5034.4260000000004</v>
      </c>
      <c r="V8" s="4118">
        <f>SUM(U8-T8)</f>
        <v>891.84649894480663</v>
      </c>
      <c r="W8" s="4117">
        <f>SUM('Произв. прогр. Вода'!V11)</f>
        <v>1428.1054989448064</v>
      </c>
      <c r="X8" s="4268"/>
      <c r="Y8" s="4268"/>
      <c r="Z8" s="4268"/>
      <c r="AA8" s="4117">
        <f>SUM(X8:Z8)</f>
        <v>0</v>
      </c>
      <c r="AB8" s="4118">
        <f>SUM('Произв. прогр. Вода'!B11)</f>
        <v>5570.6850000000004</v>
      </c>
      <c r="AC8" s="4118">
        <f>SUM(U8+AA8)</f>
        <v>5034.4260000000004</v>
      </c>
      <c r="AD8" s="4118">
        <f>SUM(AC8-AB8)</f>
        <v>-536.25900000000001</v>
      </c>
      <c r="AE8" s="4099"/>
      <c r="AF8" s="4099"/>
      <c r="AG8" s="4099"/>
      <c r="AH8" s="4099"/>
      <c r="AI8" s="4099"/>
      <c r="AJ8" s="4100"/>
      <c r="AK8" s="4100"/>
    </row>
    <row r="9" spans="1:37" ht="18.75" customHeight="1">
      <c r="A9" s="4102" t="s">
        <v>20</v>
      </c>
      <c r="B9" s="4121">
        <f>SUM('Произв. прогр. Вода'!H12)</f>
        <v>213.54924999999997</v>
      </c>
      <c r="C9" s="4120">
        <v>37.540999999999997</v>
      </c>
      <c r="D9" s="4120">
        <v>38.46</v>
      </c>
      <c r="E9" s="4120">
        <v>38.691000000000003</v>
      </c>
      <c r="F9" s="4121">
        <f>SUM(C9:E9)</f>
        <v>114.69200000000001</v>
      </c>
      <c r="G9" s="4121">
        <f>SUM('Произв. прогр. Вода'!L12)</f>
        <v>213.54924999999997</v>
      </c>
      <c r="H9" s="4120">
        <v>87.93</v>
      </c>
      <c r="I9" s="4120">
        <v>120.30800000000001</v>
      </c>
      <c r="J9" s="4120">
        <v>150.96799999999999</v>
      </c>
      <c r="K9" s="4121">
        <f>SUM(H9:J9)</f>
        <v>359.20600000000002</v>
      </c>
      <c r="L9" s="4122">
        <f>SUM('Произв. прогр. Вода'!M12)</f>
        <v>427.09849999999994</v>
      </c>
      <c r="M9" s="4122">
        <f>SUM(F9+K9)</f>
        <v>473.89800000000002</v>
      </c>
      <c r="N9" s="4122">
        <f>SUM(M9-L9)</f>
        <v>46.79950000000008</v>
      </c>
      <c r="O9" s="4121">
        <f>SUM('Произв. прогр. Вода'!Q12)</f>
        <v>213.54924999999997</v>
      </c>
      <c r="P9" s="4120">
        <v>152.94800000000001</v>
      </c>
      <c r="Q9" s="4120">
        <v>138.33000000000001</v>
      </c>
      <c r="R9" s="4120">
        <v>137.273</v>
      </c>
      <c r="S9" s="4121">
        <f>SUM(P9:R9)</f>
        <v>428.55100000000004</v>
      </c>
      <c r="T9" s="4122">
        <f>SUM('Произв. прогр. Вода'!R12)</f>
        <v>640.64774999999986</v>
      </c>
      <c r="U9" s="4122">
        <f>SUM(M9+S9)</f>
        <v>902.44900000000007</v>
      </c>
      <c r="V9" s="4122">
        <f t="shared" ref="V9:V20" si="0">SUM(U9-T9)</f>
        <v>261.80125000000021</v>
      </c>
      <c r="W9" s="4121">
        <f>SUM('Произв. прогр. Вода'!V12)</f>
        <v>213.54924999999997</v>
      </c>
      <c r="X9" s="4120"/>
      <c r="Y9" s="4120"/>
      <c r="Z9" s="4120"/>
      <c r="AA9" s="4121">
        <f>SUM(X9:Z9)</f>
        <v>0</v>
      </c>
      <c r="AB9" s="4122">
        <f>SUM('Произв. прогр. Вода'!B12)</f>
        <v>854.197</v>
      </c>
      <c r="AC9" s="4122">
        <f>SUM(U9+AA9)</f>
        <v>902.44900000000007</v>
      </c>
      <c r="AD9" s="4122">
        <f t="shared" ref="AD9:AD20" si="1">SUM(AC9-AB9)</f>
        <v>48.252000000000066</v>
      </c>
      <c r="AE9" s="4099"/>
      <c r="AF9" s="4099"/>
      <c r="AG9" s="4099"/>
      <c r="AH9" s="4099"/>
      <c r="AI9" s="4099"/>
      <c r="AJ9" s="4100"/>
      <c r="AK9" s="4100"/>
    </row>
    <row r="10" spans="1:37" ht="18.75" customHeight="1">
      <c r="A10" s="4106" t="s">
        <v>389</v>
      </c>
      <c r="B10" s="4107">
        <f>SUM('Произв. прогр. Вода'!H13)</f>
        <v>0.14998083101196644</v>
      </c>
      <c r="C10" s="4107">
        <f t="shared" ref="C10:F10" si="2">SUM(C9/C8)</f>
        <v>7.386325627151992E-2</v>
      </c>
      <c r="D10" s="4107">
        <f t="shared" si="2"/>
        <v>8.4585101937583854E-2</v>
      </c>
      <c r="E10" s="4107">
        <f t="shared" si="2"/>
        <v>7.7628548269303321E-2</v>
      </c>
      <c r="F10" s="4107">
        <f t="shared" si="2"/>
        <v>7.8483486524807161E-2</v>
      </c>
      <c r="G10" s="4107">
        <f>SUM('Произв. прогр. Вода'!L13)</f>
        <v>0.15547272708188348</v>
      </c>
      <c r="H10" s="4107">
        <f t="shared" ref="H10:K10" si="3">SUM(H9/H8)</f>
        <v>0.16325052912999891</v>
      </c>
      <c r="I10" s="4107">
        <f t="shared" si="3"/>
        <v>0.20254451726732922</v>
      </c>
      <c r="J10" s="4107">
        <f t="shared" si="3"/>
        <v>0.24809534139238923</v>
      </c>
      <c r="K10" s="4107">
        <f t="shared" si="3"/>
        <v>0.20630850072166565</v>
      </c>
      <c r="L10" s="4109">
        <f>SUM('Произв. прогр. Вода'!H13)</f>
        <v>0.14998083101196644</v>
      </c>
      <c r="M10" s="4109">
        <f t="shared" ref="M10" si="4">SUM(M9/M8)</f>
        <v>0.14797922723853485</v>
      </c>
      <c r="N10" s="4109">
        <f t="shared" ref="N10:N20" si="5">SUM(M10-L10)</f>
        <v>-2.0016037734315872E-3</v>
      </c>
      <c r="O10" s="4107">
        <f>SUM('Произв. прогр. Вода'!Q13)</f>
        <v>0.15875049892886473</v>
      </c>
      <c r="P10" s="4107">
        <f t="shared" ref="P10:S10" si="6">SUM(P9/P8)</f>
        <v>0.24958347815728454</v>
      </c>
      <c r="Q10" s="4107">
        <f t="shared" si="6"/>
        <v>0.22486467155420456</v>
      </c>
      <c r="R10" s="4107">
        <f t="shared" si="6"/>
        <v>0.22728070465909467</v>
      </c>
      <c r="S10" s="4107">
        <f t="shared" si="6"/>
        <v>0.23392994290823563</v>
      </c>
      <c r="T10" s="4109">
        <f>SUM('Произв. прогр. Вода'!R13)</f>
        <v>0.15464947621085237</v>
      </c>
      <c r="U10" s="4109">
        <f t="shared" ref="U10" si="7">SUM(U9/U8)</f>
        <v>0.17925558941575465</v>
      </c>
      <c r="V10" s="4109">
        <f t="shared" si="0"/>
        <v>2.4606113204902275E-2</v>
      </c>
      <c r="W10" s="4107">
        <f>SUM('Произв. прогр. Вода'!V13)</f>
        <v>0.14953324537843071</v>
      </c>
      <c r="X10" s="4107" t="e">
        <f t="shared" ref="X10:AA10" si="8">SUM(X9/X8)</f>
        <v>#DIV/0!</v>
      </c>
      <c r="Y10" s="4107" t="e">
        <f t="shared" si="8"/>
        <v>#DIV/0!</v>
      </c>
      <c r="Z10" s="4107" t="e">
        <f t="shared" si="8"/>
        <v>#DIV/0!</v>
      </c>
      <c r="AA10" s="4107" t="e">
        <f t="shared" si="8"/>
        <v>#DIV/0!</v>
      </c>
      <c r="AB10" s="4109">
        <f>SUM('Произв. прогр. Вода'!B13)</f>
        <v>0.15333787496510751</v>
      </c>
      <c r="AC10" s="4109">
        <f t="shared" ref="AC10" si="9">SUM(AC9/AC8)</f>
        <v>0.17925558941575465</v>
      </c>
      <c r="AD10" s="4109">
        <f t="shared" si="1"/>
        <v>2.5917714450647139E-2</v>
      </c>
      <c r="AE10" s="4100"/>
      <c r="AF10" s="4100"/>
      <c r="AG10" s="4100"/>
      <c r="AH10" s="4100"/>
      <c r="AI10" s="4100"/>
      <c r="AJ10" s="4100"/>
      <c r="AK10" s="4100"/>
    </row>
    <row r="11" spans="1:37" ht="18.75" customHeight="1">
      <c r="A11" s="4101" t="s">
        <v>1727</v>
      </c>
      <c r="B11" s="4117">
        <f>SUM('Произв. прогр. Вода'!H14)</f>
        <v>1210.2943742759692</v>
      </c>
      <c r="C11" s="4117">
        <f t="shared" ref="C11:AC11" si="10">SUM(C8-C9)</f>
        <v>470.709</v>
      </c>
      <c r="D11" s="4117">
        <f t="shared" si="10"/>
        <v>416.23</v>
      </c>
      <c r="E11" s="4117">
        <f t="shared" si="10"/>
        <v>459.721</v>
      </c>
      <c r="F11" s="4117">
        <f t="shared" si="10"/>
        <v>1346.66</v>
      </c>
      <c r="G11" s="4117">
        <f>SUM('Произв. прогр. Вода'!L14)</f>
        <v>1159.9987285308525</v>
      </c>
      <c r="H11" s="4117">
        <f t="shared" si="10"/>
        <v>450.69</v>
      </c>
      <c r="I11" s="4117">
        <f t="shared" si="10"/>
        <v>473.67499999999995</v>
      </c>
      <c r="J11" s="4117">
        <f t="shared" si="10"/>
        <v>457.54000000000008</v>
      </c>
      <c r="K11" s="4117">
        <f t="shared" si="10"/>
        <v>1381.9050000000002</v>
      </c>
      <c r="L11" s="4118">
        <f>SUM('Произв. прогр. Вода'!H14)</f>
        <v>1210.2943742759692</v>
      </c>
      <c r="M11" s="4118">
        <f t="shared" si="10"/>
        <v>2728.5650000000001</v>
      </c>
      <c r="N11" s="4118">
        <f t="shared" si="5"/>
        <v>1518.2706257240309</v>
      </c>
      <c r="O11" s="4117">
        <f>SUM('Произв. прогр. Вода'!Q14)</f>
        <v>1131.638648248372</v>
      </c>
      <c r="P11" s="4117">
        <f t="shared" si="10"/>
        <v>459.86500000000001</v>
      </c>
      <c r="Q11" s="4117">
        <f t="shared" si="10"/>
        <v>476.83999999999992</v>
      </c>
      <c r="R11" s="4117">
        <f t="shared" si="10"/>
        <v>466.70699999999999</v>
      </c>
      <c r="S11" s="4117">
        <f t="shared" si="10"/>
        <v>1403.4119999999998</v>
      </c>
      <c r="T11" s="4118">
        <f>SUM('Произв. прогр. Вода'!R14)</f>
        <v>3501.9317510551937</v>
      </c>
      <c r="U11" s="4118">
        <f t="shared" si="10"/>
        <v>4131.9770000000008</v>
      </c>
      <c r="V11" s="4118">
        <f t="shared" si="0"/>
        <v>630.0452489448071</v>
      </c>
      <c r="W11" s="4117">
        <f>SUM('Произв. прогр. Вода'!V14)</f>
        <v>1214.5562489448064</v>
      </c>
      <c r="X11" s="4117">
        <f t="shared" si="10"/>
        <v>0</v>
      </c>
      <c r="Y11" s="4117">
        <f t="shared" si="10"/>
        <v>0</v>
      </c>
      <c r="Z11" s="4117">
        <f t="shared" si="10"/>
        <v>0</v>
      </c>
      <c r="AA11" s="4117">
        <f t="shared" si="10"/>
        <v>0</v>
      </c>
      <c r="AB11" s="4118">
        <f>SUM('Произв. прогр. Вода'!B14)</f>
        <v>4716.4880000000003</v>
      </c>
      <c r="AC11" s="4118">
        <f t="shared" si="10"/>
        <v>4131.9770000000008</v>
      </c>
      <c r="AD11" s="4118">
        <f t="shared" si="1"/>
        <v>-584.51099999999951</v>
      </c>
      <c r="AE11" s="4100"/>
      <c r="AF11" s="4100"/>
      <c r="AG11" s="4100"/>
      <c r="AH11" s="4100"/>
      <c r="AI11" s="4100"/>
      <c r="AJ11" s="4100"/>
      <c r="AK11" s="4100"/>
    </row>
    <row r="12" spans="1:37" ht="18.75" customHeight="1">
      <c r="A12" s="4102" t="s">
        <v>51</v>
      </c>
      <c r="B12" s="4121">
        <f>SUM('Произв. прогр. Вода'!H15)</f>
        <v>241.24153767596908</v>
      </c>
      <c r="C12" s="4121">
        <f t="shared" ref="C12:F12" si="11">SUM(C11-C14)</f>
        <v>172.99900000000002</v>
      </c>
      <c r="D12" s="4121">
        <f t="shared" si="11"/>
        <v>102.49000000000007</v>
      </c>
      <c r="E12" s="4121">
        <f t="shared" si="11"/>
        <v>158.81100000000004</v>
      </c>
      <c r="F12" s="4121">
        <f t="shared" si="11"/>
        <v>434.30000000000018</v>
      </c>
      <c r="G12" s="4121">
        <f>SUM('Произв. прогр. Вода'!L15)</f>
        <v>225.17657383085253</v>
      </c>
      <c r="H12" s="4121">
        <f t="shared" ref="H12:M12" si="12">SUM(H11-H14)</f>
        <v>118.62</v>
      </c>
      <c r="I12" s="4121">
        <f t="shared" si="12"/>
        <v>165.1049999999999</v>
      </c>
      <c r="J12" s="4121">
        <f t="shared" si="12"/>
        <v>158.38000000000005</v>
      </c>
      <c r="K12" s="4121">
        <f t="shared" si="12"/>
        <v>442.10500000000025</v>
      </c>
      <c r="L12" s="4122">
        <f>SUM('Произв. прогр. Вода'!H15)</f>
        <v>241.24153767596908</v>
      </c>
      <c r="M12" s="4122">
        <f t="shared" si="12"/>
        <v>876.40500000000043</v>
      </c>
      <c r="N12" s="4122">
        <f t="shared" si="5"/>
        <v>635.16346232403134</v>
      </c>
      <c r="O12" s="4121">
        <f>SUM('Произв. прогр. Вода'!Q15)</f>
        <v>216.11806274837204</v>
      </c>
      <c r="P12" s="4121">
        <f t="shared" ref="P12:U12" si="13">SUM(P11-P14)</f>
        <v>194.23500000000001</v>
      </c>
      <c r="Q12" s="4121">
        <f t="shared" si="13"/>
        <v>197.90334999999988</v>
      </c>
      <c r="R12" s="4121">
        <f t="shared" si="13"/>
        <v>155.05699999999996</v>
      </c>
      <c r="S12" s="4121">
        <f t="shared" si="13"/>
        <v>547.19534999999996</v>
      </c>
      <c r="T12" s="4122">
        <f>SUM('Произв. прогр. Вода'!R15)</f>
        <v>682.5361742551936</v>
      </c>
      <c r="U12" s="4122">
        <f t="shared" si="13"/>
        <v>1423.6003500000011</v>
      </c>
      <c r="V12" s="4122">
        <f t="shared" si="0"/>
        <v>741.06417574480747</v>
      </c>
      <c r="W12" s="4121">
        <f>SUM('Произв. прогр. Вода'!V15)</f>
        <v>242.6028257448063</v>
      </c>
      <c r="X12" s="4121">
        <f t="shared" ref="X12:AC12" si="14">SUM(X11-X14)</f>
        <v>0</v>
      </c>
      <c r="Y12" s="4121">
        <f t="shared" si="14"/>
        <v>0</v>
      </c>
      <c r="Z12" s="4121">
        <f t="shared" si="14"/>
        <v>0</v>
      </c>
      <c r="AA12" s="4121">
        <f t="shared" si="14"/>
        <v>0</v>
      </c>
      <c r="AB12" s="4122">
        <f>SUM('Произв. прогр. Вода'!B15)</f>
        <v>925.13900000000012</v>
      </c>
      <c r="AC12" s="4122">
        <f t="shared" si="14"/>
        <v>1423.6003500000011</v>
      </c>
      <c r="AD12" s="4122">
        <f t="shared" si="1"/>
        <v>498.46135000000095</v>
      </c>
      <c r="AE12" s="4100"/>
      <c r="AF12" s="4100"/>
      <c r="AG12" s="4100"/>
      <c r="AH12" s="4100"/>
      <c r="AI12" s="4100"/>
      <c r="AJ12" s="4100"/>
      <c r="AK12" s="4100"/>
    </row>
    <row r="13" spans="1:37" ht="18.75" customHeight="1">
      <c r="A13" s="4106" t="s">
        <v>117</v>
      </c>
      <c r="B13" s="4107">
        <f>SUM('Произв. прогр. Вода'!H16)</f>
        <v>0.19932467902305692</v>
      </c>
      <c r="C13" s="4107">
        <f t="shared" ref="C13:F13" si="15">SUM(C12/C11)</f>
        <v>0.36752855798380746</v>
      </c>
      <c r="D13" s="4107">
        <f t="shared" si="15"/>
        <v>0.24623405328784581</v>
      </c>
      <c r="E13" s="4107">
        <f t="shared" si="15"/>
        <v>0.34545082778467817</v>
      </c>
      <c r="F13" s="4107">
        <f t="shared" si="15"/>
        <v>0.32250159654255728</v>
      </c>
      <c r="G13" s="4107">
        <f>SUM('Произв. прогр. Вода'!L16)</f>
        <v>0.19411794883261677</v>
      </c>
      <c r="H13" s="4107">
        <f t="shared" ref="H13:K13" si="16">SUM(H12/H11)</f>
        <v>0.26319643213738936</v>
      </c>
      <c r="I13" s="4107">
        <f t="shared" si="16"/>
        <v>0.34856177759011964</v>
      </c>
      <c r="J13" s="4107">
        <f t="shared" si="16"/>
        <v>0.34615552738558381</v>
      </c>
      <c r="K13" s="4107">
        <f t="shared" si="16"/>
        <v>0.31992430738726624</v>
      </c>
      <c r="L13" s="4109">
        <f>SUM('Произв. прогр. Вода'!H16)</f>
        <v>0.19932467902305692</v>
      </c>
      <c r="M13" s="4109">
        <f t="shared" ref="M13" si="17">SUM(M12/M11)</f>
        <v>0.32119630648344477</v>
      </c>
      <c r="N13" s="4109">
        <f t="shared" si="5"/>
        <v>0.12187162746038785</v>
      </c>
      <c r="O13" s="4107">
        <f>SUM('Произв. прогр. Вода'!Q16)</f>
        <v>0.19097797966064028</v>
      </c>
      <c r="P13" s="4107">
        <f>SUM(P12/P11)</f>
        <v>0.42237395757450558</v>
      </c>
      <c r="Q13" s="4107">
        <f t="shared" ref="Q13:S13" si="18">SUM(Q12/Q11)</f>
        <v>0.41503093280765019</v>
      </c>
      <c r="R13" s="4107">
        <f t="shared" si="18"/>
        <v>0.33223628529248533</v>
      </c>
      <c r="S13" s="4107">
        <f t="shared" si="18"/>
        <v>0.38990357072620158</v>
      </c>
      <c r="T13" s="4109">
        <f>SUM('Произв. прогр. Вода'!R16)</f>
        <v>0.19490276303915216</v>
      </c>
      <c r="U13" s="4109">
        <f t="shared" ref="U13" si="19">SUM(U12/U11)</f>
        <v>0.34453249618766046</v>
      </c>
      <c r="V13" s="4109">
        <f t="shared" si="0"/>
        <v>0.1496297331485083</v>
      </c>
      <c r="W13" s="4107">
        <f>SUM('Произв. прогр. Вода'!V16)</f>
        <v>0.19974606030439271</v>
      </c>
      <c r="X13" s="4107" t="e">
        <f t="shared" ref="X13:AA13" si="20">SUM(X12/X11)</f>
        <v>#DIV/0!</v>
      </c>
      <c r="Y13" s="4107" t="e">
        <f t="shared" si="20"/>
        <v>#DIV/0!</v>
      </c>
      <c r="Z13" s="4107" t="e">
        <f t="shared" si="20"/>
        <v>#DIV/0!</v>
      </c>
      <c r="AA13" s="4107" t="e">
        <f t="shared" si="20"/>
        <v>#DIV/0!</v>
      </c>
      <c r="AB13" s="4109">
        <f>SUM('Произв. прогр. Вода'!B16)</f>
        <v>0.19614997430291353</v>
      </c>
      <c r="AC13" s="4109">
        <f t="shared" ref="AC13" si="21">SUM(AC12/AC11)</f>
        <v>0.34453249618766046</v>
      </c>
      <c r="AD13" s="4109">
        <f t="shared" si="1"/>
        <v>0.14838252188474693</v>
      </c>
      <c r="AE13" s="4100"/>
      <c r="AF13" s="4100"/>
      <c r="AG13" s="4100"/>
      <c r="AH13" s="4100"/>
      <c r="AI13" s="4100"/>
      <c r="AJ13" s="4100"/>
      <c r="AK13" s="4100"/>
    </row>
    <row r="14" spans="1:37" ht="18.75" customHeight="1">
      <c r="A14" s="4101" t="s">
        <v>1728</v>
      </c>
      <c r="B14" s="4117">
        <f>SUM('Произв. прогр. Вода'!H17)</f>
        <v>969.05283660000009</v>
      </c>
      <c r="C14" s="4117">
        <f t="shared" ref="C14:F14" si="22">SUM(C15+C16+C18)</f>
        <v>297.70999999999998</v>
      </c>
      <c r="D14" s="4117">
        <f t="shared" si="22"/>
        <v>313.73999999999995</v>
      </c>
      <c r="E14" s="4117">
        <f t="shared" si="22"/>
        <v>300.90999999999997</v>
      </c>
      <c r="F14" s="4117">
        <f t="shared" si="22"/>
        <v>912.3599999999999</v>
      </c>
      <c r="G14" s="4117">
        <f>SUM('Произв. прогр. Вода'!L17)</f>
        <v>934.82215469999994</v>
      </c>
      <c r="H14" s="4117">
        <f t="shared" ref="H14:K14" si="23">SUM(H15+H16+H18)</f>
        <v>332.07</v>
      </c>
      <c r="I14" s="4117">
        <f t="shared" si="23"/>
        <v>308.57000000000005</v>
      </c>
      <c r="J14" s="4117">
        <f>SUM(J15+J16+J18)</f>
        <v>299.16000000000003</v>
      </c>
      <c r="K14" s="4117">
        <f t="shared" si="23"/>
        <v>939.8</v>
      </c>
      <c r="L14" s="4118">
        <f>SUM('Произв. прогр. Вода'!H17)</f>
        <v>969.05283660000009</v>
      </c>
      <c r="M14" s="4118">
        <f t="shared" ref="M14" si="24">SUM(M15+M16+M18)</f>
        <v>1852.1599999999996</v>
      </c>
      <c r="N14" s="4118">
        <f t="shared" si="5"/>
        <v>883.10716339999954</v>
      </c>
      <c r="O14" s="4117">
        <f>SUM('Произв. прогр. Вода'!Q17)</f>
        <v>915.52058549999992</v>
      </c>
      <c r="P14" s="4117">
        <f t="shared" ref="P14:S14" si="25">SUM(P15+P16+P18)</f>
        <v>265.63</v>
      </c>
      <c r="Q14" s="4117">
        <f t="shared" si="25"/>
        <v>278.93665000000004</v>
      </c>
      <c r="R14" s="4117">
        <f>SUM(R15+R16+R18)</f>
        <v>311.65000000000003</v>
      </c>
      <c r="S14" s="4117">
        <f t="shared" si="25"/>
        <v>856.21664999999985</v>
      </c>
      <c r="T14" s="4118">
        <f>SUM('Произв. прогр. Вода'!R17)</f>
        <v>2819.3955768000001</v>
      </c>
      <c r="U14" s="4118">
        <f t="shared" ref="U14" si="26">SUM(U15+U16+U18)</f>
        <v>2708.3766499999997</v>
      </c>
      <c r="V14" s="4118">
        <f t="shared" si="0"/>
        <v>-111.01892680000037</v>
      </c>
      <c r="W14" s="4117">
        <f>SUM('Произв. прогр. Вода'!V17)</f>
        <v>971.95342320000009</v>
      </c>
      <c r="X14" s="4117">
        <f t="shared" ref="X14:AA14" si="27">SUM(X15+X16+X18)</f>
        <v>0</v>
      </c>
      <c r="Y14" s="4117">
        <f>SUM(Y15+Y16+Y18)</f>
        <v>0</v>
      </c>
      <c r="Z14" s="4117">
        <f t="shared" si="27"/>
        <v>0</v>
      </c>
      <c r="AA14" s="4117">
        <f t="shared" si="27"/>
        <v>0</v>
      </c>
      <c r="AB14" s="4118">
        <f>SUM('Произв. прогр. Вода'!B17)</f>
        <v>3791.3490000000002</v>
      </c>
      <c r="AC14" s="4118">
        <f t="shared" ref="AC14" si="28">SUM(AC15+AC16+AC18)</f>
        <v>2708.3766499999997</v>
      </c>
      <c r="AD14" s="4118">
        <f t="shared" si="1"/>
        <v>-1082.9723500000005</v>
      </c>
      <c r="AE14" s="4100"/>
      <c r="AF14" s="4100"/>
      <c r="AG14" s="4100"/>
      <c r="AH14" s="4100"/>
      <c r="AI14" s="4100"/>
      <c r="AJ14" s="4100"/>
      <c r="AK14" s="4100"/>
    </row>
    <row r="15" spans="1:37" ht="18.75" customHeight="1">
      <c r="A15" s="4102" t="s">
        <v>24</v>
      </c>
      <c r="B15" s="4121">
        <f>SUM('Произв. прогр. Вода'!H18)</f>
        <v>610.23199999999997</v>
      </c>
      <c r="C15" s="4120">
        <v>191.23</v>
      </c>
      <c r="D15" s="4120">
        <v>200.57</v>
      </c>
      <c r="E15" s="4120">
        <v>200.87</v>
      </c>
      <c r="F15" s="4121">
        <f>SUM(C15:E15)</f>
        <v>592.66999999999996</v>
      </c>
      <c r="G15" s="4121">
        <f>SUM('Произв. прогр. Вода'!L18)</f>
        <v>583.57600000000002</v>
      </c>
      <c r="H15" s="4120">
        <v>226.93</v>
      </c>
      <c r="I15" s="4120">
        <v>207.3</v>
      </c>
      <c r="J15" s="4120">
        <v>196.74</v>
      </c>
      <c r="K15" s="4121">
        <f>SUM(H15:J15)</f>
        <v>630.97</v>
      </c>
      <c r="L15" s="4122">
        <f>SUM('Произв. прогр. Вода'!H18)</f>
        <v>610.23199999999997</v>
      </c>
      <c r="M15" s="4122">
        <f>SUM(F15+K15)</f>
        <v>1223.6399999999999</v>
      </c>
      <c r="N15" s="4122">
        <f t="shared" si="5"/>
        <v>613.4079999999999</v>
      </c>
      <c r="O15" s="4121">
        <f>SUM('Произв. прогр. Вода'!Q18)</f>
        <v>576.43599999999992</v>
      </c>
      <c r="P15" s="4120">
        <v>181.39</v>
      </c>
      <c r="Q15" s="4120">
        <v>193.56</v>
      </c>
      <c r="R15" s="4120">
        <v>201.08</v>
      </c>
      <c r="S15" s="4121">
        <f>SUM(P15:R15)</f>
        <v>576.03</v>
      </c>
      <c r="T15" s="4122">
        <f>SUM('Произв. прогр. Вода'!R18)</f>
        <v>1770.2439999999999</v>
      </c>
      <c r="U15" s="4122">
        <f>SUM(M15+S15)</f>
        <v>1799.6699999999998</v>
      </c>
      <c r="V15" s="4122">
        <f t="shared" si="0"/>
        <v>29.425999999999931</v>
      </c>
      <c r="W15" s="4121">
        <f>SUM('Произв. прогр. Вода'!V18)</f>
        <v>609.75599999999997</v>
      </c>
      <c r="X15" s="4120"/>
      <c r="Y15" s="4120"/>
      <c r="Z15" s="4120"/>
      <c r="AA15" s="4121">
        <f>SUM(X15:Z15)</f>
        <v>0</v>
      </c>
      <c r="AB15" s="4122">
        <f>SUM('Произв. прогр. Вода'!B18)</f>
        <v>2380</v>
      </c>
      <c r="AC15" s="4122">
        <f>SUM(U15+AA15)</f>
        <v>1799.6699999999998</v>
      </c>
      <c r="AD15" s="4122">
        <f t="shared" si="1"/>
        <v>-580.33000000000015</v>
      </c>
      <c r="AE15" s="4100"/>
      <c r="AF15" s="4100"/>
      <c r="AG15" s="4100"/>
      <c r="AH15" s="4100"/>
      <c r="AI15" s="4100"/>
      <c r="AJ15" s="4100"/>
      <c r="AK15" s="4100"/>
    </row>
    <row r="16" spans="1:37" ht="18.75" customHeight="1">
      <c r="A16" s="4102" t="s">
        <v>1729</v>
      </c>
      <c r="B16" s="4121">
        <f>SUM('Произв. прогр. Вода'!H19)</f>
        <v>257.54283660000004</v>
      </c>
      <c r="C16" s="4120">
        <v>77.11</v>
      </c>
      <c r="D16" s="4120">
        <v>83.58</v>
      </c>
      <c r="E16" s="4120">
        <v>73.459999999999994</v>
      </c>
      <c r="F16" s="4121">
        <f>SUM(C16:E16)</f>
        <v>234.14999999999998</v>
      </c>
      <c r="G16" s="4121">
        <f>SUM('Произв. прогр. Вода'!L19)</f>
        <v>254.39215469999999</v>
      </c>
      <c r="H16" s="4120">
        <v>76.84</v>
      </c>
      <c r="I16" s="4120">
        <v>75.739999999999995</v>
      </c>
      <c r="J16" s="4120">
        <v>75.680000000000007</v>
      </c>
      <c r="K16" s="4121">
        <f>SUM(H16:J16)</f>
        <v>228.26</v>
      </c>
      <c r="L16" s="4122">
        <f>SUM('Произв. прогр. Вода'!H19)</f>
        <v>257.54283660000004</v>
      </c>
      <c r="M16" s="4122">
        <f>SUM(F16+K16)</f>
        <v>462.40999999999997</v>
      </c>
      <c r="N16" s="4122">
        <f t="shared" si="5"/>
        <v>204.86716339999992</v>
      </c>
      <c r="O16" s="4121">
        <f>SUM('Произв. прогр. Вода'!Q19)</f>
        <v>243.41558549999999</v>
      </c>
      <c r="P16" s="4120">
        <v>65.81</v>
      </c>
      <c r="Q16" s="4120">
        <f>(85202.65+174-22350)/1000</f>
        <v>63.026649999999997</v>
      </c>
      <c r="R16" s="4120">
        <v>83.78</v>
      </c>
      <c r="S16" s="4121">
        <f>SUM(P16:R16)</f>
        <v>212.61664999999999</v>
      </c>
      <c r="T16" s="4122">
        <f>SUM('Произв. прогр. Вода'!R19)</f>
        <v>755.3505768</v>
      </c>
      <c r="U16" s="4122">
        <f>SUM(M16+S16)</f>
        <v>675.02665000000002</v>
      </c>
      <c r="V16" s="4122">
        <f t="shared" si="0"/>
        <v>-80.323926799999981</v>
      </c>
      <c r="W16" s="4121">
        <f>SUM('Произв. прогр. Вода'!V19)</f>
        <v>260.99842320000005</v>
      </c>
      <c r="X16" s="4120"/>
      <c r="Y16" s="4120"/>
      <c r="Z16" s="4120"/>
      <c r="AA16" s="4121">
        <f>SUM(X16:Z16)</f>
        <v>0</v>
      </c>
      <c r="AB16" s="4122">
        <f>SUM('Произв. прогр. Вода'!B19)</f>
        <v>1016.349</v>
      </c>
      <c r="AC16" s="4122">
        <f>SUM(U16+AA16)</f>
        <v>675.02665000000002</v>
      </c>
      <c r="AD16" s="4122">
        <f t="shared" si="1"/>
        <v>-341.32235000000003</v>
      </c>
      <c r="AE16" s="4100"/>
      <c r="AF16" s="4100"/>
      <c r="AG16" s="4100"/>
      <c r="AH16" s="4100"/>
      <c r="AI16" s="4100"/>
      <c r="AJ16" s="4100"/>
      <c r="AK16" s="4100"/>
    </row>
    <row r="17" spans="1:37" ht="18.75" customHeight="1">
      <c r="A17" s="4106" t="s">
        <v>25</v>
      </c>
      <c r="B17" s="4269">
        <f>SUM('Произв. прогр. Вода'!H20)</f>
        <v>5.08725</v>
      </c>
      <c r="C17" s="4124">
        <v>0.27</v>
      </c>
      <c r="D17" s="4124">
        <v>0.25</v>
      </c>
      <c r="E17" s="4124">
        <v>0.15</v>
      </c>
      <c r="F17" s="4269">
        <f>SUM(C17:E17)</f>
        <v>0.67</v>
      </c>
      <c r="G17" s="4269">
        <f>SUM('Произв. прогр. Вода'!L20)</f>
        <v>5.08725</v>
      </c>
      <c r="H17" s="4124">
        <v>0.18</v>
      </c>
      <c r="I17" s="4124">
        <v>0.1</v>
      </c>
      <c r="J17" s="4124">
        <v>0.13</v>
      </c>
      <c r="K17" s="4269">
        <f>SUM(H17:J17)</f>
        <v>0.41000000000000003</v>
      </c>
      <c r="L17" s="4270">
        <f>SUM('Произв. прогр. Вода'!H20)</f>
        <v>5.08725</v>
      </c>
      <c r="M17" s="4270">
        <f>SUM(F17+K17)</f>
        <v>1.08</v>
      </c>
      <c r="N17" s="4270">
        <f t="shared" ref="N17" si="29">SUM(M17-L17)</f>
        <v>-4.00725</v>
      </c>
      <c r="O17" s="4269">
        <f>SUM('Произв. прогр. Вода'!Q20)</f>
        <v>5.08725</v>
      </c>
      <c r="P17" s="4124">
        <v>0.14000000000000001</v>
      </c>
      <c r="Q17" s="4124">
        <v>0.17</v>
      </c>
      <c r="R17" s="4124">
        <v>0</v>
      </c>
      <c r="S17" s="4269">
        <f>SUM(P17:R17)</f>
        <v>0.31000000000000005</v>
      </c>
      <c r="T17" s="4270">
        <f>SUM('Произв. прогр. Вода'!R20)</f>
        <v>15.261749999999999</v>
      </c>
      <c r="U17" s="4270">
        <f>SUM(M17+S17)</f>
        <v>1.3900000000000001</v>
      </c>
      <c r="V17" s="4270">
        <f t="shared" ref="V17" si="30">SUM(U17-T17)</f>
        <v>-13.871749999999999</v>
      </c>
      <c r="W17" s="4269">
        <f>SUM('Произв. прогр. Вода'!V20)</f>
        <v>5.08725</v>
      </c>
      <c r="X17" s="4124"/>
      <c r="Y17" s="4124"/>
      <c r="Z17" s="4124"/>
      <c r="AA17" s="4269">
        <f>SUM(X17:Z17)</f>
        <v>0</v>
      </c>
      <c r="AB17" s="4270">
        <f>SUM('Произв. прогр. Вода'!B20)</f>
        <v>20.349</v>
      </c>
      <c r="AC17" s="4270">
        <f>SUM(U17+AA17)</f>
        <v>1.3900000000000001</v>
      </c>
      <c r="AD17" s="4270">
        <f t="shared" ref="AD17" si="31">SUM(AC17-AB17)</f>
        <v>-18.959</v>
      </c>
      <c r="AE17" s="4100"/>
      <c r="AF17" s="4100"/>
      <c r="AG17" s="4100"/>
      <c r="AH17" s="4100"/>
      <c r="AI17" s="4100"/>
      <c r="AJ17" s="4100"/>
      <c r="AK17" s="4100"/>
    </row>
    <row r="18" spans="1:37" ht="18.75" customHeight="1">
      <c r="A18" s="4101" t="s">
        <v>1730</v>
      </c>
      <c r="B18" s="4117">
        <f>SUM('Произв. прогр. Вода'!H21)</f>
        <v>101.27799999999999</v>
      </c>
      <c r="C18" s="4117">
        <f t="shared" ref="C18" si="32">SUM(C19:C20)</f>
        <v>29.37</v>
      </c>
      <c r="D18" s="4117">
        <f t="shared" ref="D18:F18" si="33">SUM(D19:D20)</f>
        <v>29.59</v>
      </c>
      <c r="E18" s="4117">
        <f t="shared" si="33"/>
        <v>26.58</v>
      </c>
      <c r="F18" s="4117">
        <f t="shared" si="33"/>
        <v>85.539999999999992</v>
      </c>
      <c r="G18" s="4117">
        <f>SUM('Произв. прогр. Вода'!L21)</f>
        <v>96.853999999999985</v>
      </c>
      <c r="H18" s="4117">
        <f t="shared" ref="H18:K18" si="34">SUM(H19:H20)</f>
        <v>28.3</v>
      </c>
      <c r="I18" s="4117">
        <f t="shared" si="34"/>
        <v>25.53</v>
      </c>
      <c r="J18" s="4117">
        <f t="shared" si="34"/>
        <v>26.74</v>
      </c>
      <c r="K18" s="4117">
        <f t="shared" si="34"/>
        <v>80.569999999999993</v>
      </c>
      <c r="L18" s="4118">
        <f>SUM('Произв. прогр. Вода'!H21)</f>
        <v>101.27799999999999</v>
      </c>
      <c r="M18" s="4118">
        <f t="shared" ref="M18" si="35">SUM(M19:M20)</f>
        <v>166.10999999999999</v>
      </c>
      <c r="N18" s="4118">
        <f t="shared" si="5"/>
        <v>64.831999999999994</v>
      </c>
      <c r="O18" s="4117">
        <f>SUM('Произв. прогр. Вода'!Q21)</f>
        <v>95.668999999999983</v>
      </c>
      <c r="P18" s="4117">
        <f t="shared" ref="P18:S18" si="36">SUM(P19:P20)</f>
        <v>18.43</v>
      </c>
      <c r="Q18" s="4117">
        <f t="shared" si="36"/>
        <v>22.35</v>
      </c>
      <c r="R18" s="4117">
        <f t="shared" si="36"/>
        <v>26.79</v>
      </c>
      <c r="S18" s="4117">
        <f t="shared" si="36"/>
        <v>67.569999999999993</v>
      </c>
      <c r="T18" s="4118">
        <f>SUM('Произв. прогр. Вода'!R21)</f>
        <v>293.80099999999993</v>
      </c>
      <c r="U18" s="4118">
        <f t="shared" ref="U18" si="37">SUM(U19:U20)</f>
        <v>233.67999999999998</v>
      </c>
      <c r="V18" s="4118">
        <f t="shared" si="0"/>
        <v>-60.120999999999952</v>
      </c>
      <c r="W18" s="4117">
        <f>SUM('Произв. прогр. Вода'!V21)</f>
        <v>101.19899999999998</v>
      </c>
      <c r="X18" s="4117">
        <f t="shared" ref="X18:AA18" si="38">SUM(X19:X20)</f>
        <v>0</v>
      </c>
      <c r="Y18" s="4117">
        <f t="shared" si="38"/>
        <v>0</v>
      </c>
      <c r="Z18" s="4117">
        <f t="shared" si="38"/>
        <v>0</v>
      </c>
      <c r="AA18" s="4117">
        <f t="shared" si="38"/>
        <v>0</v>
      </c>
      <c r="AB18" s="4118">
        <f>SUM('Произв. прогр. Вода'!B21)</f>
        <v>395</v>
      </c>
      <c r="AC18" s="4118">
        <f t="shared" ref="AC18" si="39">SUM(AC19:AC20)</f>
        <v>233.67999999999998</v>
      </c>
      <c r="AD18" s="4118">
        <f t="shared" si="1"/>
        <v>-161.32000000000002</v>
      </c>
      <c r="AE18" s="4100"/>
      <c r="AF18" s="4100"/>
      <c r="AG18" s="4100"/>
      <c r="AH18" s="4100"/>
      <c r="AI18" s="4100"/>
      <c r="AJ18" s="4100"/>
      <c r="AK18" s="4100"/>
    </row>
    <row r="19" spans="1:37" ht="18.75" customHeight="1">
      <c r="A19" s="4106" t="s">
        <v>655</v>
      </c>
      <c r="B19" s="4269">
        <f>SUM('Произв. прогр. Вода'!H22)</f>
        <v>89.74</v>
      </c>
      <c r="C19" s="4124">
        <v>29.37</v>
      </c>
      <c r="D19" s="4124">
        <v>29.59</v>
      </c>
      <c r="E19" s="4124">
        <v>26.58</v>
      </c>
      <c r="F19" s="4269">
        <f>SUM(C19:E19)</f>
        <v>85.539999999999992</v>
      </c>
      <c r="G19" s="4269">
        <f>SUM('Произв. прогр. Вода'!L22)</f>
        <v>85.82</v>
      </c>
      <c r="H19" s="4124">
        <v>28.3</v>
      </c>
      <c r="I19" s="4124">
        <v>25.53</v>
      </c>
      <c r="J19" s="4124">
        <v>26.74</v>
      </c>
      <c r="K19" s="4269">
        <f>SUM(H19:J19)</f>
        <v>80.569999999999993</v>
      </c>
      <c r="L19" s="4270">
        <f>SUM('Произв. прогр. Вода'!H22)</f>
        <v>89.74</v>
      </c>
      <c r="M19" s="4270">
        <f>SUM(F19+K19)</f>
        <v>166.10999999999999</v>
      </c>
      <c r="N19" s="4270">
        <f t="shared" si="5"/>
        <v>76.36999999999999</v>
      </c>
      <c r="O19" s="4269">
        <f>SUM('Произв. прогр. Вода'!Q22)</f>
        <v>84.77</v>
      </c>
      <c r="P19" s="4124">
        <v>18.43</v>
      </c>
      <c r="Q19" s="4124">
        <v>22.35</v>
      </c>
      <c r="R19" s="4124">
        <v>26.79</v>
      </c>
      <c r="S19" s="4269">
        <f>SUM(P19:R19)</f>
        <v>67.569999999999993</v>
      </c>
      <c r="T19" s="4270">
        <f>SUM('Произв. прогр. Вода'!R22)</f>
        <v>260.33</v>
      </c>
      <c r="U19" s="4270">
        <f>SUM(M19+S19)</f>
        <v>233.67999999999998</v>
      </c>
      <c r="V19" s="4270">
        <f t="shared" si="0"/>
        <v>-26.650000000000006</v>
      </c>
      <c r="W19" s="4269">
        <f>SUM('Произв. прогр. Вода'!V22)</f>
        <v>89.669999999999987</v>
      </c>
      <c r="X19" s="4124"/>
      <c r="Y19" s="4124"/>
      <c r="Z19" s="4124"/>
      <c r="AA19" s="4269">
        <f>SUM(X19:Z19)</f>
        <v>0</v>
      </c>
      <c r="AB19" s="4270">
        <f>SUM('Произв. прогр. Вода'!B22)</f>
        <v>350</v>
      </c>
      <c r="AC19" s="4270">
        <f>SUM(U19+AA19)</f>
        <v>233.67999999999998</v>
      </c>
      <c r="AD19" s="4270">
        <f t="shared" si="1"/>
        <v>-116.32000000000002</v>
      </c>
      <c r="AE19" s="4100"/>
      <c r="AF19" s="4100"/>
      <c r="AG19" s="4100"/>
      <c r="AH19" s="4100"/>
      <c r="AI19" s="4100"/>
      <c r="AJ19" s="4100"/>
      <c r="AK19" s="4100"/>
    </row>
    <row r="20" spans="1:37" ht="18.75" customHeight="1">
      <c r="A20" s="4106" t="s">
        <v>656</v>
      </c>
      <c r="B20" s="4269">
        <f>SUM('Произв. прогр. Вода'!H23)</f>
        <v>11.538</v>
      </c>
      <c r="C20" s="4124">
        <v>0</v>
      </c>
      <c r="D20" s="4124">
        <v>0</v>
      </c>
      <c r="E20" s="4124">
        <v>0</v>
      </c>
      <c r="F20" s="4269">
        <f>SUM(C20:E20)</f>
        <v>0</v>
      </c>
      <c r="G20" s="4269">
        <f>SUM('Произв. прогр. Вода'!L23)</f>
        <v>11.033999999999999</v>
      </c>
      <c r="H20" s="4124">
        <v>0</v>
      </c>
      <c r="I20" s="4124">
        <v>0</v>
      </c>
      <c r="J20" s="4124">
        <v>0</v>
      </c>
      <c r="K20" s="4269">
        <f>SUM(H20:J20)</f>
        <v>0</v>
      </c>
      <c r="L20" s="4270">
        <f>SUM('Произв. прогр. Вода'!H23)</f>
        <v>11.538</v>
      </c>
      <c r="M20" s="4270">
        <f>SUM(F20+K20)</f>
        <v>0</v>
      </c>
      <c r="N20" s="4270">
        <f t="shared" si="5"/>
        <v>-11.538</v>
      </c>
      <c r="O20" s="4269">
        <f>SUM('Произв. прогр. Вода'!Q23)</f>
        <v>10.898999999999999</v>
      </c>
      <c r="P20" s="4124">
        <v>0</v>
      </c>
      <c r="Q20" s="4124">
        <v>0</v>
      </c>
      <c r="R20" s="4124">
        <v>0</v>
      </c>
      <c r="S20" s="4269">
        <f>SUM(P20:R20)</f>
        <v>0</v>
      </c>
      <c r="T20" s="4270">
        <f>SUM('Произв. прогр. Вода'!R23)</f>
        <v>33.470999999999997</v>
      </c>
      <c r="U20" s="4270">
        <f>SUM(M20+S20)</f>
        <v>0</v>
      </c>
      <c r="V20" s="4270">
        <f t="shared" si="0"/>
        <v>-33.470999999999997</v>
      </c>
      <c r="W20" s="4269">
        <f>SUM('Произв. прогр. Вода'!V23)</f>
        <v>11.528999999999998</v>
      </c>
      <c r="X20" s="4124"/>
      <c r="Y20" s="4124"/>
      <c r="Z20" s="4124"/>
      <c r="AA20" s="4269">
        <f>SUM(X20:Z20)</f>
        <v>0</v>
      </c>
      <c r="AB20" s="4270">
        <f>SUM('Произв. прогр. Вода'!B23)</f>
        <v>45</v>
      </c>
      <c r="AC20" s="4270">
        <f>SUM(U20+AA20)</f>
        <v>0</v>
      </c>
      <c r="AD20" s="4270">
        <f t="shared" si="1"/>
        <v>-45</v>
      </c>
      <c r="AE20" s="4100"/>
      <c r="AF20" s="4100"/>
      <c r="AG20" s="4100"/>
      <c r="AH20" s="4100"/>
      <c r="AI20" s="4100"/>
      <c r="AJ20" s="4100"/>
      <c r="AK20" s="4100"/>
    </row>
    <row r="21" spans="1:37" ht="18.75" customHeight="1">
      <c r="A21" s="4096" t="s">
        <v>1878</v>
      </c>
      <c r="B21" s="4110"/>
      <c r="C21" s="4110"/>
      <c r="D21" s="4110"/>
      <c r="E21" s="4110"/>
      <c r="F21" s="4110"/>
      <c r="G21" s="4110"/>
      <c r="H21" s="4110"/>
      <c r="I21" s="4110"/>
      <c r="J21" s="4110"/>
      <c r="K21" s="4110"/>
      <c r="L21" s="4110"/>
      <c r="M21" s="4110"/>
      <c r="N21" s="4110"/>
      <c r="O21" s="4110"/>
      <c r="P21" s="4110"/>
      <c r="Q21" s="4110"/>
      <c r="R21" s="4110"/>
      <c r="S21" s="4110"/>
      <c r="T21" s="4110"/>
      <c r="U21" s="4110"/>
      <c r="V21" s="4110"/>
      <c r="W21" s="4110"/>
      <c r="X21" s="4110"/>
      <c r="Y21" s="4110"/>
      <c r="Z21" s="4110"/>
      <c r="AA21" s="4110"/>
      <c r="AB21" s="4110"/>
      <c r="AC21" s="4110"/>
      <c r="AD21" s="4111"/>
      <c r="AE21" s="4100"/>
      <c r="AF21" s="4100"/>
      <c r="AG21" s="4100"/>
      <c r="AH21" s="4100"/>
      <c r="AI21" s="4100"/>
      <c r="AJ21" s="4100"/>
      <c r="AK21" s="4100"/>
    </row>
    <row r="22" spans="1:37" ht="18.75" customHeight="1">
      <c r="A22" s="4340" t="s">
        <v>546</v>
      </c>
      <c r="B22" s="4338" t="s">
        <v>1869</v>
      </c>
      <c r="C22" s="4338"/>
      <c r="D22" s="4338"/>
      <c r="E22" s="4338"/>
      <c r="F22" s="4338"/>
      <c r="G22" s="4338" t="s">
        <v>1870</v>
      </c>
      <c r="H22" s="4338"/>
      <c r="I22" s="4338"/>
      <c r="J22" s="4338"/>
      <c r="K22" s="4338"/>
      <c r="L22" s="4336" t="s">
        <v>1871</v>
      </c>
      <c r="M22" s="4336"/>
      <c r="N22" s="4336"/>
      <c r="O22" s="4338" t="s">
        <v>1872</v>
      </c>
      <c r="P22" s="4338"/>
      <c r="Q22" s="4338"/>
      <c r="R22" s="4338"/>
      <c r="S22" s="4338"/>
      <c r="T22" s="4336" t="s">
        <v>1873</v>
      </c>
      <c r="U22" s="4336"/>
      <c r="V22" s="4336"/>
      <c r="W22" s="4338" t="s">
        <v>1874</v>
      </c>
      <c r="X22" s="4338"/>
      <c r="Y22" s="4338"/>
      <c r="Z22" s="4338"/>
      <c r="AA22" s="4338"/>
      <c r="AB22" s="4336" t="s">
        <v>887</v>
      </c>
      <c r="AC22" s="4336"/>
      <c r="AD22" s="4336"/>
      <c r="AE22" s="4100"/>
      <c r="AF22" s="4100"/>
      <c r="AG22" s="4100"/>
      <c r="AH22" s="4100"/>
      <c r="AI22" s="4100"/>
      <c r="AJ22" s="4100"/>
      <c r="AK22" s="4100"/>
    </row>
    <row r="23" spans="1:37" ht="18.75" customHeight="1">
      <c r="A23" s="4341"/>
      <c r="B23" s="4337" t="s">
        <v>1875</v>
      </c>
      <c r="C23" s="4338" t="s">
        <v>587</v>
      </c>
      <c r="D23" s="4338" t="s">
        <v>588</v>
      </c>
      <c r="E23" s="4338" t="s">
        <v>589</v>
      </c>
      <c r="F23" s="4337" t="s">
        <v>1876</v>
      </c>
      <c r="G23" s="4337" t="s">
        <v>1875</v>
      </c>
      <c r="H23" s="4338" t="s">
        <v>1563</v>
      </c>
      <c r="I23" s="4338" t="s">
        <v>591</v>
      </c>
      <c r="J23" s="4338" t="s">
        <v>592</v>
      </c>
      <c r="K23" s="4337" t="s">
        <v>1876</v>
      </c>
      <c r="L23" s="4339" t="s">
        <v>1875</v>
      </c>
      <c r="M23" s="4339" t="s">
        <v>1876</v>
      </c>
      <c r="N23" s="4336" t="s">
        <v>1877</v>
      </c>
      <c r="O23" s="4337" t="s">
        <v>1875</v>
      </c>
      <c r="P23" s="4338" t="s">
        <v>593</v>
      </c>
      <c r="Q23" s="4338" t="s">
        <v>594</v>
      </c>
      <c r="R23" s="4338" t="s">
        <v>595</v>
      </c>
      <c r="S23" s="4337" t="s">
        <v>1876</v>
      </c>
      <c r="T23" s="4339" t="s">
        <v>1875</v>
      </c>
      <c r="U23" s="4339" t="s">
        <v>1876</v>
      </c>
      <c r="V23" s="4336" t="s">
        <v>1877</v>
      </c>
      <c r="W23" s="4337" t="s">
        <v>1875</v>
      </c>
      <c r="X23" s="4338" t="s">
        <v>596</v>
      </c>
      <c r="Y23" s="4338" t="s">
        <v>597</v>
      </c>
      <c r="Z23" s="4338" t="s">
        <v>598</v>
      </c>
      <c r="AA23" s="4337" t="s">
        <v>1876</v>
      </c>
      <c r="AB23" s="4339" t="s">
        <v>1875</v>
      </c>
      <c r="AC23" s="4339" t="s">
        <v>1876</v>
      </c>
      <c r="AD23" s="4336" t="s">
        <v>1877</v>
      </c>
      <c r="AE23" s="4112"/>
      <c r="AF23" s="4112"/>
      <c r="AG23" s="4100"/>
      <c r="AH23" s="4100"/>
      <c r="AI23" s="4100"/>
      <c r="AJ23" s="4100"/>
      <c r="AK23" s="4100"/>
    </row>
    <row r="24" spans="1:37" ht="18.75" customHeight="1">
      <c r="A24" s="4341"/>
      <c r="B24" s="4337"/>
      <c r="C24" s="4338"/>
      <c r="D24" s="4338"/>
      <c r="E24" s="4338"/>
      <c r="F24" s="4337"/>
      <c r="G24" s="4337"/>
      <c r="H24" s="4338"/>
      <c r="I24" s="4338"/>
      <c r="J24" s="4338"/>
      <c r="K24" s="4337"/>
      <c r="L24" s="4339"/>
      <c r="M24" s="4339"/>
      <c r="N24" s="4336"/>
      <c r="O24" s="4337"/>
      <c r="P24" s="4338"/>
      <c r="Q24" s="4338"/>
      <c r="R24" s="4338"/>
      <c r="S24" s="4337"/>
      <c r="T24" s="4339"/>
      <c r="U24" s="4339"/>
      <c r="V24" s="4336"/>
      <c r="W24" s="4337"/>
      <c r="X24" s="4338"/>
      <c r="Y24" s="4338"/>
      <c r="Z24" s="4338"/>
      <c r="AA24" s="4337"/>
      <c r="AB24" s="4339"/>
      <c r="AC24" s="4339"/>
      <c r="AD24" s="4336"/>
      <c r="AE24" s="4112"/>
      <c r="AF24" s="4112"/>
      <c r="AG24" s="4100"/>
      <c r="AH24" s="4100"/>
      <c r="AI24" s="4100"/>
      <c r="AJ24" s="4100"/>
      <c r="AK24" s="4100"/>
    </row>
    <row r="25" spans="1:37" ht="18.75" customHeight="1">
      <c r="A25" s="4113" t="s">
        <v>15</v>
      </c>
      <c r="B25" s="4117">
        <f>SUM('Произв. прогр. Вода'!H44)</f>
        <v>4683.7011659982018</v>
      </c>
      <c r="C25" s="4117">
        <f t="shared" ref="C25" si="40">SUM(C26:C31)+C33</f>
        <v>1399.89</v>
      </c>
      <c r="D25" s="4117">
        <f t="shared" ref="D25:F25" si="41">SUM(D26:D31)+D33</f>
        <v>1072.83</v>
      </c>
      <c r="E25" s="4117">
        <f>SUM(E26:E31)+E33</f>
        <v>1135.1399999999999</v>
      </c>
      <c r="F25" s="4117">
        <f t="shared" si="41"/>
        <v>3607.8599999999997</v>
      </c>
      <c r="G25" s="4117">
        <f>SUM('Произв. прогр. Вода'!L44)</f>
        <v>4650.8799047656175</v>
      </c>
      <c r="H25" s="4117">
        <f>SUM(H26:H31)+H33</f>
        <v>1123.48</v>
      </c>
      <c r="I25" s="4117">
        <f t="shared" ref="I25:M25" si="42">SUM(I26:I31)+I33</f>
        <v>1243.57</v>
      </c>
      <c r="J25" s="4117">
        <f t="shared" si="42"/>
        <v>1098.77</v>
      </c>
      <c r="K25" s="4117">
        <f t="shared" si="42"/>
        <v>3465.8199999999997</v>
      </c>
      <c r="L25" s="4118">
        <f>SUM('Произв. прогр. Вода'!M44)</f>
        <v>9334.5810707638193</v>
      </c>
      <c r="M25" s="4118">
        <f t="shared" si="42"/>
        <v>7073.68</v>
      </c>
      <c r="N25" s="4118">
        <f t="shared" ref="N25:N88" si="43">SUM(M25-L25)</f>
        <v>-2260.901070763819</v>
      </c>
      <c r="O25" s="4117">
        <f>SUM('Произв. прогр. Вода'!Q44)</f>
        <v>4854.0570298667217</v>
      </c>
      <c r="P25" s="4117">
        <f t="shared" ref="P25" si="44">SUM(P26:P31)+P33</f>
        <v>1321.6299999999999</v>
      </c>
      <c r="Q25" s="4117">
        <f t="shared" ref="Q25" si="45">SUM(Q26:Q31)+Q33</f>
        <v>1703.8500000000001</v>
      </c>
      <c r="R25" s="4117">
        <f t="shared" ref="R25:U25" si="46">SUM(R26:R31)+R33</f>
        <v>1296.6199999999999</v>
      </c>
      <c r="S25" s="4117">
        <f t="shared" si="46"/>
        <v>4322.1000000000004</v>
      </c>
      <c r="T25" s="4118">
        <f>SUM('Произв. прогр. Вода'!R44)</f>
        <v>14188.638100630542</v>
      </c>
      <c r="U25" s="4118">
        <f t="shared" si="46"/>
        <v>11395.779999999999</v>
      </c>
      <c r="V25" s="4118">
        <f t="shared" ref="V25:V88" si="47">SUM(U25-T25)</f>
        <v>-2792.858100630543</v>
      </c>
      <c r="W25" s="4117">
        <f>SUM('Произв. прогр. Вода'!V44)</f>
        <v>4912.0141218279059</v>
      </c>
      <c r="X25" s="4117">
        <f t="shared" ref="X25" si="48">SUM(X26:X31)+X33</f>
        <v>0</v>
      </c>
      <c r="Y25" s="4117">
        <f t="shared" ref="Y25" si="49">SUM(Y26:Y31)+Y33</f>
        <v>0</v>
      </c>
      <c r="Z25" s="4117">
        <f>SUM(Z26:Z31)+Z33</f>
        <v>0</v>
      </c>
      <c r="AA25" s="4117">
        <f t="shared" ref="AA25:AC25" si="50">SUM(AA26:AA31)+AA33</f>
        <v>0</v>
      </c>
      <c r="AB25" s="4118">
        <f>SUM('Произв. прогр. Вода'!B44)</f>
        <v>19100.660356215267</v>
      </c>
      <c r="AC25" s="4118">
        <f t="shared" si="50"/>
        <v>11395.779999999999</v>
      </c>
      <c r="AD25" s="4118">
        <f t="shared" ref="AD25:AD88" si="51">SUM(AC25-AB25)</f>
        <v>-7704.880356215268</v>
      </c>
      <c r="AE25" s="4112"/>
      <c r="AF25" s="4112"/>
      <c r="AG25" s="4100"/>
      <c r="AH25" s="4100"/>
      <c r="AI25" s="4100"/>
      <c r="AJ25" s="4100"/>
      <c r="AK25" s="4100"/>
    </row>
    <row r="26" spans="1:37" ht="18.75" customHeight="1">
      <c r="A26" s="4114" t="s">
        <v>1</v>
      </c>
      <c r="B26" s="4121">
        <f>SUM('Произв. прогр. Вода'!H45)</f>
        <v>963.19259514776786</v>
      </c>
      <c r="C26" s="4268">
        <v>195.27</v>
      </c>
      <c r="D26" s="4120">
        <v>150.82</v>
      </c>
      <c r="E26" s="4120">
        <v>170.9</v>
      </c>
      <c r="F26" s="4121">
        <f t="shared" ref="F26:F31" si="52">SUM(C26:E26)</f>
        <v>516.99</v>
      </c>
      <c r="G26" s="4121">
        <f>SUM('Произв. прогр. Вода'!L45)</f>
        <v>929.16891956716756</v>
      </c>
      <c r="H26" s="4120">
        <v>151.41</v>
      </c>
      <c r="I26" s="4120">
        <v>192.01</v>
      </c>
      <c r="J26" s="4120">
        <v>134.52000000000001</v>
      </c>
      <c r="K26" s="4121">
        <f>SUM(H26:J26)</f>
        <v>477.93999999999994</v>
      </c>
      <c r="L26" s="4122">
        <f>SUM('Произв. прогр. Вода'!M45)</f>
        <v>1892.3615147149355</v>
      </c>
      <c r="M26" s="4122">
        <f>SUM(F26+K26)</f>
        <v>994.93</v>
      </c>
      <c r="N26" s="4122">
        <f t="shared" si="43"/>
        <v>-897.43151471493559</v>
      </c>
      <c r="O26" s="4121">
        <f>SUM('Произв. прогр. Вода'!Q45)</f>
        <v>973.38930568678597</v>
      </c>
      <c r="P26" s="4120">
        <v>169.38</v>
      </c>
      <c r="Q26" s="4120">
        <v>181.77</v>
      </c>
      <c r="R26" s="4120">
        <v>175.84</v>
      </c>
      <c r="S26" s="4121">
        <f>SUM(P26:R26)</f>
        <v>526.99</v>
      </c>
      <c r="T26" s="4122">
        <f>SUM('Произв. прогр. Вода'!R45)</f>
        <v>2867.4322117642555</v>
      </c>
      <c r="U26" s="4122">
        <f>SUM(M26+S26)</f>
        <v>1521.92</v>
      </c>
      <c r="V26" s="4122">
        <f t="shared" si="47"/>
        <v>-1345.5122117642554</v>
      </c>
      <c r="W26" s="4121">
        <f>SUM('Произв. прогр. Вода'!V45)</f>
        <v>1033.3891807051489</v>
      </c>
      <c r="X26" s="4120"/>
      <c r="Y26" s="4120"/>
      <c r="Z26" s="4120"/>
      <c r="AA26" s="4121">
        <f>SUM(X26:Z26)</f>
        <v>0</v>
      </c>
      <c r="AB26" s="4122">
        <f>SUM('Произв. прогр. Вода'!B45)</f>
        <v>3899.14</v>
      </c>
      <c r="AC26" s="4122">
        <f>SUM(U26+AA26)</f>
        <v>1521.92</v>
      </c>
      <c r="AD26" s="4122">
        <f t="shared" si="51"/>
        <v>-2377.2199999999998</v>
      </c>
      <c r="AE26" s="4112"/>
      <c r="AF26" s="4112"/>
      <c r="AG26" s="4100"/>
      <c r="AH26" s="4100"/>
      <c r="AI26" s="4100"/>
      <c r="AJ26" s="4100"/>
      <c r="AK26" s="4100"/>
    </row>
    <row r="27" spans="1:37" ht="18.75" customHeight="1">
      <c r="A27" s="4114" t="s">
        <v>2</v>
      </c>
      <c r="B27" s="4121">
        <f>SUM('Произв. прогр. Вода'!H46)</f>
        <v>905.46</v>
      </c>
      <c r="C27" s="4268">
        <v>300.45999999999998</v>
      </c>
      <c r="D27" s="4120">
        <v>300.45999999999998</v>
      </c>
      <c r="E27" s="4120">
        <v>300.45999999999998</v>
      </c>
      <c r="F27" s="4121">
        <f t="shared" si="52"/>
        <v>901.37999999999988</v>
      </c>
      <c r="G27" s="4121">
        <f>SUM('Произв. прогр. Вода'!L46)</f>
        <v>905.46</v>
      </c>
      <c r="H27" s="4120">
        <v>299.45999999999998</v>
      </c>
      <c r="I27" s="4120">
        <v>299.44</v>
      </c>
      <c r="J27" s="4120">
        <v>299.44</v>
      </c>
      <c r="K27" s="4121">
        <f t="shared" ref="K27:K31" si="53">SUM(H27:J27)</f>
        <v>898.33999999999992</v>
      </c>
      <c r="L27" s="4122">
        <f>SUM('Произв. прогр. Вода'!M46)</f>
        <v>1810.92</v>
      </c>
      <c r="M27" s="4122">
        <f t="shared" ref="M27:M31" si="54">SUM(F27+K27)</f>
        <v>1799.7199999999998</v>
      </c>
      <c r="N27" s="4122">
        <f t="shared" si="43"/>
        <v>-11.200000000000273</v>
      </c>
      <c r="O27" s="4121">
        <f>SUM('Произв. прогр. Вода'!Q46)</f>
        <v>905.46</v>
      </c>
      <c r="P27" s="4120">
        <v>299.44</v>
      </c>
      <c r="Q27" s="4120">
        <v>299.19</v>
      </c>
      <c r="R27" s="4120">
        <v>299.19</v>
      </c>
      <c r="S27" s="4121">
        <f t="shared" ref="S27:S31" si="55">SUM(P27:R27)</f>
        <v>897.81999999999994</v>
      </c>
      <c r="T27" s="4122">
        <f>SUM('Произв. прогр. Вода'!R46)</f>
        <v>2716.38</v>
      </c>
      <c r="U27" s="4122">
        <f t="shared" ref="U27:U31" si="56">SUM(M27+S27)</f>
        <v>2697.54</v>
      </c>
      <c r="V27" s="4122">
        <f t="shared" si="47"/>
        <v>-18.840000000000146</v>
      </c>
      <c r="W27" s="4121">
        <f>SUM('Произв. прогр. Вода'!V46)</f>
        <v>905.46</v>
      </c>
      <c r="X27" s="4120"/>
      <c r="Y27" s="4120"/>
      <c r="Z27" s="4120"/>
      <c r="AA27" s="4121">
        <f t="shared" ref="AA27:AA31" si="57">SUM(X27:Z27)</f>
        <v>0</v>
      </c>
      <c r="AB27" s="4122">
        <f>SUM('Произв. прогр. Вода'!B46)</f>
        <v>3621.84</v>
      </c>
      <c r="AC27" s="4122">
        <f t="shared" ref="AC27:AC31" si="58">SUM(U27+AA27)</f>
        <v>2697.54</v>
      </c>
      <c r="AD27" s="4122">
        <f t="shared" si="51"/>
        <v>-924.30000000000018</v>
      </c>
      <c r="AE27" s="4112"/>
      <c r="AF27" s="4112"/>
      <c r="AG27" s="4100"/>
      <c r="AH27" s="4100"/>
      <c r="AI27" s="4100"/>
      <c r="AJ27" s="4100"/>
      <c r="AK27" s="4100"/>
    </row>
    <row r="28" spans="1:37" ht="15" customHeight="1">
      <c r="A28" s="4114" t="s">
        <v>219</v>
      </c>
      <c r="B28" s="4121">
        <f>SUM('Произв. прогр. Вода'!H47)</f>
        <v>0</v>
      </c>
      <c r="C28" s="4120"/>
      <c r="D28" s="4120"/>
      <c r="E28" s="4120"/>
      <c r="F28" s="4121">
        <f t="shared" si="52"/>
        <v>0</v>
      </c>
      <c r="G28" s="4121">
        <f>SUM('Произв. прогр. Вода'!L47)</f>
        <v>0</v>
      </c>
      <c r="H28" s="4120"/>
      <c r="I28" s="4120"/>
      <c r="J28" s="4120"/>
      <c r="K28" s="4121">
        <f t="shared" si="53"/>
        <v>0</v>
      </c>
      <c r="L28" s="4122">
        <f>SUM('Произв. прогр. Вода'!M47)</f>
        <v>0</v>
      </c>
      <c r="M28" s="4122">
        <f t="shared" si="54"/>
        <v>0</v>
      </c>
      <c r="N28" s="4122">
        <f t="shared" si="43"/>
        <v>0</v>
      </c>
      <c r="O28" s="4121">
        <f>SUM('Произв. прогр. Вода'!Q47)</f>
        <v>0</v>
      </c>
      <c r="P28" s="4120"/>
      <c r="Q28" s="4120"/>
      <c r="R28" s="4120"/>
      <c r="S28" s="4121">
        <f t="shared" si="55"/>
        <v>0</v>
      </c>
      <c r="T28" s="4122">
        <f>SUM('Произв. прогр. Вода'!R47)</f>
        <v>0</v>
      </c>
      <c r="U28" s="4122">
        <f t="shared" si="56"/>
        <v>0</v>
      </c>
      <c r="V28" s="4122">
        <f t="shared" si="47"/>
        <v>0</v>
      </c>
      <c r="W28" s="4121">
        <f>SUM('Произв. прогр. Вода'!V47)</f>
        <v>0</v>
      </c>
      <c r="X28" s="4120"/>
      <c r="Y28" s="4120"/>
      <c r="Z28" s="4120"/>
      <c r="AA28" s="4121">
        <f t="shared" si="57"/>
        <v>0</v>
      </c>
      <c r="AB28" s="4122">
        <f>SUM('Произв. прогр. Вода'!B47)</f>
        <v>0</v>
      </c>
      <c r="AC28" s="4122">
        <f t="shared" si="58"/>
        <v>0</v>
      </c>
      <c r="AD28" s="4122">
        <f t="shared" si="51"/>
        <v>0</v>
      </c>
      <c r="AE28" s="4112"/>
      <c r="AF28" s="4112"/>
      <c r="AG28" s="4100"/>
      <c r="AH28" s="4100"/>
      <c r="AI28" s="4100"/>
      <c r="AJ28" s="4100"/>
      <c r="AK28" s="4100"/>
    </row>
    <row r="29" spans="1:37" ht="18.75" customHeight="1">
      <c r="A29" s="4114" t="s">
        <v>3</v>
      </c>
      <c r="B29" s="4121">
        <f>SUM('Произв. прогр. Вода'!H48)</f>
        <v>0</v>
      </c>
      <c r="C29" s="4120"/>
      <c r="D29" s="4120"/>
      <c r="E29" s="4120">
        <v>2.0099999999999998</v>
      </c>
      <c r="F29" s="4121">
        <f t="shared" si="52"/>
        <v>2.0099999999999998</v>
      </c>
      <c r="G29" s="4121">
        <f>SUM('Произв. прогр. Вода'!L48)</f>
        <v>0</v>
      </c>
      <c r="H29" s="4120"/>
      <c r="I29" s="4120"/>
      <c r="J29" s="4120"/>
      <c r="K29" s="4121">
        <f t="shared" si="53"/>
        <v>0</v>
      </c>
      <c r="L29" s="4122">
        <f>SUM('Произв. прогр. Вода'!M48)</f>
        <v>0</v>
      </c>
      <c r="M29" s="4122">
        <f t="shared" si="54"/>
        <v>2.0099999999999998</v>
      </c>
      <c r="N29" s="4122">
        <f t="shared" si="43"/>
        <v>2.0099999999999998</v>
      </c>
      <c r="O29" s="4121">
        <f>SUM('Произв. прогр. Вода'!Q48)</f>
        <v>0</v>
      </c>
      <c r="P29" s="4120"/>
      <c r="Q29" s="4120">
        <v>206.87</v>
      </c>
      <c r="R29" s="4120">
        <v>0.04</v>
      </c>
      <c r="S29" s="4121">
        <f t="shared" si="55"/>
        <v>206.91</v>
      </c>
      <c r="T29" s="4122">
        <f>SUM('Произв. прогр. Вода'!R48)</f>
        <v>0</v>
      </c>
      <c r="U29" s="4122">
        <f t="shared" si="56"/>
        <v>208.92</v>
      </c>
      <c r="V29" s="4122">
        <f t="shared" si="47"/>
        <v>208.92</v>
      </c>
      <c r="W29" s="4121">
        <f>SUM('Произв. прогр. Вода'!V48)</f>
        <v>0</v>
      </c>
      <c r="X29" s="4120"/>
      <c r="Y29" s="4120"/>
      <c r="Z29" s="4120"/>
      <c r="AA29" s="4121">
        <f t="shared" si="57"/>
        <v>0</v>
      </c>
      <c r="AB29" s="4122">
        <f>SUM('Произв. прогр. Вода'!B48)</f>
        <v>0</v>
      </c>
      <c r="AC29" s="4122">
        <f t="shared" si="58"/>
        <v>208.92</v>
      </c>
      <c r="AD29" s="4122">
        <f t="shared" si="51"/>
        <v>208.92</v>
      </c>
      <c r="AE29" s="4112"/>
      <c r="AF29" s="4112"/>
      <c r="AG29" s="4100"/>
      <c r="AH29" s="4100"/>
      <c r="AI29" s="4100"/>
      <c r="AJ29" s="4100"/>
      <c r="AK29" s="4100"/>
    </row>
    <row r="30" spans="1:37" ht="18.75" customHeight="1">
      <c r="A30" s="4114" t="s">
        <v>4</v>
      </c>
      <c r="B30" s="4121">
        <f>SUM('Произв. прогр. Вода'!H49)</f>
        <v>1794.8752566150556</v>
      </c>
      <c r="C30" s="4268">
        <v>534.15</v>
      </c>
      <c r="D30" s="4120">
        <v>410.04</v>
      </c>
      <c r="E30" s="4120">
        <v>406.87</v>
      </c>
      <c r="F30" s="4121">
        <f t="shared" si="52"/>
        <v>1351.06</v>
      </c>
      <c r="G30" s="4121">
        <f>SUM('Произв. прогр. Вода'!L49)</f>
        <v>1794.8752566150556</v>
      </c>
      <c r="H30" s="4120">
        <v>448.13</v>
      </c>
      <c r="I30" s="4120">
        <v>473.12</v>
      </c>
      <c r="J30" s="4120">
        <v>435.85</v>
      </c>
      <c r="K30" s="4121">
        <f t="shared" si="53"/>
        <v>1357.1</v>
      </c>
      <c r="L30" s="4122">
        <f>SUM('Произв. прогр. Вода'!M49)</f>
        <v>3589.7505132301112</v>
      </c>
      <c r="M30" s="4122">
        <f t="shared" si="54"/>
        <v>2708.16</v>
      </c>
      <c r="N30" s="4122">
        <f t="shared" si="43"/>
        <v>-881.59051323011136</v>
      </c>
      <c r="O30" s="4121">
        <f>SUM('Произв. прогр. Вода'!Q49)</f>
        <v>1903.1062345889432</v>
      </c>
      <c r="P30" s="4120">
        <v>583.45000000000005</v>
      </c>
      <c r="Q30" s="4120">
        <v>707.36</v>
      </c>
      <c r="R30" s="4120">
        <v>554.92999999999995</v>
      </c>
      <c r="S30" s="4121">
        <f t="shared" si="55"/>
        <v>1845.7399999999998</v>
      </c>
      <c r="T30" s="4122">
        <f>SUM('Произв. прогр. Вода'!R49)</f>
        <v>5492.8567478190544</v>
      </c>
      <c r="U30" s="4122">
        <f t="shared" si="56"/>
        <v>4553.8999999999996</v>
      </c>
      <c r="V30" s="4122">
        <f t="shared" si="47"/>
        <v>-938.95674781905473</v>
      </c>
      <c r="W30" s="4121">
        <f>SUM('Произв. прогр. Вода'!V49)</f>
        <v>1903.1062345889432</v>
      </c>
      <c r="X30" s="4120"/>
      <c r="Y30" s="4120"/>
      <c r="Z30" s="4120"/>
      <c r="AA30" s="4121">
        <f t="shared" si="57"/>
        <v>0</v>
      </c>
      <c r="AB30" s="4122">
        <f>SUM('Произв. прогр. Вода'!B49)</f>
        <v>7395.9629824079975</v>
      </c>
      <c r="AC30" s="4122">
        <f t="shared" si="58"/>
        <v>4553.8999999999996</v>
      </c>
      <c r="AD30" s="4122">
        <f t="shared" si="51"/>
        <v>-2842.0629824079979</v>
      </c>
      <c r="AE30" s="4112"/>
      <c r="AF30" s="4112"/>
      <c r="AG30" s="4100"/>
      <c r="AH30" s="4100"/>
      <c r="AI30" s="4100"/>
      <c r="AJ30" s="4100"/>
      <c r="AK30" s="4100"/>
    </row>
    <row r="31" spans="1:37" ht="18.75" customHeight="1">
      <c r="A31" s="4114" t="s">
        <v>5</v>
      </c>
      <c r="B31" s="4103">
        <f>SUM('Произв. прогр. Вода'!H50)</f>
        <v>540.25547804715723</v>
      </c>
      <c r="C31" s="4298">
        <v>160</v>
      </c>
      <c r="D31" s="4104">
        <v>122.65</v>
      </c>
      <c r="E31" s="4104">
        <v>121.91</v>
      </c>
      <c r="F31" s="4103">
        <f t="shared" si="52"/>
        <v>404.55999999999995</v>
      </c>
      <c r="G31" s="4103">
        <f>SUM('Произв. прогр. Вода'!L50)</f>
        <v>540.25547804715723</v>
      </c>
      <c r="H31" s="4104">
        <v>135.32</v>
      </c>
      <c r="I31" s="4104">
        <v>142.84</v>
      </c>
      <c r="J31" s="4104">
        <v>131.63</v>
      </c>
      <c r="K31" s="4103">
        <f t="shared" si="53"/>
        <v>409.78999999999996</v>
      </c>
      <c r="L31" s="4105">
        <f>SUM('Произв. прогр. Вода'!M50)</f>
        <v>1080.5109560943145</v>
      </c>
      <c r="M31" s="4105">
        <f t="shared" si="54"/>
        <v>814.34999999999991</v>
      </c>
      <c r="N31" s="4105">
        <f t="shared" si="43"/>
        <v>-266.16095609431454</v>
      </c>
      <c r="O31" s="4103">
        <f>SUM('Произв. прогр. Вода'!Q50)</f>
        <v>572.83288337340082</v>
      </c>
      <c r="P31" s="4104">
        <v>174.52</v>
      </c>
      <c r="Q31" s="4104">
        <v>213.01</v>
      </c>
      <c r="R31" s="4104">
        <v>167.57</v>
      </c>
      <c r="S31" s="4103">
        <f t="shared" si="55"/>
        <v>555.09999999999991</v>
      </c>
      <c r="T31" s="4105">
        <f>SUM('Произв. прогр. Вода'!R50)</f>
        <v>1653.3438394677153</v>
      </c>
      <c r="U31" s="4105">
        <f t="shared" si="56"/>
        <v>1369.4499999999998</v>
      </c>
      <c r="V31" s="4105">
        <f t="shared" si="47"/>
        <v>-283.89383946771545</v>
      </c>
      <c r="W31" s="4103">
        <f>SUM('Произв. прогр. Вода'!V50)</f>
        <v>572.83288337340082</v>
      </c>
      <c r="X31" s="4104"/>
      <c r="Y31" s="4104"/>
      <c r="Z31" s="4104"/>
      <c r="AA31" s="4103">
        <f t="shared" si="57"/>
        <v>0</v>
      </c>
      <c r="AB31" s="4105">
        <f>SUM('Произв. прогр. Вода'!B50)</f>
        <v>2226.1848577048072</v>
      </c>
      <c r="AC31" s="4105">
        <f t="shared" si="58"/>
        <v>1369.4499999999998</v>
      </c>
      <c r="AD31" s="4105">
        <f t="shared" si="51"/>
        <v>-856.73485770480738</v>
      </c>
      <c r="AE31" s="4112"/>
      <c r="AF31" s="4112"/>
      <c r="AG31" s="4100"/>
      <c r="AH31" s="4100"/>
      <c r="AI31" s="4100"/>
      <c r="AJ31" s="4100"/>
      <c r="AK31" s="4100"/>
    </row>
    <row r="32" spans="1:37" ht="18.75" customHeight="1">
      <c r="A32" s="4115" t="s">
        <v>322</v>
      </c>
      <c r="B32" s="4107">
        <f>SUM('Произв. прогр. Вода'!H51)</f>
        <v>0.30099890009404984</v>
      </c>
      <c r="C32" s="4107">
        <f t="shared" ref="C32:F32" si="59">SUM(C31/C30)</f>
        <v>0.29954132734250682</v>
      </c>
      <c r="D32" s="4107">
        <f t="shared" si="59"/>
        <v>0.29911715930153154</v>
      </c>
      <c r="E32" s="4107">
        <f t="shared" si="59"/>
        <v>0.2996288740875464</v>
      </c>
      <c r="F32" s="4107">
        <f t="shared" si="59"/>
        <v>0.29943895903956891</v>
      </c>
      <c r="G32" s="4107">
        <f>SUM('Произв. прогр. Вода'!L51)</f>
        <v>0.30099890009404984</v>
      </c>
      <c r="H32" s="4107">
        <f t="shared" ref="H32:M32" si="60">SUM(H31/H30)</f>
        <v>0.30196594738134025</v>
      </c>
      <c r="I32" s="4107">
        <f t="shared" si="60"/>
        <v>0.30191072032465338</v>
      </c>
      <c r="J32" s="4107">
        <f t="shared" si="60"/>
        <v>0.30200757141218304</v>
      </c>
      <c r="K32" s="4107">
        <f t="shared" si="60"/>
        <v>0.30196006189669145</v>
      </c>
      <c r="L32" s="4109">
        <f>SUM('Произв. прогр. Вода'!M51)</f>
        <v>0.30099890009404984</v>
      </c>
      <c r="M32" s="4109">
        <f t="shared" si="60"/>
        <v>0.30070232187167667</v>
      </c>
      <c r="N32" s="4109">
        <f t="shared" si="43"/>
        <v>-2.9657822237316722E-4</v>
      </c>
      <c r="O32" s="4107">
        <f>SUM('Произв. прогр. Вода'!Q51)</f>
        <v>0.30099890009404989</v>
      </c>
      <c r="P32" s="4107">
        <f t="shared" ref="P32:U32" si="61">SUM(P31/P30)</f>
        <v>0.29911731939326419</v>
      </c>
      <c r="Q32" s="4107">
        <f t="shared" si="61"/>
        <v>0.30113379325944356</v>
      </c>
      <c r="R32" s="4107">
        <f t="shared" si="61"/>
        <v>0.30196601373146165</v>
      </c>
      <c r="S32" s="4107">
        <f t="shared" si="61"/>
        <v>0.30074658402591914</v>
      </c>
      <c r="T32" s="4109">
        <f>SUM('Произв. прогр. Вода'!R51)</f>
        <v>0.30099890009404989</v>
      </c>
      <c r="U32" s="4109">
        <f t="shared" si="61"/>
        <v>0.30072026175366168</v>
      </c>
      <c r="V32" s="4109">
        <f t="shared" si="47"/>
        <v>-2.7863834038821533E-4</v>
      </c>
      <c r="W32" s="4107">
        <f>SUM('Произв. прогр. Вода'!V51)</f>
        <v>0.30099890009404989</v>
      </c>
      <c r="X32" s="4107" t="e">
        <f t="shared" ref="X32:AC32" si="62">SUM(X31/X30)</f>
        <v>#DIV/0!</v>
      </c>
      <c r="Y32" s="4107" t="e">
        <f t="shared" si="62"/>
        <v>#DIV/0!</v>
      </c>
      <c r="Z32" s="4107" t="e">
        <f t="shared" si="62"/>
        <v>#DIV/0!</v>
      </c>
      <c r="AA32" s="4107" t="e">
        <f t="shared" si="62"/>
        <v>#DIV/0!</v>
      </c>
      <c r="AB32" s="4109">
        <f>SUM('Произв. прогр. Вода'!B51)</f>
        <v>0.30099890009404989</v>
      </c>
      <c r="AC32" s="4109">
        <f t="shared" si="62"/>
        <v>0.30072026175366168</v>
      </c>
      <c r="AD32" s="4109">
        <f t="shared" si="51"/>
        <v>-2.7863834038821533E-4</v>
      </c>
      <c r="AE32" s="4112"/>
      <c r="AF32" s="4112"/>
      <c r="AG32" s="4100"/>
      <c r="AH32" s="4100"/>
      <c r="AI32" s="4100"/>
      <c r="AJ32" s="4100"/>
      <c r="AK32" s="4100"/>
    </row>
    <row r="33" spans="1:37" ht="18.75" customHeight="1">
      <c r="A33" s="4116" t="s">
        <v>1742</v>
      </c>
      <c r="B33" s="4117">
        <f>SUM('Произв. прогр. Вода'!H52)</f>
        <v>479.91783618822103</v>
      </c>
      <c r="C33" s="4117">
        <f t="shared" ref="C33" si="63">SUM(C34:C42)+C46</f>
        <v>210.01000000000002</v>
      </c>
      <c r="D33" s="4117">
        <f t="shared" ref="D33:F33" si="64">SUM(D34:D42)+D46</f>
        <v>88.86</v>
      </c>
      <c r="E33" s="4117">
        <f>SUM(E34:E42)+E46</f>
        <v>132.98999999999998</v>
      </c>
      <c r="F33" s="4117">
        <f t="shared" si="64"/>
        <v>431.86</v>
      </c>
      <c r="G33" s="4117">
        <f>SUM('Произв. прогр. Вода'!L52)</f>
        <v>481.12025053623699</v>
      </c>
      <c r="H33" s="4117">
        <f>SUM(H34:H42)+H46</f>
        <v>89.16</v>
      </c>
      <c r="I33" s="4117">
        <f t="shared" ref="I33:M33" si="65">SUM(I34:I42)+I46</f>
        <v>136.16</v>
      </c>
      <c r="J33" s="4117">
        <f t="shared" si="65"/>
        <v>97.33</v>
      </c>
      <c r="K33" s="4117">
        <f t="shared" si="65"/>
        <v>322.65000000000003</v>
      </c>
      <c r="L33" s="4118">
        <f>SUM('Произв. прогр. Вода'!M52)</f>
        <v>961.03808672445803</v>
      </c>
      <c r="M33" s="4118">
        <f t="shared" si="65"/>
        <v>754.51</v>
      </c>
      <c r="N33" s="4118">
        <f t="shared" si="43"/>
        <v>-206.52808672445803</v>
      </c>
      <c r="O33" s="4117">
        <f>SUM('Произв. прогр. Вода'!Q52)</f>
        <v>499.26860621759192</v>
      </c>
      <c r="P33" s="4117">
        <f t="shared" ref="P33:U33" si="66">SUM(P34:P42)+P46</f>
        <v>94.84</v>
      </c>
      <c r="Q33" s="4117">
        <f t="shared" si="66"/>
        <v>95.65</v>
      </c>
      <c r="R33" s="4117">
        <f t="shared" si="66"/>
        <v>99.05</v>
      </c>
      <c r="S33" s="4117">
        <f t="shared" si="66"/>
        <v>289.54000000000002</v>
      </c>
      <c r="T33" s="4118">
        <f>SUM('Произв. прогр. Вода'!R52)</f>
        <v>1460.3066929420499</v>
      </c>
      <c r="U33" s="4118">
        <f t="shared" si="66"/>
        <v>1044.05</v>
      </c>
      <c r="V33" s="4271">
        <f t="shared" si="47"/>
        <v>-416.25669294204999</v>
      </c>
      <c r="W33" s="4117">
        <f>SUM('Произв. прогр. Вода'!V52)</f>
        <v>497.2258231604132</v>
      </c>
      <c r="X33" s="4117">
        <f t="shared" ref="X33:AC33" si="67">SUM(X34:X42)+X46</f>
        <v>0</v>
      </c>
      <c r="Y33" s="4117">
        <f t="shared" si="67"/>
        <v>0</v>
      </c>
      <c r="Z33" s="4117">
        <f>SUM(Z34:Z42)+Z46</f>
        <v>0</v>
      </c>
      <c r="AA33" s="4117">
        <f t="shared" si="67"/>
        <v>0</v>
      </c>
      <c r="AB33" s="4118">
        <f>SUM('Произв. прогр. Вода'!B52)</f>
        <v>1957.532516102463</v>
      </c>
      <c r="AC33" s="4118">
        <f t="shared" si="67"/>
        <v>1044.05</v>
      </c>
      <c r="AD33" s="4118">
        <f t="shared" si="51"/>
        <v>-913.48251610246302</v>
      </c>
      <c r="AE33" s="4112"/>
      <c r="AF33" s="4112"/>
      <c r="AG33" s="4100"/>
      <c r="AH33" s="4100"/>
      <c r="AI33" s="4100"/>
      <c r="AJ33" s="4100"/>
      <c r="AK33" s="4100"/>
    </row>
    <row r="34" spans="1:37" ht="18.75" customHeight="1">
      <c r="A34" s="4119" t="s">
        <v>72</v>
      </c>
      <c r="B34" s="4121">
        <f>SUM('Произв. прогр. Вода'!H53)</f>
        <v>220.66540157491488</v>
      </c>
      <c r="C34" s="4120">
        <v>104.98</v>
      </c>
      <c r="D34" s="4120"/>
      <c r="E34" s="4120">
        <v>41.39</v>
      </c>
      <c r="F34" s="4121">
        <f t="shared" ref="F34:F56" si="68">SUM(C34:E34)</f>
        <v>146.37</v>
      </c>
      <c r="G34" s="4121">
        <f>SUM('Произв. прогр. Вода'!L53)</f>
        <v>220.66540157491488</v>
      </c>
      <c r="H34" s="4120"/>
      <c r="I34" s="4120">
        <v>32.08</v>
      </c>
      <c r="J34" s="4120"/>
      <c r="K34" s="4121">
        <f t="shared" ref="K34:K56" si="69">SUM(H34:J34)</f>
        <v>32.08</v>
      </c>
      <c r="L34" s="4122">
        <f>SUM('Произв. прогр. Вода'!M53)</f>
        <v>441.33080314982976</v>
      </c>
      <c r="M34" s="4122">
        <f t="shared" ref="M34:M56" si="70">SUM(F34+K34)</f>
        <v>178.45</v>
      </c>
      <c r="N34" s="4122">
        <f t="shared" si="43"/>
        <v>-262.88080314982977</v>
      </c>
      <c r="O34" s="4121">
        <f>SUM('Произв. прогр. Вода'!Q53)</f>
        <v>233.97152528988215</v>
      </c>
      <c r="P34" s="4120"/>
      <c r="Q34" s="4120"/>
      <c r="R34" s="4120"/>
      <c r="S34" s="4121">
        <f t="shared" ref="S34:S56" si="71">SUM(P34:R34)</f>
        <v>0</v>
      </c>
      <c r="T34" s="4122">
        <f>SUM('Произв. прогр. Вода'!R53)</f>
        <v>675.30232843971191</v>
      </c>
      <c r="U34" s="4122">
        <f t="shared" ref="U34:U56" si="72">SUM(M34+S34)</f>
        <v>178.45</v>
      </c>
      <c r="V34" s="4122">
        <f t="shared" si="47"/>
        <v>-496.85232843971193</v>
      </c>
      <c r="W34" s="4121">
        <f>SUM('Произв. прогр. Вода'!V53)</f>
        <v>233.97152528988215</v>
      </c>
      <c r="X34" s="4120"/>
      <c r="Y34" s="4120"/>
      <c r="Z34" s="4120"/>
      <c r="AA34" s="4121">
        <f t="shared" ref="AA34:AA56" si="73">SUM(X34:Z34)</f>
        <v>0</v>
      </c>
      <c r="AB34" s="4122">
        <f>SUM('Произв. прогр. Вода'!B53)</f>
        <v>909.27385372959407</v>
      </c>
      <c r="AC34" s="4122">
        <f t="shared" ref="AC34:AC56" si="74">SUM(U34+AA34)</f>
        <v>178.45</v>
      </c>
      <c r="AD34" s="4122">
        <f t="shared" si="51"/>
        <v>-730.82385372959402</v>
      </c>
      <c r="AE34" s="4112"/>
      <c r="AF34" s="4112"/>
      <c r="AG34" s="4100"/>
      <c r="AH34" s="4100"/>
      <c r="AI34" s="4100"/>
      <c r="AJ34" s="4100"/>
      <c r="AK34" s="4100"/>
    </row>
    <row r="35" spans="1:37" ht="18.75" customHeight="1">
      <c r="A35" s="4119" t="s">
        <v>121</v>
      </c>
      <c r="B35" s="4121">
        <f>SUM('Произв. прогр. Вода'!H54)</f>
        <v>66.365891496266102</v>
      </c>
      <c r="C35" s="4120">
        <v>15.73</v>
      </c>
      <c r="D35" s="4120"/>
      <c r="E35" s="4120"/>
      <c r="F35" s="4121">
        <f t="shared" si="68"/>
        <v>15.73</v>
      </c>
      <c r="G35" s="4121">
        <f>SUM('Произв. прогр. Вода'!L54)</f>
        <v>66.365891496266102</v>
      </c>
      <c r="H35" s="4120"/>
      <c r="I35" s="4120">
        <v>-0.73</v>
      </c>
      <c r="J35" s="4120"/>
      <c r="K35" s="4121">
        <f t="shared" si="69"/>
        <v>-0.73</v>
      </c>
      <c r="L35" s="4122">
        <f>SUM('Произв. прогр. Вода'!M54)</f>
        <v>132.7317829925322</v>
      </c>
      <c r="M35" s="4122">
        <f t="shared" si="70"/>
        <v>15</v>
      </c>
      <c r="N35" s="4122">
        <f t="shared" si="43"/>
        <v>-117.7317829925322</v>
      </c>
      <c r="O35" s="4121">
        <f>SUM('Произв. прогр. Вода'!Q54)</f>
        <v>70.367754753490942</v>
      </c>
      <c r="P35" s="4120"/>
      <c r="Q35" s="4120"/>
      <c r="R35" s="4120"/>
      <c r="S35" s="4121">
        <f t="shared" si="71"/>
        <v>0</v>
      </c>
      <c r="T35" s="4122">
        <f>SUM('Произв. прогр. Вода'!R54)</f>
        <v>203.09953774602315</v>
      </c>
      <c r="U35" s="4122">
        <f t="shared" si="72"/>
        <v>15</v>
      </c>
      <c r="V35" s="4122">
        <f t="shared" si="47"/>
        <v>-188.09953774602315</v>
      </c>
      <c r="W35" s="4121">
        <f>SUM('Произв. прогр. Вода'!V54)</f>
        <v>70.367754753490942</v>
      </c>
      <c r="X35" s="4120"/>
      <c r="Y35" s="4120"/>
      <c r="Z35" s="4120"/>
      <c r="AA35" s="4121">
        <f t="shared" si="73"/>
        <v>0</v>
      </c>
      <c r="AB35" s="4122">
        <f>SUM('Произв. прогр. Вода'!B54)</f>
        <v>273.46729249951409</v>
      </c>
      <c r="AC35" s="4122">
        <f t="shared" si="74"/>
        <v>15</v>
      </c>
      <c r="AD35" s="4122">
        <f t="shared" si="51"/>
        <v>-258.46729249951409</v>
      </c>
      <c r="AE35" s="4112"/>
      <c r="AF35" s="4112"/>
      <c r="AG35" s="4100"/>
      <c r="AH35" s="4100"/>
      <c r="AI35" s="4100"/>
      <c r="AJ35" s="4100"/>
      <c r="AK35" s="4100"/>
    </row>
    <row r="36" spans="1:37" ht="18.75" customHeight="1">
      <c r="A36" s="4119" t="s">
        <v>1556</v>
      </c>
      <c r="B36" s="4121">
        <f>SUM('Произв. прогр. Вода'!H55)</f>
        <v>124.59694464992177</v>
      </c>
      <c r="C36" s="4120">
        <v>88</v>
      </c>
      <c r="D36" s="4120">
        <v>88</v>
      </c>
      <c r="E36" s="4120">
        <v>88</v>
      </c>
      <c r="F36" s="4121">
        <f t="shared" si="68"/>
        <v>264</v>
      </c>
      <c r="G36" s="4121">
        <f>SUM('Произв. прогр. Вода'!L55)</f>
        <v>124.59694464992177</v>
      </c>
      <c r="H36" s="4120">
        <v>88</v>
      </c>
      <c r="I36" s="4120">
        <v>88</v>
      </c>
      <c r="J36" s="4120">
        <v>88</v>
      </c>
      <c r="K36" s="4121">
        <f t="shared" si="69"/>
        <v>264</v>
      </c>
      <c r="L36" s="4122">
        <f>SUM('Произв. прогр. Вода'!M55)</f>
        <v>249.19388929984353</v>
      </c>
      <c r="M36" s="4122">
        <f t="shared" si="70"/>
        <v>528</v>
      </c>
      <c r="N36" s="4122">
        <f t="shared" si="43"/>
        <v>278.80611070015647</v>
      </c>
      <c r="O36" s="4121">
        <f>SUM('Произв. прогр. Вода'!Q55)</f>
        <v>124.59694464992177</v>
      </c>
      <c r="P36" s="4120">
        <v>88</v>
      </c>
      <c r="Q36" s="4120">
        <v>89.52</v>
      </c>
      <c r="R36" s="4120">
        <v>81</v>
      </c>
      <c r="S36" s="4121">
        <f t="shared" si="71"/>
        <v>258.52</v>
      </c>
      <c r="T36" s="4122">
        <f>SUM('Произв. прогр. Вода'!R55)</f>
        <v>373.79083394976533</v>
      </c>
      <c r="U36" s="4122">
        <f t="shared" si="72"/>
        <v>786.52</v>
      </c>
      <c r="V36" s="4122">
        <f t="shared" si="47"/>
        <v>412.72916605023465</v>
      </c>
      <c r="W36" s="4121">
        <f>SUM('Произв. прогр. Вода'!V55)</f>
        <v>124.59694464992177</v>
      </c>
      <c r="X36" s="4120"/>
      <c r="Y36" s="4120"/>
      <c r="Z36" s="4120"/>
      <c r="AA36" s="4121">
        <f t="shared" si="73"/>
        <v>0</v>
      </c>
      <c r="AB36" s="4122">
        <f>SUM('Произв. прогр. Вода'!B55)</f>
        <v>498.38777859968707</v>
      </c>
      <c r="AC36" s="4122">
        <f t="shared" si="74"/>
        <v>786.52</v>
      </c>
      <c r="AD36" s="4122">
        <f t="shared" si="51"/>
        <v>288.13222140031291</v>
      </c>
      <c r="AE36" s="4112"/>
      <c r="AF36" s="4112"/>
      <c r="AG36" s="4100"/>
      <c r="AH36" s="4100"/>
      <c r="AI36" s="4100"/>
      <c r="AJ36" s="4100"/>
      <c r="AK36" s="4100"/>
    </row>
    <row r="37" spans="1:37" ht="18.75" customHeight="1">
      <c r="A37" s="4119" t="s">
        <v>52</v>
      </c>
      <c r="B37" s="4121">
        <f>SUM('Произв. прогр. Вода'!H56)</f>
        <v>3.5235585289844336</v>
      </c>
      <c r="C37" s="4120">
        <v>1.24</v>
      </c>
      <c r="D37" s="4120">
        <v>0.86</v>
      </c>
      <c r="E37" s="4120">
        <v>0.88</v>
      </c>
      <c r="F37" s="4121">
        <f t="shared" si="68"/>
        <v>2.98</v>
      </c>
      <c r="G37" s="4121">
        <f>SUM('Произв. прогр. Вода'!L56)</f>
        <v>3.5235585289844336</v>
      </c>
      <c r="H37" s="4120">
        <v>0.89</v>
      </c>
      <c r="I37" s="4120">
        <v>0.84</v>
      </c>
      <c r="J37" s="4120">
        <v>0.96</v>
      </c>
      <c r="K37" s="4121">
        <f t="shared" si="69"/>
        <v>2.69</v>
      </c>
      <c r="L37" s="4122">
        <f>SUM('Произв. прогр. Вода'!M56)</f>
        <v>7.0471170579688671</v>
      </c>
      <c r="M37" s="4122">
        <f t="shared" si="70"/>
        <v>5.67</v>
      </c>
      <c r="N37" s="4122">
        <f t="shared" si="43"/>
        <v>-1.3771170579688672</v>
      </c>
      <c r="O37" s="4121">
        <f>SUM('Произв. прогр. Вода'!Q56)</f>
        <v>3.5235585289844336</v>
      </c>
      <c r="P37" s="4120">
        <v>0.84</v>
      </c>
      <c r="Q37" s="4120">
        <v>0.93</v>
      </c>
      <c r="R37" s="4120">
        <v>0.89</v>
      </c>
      <c r="S37" s="4121">
        <f t="shared" si="71"/>
        <v>2.66</v>
      </c>
      <c r="T37" s="4122">
        <f>SUM('Произв. прогр. Вода'!R56)</f>
        <v>10.5706755869533</v>
      </c>
      <c r="U37" s="4122">
        <f t="shared" si="72"/>
        <v>8.33</v>
      </c>
      <c r="V37" s="4122">
        <f t="shared" si="47"/>
        <v>-2.2406755869532997</v>
      </c>
      <c r="W37" s="4121">
        <f>SUM('Произв. прогр. Вода'!V56)</f>
        <v>3.5235585289844336</v>
      </c>
      <c r="X37" s="4120"/>
      <c r="Y37" s="4120"/>
      <c r="Z37" s="4120"/>
      <c r="AA37" s="4121">
        <f t="shared" si="73"/>
        <v>0</v>
      </c>
      <c r="AB37" s="4122">
        <f>SUM('Произв. прогр. Вода'!B56)</f>
        <v>14.094234115937732</v>
      </c>
      <c r="AC37" s="4122">
        <f t="shared" si="74"/>
        <v>8.33</v>
      </c>
      <c r="AD37" s="4122">
        <f t="shared" si="51"/>
        <v>-5.7642341159377324</v>
      </c>
      <c r="AE37" s="4112"/>
      <c r="AF37" s="4112"/>
      <c r="AG37" s="4100"/>
      <c r="AH37" s="4100"/>
      <c r="AI37" s="4100"/>
      <c r="AJ37" s="4100"/>
      <c r="AK37" s="4100"/>
    </row>
    <row r="38" spans="1:37" ht="18.75" customHeight="1">
      <c r="A38" s="4119" t="s">
        <v>1557</v>
      </c>
      <c r="B38" s="4121">
        <f>SUM('Произв. прогр. Вода'!H57)</f>
        <v>3.1809903386665028</v>
      </c>
      <c r="C38" s="4120"/>
      <c r="D38" s="4120"/>
      <c r="E38" s="4120"/>
      <c r="F38" s="4121">
        <f t="shared" si="68"/>
        <v>0</v>
      </c>
      <c r="G38" s="4121">
        <f>SUM('Произв. прогр. Вода'!L57)</f>
        <v>3.1809903386665028</v>
      </c>
      <c r="H38" s="4120"/>
      <c r="I38" s="4120"/>
      <c r="J38" s="4120"/>
      <c r="K38" s="4121">
        <f t="shared" si="69"/>
        <v>0</v>
      </c>
      <c r="L38" s="4122">
        <f>SUM('Произв. прогр. Вода'!M57)</f>
        <v>6.3619806773330057</v>
      </c>
      <c r="M38" s="4122">
        <f t="shared" si="70"/>
        <v>0</v>
      </c>
      <c r="N38" s="4122">
        <f t="shared" si="43"/>
        <v>-6.3619806773330057</v>
      </c>
      <c r="O38" s="4121">
        <f>SUM('Произв. прогр. Вода'!Q57)</f>
        <v>3.1809903386665028</v>
      </c>
      <c r="P38" s="4120"/>
      <c r="Q38" s="4120"/>
      <c r="R38" s="4120"/>
      <c r="S38" s="4121">
        <f t="shared" si="71"/>
        <v>0</v>
      </c>
      <c r="T38" s="4122">
        <f>SUM('Произв. прогр. Вода'!R57)</f>
        <v>9.5429710159995089</v>
      </c>
      <c r="U38" s="4122">
        <f t="shared" si="72"/>
        <v>0</v>
      </c>
      <c r="V38" s="4122">
        <f t="shared" si="47"/>
        <v>-9.5429710159995089</v>
      </c>
      <c r="W38" s="4121">
        <f>SUM('Произв. прогр. Вода'!V57)</f>
        <v>3.1809903386665028</v>
      </c>
      <c r="X38" s="4120"/>
      <c r="Y38" s="4120"/>
      <c r="Z38" s="4120"/>
      <c r="AA38" s="4121">
        <f t="shared" si="73"/>
        <v>0</v>
      </c>
      <c r="AB38" s="4122">
        <f>SUM('Произв. прогр. Вода'!B57)</f>
        <v>12.723961354666011</v>
      </c>
      <c r="AC38" s="4122">
        <f t="shared" si="74"/>
        <v>0</v>
      </c>
      <c r="AD38" s="4122">
        <f t="shared" si="51"/>
        <v>-12.723961354666011</v>
      </c>
      <c r="AE38" s="4112"/>
      <c r="AF38" s="4112"/>
      <c r="AG38" s="4100"/>
      <c r="AH38" s="4100"/>
      <c r="AI38" s="4100"/>
      <c r="AJ38" s="4100"/>
      <c r="AK38" s="4100"/>
    </row>
    <row r="39" spans="1:37" ht="18.75" customHeight="1">
      <c r="A39" s="4119" t="s">
        <v>606</v>
      </c>
      <c r="B39" s="4121">
        <f>SUM('Произв. прогр. Вода'!H58)</f>
        <v>3.0341753999588175</v>
      </c>
      <c r="C39" s="4120"/>
      <c r="D39" s="4120"/>
      <c r="E39" s="4120">
        <v>7.0000000000000007E-2</v>
      </c>
      <c r="F39" s="4121">
        <f t="shared" si="68"/>
        <v>7.0000000000000007E-2</v>
      </c>
      <c r="G39" s="4121">
        <f>SUM('Произв. прогр. Вода'!L58)</f>
        <v>3.0341753999588175</v>
      </c>
      <c r="H39" s="4120">
        <v>0.27</v>
      </c>
      <c r="I39" s="4120">
        <v>14.3</v>
      </c>
      <c r="J39" s="4120">
        <v>0.7</v>
      </c>
      <c r="K39" s="4121">
        <f t="shared" si="69"/>
        <v>15.27</v>
      </c>
      <c r="L39" s="4122">
        <f>SUM('Произв. прогр. Вода'!M58)</f>
        <v>6.0683507999176349</v>
      </c>
      <c r="M39" s="4122">
        <f t="shared" si="70"/>
        <v>15.34</v>
      </c>
      <c r="N39" s="4122">
        <f t="shared" si="43"/>
        <v>9.2716492000823649</v>
      </c>
      <c r="O39" s="4121">
        <f>SUM('Произв. прогр. Вода'!Q58)</f>
        <v>3.0341753999588175</v>
      </c>
      <c r="P39" s="4120"/>
      <c r="Q39" s="4120"/>
      <c r="R39" s="4120">
        <v>17</v>
      </c>
      <c r="S39" s="4121">
        <f t="shared" si="71"/>
        <v>17</v>
      </c>
      <c r="T39" s="4122">
        <f>SUM('Произв. прогр. Вода'!R58)</f>
        <v>9.1025261998764524</v>
      </c>
      <c r="U39" s="4122">
        <f t="shared" si="72"/>
        <v>32.340000000000003</v>
      </c>
      <c r="V39" s="4122">
        <f t="shared" si="47"/>
        <v>23.237473800123553</v>
      </c>
      <c r="W39" s="4121">
        <f>SUM('Произв. прогр. Вода'!V58)</f>
        <v>3.0341753999588175</v>
      </c>
      <c r="X39" s="4120"/>
      <c r="Y39" s="4120"/>
      <c r="Z39" s="4120"/>
      <c r="AA39" s="4121">
        <f t="shared" si="73"/>
        <v>0</v>
      </c>
      <c r="AB39" s="4122">
        <f>SUM('Произв. прогр. Вода'!B58)</f>
        <v>12.13670159983527</v>
      </c>
      <c r="AC39" s="4122">
        <f t="shared" si="74"/>
        <v>32.340000000000003</v>
      </c>
      <c r="AD39" s="4122">
        <f t="shared" si="51"/>
        <v>20.203298400164734</v>
      </c>
      <c r="AE39" s="4112"/>
      <c r="AF39" s="4112"/>
      <c r="AG39" s="4100"/>
      <c r="AH39" s="4100"/>
      <c r="AI39" s="4100"/>
      <c r="AJ39" s="4100"/>
      <c r="AK39" s="4100"/>
    </row>
    <row r="40" spans="1:37" ht="18.75" customHeight="1">
      <c r="A40" s="4119" t="s">
        <v>98</v>
      </c>
      <c r="B40" s="4121">
        <f>SUM('Произв. прогр. Вода'!H59)</f>
        <v>28.139529918972904</v>
      </c>
      <c r="C40" s="4120"/>
      <c r="D40" s="4120"/>
      <c r="E40" s="4120">
        <v>2.31</v>
      </c>
      <c r="F40" s="4121">
        <f t="shared" si="68"/>
        <v>2.31</v>
      </c>
      <c r="G40" s="4121">
        <f>SUM('Произв. прогр. Вода'!L59)</f>
        <v>28.139529918972904</v>
      </c>
      <c r="H40" s="4120"/>
      <c r="I40" s="4120"/>
      <c r="J40" s="4120">
        <v>2.31</v>
      </c>
      <c r="K40" s="4121">
        <f t="shared" si="69"/>
        <v>2.31</v>
      </c>
      <c r="L40" s="4122">
        <f>SUM('Произв. прогр. Вода'!M59)</f>
        <v>56.279059837945809</v>
      </c>
      <c r="M40" s="4122">
        <f t="shared" si="70"/>
        <v>4.62</v>
      </c>
      <c r="N40" s="4122">
        <f t="shared" si="43"/>
        <v>-51.659059837945811</v>
      </c>
      <c r="O40" s="4121">
        <f>SUM('Произв. прогр. Вода'!Q59)</f>
        <v>28.139529918972904</v>
      </c>
      <c r="P40" s="4120"/>
      <c r="Q40" s="4120"/>
      <c r="R40" s="4120"/>
      <c r="S40" s="4121">
        <f t="shared" si="71"/>
        <v>0</v>
      </c>
      <c r="T40" s="4122">
        <f>SUM('Произв. прогр. Вода'!R59)</f>
        <v>84.41858975691872</v>
      </c>
      <c r="U40" s="4122">
        <f t="shared" si="72"/>
        <v>4.62</v>
      </c>
      <c r="V40" s="4122">
        <f t="shared" si="47"/>
        <v>-79.798589756918716</v>
      </c>
      <c r="W40" s="4121">
        <f>SUM('Произв. прогр. Вода'!V59)</f>
        <v>28.139529918972904</v>
      </c>
      <c r="X40" s="4120"/>
      <c r="Y40" s="4120"/>
      <c r="Z40" s="4120"/>
      <c r="AA40" s="4121">
        <f t="shared" si="73"/>
        <v>0</v>
      </c>
      <c r="AB40" s="4122">
        <f>SUM('Произв. прогр. Вода'!B59)</f>
        <v>112.55811967589163</v>
      </c>
      <c r="AC40" s="4122">
        <f t="shared" si="74"/>
        <v>4.62</v>
      </c>
      <c r="AD40" s="4122">
        <f t="shared" si="51"/>
        <v>-107.93811967589163</v>
      </c>
      <c r="AE40" s="4112"/>
      <c r="AF40" s="4112"/>
      <c r="AG40" s="4100"/>
      <c r="AH40" s="4100"/>
      <c r="AI40" s="4100"/>
      <c r="AJ40" s="4100"/>
      <c r="AK40" s="4100"/>
    </row>
    <row r="41" spans="1:37" ht="18.75" customHeight="1">
      <c r="A41" s="4119" t="s">
        <v>38</v>
      </c>
      <c r="B41" s="4121">
        <f>SUM('Произв. прогр. Вода'!H60)</f>
        <v>0</v>
      </c>
      <c r="C41" s="4120"/>
      <c r="D41" s="4120"/>
      <c r="E41" s="4120"/>
      <c r="F41" s="4121">
        <f t="shared" si="68"/>
        <v>0</v>
      </c>
      <c r="G41" s="4121">
        <f>SUM('Произв. прогр. Вода'!L60)</f>
        <v>0</v>
      </c>
      <c r="H41" s="4120"/>
      <c r="I41" s="4120"/>
      <c r="J41" s="4120"/>
      <c r="K41" s="4121">
        <f t="shared" si="69"/>
        <v>0</v>
      </c>
      <c r="L41" s="4122">
        <f>SUM('Произв. прогр. Вода'!M60)</f>
        <v>0</v>
      </c>
      <c r="M41" s="4122">
        <f t="shared" si="70"/>
        <v>0</v>
      </c>
      <c r="N41" s="4122">
        <f t="shared" si="43"/>
        <v>0</v>
      </c>
      <c r="O41" s="4121">
        <f>SUM('Произв. прогр. Вода'!Q60)</f>
        <v>0</v>
      </c>
      <c r="P41" s="4120"/>
      <c r="Q41" s="4120"/>
      <c r="R41" s="4120"/>
      <c r="S41" s="4121">
        <f t="shared" si="71"/>
        <v>0</v>
      </c>
      <c r="T41" s="4122">
        <f>SUM('Произв. прогр. Вода'!R60)</f>
        <v>0</v>
      </c>
      <c r="U41" s="4122">
        <f t="shared" si="72"/>
        <v>0</v>
      </c>
      <c r="V41" s="4122">
        <f t="shared" si="47"/>
        <v>0</v>
      </c>
      <c r="W41" s="4121">
        <f>SUM('Произв. прогр. Вода'!V60)</f>
        <v>0</v>
      </c>
      <c r="X41" s="4120"/>
      <c r="Y41" s="4120"/>
      <c r="Z41" s="4120"/>
      <c r="AA41" s="4121">
        <f t="shared" si="73"/>
        <v>0</v>
      </c>
      <c r="AB41" s="4122">
        <f>SUM('Произв. прогр. Вода'!B60)</f>
        <v>0</v>
      </c>
      <c r="AC41" s="4122">
        <f t="shared" si="74"/>
        <v>0</v>
      </c>
      <c r="AD41" s="4122">
        <f t="shared" si="51"/>
        <v>0</v>
      </c>
      <c r="AE41" s="4112"/>
      <c r="AF41" s="4112"/>
      <c r="AG41" s="4100"/>
      <c r="AH41" s="4100"/>
      <c r="AI41" s="4100"/>
      <c r="AJ41" s="4100"/>
      <c r="AK41" s="4100"/>
    </row>
    <row r="42" spans="1:37" ht="18.75" customHeight="1">
      <c r="A42" s="4119" t="s">
        <v>607</v>
      </c>
      <c r="B42" s="4121">
        <f>SUM('Произв. прогр. Вода'!H61)</f>
        <v>19.085942031999011</v>
      </c>
      <c r="C42" s="4121">
        <f t="shared" ref="C42" si="75">SUM(C43:C45)</f>
        <v>0.06</v>
      </c>
      <c r="D42" s="4121">
        <f t="shared" ref="D42:F42" si="76">SUM(D43:D45)</f>
        <v>0</v>
      </c>
      <c r="E42" s="4121">
        <f>SUM(E43:E45)</f>
        <v>0.34</v>
      </c>
      <c r="F42" s="4121">
        <f t="shared" si="76"/>
        <v>0.4</v>
      </c>
      <c r="G42" s="4121">
        <f>SUM('Произв. прогр. Вода'!L61)</f>
        <v>19.085942031999011</v>
      </c>
      <c r="H42" s="4121">
        <f t="shared" ref="H42:M42" si="77">SUM(H43:H45)</f>
        <v>0</v>
      </c>
      <c r="I42" s="4121">
        <f t="shared" si="77"/>
        <v>0</v>
      </c>
      <c r="J42" s="4121">
        <f t="shared" si="77"/>
        <v>0.16</v>
      </c>
      <c r="K42" s="4121">
        <f t="shared" si="77"/>
        <v>0.16</v>
      </c>
      <c r="L42" s="4122">
        <f>SUM('Произв. прогр. Вода'!M61)</f>
        <v>38.171884063998021</v>
      </c>
      <c r="M42" s="4122">
        <f t="shared" si="77"/>
        <v>0.56000000000000005</v>
      </c>
      <c r="N42" s="4122">
        <f t="shared" si="43"/>
        <v>-37.611884063998019</v>
      </c>
      <c r="O42" s="4121">
        <f>SUM('Произв. прогр. Вода'!Q61)</f>
        <v>19.085942031999011</v>
      </c>
      <c r="P42" s="4121">
        <f t="shared" ref="P42:U42" si="78">SUM(P43:P45)</f>
        <v>0</v>
      </c>
      <c r="Q42" s="4121">
        <f t="shared" si="78"/>
        <v>0</v>
      </c>
      <c r="R42" s="4121">
        <f t="shared" si="78"/>
        <v>0.16</v>
      </c>
      <c r="S42" s="4121">
        <f t="shared" si="78"/>
        <v>0.16</v>
      </c>
      <c r="T42" s="4122">
        <f>SUM('Произв. прогр. Вода'!R61)</f>
        <v>57.257826095997032</v>
      </c>
      <c r="U42" s="4122">
        <f t="shared" si="78"/>
        <v>0.72</v>
      </c>
      <c r="V42" s="4122">
        <f t="shared" si="47"/>
        <v>-56.537826095997033</v>
      </c>
      <c r="W42" s="4121">
        <f>SUM('Произв. прогр. Вода'!V61)</f>
        <v>19.085942031999011</v>
      </c>
      <c r="X42" s="4121">
        <f t="shared" ref="X42:AC42" si="79">SUM(X43:X45)</f>
        <v>0</v>
      </c>
      <c r="Y42" s="4121">
        <f t="shared" si="79"/>
        <v>0</v>
      </c>
      <c r="Z42" s="4121">
        <f t="shared" si="79"/>
        <v>0</v>
      </c>
      <c r="AA42" s="4121">
        <f t="shared" si="79"/>
        <v>0</v>
      </c>
      <c r="AB42" s="4122">
        <f>SUM('Произв. прогр. Вода'!B61)</f>
        <v>76.343768127996057</v>
      </c>
      <c r="AC42" s="4122">
        <f t="shared" si="79"/>
        <v>0.72</v>
      </c>
      <c r="AD42" s="4122">
        <f t="shared" si="51"/>
        <v>-75.623768127996058</v>
      </c>
      <c r="AE42" s="4112"/>
      <c r="AF42" s="4112"/>
      <c r="AG42" s="4100"/>
      <c r="AH42" s="4100"/>
      <c r="AI42" s="4100"/>
      <c r="AJ42" s="4100"/>
      <c r="AK42" s="4100"/>
    </row>
    <row r="43" spans="1:37" ht="18.75" customHeight="1">
      <c r="A43" s="4123" t="s">
        <v>565</v>
      </c>
      <c r="B43" s="4269">
        <f>SUM('Произв. прогр. Вода'!H62)</f>
        <v>18.841250467486205</v>
      </c>
      <c r="C43" s="4124"/>
      <c r="D43" s="4124"/>
      <c r="E43" s="4124">
        <v>0.34</v>
      </c>
      <c r="F43" s="4269">
        <f t="shared" si="68"/>
        <v>0.34</v>
      </c>
      <c r="G43" s="4269">
        <f>SUM('Произв. прогр. Вода'!L62)</f>
        <v>18.841250467486205</v>
      </c>
      <c r="H43" s="4124"/>
      <c r="I43" s="4124"/>
      <c r="J43" s="4124">
        <v>0.16</v>
      </c>
      <c r="K43" s="4269">
        <f t="shared" si="69"/>
        <v>0.16</v>
      </c>
      <c r="L43" s="4270">
        <f>SUM('Произв. прогр. Вода'!M62)</f>
        <v>37.68250093497241</v>
      </c>
      <c r="M43" s="4270">
        <f t="shared" si="70"/>
        <v>0.5</v>
      </c>
      <c r="N43" s="4270">
        <f t="shared" si="43"/>
        <v>-37.18250093497241</v>
      </c>
      <c r="O43" s="4269">
        <f>SUM('Произв. прогр. Вода'!Q62)</f>
        <v>18.841250467486205</v>
      </c>
      <c r="P43" s="4124"/>
      <c r="Q43" s="4124"/>
      <c r="R43" s="4124">
        <v>0.16</v>
      </c>
      <c r="S43" s="4269">
        <f t="shared" si="71"/>
        <v>0.16</v>
      </c>
      <c r="T43" s="4270">
        <f>SUM('Произв. прогр. Вода'!R62)</f>
        <v>56.523751402458615</v>
      </c>
      <c r="U43" s="4270">
        <f t="shared" si="72"/>
        <v>0.66</v>
      </c>
      <c r="V43" s="4270">
        <f t="shared" si="47"/>
        <v>-55.863751402458618</v>
      </c>
      <c r="W43" s="4269">
        <f>SUM('Произв. прогр. Вода'!V62)</f>
        <v>18.841250467486205</v>
      </c>
      <c r="X43" s="4124"/>
      <c r="Y43" s="4124"/>
      <c r="Z43" s="4124"/>
      <c r="AA43" s="4269">
        <f t="shared" si="73"/>
        <v>0</v>
      </c>
      <c r="AB43" s="4270">
        <f>SUM('Произв. прогр. Вода'!B62)</f>
        <v>75.36500186994482</v>
      </c>
      <c r="AC43" s="4270">
        <f t="shared" si="74"/>
        <v>0.66</v>
      </c>
      <c r="AD43" s="4270">
        <f t="shared" si="51"/>
        <v>-74.705001869944823</v>
      </c>
      <c r="AE43" s="4112"/>
      <c r="AF43" s="4112"/>
      <c r="AG43" s="4100"/>
      <c r="AH43" s="4100"/>
      <c r="AI43" s="4100"/>
      <c r="AJ43" s="4100"/>
      <c r="AK43" s="4100"/>
    </row>
    <row r="44" spans="1:37" ht="18.75" customHeight="1">
      <c r="A44" s="4123" t="s">
        <v>564</v>
      </c>
      <c r="B44" s="4269">
        <f>SUM('Произв. прогр. Вода'!H63)</f>
        <v>0</v>
      </c>
      <c r="C44" s="4124"/>
      <c r="D44" s="4124"/>
      <c r="E44" s="4124"/>
      <c r="F44" s="4269">
        <f t="shared" si="68"/>
        <v>0</v>
      </c>
      <c r="G44" s="4269">
        <f>SUM('Произв. прогр. Вода'!L63)</f>
        <v>0</v>
      </c>
      <c r="H44" s="4124"/>
      <c r="I44" s="4124"/>
      <c r="J44" s="4124"/>
      <c r="K44" s="4269">
        <f t="shared" si="69"/>
        <v>0</v>
      </c>
      <c r="L44" s="4270">
        <f>SUM('Произв. прогр. Вода'!M63)</f>
        <v>0</v>
      </c>
      <c r="M44" s="4270">
        <f t="shared" si="70"/>
        <v>0</v>
      </c>
      <c r="N44" s="4270">
        <f t="shared" si="43"/>
        <v>0</v>
      </c>
      <c r="O44" s="4269">
        <f>SUM('Произв. прогр. Вода'!Q63)</f>
        <v>0</v>
      </c>
      <c r="P44" s="4124"/>
      <c r="Q44" s="4124"/>
      <c r="R44" s="4124"/>
      <c r="S44" s="4269">
        <f t="shared" si="71"/>
        <v>0</v>
      </c>
      <c r="T44" s="4270">
        <f>SUM('Произв. прогр. Вода'!R63)</f>
        <v>0</v>
      </c>
      <c r="U44" s="4270">
        <f t="shared" si="72"/>
        <v>0</v>
      </c>
      <c r="V44" s="4270">
        <f t="shared" si="47"/>
        <v>0</v>
      </c>
      <c r="W44" s="4269">
        <f>SUM('Произв. прогр. Вода'!V63)</f>
        <v>0</v>
      </c>
      <c r="X44" s="4124"/>
      <c r="Y44" s="4124"/>
      <c r="Z44" s="4124"/>
      <c r="AA44" s="4269">
        <f t="shared" si="73"/>
        <v>0</v>
      </c>
      <c r="AB44" s="4270">
        <f>SUM('Произв. прогр. Вода'!B63)</f>
        <v>0</v>
      </c>
      <c r="AC44" s="4270">
        <f t="shared" si="74"/>
        <v>0</v>
      </c>
      <c r="AD44" s="4270">
        <f t="shared" si="51"/>
        <v>0</v>
      </c>
      <c r="AE44" s="4112"/>
      <c r="AF44" s="4112"/>
      <c r="AG44" s="4100"/>
      <c r="AH44" s="4100"/>
      <c r="AI44" s="4100"/>
      <c r="AJ44" s="4100"/>
      <c r="AK44" s="4100"/>
    </row>
    <row r="45" spans="1:37" ht="18.75" customHeight="1">
      <c r="A45" s="4123" t="s">
        <v>566</v>
      </c>
      <c r="B45" s="4269">
        <f>SUM('Произв. прогр. Вода'!H64)</f>
        <v>0.24469156451280788</v>
      </c>
      <c r="C45" s="4124">
        <v>0.06</v>
      </c>
      <c r="D45" s="4124"/>
      <c r="E45" s="4124"/>
      <c r="F45" s="4269">
        <f t="shared" si="68"/>
        <v>0.06</v>
      </c>
      <c r="G45" s="4269">
        <f>SUM('Произв. прогр. Вода'!L64)</f>
        <v>0.24469156451280788</v>
      </c>
      <c r="H45" s="4124"/>
      <c r="I45" s="4124"/>
      <c r="J45" s="4124"/>
      <c r="K45" s="4269">
        <f t="shared" si="69"/>
        <v>0</v>
      </c>
      <c r="L45" s="4270">
        <f>SUM('Произв. прогр. Вода'!M64)</f>
        <v>0.48938312902561576</v>
      </c>
      <c r="M45" s="4270">
        <f t="shared" si="70"/>
        <v>0.06</v>
      </c>
      <c r="N45" s="4270">
        <f t="shared" si="43"/>
        <v>-0.42938312902561576</v>
      </c>
      <c r="O45" s="4269">
        <f>SUM('Произв. прогр. Вода'!Q64)</f>
        <v>0.24469156451280788</v>
      </c>
      <c r="P45" s="4124"/>
      <c r="Q45" s="4124"/>
      <c r="R45" s="4124"/>
      <c r="S45" s="4269">
        <f t="shared" si="71"/>
        <v>0</v>
      </c>
      <c r="T45" s="4270">
        <f>SUM('Произв. прогр. Вода'!R64)</f>
        <v>0.73407469353842369</v>
      </c>
      <c r="U45" s="4270">
        <f t="shared" si="72"/>
        <v>0.06</v>
      </c>
      <c r="V45" s="4270">
        <f t="shared" si="47"/>
        <v>-0.67407469353842364</v>
      </c>
      <c r="W45" s="4269">
        <f>SUM('Произв. прогр. Вода'!V64)</f>
        <v>0.24469156451280788</v>
      </c>
      <c r="X45" s="4124"/>
      <c r="Y45" s="4124"/>
      <c r="Z45" s="4124"/>
      <c r="AA45" s="4269">
        <f t="shared" si="73"/>
        <v>0</v>
      </c>
      <c r="AB45" s="4270">
        <f>SUM('Произв. прогр. Вода'!B64)</f>
        <v>0.97876625805123152</v>
      </c>
      <c r="AC45" s="4270">
        <f t="shared" si="74"/>
        <v>0.06</v>
      </c>
      <c r="AD45" s="4270">
        <f t="shared" si="51"/>
        <v>-0.91876625805123147</v>
      </c>
      <c r="AE45" s="4112"/>
      <c r="AF45" s="4112"/>
      <c r="AG45" s="4100"/>
      <c r="AH45" s="4100"/>
      <c r="AI45" s="4100"/>
      <c r="AJ45" s="4100"/>
      <c r="AK45" s="4100"/>
    </row>
    <row r="46" spans="1:37" ht="18.75" customHeight="1">
      <c r="A46" s="4119" t="s">
        <v>610</v>
      </c>
      <c r="B46" s="4121">
        <f>SUM('Произв. прогр. Вода'!H65)</f>
        <v>11.325402248536605</v>
      </c>
      <c r="C46" s="4121">
        <f t="shared" ref="C46:F46" si="80">SUM(C47:C48)</f>
        <v>0</v>
      </c>
      <c r="D46" s="4121">
        <f t="shared" si="80"/>
        <v>0</v>
      </c>
      <c r="E46" s="4121">
        <f t="shared" si="80"/>
        <v>0</v>
      </c>
      <c r="F46" s="4121">
        <f t="shared" si="80"/>
        <v>0</v>
      </c>
      <c r="G46" s="4121">
        <f>SUM('Произв. прогр. Вода'!L65)</f>
        <v>12.527816596552542</v>
      </c>
      <c r="H46" s="4121">
        <f t="shared" ref="H46:M46" si="81">SUM(H47:H48)</f>
        <v>0</v>
      </c>
      <c r="I46" s="4121">
        <f t="shared" si="81"/>
        <v>1.67</v>
      </c>
      <c r="J46" s="4121">
        <f t="shared" si="81"/>
        <v>5.2</v>
      </c>
      <c r="K46" s="4121">
        <f t="shared" si="81"/>
        <v>6.87</v>
      </c>
      <c r="L46" s="4122">
        <f>SUM('Произв. прогр. Вода'!M65)</f>
        <v>23.853218845089145</v>
      </c>
      <c r="M46" s="4122">
        <f t="shared" si="81"/>
        <v>6.87</v>
      </c>
      <c r="N46" s="4122">
        <f t="shared" si="43"/>
        <v>-16.983218845089144</v>
      </c>
      <c r="O46" s="4121">
        <f>SUM('Произв. прогр. Вода'!Q65)</f>
        <v>13.368185305715329</v>
      </c>
      <c r="P46" s="4121">
        <f t="shared" ref="P46:U46" si="82">SUM(P47:P48)</f>
        <v>6</v>
      </c>
      <c r="Q46" s="4121">
        <f t="shared" si="82"/>
        <v>5.2</v>
      </c>
      <c r="R46" s="4121">
        <f t="shared" si="82"/>
        <v>0</v>
      </c>
      <c r="S46" s="4121">
        <f t="shared" si="82"/>
        <v>11.2</v>
      </c>
      <c r="T46" s="4122">
        <f>SUM('Произв. прогр. Вода'!R65)</f>
        <v>37.221404150804474</v>
      </c>
      <c r="U46" s="4122">
        <f t="shared" si="82"/>
        <v>18.07</v>
      </c>
      <c r="V46" s="4122">
        <f t="shared" si="47"/>
        <v>-19.151404150804474</v>
      </c>
      <c r="W46" s="4121">
        <f>SUM('Произв. прогр. Вода'!V65)</f>
        <v>11.325402248536605</v>
      </c>
      <c r="X46" s="4121">
        <f t="shared" ref="X46:AC46" si="83">SUM(X47:X48)</f>
        <v>0</v>
      </c>
      <c r="Y46" s="4121">
        <f t="shared" si="83"/>
        <v>0</v>
      </c>
      <c r="Z46" s="4121">
        <f t="shared" si="83"/>
        <v>0</v>
      </c>
      <c r="AA46" s="4121">
        <f t="shared" si="83"/>
        <v>0</v>
      </c>
      <c r="AB46" s="4122">
        <f>SUM('Произв. прогр. Вода'!B65)</f>
        <v>48.546806399341079</v>
      </c>
      <c r="AC46" s="4122">
        <f t="shared" si="83"/>
        <v>18.07</v>
      </c>
      <c r="AD46" s="4122">
        <f t="shared" si="51"/>
        <v>-30.476806399341079</v>
      </c>
      <c r="AE46" s="4112"/>
      <c r="AF46" s="4112"/>
      <c r="AG46" s="4100"/>
      <c r="AH46" s="4100"/>
      <c r="AI46" s="4100"/>
      <c r="AJ46" s="4100"/>
      <c r="AK46" s="4100"/>
    </row>
    <row r="47" spans="1:37" ht="18.75" customHeight="1">
      <c r="A47" s="4123" t="s">
        <v>552</v>
      </c>
      <c r="B47" s="4269">
        <f>SUM('Произв. прогр. Вода'!H66)</f>
        <v>5.7953728905471475</v>
      </c>
      <c r="C47" s="4124"/>
      <c r="D47" s="4124"/>
      <c r="E47" s="4124"/>
      <c r="F47" s="4269">
        <f t="shared" si="68"/>
        <v>0</v>
      </c>
      <c r="G47" s="4269">
        <f>SUM('Произв. прогр. Вода'!L66)</f>
        <v>6.9977872385630855</v>
      </c>
      <c r="H47" s="4124"/>
      <c r="I47" s="4124"/>
      <c r="J47" s="4124"/>
      <c r="K47" s="4269">
        <f t="shared" si="69"/>
        <v>0</v>
      </c>
      <c r="L47" s="4270">
        <f>SUM('Произв. прогр. Вода'!M66)</f>
        <v>12.793160129110234</v>
      </c>
      <c r="M47" s="4270">
        <f t="shared" si="70"/>
        <v>0</v>
      </c>
      <c r="N47" s="4270">
        <f t="shared" si="43"/>
        <v>-12.793160129110234</v>
      </c>
      <c r="O47" s="4269">
        <f>SUM('Произв. прогр. Вода'!Q66)</f>
        <v>7.8381559477258724</v>
      </c>
      <c r="P47" s="4124"/>
      <c r="Q47" s="4124"/>
      <c r="R47" s="4124"/>
      <c r="S47" s="4269">
        <f t="shared" si="71"/>
        <v>0</v>
      </c>
      <c r="T47" s="4270">
        <f>SUM('Произв. прогр. Вода'!R66)</f>
        <v>20.631316076836107</v>
      </c>
      <c r="U47" s="4270">
        <f t="shared" si="72"/>
        <v>0</v>
      </c>
      <c r="V47" s="4270">
        <f t="shared" si="47"/>
        <v>-20.631316076836107</v>
      </c>
      <c r="W47" s="4269">
        <f>SUM('Произв. прогр. Вода'!V66)</f>
        <v>5.7953728905471475</v>
      </c>
      <c r="X47" s="4124"/>
      <c r="Y47" s="4124"/>
      <c r="Z47" s="4124"/>
      <c r="AA47" s="4269">
        <f t="shared" si="73"/>
        <v>0</v>
      </c>
      <c r="AB47" s="4270">
        <f>SUM('Произв. прогр. Вода'!B66)</f>
        <v>26.426688967383253</v>
      </c>
      <c r="AC47" s="4270">
        <f t="shared" si="74"/>
        <v>0</v>
      </c>
      <c r="AD47" s="4270">
        <f t="shared" si="51"/>
        <v>-26.426688967383253</v>
      </c>
      <c r="AE47" s="4112"/>
      <c r="AF47" s="4112"/>
      <c r="AG47" s="4100"/>
      <c r="AH47" s="4100"/>
      <c r="AI47" s="4100"/>
      <c r="AJ47" s="4100"/>
      <c r="AK47" s="4100"/>
    </row>
    <row r="48" spans="1:37" ht="18.75" customHeight="1">
      <c r="A48" s="4123" t="s">
        <v>644</v>
      </c>
      <c r="B48" s="4269">
        <f>SUM('Произв. прогр. Вода'!H67)</f>
        <v>5.5300293579894575</v>
      </c>
      <c r="C48" s="4124"/>
      <c r="D48" s="4124"/>
      <c r="E48" s="4124"/>
      <c r="F48" s="4269">
        <f t="shared" si="68"/>
        <v>0</v>
      </c>
      <c r="G48" s="4269">
        <f>SUM('Произв. прогр. Вода'!L67)</f>
        <v>5.5300293579894575</v>
      </c>
      <c r="H48" s="4124"/>
      <c r="I48" s="4124">
        <v>1.67</v>
      </c>
      <c r="J48" s="4124">
        <v>5.2</v>
      </c>
      <c r="K48" s="4269">
        <f t="shared" si="69"/>
        <v>6.87</v>
      </c>
      <c r="L48" s="4270">
        <f>SUM('Произв. прогр. Вода'!M67)</f>
        <v>11.060058715978915</v>
      </c>
      <c r="M48" s="4270">
        <f t="shared" si="70"/>
        <v>6.87</v>
      </c>
      <c r="N48" s="4270">
        <f t="shared" si="43"/>
        <v>-4.1900587159789149</v>
      </c>
      <c r="O48" s="4269">
        <f>SUM('Произв. прогр. Вода'!Q67)</f>
        <v>5.5300293579894575</v>
      </c>
      <c r="P48" s="4124">
        <v>6</v>
      </c>
      <c r="Q48" s="4124">
        <v>5.2</v>
      </c>
      <c r="R48" s="4124"/>
      <c r="S48" s="4269">
        <f t="shared" si="71"/>
        <v>11.2</v>
      </c>
      <c r="T48" s="4270">
        <f>SUM('Произв. прогр. Вода'!R67)</f>
        <v>16.590088073968374</v>
      </c>
      <c r="U48" s="4270">
        <f t="shared" si="72"/>
        <v>18.07</v>
      </c>
      <c r="V48" s="4270">
        <f t="shared" si="47"/>
        <v>1.479911926031626</v>
      </c>
      <c r="W48" s="4269">
        <f>SUM('Произв. прогр. Вода'!V67)</f>
        <v>5.5300293579894575</v>
      </c>
      <c r="X48" s="4124"/>
      <c r="Y48" s="4124"/>
      <c r="Z48" s="4124"/>
      <c r="AA48" s="4269">
        <f t="shared" si="73"/>
        <v>0</v>
      </c>
      <c r="AB48" s="4270">
        <f>SUM('Произв. прогр. Вода'!B67)</f>
        <v>22.12011743195783</v>
      </c>
      <c r="AC48" s="4270">
        <f t="shared" si="74"/>
        <v>18.07</v>
      </c>
      <c r="AD48" s="4270">
        <f t="shared" si="51"/>
        <v>-4.0501174319578297</v>
      </c>
      <c r="AE48" s="4112"/>
      <c r="AF48" s="4112"/>
      <c r="AG48" s="4100"/>
      <c r="AH48" s="4100"/>
      <c r="AI48" s="4100"/>
      <c r="AJ48" s="4100"/>
      <c r="AK48" s="4100"/>
    </row>
    <row r="49" spans="1:37" ht="18.75" customHeight="1">
      <c r="A49" s="4116" t="s">
        <v>7</v>
      </c>
      <c r="B49" s="4117">
        <f>SUM('Произв. прогр. Вода'!H68)</f>
        <v>14320.619215905566</v>
      </c>
      <c r="C49" s="4117">
        <f t="shared" ref="C49" si="84">SUM(C50:C56)+C58</f>
        <v>5052.67</v>
      </c>
      <c r="D49" s="4117">
        <f t="shared" ref="D49:F49" si="85">SUM(D50:D56)+D58</f>
        <v>4606.26</v>
      </c>
      <c r="E49" s="4117">
        <f>SUM(E50:E56)+E58</f>
        <v>4931.3900000000003</v>
      </c>
      <c r="F49" s="4117">
        <f t="shared" si="85"/>
        <v>14590.319999999998</v>
      </c>
      <c r="G49" s="4117">
        <f>SUM('Произв. прогр. Вода'!L68)</f>
        <v>12973.567684566475</v>
      </c>
      <c r="H49" s="4117">
        <f>SUM(H50:H56)+H58</f>
        <v>7438.1900000000005</v>
      </c>
      <c r="I49" s="4117">
        <f t="shared" ref="I49:M49" si="86">SUM(I50:I56)+I58</f>
        <v>7203.0099999999993</v>
      </c>
      <c r="J49" s="4117">
        <f t="shared" si="86"/>
        <v>5625.79</v>
      </c>
      <c r="K49" s="4117">
        <f t="shared" si="86"/>
        <v>20266.989999999998</v>
      </c>
      <c r="L49" s="4118">
        <f>SUM('Произв. прогр. Вода'!M68)</f>
        <v>27294.186900472043</v>
      </c>
      <c r="M49" s="4118">
        <f t="shared" si="86"/>
        <v>34857.31</v>
      </c>
      <c r="N49" s="4118">
        <f t="shared" si="43"/>
        <v>7563.1230995279548</v>
      </c>
      <c r="O49" s="4117">
        <f>SUM('Произв. прогр. Вода'!Q68)</f>
        <v>13230.371770981994</v>
      </c>
      <c r="P49" s="4117">
        <f t="shared" ref="P49:U49" si="87">SUM(P50:P56)+P58</f>
        <v>5385.7</v>
      </c>
      <c r="Q49" s="4117">
        <f t="shared" si="87"/>
        <v>6161.68</v>
      </c>
      <c r="R49" s="4117">
        <f t="shared" si="87"/>
        <v>6926.6399999999994</v>
      </c>
      <c r="S49" s="4117">
        <f t="shared" si="87"/>
        <v>18474.02</v>
      </c>
      <c r="T49" s="4118">
        <f>SUM('Произв. прогр. Вода'!R68)</f>
        <v>40524.55867145404</v>
      </c>
      <c r="U49" s="4118">
        <f t="shared" si="87"/>
        <v>53331.33</v>
      </c>
      <c r="V49" s="4118">
        <f t="shared" si="47"/>
        <v>12806.771328545961</v>
      </c>
      <c r="W49" s="4117">
        <f>SUM('Произв. прогр. Вода'!V68)</f>
        <v>14715.463218898632</v>
      </c>
      <c r="X49" s="4117">
        <f t="shared" ref="X49:AC49" si="88">SUM(X50:X56)+X58</f>
        <v>0</v>
      </c>
      <c r="Y49" s="4117">
        <f t="shared" si="88"/>
        <v>0</v>
      </c>
      <c r="Z49" s="4117">
        <f t="shared" si="88"/>
        <v>0</v>
      </c>
      <c r="AA49" s="4117">
        <f t="shared" si="88"/>
        <v>0</v>
      </c>
      <c r="AB49" s="4118">
        <f>SUM('Произв. прогр. Вода'!B68)</f>
        <v>55240.021891225886</v>
      </c>
      <c r="AC49" s="4118">
        <f t="shared" si="88"/>
        <v>53331.33</v>
      </c>
      <c r="AD49" s="4118">
        <f t="shared" si="51"/>
        <v>-1908.6918912258843</v>
      </c>
      <c r="AE49" s="4112"/>
      <c r="AF49" s="4112"/>
      <c r="AG49" s="4100"/>
      <c r="AH49" s="4100"/>
      <c r="AI49" s="4100"/>
      <c r="AJ49" s="4100"/>
      <c r="AK49" s="4100"/>
    </row>
    <row r="50" spans="1:37" ht="18.75" customHeight="1">
      <c r="A50" s="4114" t="s">
        <v>1</v>
      </c>
      <c r="B50" s="4121">
        <f>SUM('Произв. прогр. Вода'!H69)</f>
        <v>1215.4895573400288</v>
      </c>
      <c r="C50" s="4120">
        <v>710.99</v>
      </c>
      <c r="D50" s="4120">
        <v>619.65</v>
      </c>
      <c r="E50" s="4120">
        <v>707.11</v>
      </c>
      <c r="F50" s="4121">
        <f t="shared" si="68"/>
        <v>2037.75</v>
      </c>
      <c r="G50" s="4121">
        <f>SUM('Произв. прогр. Вода'!L69)</f>
        <v>1164.7648055928228</v>
      </c>
      <c r="H50" s="4120">
        <v>764.97</v>
      </c>
      <c r="I50" s="4120">
        <v>820.92</v>
      </c>
      <c r="J50" s="4120">
        <v>665.74</v>
      </c>
      <c r="K50" s="4121">
        <f t="shared" si="69"/>
        <v>2251.63</v>
      </c>
      <c r="L50" s="4122">
        <f>SUM('Произв. прогр. Вода'!M69)</f>
        <v>2380.2543629328516</v>
      </c>
      <c r="M50" s="4122">
        <f t="shared" si="70"/>
        <v>4289.38</v>
      </c>
      <c r="N50" s="4122">
        <f t="shared" si="43"/>
        <v>1909.1256370671485</v>
      </c>
      <c r="O50" s="4121">
        <f>SUM('Произв. прогр. Вода'!Q69)</f>
        <v>1215.2594277015455</v>
      </c>
      <c r="P50" s="4120">
        <v>759.36</v>
      </c>
      <c r="Q50" s="4120">
        <v>772.3</v>
      </c>
      <c r="R50" s="4120">
        <v>755.94</v>
      </c>
      <c r="S50" s="4121">
        <f t="shared" si="71"/>
        <v>2287.6</v>
      </c>
      <c r="T50" s="4122">
        <f>SUM('Произв. прогр. Вода'!R69)</f>
        <v>3598.0183643274599</v>
      </c>
      <c r="U50" s="4122">
        <f t="shared" si="72"/>
        <v>6576.98</v>
      </c>
      <c r="V50" s="4122">
        <f t="shared" si="47"/>
        <v>2978.9616356725396</v>
      </c>
      <c r="W50" s="4121">
        <f>SUM('Произв. прогр. Вода'!V69)</f>
        <v>1304.7062084923834</v>
      </c>
      <c r="X50" s="4120"/>
      <c r="Y50" s="4120"/>
      <c r="Z50" s="4120"/>
      <c r="AA50" s="4121">
        <f t="shared" si="73"/>
        <v>0</v>
      </c>
      <c r="AB50" s="4122">
        <f>SUM('Произв. прогр. Вода'!B69)</f>
        <v>4900.22</v>
      </c>
      <c r="AC50" s="4122">
        <f t="shared" si="74"/>
        <v>6576.98</v>
      </c>
      <c r="AD50" s="4122">
        <f t="shared" si="51"/>
        <v>1676.7599999999993</v>
      </c>
      <c r="AE50" s="4112"/>
      <c r="AF50" s="4112"/>
      <c r="AG50" s="4100"/>
      <c r="AH50" s="4100"/>
      <c r="AI50" s="4100"/>
      <c r="AJ50" s="4100"/>
      <c r="AK50" s="4100"/>
    </row>
    <row r="51" spans="1:37" ht="18.75" customHeight="1">
      <c r="A51" s="4114" t="s">
        <v>8</v>
      </c>
      <c r="B51" s="4121">
        <f>SUM('Произв. прогр. Вода'!H70)</f>
        <v>1851.6449689860901</v>
      </c>
      <c r="C51" s="4120">
        <v>286.25</v>
      </c>
      <c r="D51" s="4120">
        <v>147.15</v>
      </c>
      <c r="E51" s="4120">
        <v>132.66</v>
      </c>
      <c r="F51" s="4121">
        <f t="shared" si="68"/>
        <v>566.05999999999995</v>
      </c>
      <c r="G51" s="4121">
        <f>SUM('Произв. прогр. Вода'!L70)</f>
        <v>1851.6449689860901</v>
      </c>
      <c r="H51" s="4120">
        <v>962.24</v>
      </c>
      <c r="I51" s="4120">
        <f>2027.9+35.2</f>
        <v>2063.1</v>
      </c>
      <c r="J51" s="4120">
        <v>977.27</v>
      </c>
      <c r="K51" s="4121">
        <f t="shared" si="69"/>
        <v>4002.61</v>
      </c>
      <c r="L51" s="4122">
        <f>SUM('Произв. прогр. Вода'!M70)</f>
        <v>3703.2899379721803</v>
      </c>
      <c r="M51" s="4122">
        <f t="shared" si="70"/>
        <v>4568.67</v>
      </c>
      <c r="N51" s="4122">
        <f t="shared" si="43"/>
        <v>865.3800620278198</v>
      </c>
      <c r="O51" s="4121">
        <f>SUM('Произв. прогр. Вода'!Q70)</f>
        <v>1851.6449689860901</v>
      </c>
      <c r="P51" s="4120">
        <v>1348.43</v>
      </c>
      <c r="Q51" s="4120">
        <f>1735.84+65.46</f>
        <v>1801.3</v>
      </c>
      <c r="R51" s="4120">
        <v>2369.5300000000002</v>
      </c>
      <c r="S51" s="4121">
        <f t="shared" si="71"/>
        <v>5519.26</v>
      </c>
      <c r="T51" s="4122">
        <f>SUM('Произв. прогр. Вода'!R70)</f>
        <v>5554.9349069582704</v>
      </c>
      <c r="U51" s="4122">
        <f t="shared" si="72"/>
        <v>10087.93</v>
      </c>
      <c r="V51" s="4122">
        <f t="shared" si="47"/>
        <v>4532.9950930417299</v>
      </c>
      <c r="W51" s="4121">
        <f>SUM('Произв. прогр. Вода'!V70)</f>
        <v>1851.6449689860901</v>
      </c>
      <c r="X51" s="4120"/>
      <c r="Y51" s="4120"/>
      <c r="Z51" s="4120"/>
      <c r="AA51" s="4121">
        <f t="shared" si="73"/>
        <v>0</v>
      </c>
      <c r="AB51" s="4122">
        <f>SUM('Произв. прогр. Вода'!B70)</f>
        <v>7406.5798759443596</v>
      </c>
      <c r="AC51" s="4122">
        <f t="shared" si="74"/>
        <v>10087.93</v>
      </c>
      <c r="AD51" s="4122">
        <f t="shared" si="51"/>
        <v>2681.3501240556407</v>
      </c>
      <c r="AE51" s="4112"/>
      <c r="AF51" s="4112"/>
      <c r="AG51" s="4100"/>
      <c r="AH51" s="4100"/>
      <c r="AI51" s="4100"/>
      <c r="AJ51" s="4100"/>
      <c r="AK51" s="4100"/>
    </row>
    <row r="52" spans="1:37" ht="18.75" customHeight="1">
      <c r="A52" s="4114" t="s">
        <v>2</v>
      </c>
      <c r="B52" s="4121">
        <f>SUM('Произв. прогр. Вода'!H71)</f>
        <v>390.29250000000002</v>
      </c>
      <c r="C52" s="4120">
        <f>147.55+2.04</f>
        <v>149.59</v>
      </c>
      <c r="D52" s="4120">
        <v>149.59</v>
      </c>
      <c r="E52" s="4120">
        <v>149.41999999999999</v>
      </c>
      <c r="F52" s="4121">
        <f t="shared" si="68"/>
        <v>448.6</v>
      </c>
      <c r="G52" s="4121">
        <f>SUM('Произв. прогр. Вода'!L71)</f>
        <v>390.29250000000002</v>
      </c>
      <c r="H52" s="4120">
        <v>149.41999999999999</v>
      </c>
      <c r="I52" s="4120">
        <f>224.8+2.04</f>
        <v>226.84</v>
      </c>
      <c r="J52" s="4120">
        <v>325.33</v>
      </c>
      <c r="K52" s="4121">
        <f t="shared" si="69"/>
        <v>701.58999999999992</v>
      </c>
      <c r="L52" s="4122">
        <f>SUM('Произв. прогр. Вода'!M71)</f>
        <v>780.58500000000004</v>
      </c>
      <c r="M52" s="4122">
        <f t="shared" si="70"/>
        <v>1150.19</v>
      </c>
      <c r="N52" s="4122">
        <f t="shared" si="43"/>
        <v>369.60500000000002</v>
      </c>
      <c r="O52" s="4121">
        <f>SUM('Произв. прогр. Вода'!Q71)</f>
        <v>390.29250000000002</v>
      </c>
      <c r="P52" s="4120">
        <v>325.17</v>
      </c>
      <c r="Q52" s="4120">
        <f>301.18+2.04</f>
        <v>303.22000000000003</v>
      </c>
      <c r="R52" s="4120">
        <v>305.27</v>
      </c>
      <c r="S52" s="4121">
        <f t="shared" si="71"/>
        <v>933.66000000000008</v>
      </c>
      <c r="T52" s="4122">
        <f>SUM('Произв. прогр. Вода'!R71)</f>
        <v>1170.8775000000001</v>
      </c>
      <c r="U52" s="4122">
        <f t="shared" si="72"/>
        <v>2083.8500000000004</v>
      </c>
      <c r="V52" s="4122">
        <f t="shared" si="47"/>
        <v>912.97250000000031</v>
      </c>
      <c r="W52" s="4121">
        <f>SUM('Произв. прогр. Вода'!V71)</f>
        <v>390.29250000000002</v>
      </c>
      <c r="X52" s="4120"/>
      <c r="Y52" s="4120"/>
      <c r="Z52" s="4120"/>
      <c r="AA52" s="4121">
        <f t="shared" si="73"/>
        <v>0</v>
      </c>
      <c r="AB52" s="4122">
        <f>SUM('Произв. прогр. Вода'!B71)</f>
        <v>1561.17</v>
      </c>
      <c r="AC52" s="4122">
        <f t="shared" si="74"/>
        <v>2083.8500000000004</v>
      </c>
      <c r="AD52" s="4122">
        <f t="shared" si="51"/>
        <v>522.68000000000029</v>
      </c>
      <c r="AE52" s="4112"/>
      <c r="AF52" s="4112"/>
      <c r="AG52" s="4100"/>
      <c r="AH52" s="4100"/>
      <c r="AI52" s="4100"/>
      <c r="AJ52" s="4100"/>
      <c r="AK52" s="4100"/>
    </row>
    <row r="53" spans="1:37" ht="18.75" customHeight="1">
      <c r="A53" s="4114" t="s">
        <v>219</v>
      </c>
      <c r="B53" s="4121">
        <f>SUM('Произв. прогр. Вода'!H72)</f>
        <v>0</v>
      </c>
      <c r="C53" s="4120"/>
      <c r="D53" s="4120"/>
      <c r="E53" s="4120"/>
      <c r="F53" s="4121">
        <f t="shared" si="68"/>
        <v>0</v>
      </c>
      <c r="G53" s="4121">
        <f>SUM('Произв. прогр. Вода'!L72)</f>
        <v>0</v>
      </c>
      <c r="H53" s="4120"/>
      <c r="I53" s="4120"/>
      <c r="J53" s="4120"/>
      <c r="K53" s="4121">
        <f t="shared" si="69"/>
        <v>0</v>
      </c>
      <c r="L53" s="4122">
        <f>SUM('Произв. прогр. Вода'!M72)</f>
        <v>0</v>
      </c>
      <c r="M53" s="4122">
        <f t="shared" si="70"/>
        <v>0</v>
      </c>
      <c r="N53" s="4122">
        <f t="shared" si="43"/>
        <v>0</v>
      </c>
      <c r="O53" s="4121">
        <f>SUM('Произв. прогр. Вода'!Q72)</f>
        <v>0</v>
      </c>
      <c r="P53" s="4120"/>
      <c r="Q53" s="4120"/>
      <c r="R53" s="4120"/>
      <c r="S53" s="4121">
        <f t="shared" si="71"/>
        <v>0</v>
      </c>
      <c r="T53" s="4122">
        <f>SUM('Произв. прогр. Вода'!R72)</f>
        <v>0</v>
      </c>
      <c r="U53" s="4122">
        <f t="shared" si="72"/>
        <v>0</v>
      </c>
      <c r="V53" s="4122">
        <f t="shared" si="47"/>
        <v>0</v>
      </c>
      <c r="W53" s="4121">
        <f>SUM('Произв. прогр. Вода'!V72)</f>
        <v>0</v>
      </c>
      <c r="X53" s="4120"/>
      <c r="Y53" s="4120"/>
      <c r="Z53" s="4120"/>
      <c r="AA53" s="4121">
        <f t="shared" si="73"/>
        <v>0</v>
      </c>
      <c r="AB53" s="4122">
        <f>SUM('Произв. прогр. Вода'!B72)</f>
        <v>0</v>
      </c>
      <c r="AC53" s="4122">
        <f t="shared" si="74"/>
        <v>0</v>
      </c>
      <c r="AD53" s="4122">
        <f t="shared" si="51"/>
        <v>0</v>
      </c>
      <c r="AE53" s="4112"/>
      <c r="AF53" s="4112"/>
      <c r="AG53" s="4100"/>
      <c r="AH53" s="4100"/>
      <c r="AI53" s="4100"/>
      <c r="AJ53" s="4100"/>
      <c r="AK53" s="4100"/>
    </row>
    <row r="54" spans="1:37" ht="18.75" customHeight="1">
      <c r="A54" s="4114" t="s">
        <v>3</v>
      </c>
      <c r="B54" s="4121">
        <f>SUM('Произв. прогр. Вода'!H73)</f>
        <v>0</v>
      </c>
      <c r="C54" s="4120">
        <v>63.19</v>
      </c>
      <c r="D54" s="4120">
        <v>56.37</v>
      </c>
      <c r="E54" s="4120">
        <v>28.5</v>
      </c>
      <c r="F54" s="4121">
        <f t="shared" si="68"/>
        <v>148.06</v>
      </c>
      <c r="G54" s="4121">
        <f>SUM('Произв. прогр. Вода'!L73)</f>
        <v>0</v>
      </c>
      <c r="H54" s="4120">
        <v>1789.14</v>
      </c>
      <c r="I54" s="4120">
        <f>24+26.36</f>
        <v>50.36</v>
      </c>
      <c r="J54" s="4120">
        <v>210.97</v>
      </c>
      <c r="K54" s="4121">
        <f t="shared" si="69"/>
        <v>2050.4699999999998</v>
      </c>
      <c r="L54" s="4122">
        <f>SUM('Произв. прогр. Вода'!M73)</f>
        <v>0</v>
      </c>
      <c r="M54" s="4122">
        <f t="shared" si="70"/>
        <v>2198.5299999999997</v>
      </c>
      <c r="N54" s="4122">
        <f t="shared" si="43"/>
        <v>2198.5299999999997</v>
      </c>
      <c r="O54" s="4121">
        <f>SUM('Произв. прогр. Вода'!Q73)</f>
        <v>0</v>
      </c>
      <c r="P54" s="4120">
        <f>35.1+2.39</f>
        <v>37.49</v>
      </c>
      <c r="Q54" s="4120">
        <f>0.97+0.25+98.9+0.49</f>
        <v>100.61</v>
      </c>
      <c r="R54" s="4120">
        <v>82.77</v>
      </c>
      <c r="S54" s="4121">
        <f t="shared" si="71"/>
        <v>220.87</v>
      </c>
      <c r="T54" s="4122">
        <f>SUM('Произв. прогр. Вода'!R73)</f>
        <v>0</v>
      </c>
      <c r="U54" s="4122">
        <f t="shared" si="72"/>
        <v>2419.3999999999996</v>
      </c>
      <c r="V54" s="4122">
        <f t="shared" si="47"/>
        <v>2419.3999999999996</v>
      </c>
      <c r="W54" s="4121">
        <f>SUM('Произв. прогр. Вода'!V73)</f>
        <v>0</v>
      </c>
      <c r="X54" s="4120"/>
      <c r="Y54" s="4120"/>
      <c r="Z54" s="4120"/>
      <c r="AA54" s="4121">
        <f t="shared" si="73"/>
        <v>0</v>
      </c>
      <c r="AB54" s="4122">
        <f>SUM('Произв. прогр. Вода'!B73)</f>
        <v>0</v>
      </c>
      <c r="AC54" s="4122">
        <f t="shared" si="74"/>
        <v>2419.3999999999996</v>
      </c>
      <c r="AD54" s="4122">
        <f t="shared" si="51"/>
        <v>2419.3999999999996</v>
      </c>
      <c r="AE54" s="4112"/>
      <c r="AF54" s="4112"/>
      <c r="AG54" s="4100"/>
      <c r="AH54" s="4100"/>
      <c r="AI54" s="4100"/>
      <c r="AJ54" s="4100"/>
      <c r="AK54" s="4100"/>
    </row>
    <row r="55" spans="1:37" ht="18.75" customHeight="1">
      <c r="A55" s="4114" t="s">
        <v>4</v>
      </c>
      <c r="B55" s="4121">
        <f>SUM('Произв. прогр. Вода'!H74)</f>
        <v>5786.9376410932573</v>
      </c>
      <c r="C55" s="4120">
        <v>1732.68</v>
      </c>
      <c r="D55" s="4120">
        <v>1804.74</v>
      </c>
      <c r="E55" s="4120">
        <v>2125.06</v>
      </c>
      <c r="F55" s="4121">
        <f t="shared" si="68"/>
        <v>5662.48</v>
      </c>
      <c r="G55" s="4121">
        <f>SUM('Произв. прогр. Вода'!L74)</f>
        <v>5786.9376410932573</v>
      </c>
      <c r="H55" s="4120">
        <v>1977.49</v>
      </c>
      <c r="I55" s="4120">
        <f>1849.22+242.62+202.1</f>
        <v>2293.94</v>
      </c>
      <c r="J55" s="4120">
        <v>2188.94</v>
      </c>
      <c r="K55" s="4121">
        <f t="shared" si="69"/>
        <v>6460.3700000000008</v>
      </c>
      <c r="L55" s="4122">
        <f>SUM('Произв. прогр. Вода'!M74)</f>
        <v>11573.875282186515</v>
      </c>
      <c r="M55" s="4122">
        <f t="shared" si="70"/>
        <v>12122.85</v>
      </c>
      <c r="N55" s="4122">
        <f t="shared" si="43"/>
        <v>548.97471781348577</v>
      </c>
      <c r="O55" s="4121">
        <f>SUM('Произв. прогр. Вода'!Q74)</f>
        <v>6135.8899808511787</v>
      </c>
      <c r="P55" s="4120">
        <f>1760.85+1.91</f>
        <v>1762.76</v>
      </c>
      <c r="Q55" s="4120">
        <v>1793.22</v>
      </c>
      <c r="R55" s="4120">
        <f>1858.83+10.52-74.69</f>
        <v>1794.6599999999999</v>
      </c>
      <c r="S55" s="4121">
        <f t="shared" si="71"/>
        <v>5350.6399999999994</v>
      </c>
      <c r="T55" s="4122">
        <f>SUM('Произв. прогр. Вода'!R74)</f>
        <v>17709.765263037694</v>
      </c>
      <c r="U55" s="4122">
        <f t="shared" si="72"/>
        <v>17473.489999999998</v>
      </c>
      <c r="V55" s="4122">
        <f t="shared" si="47"/>
        <v>-236.27526303769628</v>
      </c>
      <c r="W55" s="4121">
        <f>SUM('Произв. прогр. Вода'!V74)</f>
        <v>6135.8899808511787</v>
      </c>
      <c r="X55" s="4120"/>
      <c r="Y55" s="4120"/>
      <c r="Z55" s="4120"/>
      <c r="AA55" s="4121">
        <f t="shared" si="73"/>
        <v>0</v>
      </c>
      <c r="AB55" s="4122">
        <f>SUM('Произв. прогр. Вода'!B74)</f>
        <v>23845.655243888872</v>
      </c>
      <c r="AC55" s="4122">
        <f t="shared" si="74"/>
        <v>17473.489999999998</v>
      </c>
      <c r="AD55" s="4122">
        <f t="shared" si="51"/>
        <v>-6372.1652438888741</v>
      </c>
      <c r="AE55" s="4112"/>
      <c r="AF55" s="4112"/>
      <c r="AG55" s="4100"/>
      <c r="AH55" s="4100"/>
      <c r="AI55" s="4100"/>
      <c r="AJ55" s="4100"/>
      <c r="AK55" s="4100"/>
    </row>
    <row r="56" spans="1:37" ht="18.75" customHeight="1">
      <c r="A56" s="4114" t="s">
        <v>5</v>
      </c>
      <c r="B56" s="4121">
        <f>SUM('Произв. прогр. Вода'!H75)</f>
        <v>1725.832062291523</v>
      </c>
      <c r="C56" s="4120">
        <v>519.39</v>
      </c>
      <c r="D56" s="4120">
        <v>543.98</v>
      </c>
      <c r="E56" s="4120">
        <v>622.46</v>
      </c>
      <c r="F56" s="4121">
        <f t="shared" si="68"/>
        <v>1685.83</v>
      </c>
      <c r="G56" s="4121">
        <f>SUM('Произв. прогр. Вода'!L75)</f>
        <v>1725.832062291523</v>
      </c>
      <c r="H56" s="4120">
        <v>595.37</v>
      </c>
      <c r="I56" s="4120">
        <f>558.1+73.27+61.03</f>
        <v>692.4</v>
      </c>
      <c r="J56" s="4120">
        <v>662.2</v>
      </c>
      <c r="K56" s="4121">
        <f t="shared" si="69"/>
        <v>1949.97</v>
      </c>
      <c r="L56" s="4122">
        <f>SUM('Произв. прогр. Вода'!M75)</f>
        <v>3451.664124583046</v>
      </c>
      <c r="M56" s="4122">
        <f t="shared" si="70"/>
        <v>3635.8</v>
      </c>
      <c r="N56" s="4122">
        <f t="shared" si="43"/>
        <v>184.13587541695415</v>
      </c>
      <c r="O56" s="4121">
        <f>SUM('Произв. прогр. Вода'!Q75)</f>
        <v>1829.8997356477012</v>
      </c>
      <c r="P56" s="4120">
        <v>533.69000000000005</v>
      </c>
      <c r="Q56" s="4120">
        <v>540.59</v>
      </c>
      <c r="R56" s="4120">
        <f>542.71+22.58</f>
        <v>565.29000000000008</v>
      </c>
      <c r="S56" s="4121">
        <f t="shared" si="71"/>
        <v>1639.5700000000002</v>
      </c>
      <c r="T56" s="4122">
        <f>SUM('Произв. прогр. Вода'!R75)</f>
        <v>5281.5638602307472</v>
      </c>
      <c r="U56" s="4122">
        <f t="shared" si="72"/>
        <v>5275.3700000000008</v>
      </c>
      <c r="V56" s="4122">
        <f t="shared" si="47"/>
        <v>-6.1938602307463952</v>
      </c>
      <c r="W56" s="4121">
        <f>SUM('Произв. прогр. Вода'!V75)</f>
        <v>1829.8997356477012</v>
      </c>
      <c r="X56" s="4120"/>
      <c r="Y56" s="4120"/>
      <c r="Z56" s="4120"/>
      <c r="AA56" s="4121">
        <f t="shared" si="73"/>
        <v>0</v>
      </c>
      <c r="AB56" s="4122">
        <f>SUM('Произв. прогр. Вода'!B75)</f>
        <v>7111.4635958784502</v>
      </c>
      <c r="AC56" s="4122">
        <f t="shared" si="74"/>
        <v>5275.3700000000008</v>
      </c>
      <c r="AD56" s="4122">
        <f t="shared" si="51"/>
        <v>-1836.0935958784494</v>
      </c>
      <c r="AE56" s="4112"/>
      <c r="AF56" s="4112"/>
      <c r="AG56" s="4100"/>
      <c r="AH56" s="4100"/>
      <c r="AI56" s="4100"/>
      <c r="AJ56" s="4100"/>
      <c r="AK56" s="4100"/>
    </row>
    <row r="57" spans="1:37" ht="18.75" customHeight="1">
      <c r="A57" s="4115" t="str">
        <f>A32</f>
        <v>то же в %</v>
      </c>
      <c r="B57" s="4107">
        <f>SUM('Произв. прогр. Вода'!H76)</f>
        <v>0.29822890263000695</v>
      </c>
      <c r="C57" s="4107">
        <f t="shared" ref="C57:F57" si="89">SUM(C56/C55)</f>
        <v>0.29976106378558071</v>
      </c>
      <c r="D57" s="4107">
        <f t="shared" si="89"/>
        <v>0.3014173786805856</v>
      </c>
      <c r="E57" s="4107">
        <f t="shared" si="89"/>
        <v>0.292914082425908</v>
      </c>
      <c r="F57" s="4107">
        <f t="shared" si="89"/>
        <v>0.29771937384326302</v>
      </c>
      <c r="G57" s="4107">
        <f>SUM('Произв. прогр. Вода'!L76)</f>
        <v>0.29822890263000695</v>
      </c>
      <c r="H57" s="4107">
        <f t="shared" ref="H57:M57" si="90">SUM(H56/H55)</f>
        <v>0.301073583178676</v>
      </c>
      <c r="I57" s="4107">
        <f t="shared" si="90"/>
        <v>0.30183875777047348</v>
      </c>
      <c r="J57" s="4107">
        <f t="shared" si="90"/>
        <v>0.30252085484298336</v>
      </c>
      <c r="K57" s="4107">
        <f t="shared" si="90"/>
        <v>0.30183565337589019</v>
      </c>
      <c r="L57" s="4109">
        <f>SUM('Произв. прогр. Вода'!M76)</f>
        <v>0.29822890263000695</v>
      </c>
      <c r="M57" s="4109">
        <f t="shared" si="90"/>
        <v>0.2999129742593532</v>
      </c>
      <c r="N57" s="4109">
        <f t="shared" si="43"/>
        <v>1.684071629346251E-3</v>
      </c>
      <c r="O57" s="4107">
        <f>SUM('Произв. прогр. Вода'!Q76)</f>
        <v>0.2982289026300069</v>
      </c>
      <c r="P57" s="4107">
        <f t="shared" ref="P57:U57" si="91">SUM(P56/P55)</f>
        <v>0.3027581746806145</v>
      </c>
      <c r="Q57" s="4107">
        <f t="shared" si="91"/>
        <v>0.30146328950156703</v>
      </c>
      <c r="R57" s="4107">
        <f t="shared" si="91"/>
        <v>0.31498445387984358</v>
      </c>
      <c r="S57" s="4107">
        <f t="shared" si="91"/>
        <v>0.30642502579130726</v>
      </c>
      <c r="T57" s="4109">
        <f>SUM('Произв. прогр. Вода'!R76)</f>
        <v>0.2982289026300069</v>
      </c>
      <c r="U57" s="4109">
        <f t="shared" si="91"/>
        <v>0.30190706035256848</v>
      </c>
      <c r="V57" s="4109">
        <f t="shared" si="47"/>
        <v>3.6781577225615814E-3</v>
      </c>
      <c r="W57" s="4107">
        <f>SUM('Произв. прогр. Вода'!V76)</f>
        <v>0.2982289026300069</v>
      </c>
      <c r="X57" s="4107" t="e">
        <f t="shared" ref="X57:AC57" si="92">SUM(X56/X55)</f>
        <v>#DIV/0!</v>
      </c>
      <c r="Y57" s="4107" t="e">
        <f t="shared" si="92"/>
        <v>#DIV/0!</v>
      </c>
      <c r="Z57" s="4107" t="e">
        <f t="shared" si="92"/>
        <v>#DIV/0!</v>
      </c>
      <c r="AA57" s="4107" t="e">
        <f t="shared" si="92"/>
        <v>#DIV/0!</v>
      </c>
      <c r="AB57" s="4109">
        <f>SUM('Произв. прогр. Вода'!B76)</f>
        <v>0.29822890263000695</v>
      </c>
      <c r="AC57" s="4109">
        <f t="shared" si="92"/>
        <v>0.30190706035256848</v>
      </c>
      <c r="AD57" s="4109">
        <f t="shared" si="51"/>
        <v>3.6781577225615258E-3</v>
      </c>
      <c r="AE57" s="4112"/>
      <c r="AF57" s="4112"/>
      <c r="AG57" s="4100"/>
      <c r="AH57" s="4100"/>
      <c r="AI57" s="4100"/>
      <c r="AJ57" s="4100"/>
      <c r="AK57" s="4100"/>
    </row>
    <row r="58" spans="1:37" ht="18.75" customHeight="1">
      <c r="A58" s="4116" t="s">
        <v>1742</v>
      </c>
      <c r="B58" s="4117">
        <f>SUM('Произв. прогр. Вода'!H77)</f>
        <v>3350.4224861946673</v>
      </c>
      <c r="C58" s="4117">
        <f t="shared" ref="C58" si="93">SUM(C59:C75)+C80</f>
        <v>1590.5800000000002</v>
      </c>
      <c r="D58" s="4117">
        <f t="shared" ref="D58:F58" si="94">SUM(D59:D75)+D80</f>
        <v>1284.78</v>
      </c>
      <c r="E58" s="4117">
        <f>SUM(E59:E75)+E80</f>
        <v>1166.18</v>
      </c>
      <c r="F58" s="4117">
        <f t="shared" si="94"/>
        <v>4041.5399999999995</v>
      </c>
      <c r="G58" s="4117">
        <f>SUM('Произв. прогр. Вода'!L77)</f>
        <v>2054.0957066027822</v>
      </c>
      <c r="H58" s="4117">
        <f>SUM(H59:H75)+H80</f>
        <v>1199.56</v>
      </c>
      <c r="I58" s="4117">
        <f t="shared" ref="I58:M58" si="95">SUM(I59:I75)+I80</f>
        <v>1055.4499999999998</v>
      </c>
      <c r="J58" s="4117">
        <f t="shared" si="95"/>
        <v>595.34000000000015</v>
      </c>
      <c r="K58" s="4117">
        <f t="shared" si="95"/>
        <v>2850.35</v>
      </c>
      <c r="L58" s="4118">
        <f>SUM('Произв. прогр. Вода'!M77)</f>
        <v>5404.51819279745</v>
      </c>
      <c r="M58" s="4118">
        <f t="shared" si="95"/>
        <v>6891.8899999999994</v>
      </c>
      <c r="N58" s="4118">
        <f t="shared" si="43"/>
        <v>1487.3718072025495</v>
      </c>
      <c r="O58" s="4117">
        <f>SUM('Произв. прогр. Вода'!Q77)</f>
        <v>1807.3851577954779</v>
      </c>
      <c r="P58" s="4117">
        <f t="shared" ref="P58:U58" si="96">SUM(P59:P75)+P80</f>
        <v>618.80000000000007</v>
      </c>
      <c r="Q58" s="4117">
        <f t="shared" si="96"/>
        <v>850.44</v>
      </c>
      <c r="R58" s="4117">
        <f t="shared" si="96"/>
        <v>1053.1799999999998</v>
      </c>
      <c r="S58" s="4117">
        <f t="shared" si="96"/>
        <v>2522.4200000000005</v>
      </c>
      <c r="T58" s="4118">
        <f>SUM('Произв. прогр. Вода'!R77)</f>
        <v>7211.9033505929274</v>
      </c>
      <c r="U58" s="4118">
        <f t="shared" si="96"/>
        <v>9414.3100000000013</v>
      </c>
      <c r="V58" s="4271">
        <f t="shared" si="47"/>
        <v>2202.4066494070739</v>
      </c>
      <c r="W58" s="4117">
        <f>SUM('Произв. прогр. Вода'!V77)</f>
        <v>3203.0298249212769</v>
      </c>
      <c r="X58" s="4117">
        <f t="shared" ref="X58:AC58" si="97">SUM(X59:X75)+X80</f>
        <v>0</v>
      </c>
      <c r="Y58" s="4117">
        <f t="shared" si="97"/>
        <v>0</v>
      </c>
      <c r="Z58" s="4117">
        <f t="shared" si="97"/>
        <v>0</v>
      </c>
      <c r="AA58" s="4117">
        <f t="shared" si="97"/>
        <v>0</v>
      </c>
      <c r="AB58" s="4118">
        <f>SUM('Произв. прогр. Вода'!B77)</f>
        <v>10414.933175514203</v>
      </c>
      <c r="AC58" s="4118">
        <f t="shared" si="97"/>
        <v>9414.3100000000013</v>
      </c>
      <c r="AD58" s="4118">
        <f t="shared" si="51"/>
        <v>-1000.6231755142016</v>
      </c>
      <c r="AE58" s="4112"/>
      <c r="AF58" s="4112"/>
      <c r="AG58" s="4100"/>
      <c r="AH58" s="4100"/>
      <c r="AI58" s="4100"/>
      <c r="AJ58" s="4100"/>
      <c r="AK58" s="4100"/>
    </row>
    <row r="59" spans="1:37" ht="18.75" customHeight="1">
      <c r="A59" s="4119" t="s">
        <v>72</v>
      </c>
      <c r="B59" s="4121">
        <f>SUM('Произв. прогр. Вода'!H78)</f>
        <v>755.7309662376224</v>
      </c>
      <c r="C59" s="4120">
        <v>293.77999999999997</v>
      </c>
      <c r="D59" s="4120">
        <v>318.95</v>
      </c>
      <c r="E59" s="4120">
        <v>215.52</v>
      </c>
      <c r="F59" s="4121">
        <f t="shared" ref="F59:F90" si="98">SUM(C59:E59)</f>
        <v>828.25</v>
      </c>
      <c r="G59" s="4121">
        <f>SUM('Произв. прогр. Вода'!L78)</f>
        <v>755.7309662376224</v>
      </c>
      <c r="H59" s="4120">
        <v>270.83</v>
      </c>
      <c r="I59" s="4120">
        <v>252.36</v>
      </c>
      <c r="J59" s="4120">
        <v>318.27999999999997</v>
      </c>
      <c r="K59" s="4121">
        <f t="shared" ref="K59:K90" si="99">SUM(H59:J59)</f>
        <v>841.47</v>
      </c>
      <c r="L59" s="4122">
        <f>SUM('Произв. прогр. Вода'!M78)</f>
        <v>1511.4619324752448</v>
      </c>
      <c r="M59" s="4122">
        <f t="shared" ref="M59:M90" si="100">SUM(F59+K59)</f>
        <v>1669.72</v>
      </c>
      <c r="N59" s="4122">
        <f t="shared" si="43"/>
        <v>158.25806752475523</v>
      </c>
      <c r="O59" s="4121">
        <f>SUM('Произв. прогр. Вода'!Q78)</f>
        <v>801.30154350175098</v>
      </c>
      <c r="P59" s="4120">
        <v>301.44</v>
      </c>
      <c r="Q59" s="4120">
        <v>496.98</v>
      </c>
      <c r="R59" s="4120">
        <v>482.36</v>
      </c>
      <c r="S59" s="4121">
        <f t="shared" ref="S59:S90" si="101">SUM(P59:R59)</f>
        <v>1280.7800000000002</v>
      </c>
      <c r="T59" s="4122">
        <f>SUM('Произв. прогр. Вода'!R78)</f>
        <v>2312.7634759769958</v>
      </c>
      <c r="U59" s="4122">
        <f t="shared" ref="U59:U90" si="102">SUM(M59+S59)</f>
        <v>2950.5</v>
      </c>
      <c r="V59" s="4122">
        <f t="shared" si="47"/>
        <v>637.73652402300422</v>
      </c>
      <c r="W59" s="4121">
        <f>SUM('Произв. прогр. Вода'!V78)</f>
        <v>801.30154350175098</v>
      </c>
      <c r="X59" s="4120"/>
      <c r="Y59" s="4120"/>
      <c r="Z59" s="4120"/>
      <c r="AA59" s="4121">
        <f t="shared" ref="AA59:AA90" si="103">SUM(X59:Z59)</f>
        <v>0</v>
      </c>
      <c r="AB59" s="4122">
        <f>SUM('Произв. прогр. Вода'!B78)</f>
        <v>3114.0650194787468</v>
      </c>
      <c r="AC59" s="4122">
        <f t="shared" ref="AC59:AC90" si="104">SUM(U59+AA59)</f>
        <v>2950.5</v>
      </c>
      <c r="AD59" s="4122">
        <f t="shared" si="51"/>
        <v>-163.56501947874676</v>
      </c>
      <c r="AE59" s="4112"/>
      <c r="AF59" s="4112"/>
      <c r="AG59" s="4100"/>
      <c r="AH59" s="4100"/>
      <c r="AI59" s="4100"/>
      <c r="AJ59" s="4100"/>
      <c r="AK59" s="4100"/>
    </row>
    <row r="60" spans="1:37" ht="18.75" customHeight="1">
      <c r="A60" s="4119" t="s">
        <v>121</v>
      </c>
      <c r="B60" s="4121">
        <f>SUM('Произв. прогр. Вода'!H79)</f>
        <v>227.22479553432191</v>
      </c>
      <c r="C60" s="4120">
        <v>88.72</v>
      </c>
      <c r="D60" s="4120">
        <v>96.32</v>
      </c>
      <c r="E60" s="4120">
        <v>65.09</v>
      </c>
      <c r="F60" s="4121">
        <f t="shared" si="98"/>
        <v>250.13</v>
      </c>
      <c r="G60" s="4121">
        <f>SUM('Произв. прогр. Вода'!L79)</f>
        <v>227.22479553432191</v>
      </c>
      <c r="H60" s="4120">
        <v>79.11</v>
      </c>
      <c r="I60" s="4120">
        <v>76.209999999999994</v>
      </c>
      <c r="J60" s="4120">
        <v>96.12</v>
      </c>
      <c r="K60" s="4121">
        <f t="shared" si="99"/>
        <v>251.44</v>
      </c>
      <c r="L60" s="4122">
        <f>SUM('Произв. прогр. Вода'!M79)</f>
        <v>454.44959106864383</v>
      </c>
      <c r="M60" s="4122">
        <f t="shared" si="100"/>
        <v>501.57</v>
      </c>
      <c r="N60" s="4122">
        <f t="shared" si="43"/>
        <v>47.120408931356167</v>
      </c>
      <c r="O60" s="4121">
        <f>SUM('Произв. прогр. Вода'!Q79)</f>
        <v>240.92645070504153</v>
      </c>
      <c r="P60" s="4120">
        <v>91.03</v>
      </c>
      <c r="Q60" s="4120">
        <v>161.13999999999999</v>
      </c>
      <c r="R60" s="4120">
        <v>145.66999999999999</v>
      </c>
      <c r="S60" s="4121">
        <f t="shared" si="101"/>
        <v>397.84</v>
      </c>
      <c r="T60" s="4122">
        <f>SUM('Произв. прогр. Вода'!R79)</f>
        <v>695.3760417736853</v>
      </c>
      <c r="U60" s="4122">
        <f t="shared" si="102"/>
        <v>899.41</v>
      </c>
      <c r="V60" s="4122">
        <f t="shared" si="47"/>
        <v>204.03395822631467</v>
      </c>
      <c r="W60" s="4121">
        <f>SUM('Произв. прогр. Вода'!V79)</f>
        <v>240.92645070504153</v>
      </c>
      <c r="X60" s="4120"/>
      <c r="Y60" s="4120"/>
      <c r="Z60" s="4120"/>
      <c r="AA60" s="4121">
        <f t="shared" si="103"/>
        <v>0</v>
      </c>
      <c r="AB60" s="4122">
        <f>SUM('Произв. прогр. Вода'!B79)</f>
        <v>936.30249247872689</v>
      </c>
      <c r="AC60" s="4122">
        <f t="shared" si="104"/>
        <v>899.41</v>
      </c>
      <c r="AD60" s="4122">
        <f t="shared" si="51"/>
        <v>-36.892492478726922</v>
      </c>
      <c r="AE60" s="4112"/>
      <c r="AF60" s="4112"/>
      <c r="AG60" s="4100"/>
      <c r="AH60" s="4100"/>
      <c r="AI60" s="4100"/>
      <c r="AJ60" s="4100"/>
      <c r="AK60" s="4100"/>
    </row>
    <row r="61" spans="1:37" ht="18.75" customHeight="1">
      <c r="A61" s="4119" t="s">
        <v>52</v>
      </c>
      <c r="B61" s="4121">
        <f>SUM('Произв. прогр. Вода'!H80)</f>
        <v>25.77695960939765</v>
      </c>
      <c r="C61" s="4120">
        <v>9.6199999999999992</v>
      </c>
      <c r="D61" s="4120">
        <v>7.63</v>
      </c>
      <c r="E61" s="4120">
        <v>8.06</v>
      </c>
      <c r="F61" s="4121">
        <f t="shared" si="98"/>
        <v>25.310000000000002</v>
      </c>
      <c r="G61" s="4121">
        <f>SUM('Произв. прогр. Вода'!L80)</f>
        <v>25.77695960939765</v>
      </c>
      <c r="H61" s="4120">
        <v>8.2100000000000009</v>
      </c>
      <c r="I61" s="4120">
        <v>6.06</v>
      </c>
      <c r="J61" s="4120">
        <v>10</v>
      </c>
      <c r="K61" s="4121">
        <f t="shared" si="99"/>
        <v>24.27</v>
      </c>
      <c r="L61" s="4122">
        <f>SUM('Произв. прогр. Вода'!M80)</f>
        <v>51.553919218795301</v>
      </c>
      <c r="M61" s="4122">
        <f t="shared" si="100"/>
        <v>49.58</v>
      </c>
      <c r="N61" s="4122">
        <f t="shared" si="43"/>
        <v>-1.9739192187953023</v>
      </c>
      <c r="O61" s="4121">
        <f>SUM('Произв. прогр. Вода'!Q80)</f>
        <v>25.77695960939765</v>
      </c>
      <c r="P61" s="4120">
        <v>5.97</v>
      </c>
      <c r="Q61" s="4120">
        <f>9.94+0.27</f>
        <v>10.209999999999999</v>
      </c>
      <c r="R61" s="4120">
        <v>8.02</v>
      </c>
      <c r="S61" s="4121">
        <f t="shared" si="101"/>
        <v>24.2</v>
      </c>
      <c r="T61" s="4122">
        <f>SUM('Произв. прогр. Вода'!R80)</f>
        <v>77.330878828192951</v>
      </c>
      <c r="U61" s="4122">
        <f t="shared" si="102"/>
        <v>73.78</v>
      </c>
      <c r="V61" s="4122">
        <f t="shared" si="47"/>
        <v>-3.5508788281929498</v>
      </c>
      <c r="W61" s="4121">
        <f>SUM('Произв. прогр. Вода'!V80)</f>
        <v>25.77695960939765</v>
      </c>
      <c r="X61" s="4120"/>
      <c r="Y61" s="4120"/>
      <c r="Z61" s="4120"/>
      <c r="AA61" s="4121">
        <f t="shared" si="103"/>
        <v>0</v>
      </c>
      <c r="AB61" s="4122">
        <f>SUM('Произв. прогр. Вода'!B80)</f>
        <v>103.1078384375906</v>
      </c>
      <c r="AC61" s="4122">
        <f t="shared" si="104"/>
        <v>73.78</v>
      </c>
      <c r="AD61" s="4122">
        <f t="shared" si="51"/>
        <v>-29.3278384375906</v>
      </c>
      <c r="AE61" s="4112"/>
      <c r="AF61" s="4112"/>
      <c r="AG61" s="4100"/>
      <c r="AH61" s="4100"/>
      <c r="AI61" s="4100"/>
      <c r="AJ61" s="4100"/>
      <c r="AK61" s="4100"/>
    </row>
    <row r="62" spans="1:37" ht="18.75" customHeight="1">
      <c r="A62" s="4119" t="s">
        <v>1557</v>
      </c>
      <c r="B62" s="4121">
        <f>SUM('Произв. прогр. Вода'!H81)</f>
        <v>14.060159786944174</v>
      </c>
      <c r="C62" s="4120">
        <v>2.0299999999999998</v>
      </c>
      <c r="D62" s="4120">
        <v>2.0299999999999998</v>
      </c>
      <c r="E62" s="4120">
        <v>2.0299999999999998</v>
      </c>
      <c r="F62" s="4121">
        <f t="shared" si="98"/>
        <v>6.09</v>
      </c>
      <c r="G62" s="4121">
        <f>SUM('Произв. прогр. Вода'!L81)</f>
        <v>14.060159786944174</v>
      </c>
      <c r="H62" s="4120">
        <v>2.0299999999999998</v>
      </c>
      <c r="I62" s="4120">
        <v>1.95</v>
      </c>
      <c r="J62" s="4120">
        <v>1.55</v>
      </c>
      <c r="K62" s="4121">
        <f t="shared" si="99"/>
        <v>5.5299999999999994</v>
      </c>
      <c r="L62" s="4122">
        <f>SUM('Произв. прогр. Вода'!M81)</f>
        <v>28.120319573888349</v>
      </c>
      <c r="M62" s="4122">
        <f t="shared" si="100"/>
        <v>11.62</v>
      </c>
      <c r="N62" s="4122">
        <f t="shared" si="43"/>
        <v>-16.500319573888348</v>
      </c>
      <c r="O62" s="4121">
        <f>SUM('Произв. прогр. Вода'!Q81)</f>
        <v>14.060159786944174</v>
      </c>
      <c r="P62" s="4120">
        <v>1.55</v>
      </c>
      <c r="Q62" s="4120">
        <v>1.55</v>
      </c>
      <c r="R62" s="4120">
        <v>1.55</v>
      </c>
      <c r="S62" s="4121">
        <f t="shared" si="101"/>
        <v>4.6500000000000004</v>
      </c>
      <c r="T62" s="4122">
        <f>SUM('Произв. прогр. Вода'!R81)</f>
        <v>42.180479360832521</v>
      </c>
      <c r="U62" s="4122">
        <f t="shared" si="102"/>
        <v>16.27</v>
      </c>
      <c r="V62" s="4122">
        <f t="shared" si="47"/>
        <v>-25.910479360832522</v>
      </c>
      <c r="W62" s="4121">
        <f>SUM('Произв. прогр. Вода'!V81)</f>
        <v>14.060159786944174</v>
      </c>
      <c r="X62" s="4120"/>
      <c r="Y62" s="4120"/>
      <c r="Z62" s="4120"/>
      <c r="AA62" s="4121">
        <f t="shared" si="103"/>
        <v>0</v>
      </c>
      <c r="AB62" s="4122">
        <f>SUM('Произв. прогр. Вода'!B81)</f>
        <v>56.240639147776697</v>
      </c>
      <c r="AC62" s="4122">
        <f t="shared" si="104"/>
        <v>16.27</v>
      </c>
      <c r="AD62" s="4122">
        <f t="shared" si="51"/>
        <v>-39.970639147776694</v>
      </c>
      <c r="AE62" s="4112"/>
      <c r="AF62" s="4112"/>
      <c r="AG62" s="4100"/>
      <c r="AH62" s="4100"/>
      <c r="AI62" s="4100"/>
      <c r="AJ62" s="4100"/>
      <c r="AK62" s="4100"/>
    </row>
    <row r="63" spans="1:37" ht="18.75" customHeight="1">
      <c r="A63" s="4119" t="s">
        <v>606</v>
      </c>
      <c r="B63" s="4121">
        <f>SUM('Произв. прогр. Вода'!H82)</f>
        <v>227.04554322620965</v>
      </c>
      <c r="C63" s="4120">
        <f>14.7+2.45</f>
        <v>17.149999999999999</v>
      </c>
      <c r="D63" s="4120">
        <v>22.39</v>
      </c>
      <c r="E63" s="4120">
        <v>32.049999999999997</v>
      </c>
      <c r="F63" s="4121">
        <f t="shared" si="98"/>
        <v>71.59</v>
      </c>
      <c r="G63" s="4121">
        <f>SUM('Произв. прогр. Вода'!L82)</f>
        <v>227.04554322620965</v>
      </c>
      <c r="H63" s="4120">
        <v>15.47</v>
      </c>
      <c r="I63" s="4120">
        <f>71.9+13.73</f>
        <v>85.63000000000001</v>
      </c>
      <c r="J63" s="4120">
        <v>32.97</v>
      </c>
      <c r="K63" s="4121">
        <f t="shared" si="99"/>
        <v>134.07</v>
      </c>
      <c r="L63" s="4122">
        <f>SUM('Произв. прогр. Вода'!M82)</f>
        <v>454.09108645241929</v>
      </c>
      <c r="M63" s="4122">
        <f t="shared" si="100"/>
        <v>205.66</v>
      </c>
      <c r="N63" s="4122">
        <f t="shared" si="43"/>
        <v>-248.43108645241929</v>
      </c>
      <c r="O63" s="4121">
        <f>SUM('Произв. прогр. Вода'!Q82)</f>
        <v>227.04554322620965</v>
      </c>
      <c r="P63" s="4120">
        <f>16.45+7.69</f>
        <v>24.14</v>
      </c>
      <c r="Q63" s="4120">
        <f>25.2+3.25</f>
        <v>28.45</v>
      </c>
      <c r="R63" s="4120">
        <v>140</v>
      </c>
      <c r="S63" s="4121">
        <f t="shared" si="101"/>
        <v>192.59</v>
      </c>
      <c r="T63" s="4122">
        <f>SUM('Произв. прогр. Вода'!R82)</f>
        <v>681.13662967862888</v>
      </c>
      <c r="U63" s="4122">
        <f t="shared" si="102"/>
        <v>398.25</v>
      </c>
      <c r="V63" s="4122">
        <f t="shared" si="47"/>
        <v>-282.88662967862888</v>
      </c>
      <c r="W63" s="4121">
        <f>SUM('Произв. прогр. Вода'!V82)</f>
        <v>227.04554322620965</v>
      </c>
      <c r="X63" s="4120"/>
      <c r="Y63" s="4120"/>
      <c r="Z63" s="4120"/>
      <c r="AA63" s="4121">
        <f t="shared" si="103"/>
        <v>0</v>
      </c>
      <c r="AB63" s="4122">
        <f>SUM('Произв. прогр. Вода'!B82)</f>
        <v>908.18217290483847</v>
      </c>
      <c r="AC63" s="4122">
        <f t="shared" si="104"/>
        <v>398.25</v>
      </c>
      <c r="AD63" s="4122">
        <f t="shared" si="51"/>
        <v>-509.93217290483847</v>
      </c>
      <c r="AE63" s="4112"/>
      <c r="AF63" s="4112"/>
      <c r="AG63" s="4100"/>
      <c r="AH63" s="4100"/>
      <c r="AI63" s="4100"/>
      <c r="AJ63" s="4100"/>
      <c r="AK63" s="4100"/>
    </row>
    <row r="64" spans="1:37" ht="18.75" customHeight="1">
      <c r="A64" s="4119" t="s">
        <v>1558</v>
      </c>
      <c r="B64" s="4121">
        <f>SUM('Произв. прогр. Вода'!H83)</f>
        <v>6.2489599053085216</v>
      </c>
      <c r="C64" s="4120"/>
      <c r="D64" s="4120"/>
      <c r="E64" s="4120"/>
      <c r="F64" s="4121">
        <f t="shared" si="98"/>
        <v>0</v>
      </c>
      <c r="G64" s="4121">
        <f>SUM('Произв. прогр. Вода'!L83)</f>
        <v>6.2489599053085216</v>
      </c>
      <c r="H64" s="4120"/>
      <c r="I64" s="4120"/>
      <c r="J64" s="4120"/>
      <c r="K64" s="4121">
        <f t="shared" si="99"/>
        <v>0</v>
      </c>
      <c r="L64" s="4122">
        <f>SUM('Произв. прогр. Вода'!M83)</f>
        <v>12.497919810617043</v>
      </c>
      <c r="M64" s="4122">
        <f t="shared" si="100"/>
        <v>0</v>
      </c>
      <c r="N64" s="4122">
        <f t="shared" si="43"/>
        <v>-12.497919810617043</v>
      </c>
      <c r="O64" s="4121">
        <f>SUM('Произв. прогр. Вода'!Q83)</f>
        <v>6.2489599053085216</v>
      </c>
      <c r="P64" s="4120"/>
      <c r="Q64" s="4120"/>
      <c r="R64" s="4120"/>
      <c r="S64" s="4121">
        <f t="shared" si="101"/>
        <v>0</v>
      </c>
      <c r="T64" s="4122">
        <f>SUM('Произв. прогр. Вода'!R83)</f>
        <v>18.746879715925566</v>
      </c>
      <c r="U64" s="4122">
        <f t="shared" si="102"/>
        <v>0</v>
      </c>
      <c r="V64" s="4122">
        <f t="shared" si="47"/>
        <v>-18.746879715925566</v>
      </c>
      <c r="W64" s="4121">
        <f>SUM('Произв. прогр. Вода'!V83)</f>
        <v>6.2489599053085216</v>
      </c>
      <c r="X64" s="4120"/>
      <c r="Y64" s="4120"/>
      <c r="Z64" s="4120"/>
      <c r="AA64" s="4121">
        <f t="shared" si="103"/>
        <v>0</v>
      </c>
      <c r="AB64" s="4122">
        <f>SUM('Произв. прогр. Вода'!B83)</f>
        <v>24.995839621234087</v>
      </c>
      <c r="AC64" s="4122">
        <f t="shared" si="104"/>
        <v>0</v>
      </c>
      <c r="AD64" s="4122">
        <f t="shared" si="51"/>
        <v>-24.995839621234087</v>
      </c>
      <c r="AE64" s="4112"/>
      <c r="AF64" s="4112"/>
      <c r="AG64" s="4100"/>
      <c r="AH64" s="4100"/>
      <c r="AI64" s="4100"/>
      <c r="AJ64" s="4100"/>
      <c r="AK64" s="4100"/>
    </row>
    <row r="65" spans="1:37" ht="18.75" customHeight="1">
      <c r="A65" s="4119" t="s">
        <v>608</v>
      </c>
      <c r="B65" s="4121">
        <f>SUM('Произв. прогр. Вода'!H84)</f>
        <v>22.912852986131249</v>
      </c>
      <c r="C65" s="4120">
        <v>6.93</v>
      </c>
      <c r="D65" s="4120">
        <v>6.93</v>
      </c>
      <c r="E65" s="4120">
        <v>6.93</v>
      </c>
      <c r="F65" s="4121">
        <f t="shared" si="98"/>
        <v>20.79</v>
      </c>
      <c r="G65" s="4121">
        <f>SUM('Произв. прогр. Вода'!L84)</f>
        <v>22.912852986131249</v>
      </c>
      <c r="H65" s="4120">
        <v>6.93</v>
      </c>
      <c r="I65" s="4120">
        <v>6.93</v>
      </c>
      <c r="J65" s="4120">
        <v>6.93</v>
      </c>
      <c r="K65" s="4121">
        <f t="shared" si="99"/>
        <v>20.79</v>
      </c>
      <c r="L65" s="4122">
        <f>SUM('Произв. прогр. Вода'!M84)</f>
        <v>45.825705972262497</v>
      </c>
      <c r="M65" s="4122">
        <f t="shared" si="100"/>
        <v>41.58</v>
      </c>
      <c r="N65" s="4122">
        <f t="shared" si="43"/>
        <v>-4.245705972262499</v>
      </c>
      <c r="O65" s="4121">
        <f>SUM('Произв. прогр. Вода'!Q84)</f>
        <v>22.912852986131249</v>
      </c>
      <c r="P65" s="4120">
        <v>6.93</v>
      </c>
      <c r="Q65" s="4120">
        <v>6.93</v>
      </c>
      <c r="R65" s="4120">
        <v>6.93</v>
      </c>
      <c r="S65" s="4121">
        <f t="shared" si="101"/>
        <v>20.79</v>
      </c>
      <c r="T65" s="4122">
        <f>SUM('Произв. прогр. Вода'!R84)</f>
        <v>68.738558958393753</v>
      </c>
      <c r="U65" s="4122">
        <f t="shared" si="102"/>
        <v>62.37</v>
      </c>
      <c r="V65" s="4122">
        <f t="shared" si="47"/>
        <v>-6.3685589583937556</v>
      </c>
      <c r="W65" s="4121">
        <f>SUM('Произв. прогр. Вода'!V84)</f>
        <v>22.912852986131249</v>
      </c>
      <c r="X65" s="4120"/>
      <c r="Y65" s="4120"/>
      <c r="Z65" s="4120"/>
      <c r="AA65" s="4121">
        <f t="shared" si="103"/>
        <v>0</v>
      </c>
      <c r="AB65" s="4122">
        <f>SUM('Произв. прогр. Вода'!B84)</f>
        <v>91.651411944524995</v>
      </c>
      <c r="AC65" s="4122">
        <f t="shared" si="104"/>
        <v>62.37</v>
      </c>
      <c r="AD65" s="4122">
        <f t="shared" si="51"/>
        <v>-29.281411944524997</v>
      </c>
      <c r="AE65" s="4112"/>
      <c r="AF65" s="4112"/>
      <c r="AG65" s="4100"/>
      <c r="AH65" s="4100"/>
      <c r="AI65" s="4100"/>
      <c r="AJ65" s="4100"/>
      <c r="AK65" s="4100"/>
    </row>
    <row r="66" spans="1:37" ht="18.75" customHeight="1">
      <c r="A66" s="4119" t="s">
        <v>98</v>
      </c>
      <c r="B66" s="4121">
        <f>SUM('Произв. прогр. Вода'!H85)</f>
        <v>31.765546185318314</v>
      </c>
      <c r="C66" s="4120"/>
      <c r="D66" s="4120"/>
      <c r="E66" s="4120">
        <v>11.85</v>
      </c>
      <c r="F66" s="4121">
        <f t="shared" si="98"/>
        <v>11.85</v>
      </c>
      <c r="G66" s="4121">
        <f>SUM('Произв. прогр. Вода'!L85)</f>
        <v>31.765546185318314</v>
      </c>
      <c r="H66" s="4120"/>
      <c r="I66" s="4120"/>
      <c r="J66" s="4120">
        <v>11.85</v>
      </c>
      <c r="K66" s="4121">
        <f t="shared" si="99"/>
        <v>11.85</v>
      </c>
      <c r="L66" s="4122">
        <f>SUM('Произв. прогр. Вода'!M85)</f>
        <v>63.531092370636628</v>
      </c>
      <c r="M66" s="4122">
        <f t="shared" si="100"/>
        <v>23.7</v>
      </c>
      <c r="N66" s="4122">
        <f t="shared" si="43"/>
        <v>-39.831092370636625</v>
      </c>
      <c r="O66" s="4121">
        <f>SUM('Произв. прогр. Вода'!Q85)</f>
        <v>31.765546185318314</v>
      </c>
      <c r="P66" s="4120"/>
      <c r="Q66" s="4120"/>
      <c r="R66" s="4120">
        <v>14.17</v>
      </c>
      <c r="S66" s="4121">
        <f t="shared" si="101"/>
        <v>14.17</v>
      </c>
      <c r="T66" s="4122">
        <f>SUM('Произв. прогр. Вода'!R85)</f>
        <v>95.296638555954942</v>
      </c>
      <c r="U66" s="4122">
        <f t="shared" si="102"/>
        <v>37.869999999999997</v>
      </c>
      <c r="V66" s="4122">
        <f t="shared" si="47"/>
        <v>-57.426638555954945</v>
      </c>
      <c r="W66" s="4121">
        <f>SUM('Произв. прогр. Вода'!V85)</f>
        <v>31.765546185318314</v>
      </c>
      <c r="X66" s="4120"/>
      <c r="Y66" s="4120"/>
      <c r="Z66" s="4120"/>
      <c r="AA66" s="4121">
        <f t="shared" si="103"/>
        <v>0</v>
      </c>
      <c r="AB66" s="4122">
        <f>SUM('Произв. прогр. Вода'!B85)</f>
        <v>127.06218474127327</v>
      </c>
      <c r="AC66" s="4122">
        <f t="shared" si="104"/>
        <v>37.869999999999997</v>
      </c>
      <c r="AD66" s="4122">
        <f t="shared" si="51"/>
        <v>-89.19218474127328</v>
      </c>
      <c r="AE66" s="4112"/>
      <c r="AF66" s="4112"/>
      <c r="AG66" s="4100"/>
      <c r="AH66" s="4100"/>
      <c r="AI66" s="4100"/>
      <c r="AJ66" s="4100"/>
      <c r="AK66" s="4100"/>
    </row>
    <row r="67" spans="1:37" ht="18.75" customHeight="1">
      <c r="A67" s="4119" t="s">
        <v>609</v>
      </c>
      <c r="B67" s="4121">
        <f>SUM('Произв. прогр. Вода'!H86)</f>
        <v>14.320533116332033</v>
      </c>
      <c r="C67" s="4120">
        <v>6.77</v>
      </c>
      <c r="D67" s="4120"/>
      <c r="E67" s="4120">
        <v>8.69</v>
      </c>
      <c r="F67" s="4121">
        <f t="shared" si="98"/>
        <v>15.459999999999999</v>
      </c>
      <c r="G67" s="4121">
        <f>SUM('Произв. прогр. Вода'!L86)</f>
        <v>14.320533116332033</v>
      </c>
      <c r="H67" s="4120">
        <v>8.4600000000000009</v>
      </c>
      <c r="I67" s="4120">
        <f>8.1+7.3</f>
        <v>15.399999999999999</v>
      </c>
      <c r="J67" s="4120">
        <v>1.1000000000000001</v>
      </c>
      <c r="K67" s="4121">
        <f t="shared" si="99"/>
        <v>24.96</v>
      </c>
      <c r="L67" s="4122">
        <f>SUM('Произв. прогр. Вода'!M86)</f>
        <v>28.641066232664066</v>
      </c>
      <c r="M67" s="4122">
        <f t="shared" si="100"/>
        <v>40.42</v>
      </c>
      <c r="N67" s="4122">
        <f t="shared" si="43"/>
        <v>11.778933767335936</v>
      </c>
      <c r="O67" s="4121">
        <f>SUM('Произв. прогр. Вода'!Q86)</f>
        <v>14.320533116332033</v>
      </c>
      <c r="P67" s="4120">
        <v>6.77</v>
      </c>
      <c r="Q67" s="4120">
        <v>2.08</v>
      </c>
      <c r="R67" s="4120">
        <v>10.59</v>
      </c>
      <c r="S67" s="4121">
        <f t="shared" si="101"/>
        <v>19.439999999999998</v>
      </c>
      <c r="T67" s="4122">
        <f>SUM('Произв. прогр. Вода'!R86)</f>
        <v>42.961599348996103</v>
      </c>
      <c r="U67" s="4122">
        <f t="shared" si="102"/>
        <v>59.86</v>
      </c>
      <c r="V67" s="4122">
        <f t="shared" si="47"/>
        <v>16.898400651003897</v>
      </c>
      <c r="W67" s="4121">
        <f>SUM('Произв. прогр. Вода'!V86)</f>
        <v>14.320533116332033</v>
      </c>
      <c r="X67" s="4120"/>
      <c r="Y67" s="4120"/>
      <c r="Z67" s="4120"/>
      <c r="AA67" s="4121">
        <f t="shared" si="103"/>
        <v>0</v>
      </c>
      <c r="AB67" s="4122">
        <f>SUM('Произв. прогр. Вода'!B86)</f>
        <v>57.282132465328125</v>
      </c>
      <c r="AC67" s="4122">
        <f t="shared" si="104"/>
        <v>59.86</v>
      </c>
      <c r="AD67" s="4122">
        <f t="shared" si="51"/>
        <v>2.5778675346718742</v>
      </c>
      <c r="AE67" s="4112"/>
      <c r="AF67" s="4112"/>
      <c r="AG67" s="4100"/>
      <c r="AH67" s="4100"/>
      <c r="AI67" s="4100"/>
      <c r="AJ67" s="4100"/>
      <c r="AK67" s="4100"/>
    </row>
    <row r="68" spans="1:37" ht="18.75" customHeight="1">
      <c r="A68" s="4119" t="s">
        <v>1559</v>
      </c>
      <c r="B68" s="4121">
        <f>SUM('Произв. прогр. Вода'!H87)</f>
        <v>12.237546481229185</v>
      </c>
      <c r="C68" s="4120">
        <v>3.33</v>
      </c>
      <c r="D68" s="4120">
        <v>3.33</v>
      </c>
      <c r="E68" s="4120">
        <v>3.33</v>
      </c>
      <c r="F68" s="4121">
        <f t="shared" si="98"/>
        <v>9.99</v>
      </c>
      <c r="G68" s="4121">
        <f>SUM('Произв. прогр. Вода'!L87)</f>
        <v>12.237546481229185</v>
      </c>
      <c r="H68" s="4120">
        <v>3.33</v>
      </c>
      <c r="I68" s="4120">
        <v>3.33</v>
      </c>
      <c r="J68" s="4120">
        <v>3.35</v>
      </c>
      <c r="K68" s="4121">
        <f t="shared" si="99"/>
        <v>10.01</v>
      </c>
      <c r="L68" s="4122">
        <f>SUM('Произв. прогр. Вода'!M87)</f>
        <v>24.475092962458369</v>
      </c>
      <c r="M68" s="4122">
        <f t="shared" si="100"/>
        <v>20</v>
      </c>
      <c r="N68" s="4122">
        <f t="shared" si="43"/>
        <v>-4.4750929624583691</v>
      </c>
      <c r="O68" s="4121">
        <f>SUM('Произв. прогр. Вода'!Q87)</f>
        <v>12.237546481229185</v>
      </c>
      <c r="P68" s="4120">
        <v>3.33</v>
      </c>
      <c r="Q68" s="4120">
        <v>3.33</v>
      </c>
      <c r="R68" s="4120">
        <v>3.34</v>
      </c>
      <c r="S68" s="4121">
        <f t="shared" si="101"/>
        <v>10</v>
      </c>
      <c r="T68" s="4122">
        <f>SUM('Произв. прогр. Вода'!R87)</f>
        <v>36.71263944368755</v>
      </c>
      <c r="U68" s="4122">
        <f t="shared" si="102"/>
        <v>30</v>
      </c>
      <c r="V68" s="4122">
        <f t="shared" si="47"/>
        <v>-6.7126394436875501</v>
      </c>
      <c r="W68" s="4121">
        <f>SUM('Произв. прогр. Вода'!V87)</f>
        <v>12.237546481229185</v>
      </c>
      <c r="X68" s="4120"/>
      <c r="Y68" s="4120"/>
      <c r="Z68" s="4120"/>
      <c r="AA68" s="4121">
        <f t="shared" si="103"/>
        <v>0</v>
      </c>
      <c r="AB68" s="4122">
        <f>SUM('Произв. прогр. Вода'!B87)</f>
        <v>48.950185924916745</v>
      </c>
      <c r="AC68" s="4122">
        <f t="shared" si="104"/>
        <v>30</v>
      </c>
      <c r="AD68" s="4122">
        <f t="shared" si="51"/>
        <v>-18.950185924916745</v>
      </c>
      <c r="AE68" s="4112"/>
      <c r="AF68" s="4112"/>
      <c r="AG68" s="4100"/>
      <c r="AH68" s="4100"/>
      <c r="AI68" s="4100"/>
      <c r="AJ68" s="4100"/>
      <c r="AK68" s="4100"/>
    </row>
    <row r="69" spans="1:37" ht="18.75" customHeight="1">
      <c r="A69" s="4119" t="s">
        <v>612</v>
      </c>
      <c r="B69" s="4121">
        <f>SUM('Произв. прогр. Вода'!H88)</f>
        <v>23.954346303682666</v>
      </c>
      <c r="C69" s="4120">
        <f>0.58+0.42+0.42</f>
        <v>1.42</v>
      </c>
      <c r="D69" s="4120">
        <v>1.4</v>
      </c>
      <c r="E69" s="4120">
        <v>6.87</v>
      </c>
      <c r="F69" s="4121">
        <f t="shared" si="98"/>
        <v>9.69</v>
      </c>
      <c r="G69" s="4121">
        <f>SUM('Произв. прогр. Вода'!L88)</f>
        <v>23.954346303682666</v>
      </c>
      <c r="H69" s="4120">
        <v>8.7899999999999991</v>
      </c>
      <c r="I69" s="4120">
        <f>0.58+0.29+0.29+3.04</f>
        <v>4.2</v>
      </c>
      <c r="J69" s="4120">
        <v>2.97</v>
      </c>
      <c r="K69" s="4121">
        <f t="shared" si="99"/>
        <v>15.959999999999999</v>
      </c>
      <c r="L69" s="4122">
        <f>SUM('Произв. прогр. Вода'!M88)</f>
        <v>47.908692607365332</v>
      </c>
      <c r="M69" s="4122">
        <f t="shared" si="100"/>
        <v>25.65</v>
      </c>
      <c r="N69" s="4122">
        <f t="shared" si="43"/>
        <v>-22.258692607365333</v>
      </c>
      <c r="O69" s="4121">
        <f>SUM('Произв. прогр. Вода'!Q88)</f>
        <v>23.954346303682666</v>
      </c>
      <c r="P69" s="4120">
        <f>0.55+0.29+2.95</f>
        <v>3.79</v>
      </c>
      <c r="Q69" s="4120">
        <v>0.35</v>
      </c>
      <c r="R69" s="4120">
        <v>0.35</v>
      </c>
      <c r="S69" s="4121">
        <f t="shared" si="101"/>
        <v>4.4899999999999993</v>
      </c>
      <c r="T69" s="4122">
        <f>SUM('Произв. прогр. Вода'!R88)</f>
        <v>71.863038911047994</v>
      </c>
      <c r="U69" s="4122">
        <f t="shared" si="102"/>
        <v>30.139999999999997</v>
      </c>
      <c r="V69" s="4122">
        <f t="shared" si="47"/>
        <v>-41.723038911047993</v>
      </c>
      <c r="W69" s="4121">
        <f>SUM('Произв. прогр. Вода'!V88)</f>
        <v>23.954346303682666</v>
      </c>
      <c r="X69" s="4120"/>
      <c r="Y69" s="4120"/>
      <c r="Z69" s="4120"/>
      <c r="AA69" s="4121">
        <f t="shared" si="103"/>
        <v>0</v>
      </c>
      <c r="AB69" s="4122">
        <f>SUM('Произв. прогр. Вода'!B88)</f>
        <v>95.817385214730663</v>
      </c>
      <c r="AC69" s="4122">
        <f t="shared" si="104"/>
        <v>30.139999999999997</v>
      </c>
      <c r="AD69" s="4122">
        <f t="shared" si="51"/>
        <v>-65.677385214730663</v>
      </c>
      <c r="AE69" s="4112"/>
      <c r="AF69" s="4112"/>
      <c r="AG69" s="4100"/>
      <c r="AH69" s="4100"/>
      <c r="AI69" s="4100"/>
      <c r="AJ69" s="4100"/>
      <c r="AK69" s="4100"/>
    </row>
    <row r="70" spans="1:37" ht="18.75" customHeight="1">
      <c r="A70" s="4119" t="s">
        <v>616</v>
      </c>
      <c r="B70" s="4121">
        <f>SUM('Произв. прогр. Вода'!H89)</f>
        <v>0</v>
      </c>
      <c r="C70" s="4120">
        <v>49.78</v>
      </c>
      <c r="D70" s="4120">
        <v>48.32</v>
      </c>
      <c r="E70" s="4120">
        <v>51.84</v>
      </c>
      <c r="F70" s="4121">
        <f t="shared" si="98"/>
        <v>149.94</v>
      </c>
      <c r="G70" s="4121">
        <f>SUM('Произв. прогр. Вода'!L89)</f>
        <v>0</v>
      </c>
      <c r="H70" s="4120">
        <v>47.33</v>
      </c>
      <c r="I70" s="4120">
        <v>49.25</v>
      </c>
      <c r="J70" s="4120">
        <v>46.52</v>
      </c>
      <c r="K70" s="4121">
        <f t="shared" si="99"/>
        <v>143.1</v>
      </c>
      <c r="L70" s="4122">
        <f>SUM('Произв. прогр. Вода'!M89)</f>
        <v>0</v>
      </c>
      <c r="M70" s="4122">
        <f t="shared" si="100"/>
        <v>293.03999999999996</v>
      </c>
      <c r="N70" s="4122">
        <f t="shared" si="43"/>
        <v>293.03999999999996</v>
      </c>
      <c r="O70" s="4121">
        <f>SUM('Произв. прогр. Вода'!Q89)</f>
        <v>0</v>
      </c>
      <c r="P70" s="4120">
        <v>46.24</v>
      </c>
      <c r="Q70" s="4120">
        <v>43.97</v>
      </c>
      <c r="R70" s="4120">
        <v>45.57</v>
      </c>
      <c r="S70" s="4121">
        <f t="shared" si="101"/>
        <v>135.78</v>
      </c>
      <c r="T70" s="4122">
        <f>SUM('Произв. прогр. Вода'!R89)</f>
        <v>0</v>
      </c>
      <c r="U70" s="4122">
        <f t="shared" si="102"/>
        <v>428.81999999999994</v>
      </c>
      <c r="V70" s="4122">
        <f t="shared" si="47"/>
        <v>428.81999999999994</v>
      </c>
      <c r="W70" s="4121">
        <f>SUM('Произв. прогр. Вода'!V89)</f>
        <v>0</v>
      </c>
      <c r="X70" s="4120"/>
      <c r="Y70" s="4120"/>
      <c r="Z70" s="4120"/>
      <c r="AA70" s="4121">
        <f t="shared" si="103"/>
        <v>0</v>
      </c>
      <c r="AB70" s="4122">
        <f>SUM('Произв. прогр. Вода'!B89)</f>
        <v>0</v>
      </c>
      <c r="AC70" s="4122">
        <f t="shared" si="104"/>
        <v>428.81999999999994</v>
      </c>
      <c r="AD70" s="4122">
        <f t="shared" si="51"/>
        <v>428.81999999999994</v>
      </c>
      <c r="AE70" s="4112"/>
      <c r="AF70" s="4112"/>
      <c r="AG70" s="4100"/>
      <c r="AH70" s="4100"/>
      <c r="AI70" s="4100"/>
      <c r="AJ70" s="4100"/>
      <c r="AK70" s="4100"/>
    </row>
    <row r="71" spans="1:37" ht="18.75" customHeight="1">
      <c r="A71" s="4119" t="s">
        <v>613</v>
      </c>
      <c r="B71" s="4121">
        <f>SUM('Произв. прогр. Вода'!H90)</f>
        <v>0</v>
      </c>
      <c r="C71" s="4120">
        <v>25.3</v>
      </c>
      <c r="D71" s="4120">
        <v>25.69</v>
      </c>
      <c r="E71" s="4120">
        <v>19.88</v>
      </c>
      <c r="F71" s="4121">
        <f t="shared" si="98"/>
        <v>70.87</v>
      </c>
      <c r="G71" s="4121">
        <f>SUM('Произв. прогр. Вода'!L90)</f>
        <v>0</v>
      </c>
      <c r="H71" s="4120">
        <v>32.64</v>
      </c>
      <c r="I71" s="4120">
        <v>26.01</v>
      </c>
      <c r="J71" s="4120">
        <v>26.58</v>
      </c>
      <c r="K71" s="4121">
        <f t="shared" si="99"/>
        <v>85.23</v>
      </c>
      <c r="L71" s="4122">
        <f>SUM('Произв. прогр. Вода'!M90)</f>
        <v>0</v>
      </c>
      <c r="M71" s="4122">
        <f t="shared" si="100"/>
        <v>156.10000000000002</v>
      </c>
      <c r="N71" s="4122">
        <f t="shared" si="43"/>
        <v>156.10000000000002</v>
      </c>
      <c r="O71" s="4121">
        <f>SUM('Произв. прогр. Вода'!Q90)</f>
        <v>0</v>
      </c>
      <c r="P71" s="4120">
        <v>26.33</v>
      </c>
      <c r="Q71" s="4120">
        <v>26.4</v>
      </c>
      <c r="R71" s="4120">
        <v>29.73</v>
      </c>
      <c r="S71" s="4121">
        <f t="shared" si="101"/>
        <v>82.46</v>
      </c>
      <c r="T71" s="4122">
        <f>SUM('Произв. прогр. Вода'!R90)</f>
        <v>0</v>
      </c>
      <c r="U71" s="4122">
        <f t="shared" si="102"/>
        <v>238.56</v>
      </c>
      <c r="V71" s="4122">
        <f t="shared" si="47"/>
        <v>238.56</v>
      </c>
      <c r="W71" s="4121">
        <f>SUM('Произв. прогр. Вода'!V90)</f>
        <v>0</v>
      </c>
      <c r="X71" s="4120"/>
      <c r="Y71" s="4120"/>
      <c r="Z71" s="4120"/>
      <c r="AA71" s="4121">
        <f t="shared" si="103"/>
        <v>0</v>
      </c>
      <c r="AB71" s="4122">
        <f>SUM('Произв. прогр. Вода'!B90)</f>
        <v>0</v>
      </c>
      <c r="AC71" s="4122">
        <f t="shared" si="104"/>
        <v>238.56</v>
      </c>
      <c r="AD71" s="4122">
        <f t="shared" si="51"/>
        <v>238.56</v>
      </c>
      <c r="AE71" s="4112"/>
      <c r="AF71" s="4112"/>
      <c r="AG71" s="4100"/>
      <c r="AH71" s="4100"/>
      <c r="AI71" s="4100"/>
      <c r="AJ71" s="4100"/>
      <c r="AK71" s="4100"/>
    </row>
    <row r="72" spans="1:37" ht="18.75" customHeight="1">
      <c r="A72" s="4119" t="s">
        <v>1560</v>
      </c>
      <c r="B72" s="4121">
        <f>SUM('Произв. прогр. Вода'!H91)</f>
        <v>33.327786161645449</v>
      </c>
      <c r="C72" s="4120"/>
      <c r="D72" s="4120"/>
      <c r="E72" s="4120"/>
      <c r="F72" s="4121">
        <f t="shared" si="98"/>
        <v>0</v>
      </c>
      <c r="G72" s="4121">
        <f>SUM('Произв. прогр. Вода'!L91)</f>
        <v>33.327786161645449</v>
      </c>
      <c r="H72" s="4120"/>
      <c r="I72" s="4120"/>
      <c r="J72" s="4120"/>
      <c r="K72" s="4121">
        <f t="shared" si="99"/>
        <v>0</v>
      </c>
      <c r="L72" s="4122">
        <f>SUM('Произв. прогр. Вода'!M91)</f>
        <v>66.655572323290897</v>
      </c>
      <c r="M72" s="4122">
        <f t="shared" si="100"/>
        <v>0</v>
      </c>
      <c r="N72" s="4122">
        <f t="shared" si="43"/>
        <v>-66.655572323290897</v>
      </c>
      <c r="O72" s="4121">
        <f>SUM('Произв. прогр. Вода'!Q91)</f>
        <v>33.327786161645449</v>
      </c>
      <c r="P72" s="4120"/>
      <c r="Q72" s="4120"/>
      <c r="R72" s="4120"/>
      <c r="S72" s="4121">
        <f t="shared" si="101"/>
        <v>0</v>
      </c>
      <c r="T72" s="4122">
        <f>SUM('Произв. прогр. Вода'!R91)</f>
        <v>99.983358484936346</v>
      </c>
      <c r="U72" s="4122">
        <f t="shared" si="102"/>
        <v>0</v>
      </c>
      <c r="V72" s="4122">
        <f t="shared" si="47"/>
        <v>-99.983358484936346</v>
      </c>
      <c r="W72" s="4121">
        <f>SUM('Произв. прогр. Вода'!V91)</f>
        <v>33.327786161645449</v>
      </c>
      <c r="X72" s="4120"/>
      <c r="Y72" s="4120"/>
      <c r="Z72" s="4120"/>
      <c r="AA72" s="4121">
        <f t="shared" si="103"/>
        <v>0</v>
      </c>
      <c r="AB72" s="4122">
        <f>SUM('Произв. прогр. Вода'!B91)</f>
        <v>133.31114464658179</v>
      </c>
      <c r="AC72" s="4122">
        <f t="shared" si="104"/>
        <v>0</v>
      </c>
      <c r="AD72" s="4122">
        <f t="shared" si="51"/>
        <v>-133.31114464658179</v>
      </c>
      <c r="AE72" s="4112"/>
      <c r="AF72" s="4112"/>
      <c r="AG72" s="4100"/>
      <c r="AH72" s="4100"/>
      <c r="AI72" s="4100"/>
      <c r="AJ72" s="4100"/>
      <c r="AK72" s="4100"/>
    </row>
    <row r="73" spans="1:37" ht="18.75" customHeight="1">
      <c r="A73" s="4119" t="s">
        <v>38</v>
      </c>
      <c r="B73" s="4121">
        <f>SUM('Произв. прогр. Вода'!H92)</f>
        <v>13.539413128168464</v>
      </c>
      <c r="C73" s="4120">
        <v>4.4000000000000004</v>
      </c>
      <c r="D73" s="4120">
        <v>10.199999999999999</v>
      </c>
      <c r="E73" s="4120"/>
      <c r="F73" s="4121">
        <f t="shared" si="98"/>
        <v>14.6</v>
      </c>
      <c r="G73" s="4121">
        <f>SUM('Произв. прогр. Вода'!L92)</f>
        <v>13.539413128168464</v>
      </c>
      <c r="H73" s="4120"/>
      <c r="I73" s="4120"/>
      <c r="J73" s="4120"/>
      <c r="K73" s="4121">
        <f t="shared" si="99"/>
        <v>0</v>
      </c>
      <c r="L73" s="4122">
        <f>SUM('Произв. прогр. Вода'!M92)</f>
        <v>27.078826256336928</v>
      </c>
      <c r="M73" s="4122">
        <f t="shared" si="100"/>
        <v>14.6</v>
      </c>
      <c r="N73" s="4122">
        <f t="shared" si="43"/>
        <v>-12.478826256336928</v>
      </c>
      <c r="O73" s="4121">
        <f>SUM('Произв. прогр. Вода'!Q92)</f>
        <v>13.539413128168464</v>
      </c>
      <c r="P73" s="4120">
        <v>18</v>
      </c>
      <c r="Q73" s="4120"/>
      <c r="R73" s="4120"/>
      <c r="S73" s="4121">
        <f t="shared" si="101"/>
        <v>18</v>
      </c>
      <c r="T73" s="4122">
        <f>SUM('Произв. прогр. Вода'!R92)</f>
        <v>40.618239384505394</v>
      </c>
      <c r="U73" s="4122">
        <f t="shared" si="102"/>
        <v>32.6</v>
      </c>
      <c r="V73" s="4122">
        <f t="shared" si="47"/>
        <v>-8.0182393845053923</v>
      </c>
      <c r="W73" s="4121">
        <f>SUM('Произв. прогр. Вода'!V92)</f>
        <v>13.539413128168464</v>
      </c>
      <c r="X73" s="4120"/>
      <c r="Y73" s="4120"/>
      <c r="Z73" s="4120"/>
      <c r="AA73" s="4121">
        <f t="shared" si="103"/>
        <v>0</v>
      </c>
      <c r="AB73" s="4122">
        <f>SUM('Произв. прогр. Вода'!B92)</f>
        <v>54.157652512673856</v>
      </c>
      <c r="AC73" s="4122">
        <f t="shared" si="104"/>
        <v>32.6</v>
      </c>
      <c r="AD73" s="4122">
        <f t="shared" si="51"/>
        <v>-21.557652512673855</v>
      </c>
      <c r="AE73" s="4112"/>
      <c r="AF73" s="4112"/>
      <c r="AG73" s="4100"/>
      <c r="AH73" s="4100"/>
      <c r="AI73" s="4100"/>
      <c r="AJ73" s="4100"/>
      <c r="AK73" s="4100"/>
    </row>
    <row r="74" spans="1:37" ht="18.75" customHeight="1">
      <c r="A74" s="4119" t="s">
        <v>1879</v>
      </c>
      <c r="B74" s="4121">
        <f>SUM('Произв. прогр. Вода'!H93)</f>
        <v>5.9885865759206665</v>
      </c>
      <c r="C74" s="4120"/>
      <c r="D74" s="4120"/>
      <c r="E74" s="4120">
        <v>34.5</v>
      </c>
      <c r="F74" s="4121">
        <f t="shared" si="98"/>
        <v>34.5</v>
      </c>
      <c r="G74" s="4121">
        <f>SUM('Произв. прогр. Вода'!L93)</f>
        <v>5.9885865759206665</v>
      </c>
      <c r="H74" s="4120"/>
      <c r="I74" s="4120"/>
      <c r="J74" s="4120"/>
      <c r="K74" s="4121">
        <f t="shared" si="99"/>
        <v>0</v>
      </c>
      <c r="L74" s="4122">
        <f>SUM('Произв. прогр. Вода'!M93)</f>
        <v>11.977173151841333</v>
      </c>
      <c r="M74" s="4122">
        <f t="shared" si="100"/>
        <v>34.5</v>
      </c>
      <c r="N74" s="4122">
        <f t="shared" si="43"/>
        <v>22.522826848158665</v>
      </c>
      <c r="O74" s="4121">
        <f>SUM('Произв. прогр. Вода'!Q93)</f>
        <v>5.9885865759206665</v>
      </c>
      <c r="P74" s="4120"/>
      <c r="Q74" s="4120"/>
      <c r="R74" s="4120"/>
      <c r="S74" s="4121">
        <f t="shared" si="101"/>
        <v>0</v>
      </c>
      <c r="T74" s="4122">
        <f>SUM('Произв. прогр. Вода'!R93)</f>
        <v>17.965759727761998</v>
      </c>
      <c r="U74" s="4122">
        <f t="shared" si="102"/>
        <v>34.5</v>
      </c>
      <c r="V74" s="4122">
        <f t="shared" si="47"/>
        <v>16.534240272238002</v>
      </c>
      <c r="W74" s="4121">
        <f>SUM('Произв. прогр. Вода'!V93)</f>
        <v>5.9885865759206665</v>
      </c>
      <c r="X74" s="4120"/>
      <c r="Y74" s="4120"/>
      <c r="Z74" s="4120"/>
      <c r="AA74" s="4121">
        <f t="shared" si="103"/>
        <v>0</v>
      </c>
      <c r="AB74" s="4122">
        <f>SUM('Произв. прогр. Вода'!B93)</f>
        <v>23.954346303682666</v>
      </c>
      <c r="AC74" s="4122">
        <f t="shared" si="104"/>
        <v>34.5</v>
      </c>
      <c r="AD74" s="4122">
        <f t="shared" si="51"/>
        <v>10.545653696317334</v>
      </c>
      <c r="AE74" s="4112"/>
      <c r="AF74" s="4112"/>
      <c r="AG74" s="4100"/>
      <c r="AH74" s="4100"/>
      <c r="AI74" s="4100"/>
      <c r="AJ74" s="4100"/>
      <c r="AK74" s="4100"/>
    </row>
    <row r="75" spans="1:37" ht="18.75" customHeight="1">
      <c r="A75" s="4119" t="s">
        <v>607</v>
      </c>
      <c r="B75" s="4121">
        <f>SUM('Произв. прогр. Вода'!H94)</f>
        <v>1879.1019675776574</v>
      </c>
      <c r="C75" s="4121">
        <f>SUM(C76:C79)</f>
        <v>1081.3500000000001</v>
      </c>
      <c r="D75" s="4121">
        <f>SUM(D76:D79)</f>
        <v>740.83</v>
      </c>
      <c r="E75" s="4121">
        <f>SUM(E76:E79)</f>
        <v>681.91</v>
      </c>
      <c r="F75" s="4121">
        <f t="shared" ref="F75" si="105">SUM(F76:F79)</f>
        <v>2504.0899999999997</v>
      </c>
      <c r="G75" s="4121">
        <f>SUM('Произв. прогр. Вода'!L94)</f>
        <v>574.52968539071821</v>
      </c>
      <c r="H75" s="4121">
        <f t="shared" ref="H75:M75" si="106">SUM(H76:H79)</f>
        <v>714</v>
      </c>
      <c r="I75" s="4121">
        <f t="shared" si="106"/>
        <v>527.21999999999991</v>
      </c>
      <c r="J75" s="4121">
        <f t="shared" si="106"/>
        <v>6.2200000000000006</v>
      </c>
      <c r="K75" s="4121">
        <f t="shared" si="106"/>
        <v>1247.4399999999998</v>
      </c>
      <c r="L75" s="4122">
        <f>SUM('Произв. прогр. Вода'!M94)</f>
        <v>2453.6316529683754</v>
      </c>
      <c r="M75" s="4122">
        <f t="shared" si="106"/>
        <v>3751.53</v>
      </c>
      <c r="N75" s="4122">
        <f t="shared" si="43"/>
        <v>1297.8983470316248</v>
      </c>
      <c r="O75" s="4121">
        <f>SUM('Произв. прогр. Вода'!Q94)</f>
        <v>262.78411332388993</v>
      </c>
      <c r="P75" s="4121">
        <f t="shared" ref="P75:U75" si="107">SUM(P76:P79)</f>
        <v>18.68</v>
      </c>
      <c r="Q75" s="4121">
        <f t="shared" si="107"/>
        <v>21.68</v>
      </c>
      <c r="R75" s="4121">
        <f t="shared" si="107"/>
        <v>97.05</v>
      </c>
      <c r="S75" s="4121">
        <f t="shared" si="107"/>
        <v>137.41</v>
      </c>
      <c r="T75" s="4122">
        <f>SUM('Произв. прогр. Вода'!R94)</f>
        <v>2716.4157662922653</v>
      </c>
      <c r="U75" s="4122">
        <f t="shared" si="107"/>
        <v>3888.94</v>
      </c>
      <c r="V75" s="4122">
        <f t="shared" si="47"/>
        <v>1172.5242337077348</v>
      </c>
      <c r="W75" s="4121">
        <f>SUM('Произв. прогр. Вода'!V94)</f>
        <v>1672.437073869419</v>
      </c>
      <c r="X75" s="4121">
        <f t="shared" ref="X75:AC75" si="108">SUM(X76:X79)</f>
        <v>0</v>
      </c>
      <c r="Y75" s="4121">
        <f t="shared" si="108"/>
        <v>0</v>
      </c>
      <c r="Z75" s="4121">
        <f t="shared" si="108"/>
        <v>0</v>
      </c>
      <c r="AA75" s="4121">
        <f t="shared" si="108"/>
        <v>0</v>
      </c>
      <c r="AB75" s="4122">
        <f>SUM('Произв. прогр. Вода'!B94)</f>
        <v>4388.852840161685</v>
      </c>
      <c r="AC75" s="4122">
        <f t="shared" si="108"/>
        <v>3888.94</v>
      </c>
      <c r="AD75" s="4122">
        <f t="shared" si="51"/>
        <v>-499.91284016168493</v>
      </c>
      <c r="AE75" s="4112"/>
      <c r="AF75" s="4112"/>
      <c r="AG75" s="4100"/>
      <c r="AH75" s="4100"/>
      <c r="AI75" s="4100"/>
      <c r="AJ75" s="4100"/>
      <c r="AK75" s="4100"/>
    </row>
    <row r="76" spans="1:37" ht="18.75" customHeight="1">
      <c r="A76" s="4123" t="s">
        <v>563</v>
      </c>
      <c r="B76" s="4269">
        <f>SUM('Произв. прогр. Вода'!H95)</f>
        <v>1783.5449556923149</v>
      </c>
      <c r="C76" s="4124">
        <v>980.71</v>
      </c>
      <c r="D76" s="4124">
        <v>737.52</v>
      </c>
      <c r="E76" s="4124">
        <v>619.26</v>
      </c>
      <c r="F76" s="4269">
        <f t="shared" si="98"/>
        <v>2337.4899999999998</v>
      </c>
      <c r="G76" s="4269">
        <f>SUM('Произв. прогр. Вода'!L95)</f>
        <v>478.9726735053755</v>
      </c>
      <c r="H76" s="4124">
        <v>562.08000000000004</v>
      </c>
      <c r="I76" s="4124">
        <v>493.18</v>
      </c>
      <c r="J76" s="4124">
        <v>0</v>
      </c>
      <c r="K76" s="4269">
        <f t="shared" si="99"/>
        <v>1055.26</v>
      </c>
      <c r="L76" s="4270">
        <f>SUM('Произв. прогр. Вода'!M95)</f>
        <v>2262.5176291976904</v>
      </c>
      <c r="M76" s="4270">
        <f t="shared" si="100"/>
        <v>3392.75</v>
      </c>
      <c r="N76" s="4270">
        <f t="shared" si="43"/>
        <v>1130.2323708023096</v>
      </c>
      <c r="O76" s="4269">
        <f>SUM('Произв. прогр. Вода'!Q95)</f>
        <v>167.22710143854709</v>
      </c>
      <c r="P76" s="4124"/>
      <c r="Q76" s="4124"/>
      <c r="R76" s="4124">
        <v>64.239999999999995</v>
      </c>
      <c r="S76" s="4269">
        <f t="shared" si="101"/>
        <v>64.239999999999995</v>
      </c>
      <c r="T76" s="4270">
        <f>SUM('Произв. прогр. Вода'!R95)</f>
        <v>2429.7447306362374</v>
      </c>
      <c r="U76" s="4270">
        <f t="shared" si="102"/>
        <v>3456.99</v>
      </c>
      <c r="V76" s="4270">
        <f t="shared" si="47"/>
        <v>1027.2452693637624</v>
      </c>
      <c r="W76" s="4269">
        <f>SUM('Произв. прогр. Вода'!V95)</f>
        <v>1576.8800619840763</v>
      </c>
      <c r="X76" s="4124"/>
      <c r="Y76" s="4124"/>
      <c r="Z76" s="4124"/>
      <c r="AA76" s="4269">
        <f t="shared" si="103"/>
        <v>0</v>
      </c>
      <c r="AB76" s="4270">
        <f>SUM('Произв. прогр. Вода'!B95)</f>
        <v>4006.6247926203137</v>
      </c>
      <c r="AC76" s="4270">
        <f t="shared" si="104"/>
        <v>3456.99</v>
      </c>
      <c r="AD76" s="4270">
        <f t="shared" si="51"/>
        <v>-549.63479262031387</v>
      </c>
      <c r="AE76" s="4112"/>
      <c r="AF76" s="4112"/>
      <c r="AG76" s="4100"/>
      <c r="AH76" s="4100"/>
      <c r="AI76" s="4100"/>
      <c r="AJ76" s="4100"/>
      <c r="AK76" s="4100"/>
    </row>
    <row r="77" spans="1:37" ht="18.75" customHeight="1">
      <c r="A77" s="4123" t="s">
        <v>565</v>
      </c>
      <c r="B77" s="4269">
        <f>SUM('Произв. прогр. Вода'!H96)</f>
        <v>81.236478769010787</v>
      </c>
      <c r="C77" s="4124">
        <f>91.41+6.75</f>
        <v>98.16</v>
      </c>
      <c r="D77" s="4124">
        <v>2.58</v>
      </c>
      <c r="E77" s="4124">
        <v>60.67</v>
      </c>
      <c r="F77" s="4269">
        <f t="shared" si="98"/>
        <v>161.41</v>
      </c>
      <c r="G77" s="4269">
        <f>SUM('Произв. прогр. Вода'!L96)</f>
        <v>81.236478769010787</v>
      </c>
      <c r="H77" s="4124">
        <v>151.91999999999999</v>
      </c>
      <c r="I77" s="4124">
        <f>1.43+27.44</f>
        <v>28.87</v>
      </c>
      <c r="J77" s="4124">
        <v>3.56</v>
      </c>
      <c r="K77" s="4269">
        <f t="shared" si="99"/>
        <v>184.35</v>
      </c>
      <c r="L77" s="4270">
        <f>SUM('Произв. прогр. Вода'!M96)</f>
        <v>162.47295753802157</v>
      </c>
      <c r="M77" s="4270">
        <f t="shared" si="100"/>
        <v>345.76</v>
      </c>
      <c r="N77" s="4270">
        <f t="shared" si="43"/>
        <v>183.28704246197842</v>
      </c>
      <c r="O77" s="4269">
        <f>SUM('Произв. прогр. Вода'!Q96)</f>
        <v>81.236478769010787</v>
      </c>
      <c r="P77" s="4124">
        <v>15.89</v>
      </c>
      <c r="Q77" s="4124">
        <f>12.64+6.38</f>
        <v>19.02</v>
      </c>
      <c r="R77" s="4124">
        <v>28.75</v>
      </c>
      <c r="S77" s="4269">
        <f t="shared" si="101"/>
        <v>63.66</v>
      </c>
      <c r="T77" s="4270">
        <f>SUM('Произв. прогр. Вода'!R96)</f>
        <v>243.70943630703238</v>
      </c>
      <c r="U77" s="4270">
        <f t="shared" si="102"/>
        <v>409.41999999999996</v>
      </c>
      <c r="V77" s="4270">
        <f t="shared" si="47"/>
        <v>165.71056369296758</v>
      </c>
      <c r="W77" s="4269">
        <f>SUM('Произв. прогр. Вода'!V96)</f>
        <v>81.236478769010787</v>
      </c>
      <c r="X77" s="4124"/>
      <c r="Y77" s="4124"/>
      <c r="Z77" s="4124"/>
      <c r="AA77" s="4269">
        <f t="shared" si="103"/>
        <v>0</v>
      </c>
      <c r="AB77" s="4270">
        <f>SUM('Произв. прогр. Вода'!B96)</f>
        <v>324.94591507604315</v>
      </c>
      <c r="AC77" s="4270">
        <f t="shared" si="104"/>
        <v>409.41999999999996</v>
      </c>
      <c r="AD77" s="4270">
        <f t="shared" si="51"/>
        <v>84.474084923956809</v>
      </c>
      <c r="AE77" s="4112"/>
      <c r="AF77" s="4112"/>
      <c r="AG77" s="4100"/>
      <c r="AH77" s="4100"/>
      <c r="AI77" s="4100"/>
      <c r="AJ77" s="4100"/>
      <c r="AK77" s="4100"/>
    </row>
    <row r="78" spans="1:37" ht="18.75" customHeight="1">
      <c r="A78" s="4123" t="s">
        <v>564</v>
      </c>
      <c r="B78" s="4269">
        <f>SUM('Произв. прогр. Вода'!H97)</f>
        <v>5.7282132465328122</v>
      </c>
      <c r="C78" s="4124"/>
      <c r="D78" s="4124"/>
      <c r="E78" s="4124"/>
      <c r="F78" s="4269">
        <f t="shared" si="98"/>
        <v>0</v>
      </c>
      <c r="G78" s="4269">
        <f>SUM('Произв. прогр. Вода'!L97)</f>
        <v>5.7282132465328122</v>
      </c>
      <c r="H78" s="4124"/>
      <c r="I78" s="4124"/>
      <c r="J78" s="4124"/>
      <c r="K78" s="4269">
        <f t="shared" si="99"/>
        <v>0</v>
      </c>
      <c r="L78" s="4270">
        <f>SUM('Произв. прогр. Вода'!M97)</f>
        <v>11.456426493065624</v>
      </c>
      <c r="M78" s="4270">
        <f t="shared" si="100"/>
        <v>0</v>
      </c>
      <c r="N78" s="4270">
        <f t="shared" si="43"/>
        <v>-11.456426493065624</v>
      </c>
      <c r="O78" s="4269">
        <f>SUM('Произв. прогр. Вода'!Q97)</f>
        <v>5.7282132465328122</v>
      </c>
      <c r="P78" s="4124"/>
      <c r="Q78" s="4124"/>
      <c r="R78" s="4124"/>
      <c r="S78" s="4269">
        <f t="shared" si="101"/>
        <v>0</v>
      </c>
      <c r="T78" s="4270">
        <f>SUM('Произв. прогр. Вода'!R97)</f>
        <v>17.184639739598438</v>
      </c>
      <c r="U78" s="4270">
        <f t="shared" si="102"/>
        <v>0</v>
      </c>
      <c r="V78" s="4270">
        <f t="shared" si="47"/>
        <v>-17.184639739598438</v>
      </c>
      <c r="W78" s="4269">
        <f>SUM('Произв. прогр. Вода'!V97)</f>
        <v>5.7282132465328122</v>
      </c>
      <c r="X78" s="4124"/>
      <c r="Y78" s="4124"/>
      <c r="Z78" s="4124"/>
      <c r="AA78" s="4269">
        <f t="shared" si="103"/>
        <v>0</v>
      </c>
      <c r="AB78" s="4270">
        <f>SUM('Произв. прогр. Вода'!B97)</f>
        <v>22.912852986131249</v>
      </c>
      <c r="AC78" s="4270">
        <f t="shared" si="104"/>
        <v>0</v>
      </c>
      <c r="AD78" s="4270">
        <f t="shared" si="51"/>
        <v>-22.912852986131249</v>
      </c>
      <c r="AE78" s="4112"/>
      <c r="AF78" s="4112"/>
      <c r="AG78" s="4100"/>
      <c r="AH78" s="4100"/>
      <c r="AI78" s="4100"/>
      <c r="AJ78" s="4100"/>
      <c r="AK78" s="4100"/>
    </row>
    <row r="79" spans="1:37" ht="18.75" customHeight="1">
      <c r="A79" s="4123" t="s">
        <v>1880</v>
      </c>
      <c r="B79" s="4269">
        <f>SUM('Произв. прогр. Вода'!H98)</f>
        <v>8.5923198697992174</v>
      </c>
      <c r="C79" s="4124">
        <v>2.48</v>
      </c>
      <c r="D79" s="4124">
        <v>0.73</v>
      </c>
      <c r="E79" s="4124">
        <v>1.98</v>
      </c>
      <c r="F79" s="4269">
        <f t="shared" si="98"/>
        <v>5.1899999999999995</v>
      </c>
      <c r="G79" s="4269">
        <f>SUM('Произв. прогр. Вода'!L98)</f>
        <v>8.5923198697992174</v>
      </c>
      <c r="H79" s="4124"/>
      <c r="I79" s="4124">
        <v>5.17</v>
      </c>
      <c r="J79" s="4124">
        <v>2.66</v>
      </c>
      <c r="K79" s="4269">
        <f t="shared" si="99"/>
        <v>7.83</v>
      </c>
      <c r="L79" s="4270">
        <f>SUM('Произв. прогр. Вода'!M98)</f>
        <v>17.184639739598435</v>
      </c>
      <c r="M79" s="4270">
        <f t="shared" si="100"/>
        <v>13.02</v>
      </c>
      <c r="N79" s="4270">
        <f t="shared" si="43"/>
        <v>-4.1646397395984351</v>
      </c>
      <c r="O79" s="4269">
        <f>SUM('Произв. прогр. Вода'!Q98)</f>
        <v>8.5923198697992174</v>
      </c>
      <c r="P79" s="4124">
        <v>2.79</v>
      </c>
      <c r="Q79" s="4124">
        <v>2.66</v>
      </c>
      <c r="R79" s="4124">
        <v>4.0599999999999996</v>
      </c>
      <c r="S79" s="4269">
        <f t="shared" si="101"/>
        <v>9.51</v>
      </c>
      <c r="T79" s="4270">
        <f>SUM('Произв. прогр. Вода'!R98)</f>
        <v>25.77695960939765</v>
      </c>
      <c r="U79" s="4270">
        <f t="shared" si="102"/>
        <v>22.53</v>
      </c>
      <c r="V79" s="4270">
        <f t="shared" si="47"/>
        <v>-3.2469596093976492</v>
      </c>
      <c r="W79" s="4269">
        <f>SUM('Произв. прогр. Вода'!V98)</f>
        <v>8.5923198697992174</v>
      </c>
      <c r="X79" s="4124"/>
      <c r="Y79" s="4124"/>
      <c r="Z79" s="4124"/>
      <c r="AA79" s="4269">
        <f t="shared" si="103"/>
        <v>0</v>
      </c>
      <c r="AB79" s="4270">
        <f>SUM('Произв. прогр. Вода'!B98)</f>
        <v>34.369279479196869</v>
      </c>
      <c r="AC79" s="4270">
        <f t="shared" si="104"/>
        <v>22.53</v>
      </c>
      <c r="AD79" s="4270">
        <f t="shared" si="51"/>
        <v>-11.839279479196868</v>
      </c>
      <c r="AE79" s="4112"/>
      <c r="AF79" s="4112"/>
      <c r="AG79" s="4100"/>
      <c r="AH79" s="4100"/>
      <c r="AI79" s="4100"/>
      <c r="AJ79" s="4100"/>
      <c r="AK79" s="4100"/>
    </row>
    <row r="80" spans="1:37" ht="18.75" customHeight="1">
      <c r="A80" s="4119" t="s">
        <v>610</v>
      </c>
      <c r="B80" s="4121">
        <f>SUM('Произв. прогр. Вода'!H99)</f>
        <v>57.186523378776883</v>
      </c>
      <c r="C80" s="4121">
        <f t="shared" ref="C80" si="109">SUM(C81:C84)</f>
        <v>0</v>
      </c>
      <c r="D80" s="4121">
        <f t="shared" ref="D80:F80" si="110">SUM(D81:D84)</f>
        <v>0.76</v>
      </c>
      <c r="E80" s="4121">
        <f t="shared" si="110"/>
        <v>17.63</v>
      </c>
      <c r="F80" s="4121">
        <f t="shared" si="110"/>
        <v>18.39</v>
      </c>
      <c r="G80" s="4121">
        <f>SUM('Произв. прогр. Вода'!L99)</f>
        <v>65.432025973831486</v>
      </c>
      <c r="H80" s="4121">
        <f t="shared" ref="H80:M80" si="111">SUM(H81:H84)</f>
        <v>2.4299999999999997</v>
      </c>
      <c r="I80" s="4121">
        <f t="shared" si="111"/>
        <v>0.9</v>
      </c>
      <c r="J80" s="4121">
        <f t="shared" si="111"/>
        <v>30.900000000000002</v>
      </c>
      <c r="K80" s="4121">
        <f t="shared" si="111"/>
        <v>34.230000000000004</v>
      </c>
      <c r="L80" s="4122">
        <f>SUM('Произв. прогр. Вода'!M99)</f>
        <v>122.61854935260837</v>
      </c>
      <c r="M80" s="4122">
        <f t="shared" si="111"/>
        <v>52.620000000000005</v>
      </c>
      <c r="N80" s="4122">
        <f t="shared" si="43"/>
        <v>-69.998549352608364</v>
      </c>
      <c r="O80" s="4121">
        <f>SUM('Произв. прогр. Вода'!Q99)</f>
        <v>71.194816798506992</v>
      </c>
      <c r="P80" s="4121">
        <f t="shared" ref="P80:U80" si="112">SUM(P81:P84)</f>
        <v>64.599999999999994</v>
      </c>
      <c r="Q80" s="4121">
        <f t="shared" si="112"/>
        <v>47.36999999999999</v>
      </c>
      <c r="R80" s="4121">
        <f t="shared" si="112"/>
        <v>67.849999999999994</v>
      </c>
      <c r="S80" s="4121">
        <f t="shared" si="112"/>
        <v>179.82</v>
      </c>
      <c r="T80" s="4122">
        <f>SUM('Произв. прогр. Вода'!R99)</f>
        <v>193.81336615111536</v>
      </c>
      <c r="U80" s="4122">
        <f t="shared" si="112"/>
        <v>232.44</v>
      </c>
      <c r="V80" s="4122">
        <f t="shared" si="47"/>
        <v>38.626633848884637</v>
      </c>
      <c r="W80" s="4121">
        <f>SUM('Произв. прогр. Вода'!V99)</f>
        <v>57.186523378776883</v>
      </c>
      <c r="X80" s="4121">
        <f t="shared" ref="X80:AC80" si="113">SUM(X81:X84)</f>
        <v>0</v>
      </c>
      <c r="Y80" s="4121">
        <f t="shared" si="113"/>
        <v>0</v>
      </c>
      <c r="Z80" s="4121">
        <f t="shared" si="113"/>
        <v>0</v>
      </c>
      <c r="AA80" s="4121">
        <f t="shared" si="113"/>
        <v>0</v>
      </c>
      <c r="AB80" s="4122">
        <f>SUM('Произв. прогр. Вода'!B99)</f>
        <v>250.99988952989227</v>
      </c>
      <c r="AC80" s="4122">
        <f t="shared" si="113"/>
        <v>232.44</v>
      </c>
      <c r="AD80" s="4122">
        <f t="shared" si="51"/>
        <v>-18.559889529892274</v>
      </c>
      <c r="AE80" s="4112"/>
      <c r="AF80" s="4112"/>
      <c r="AG80" s="4100"/>
      <c r="AH80" s="4100"/>
      <c r="AI80" s="4100"/>
      <c r="AJ80" s="4100"/>
      <c r="AK80" s="4100"/>
    </row>
    <row r="81" spans="1:37" ht="18.75" customHeight="1">
      <c r="A81" s="4123" t="s">
        <v>552</v>
      </c>
      <c r="B81" s="4269">
        <f>SUM('Произв. прогр. Вода'!H100)</f>
        <v>39.741510309790598</v>
      </c>
      <c r="C81" s="4124"/>
      <c r="D81" s="4124"/>
      <c r="E81" s="4124"/>
      <c r="F81" s="4269">
        <f t="shared" si="98"/>
        <v>0</v>
      </c>
      <c r="G81" s="4269">
        <f>SUM('Произв. прогр. Вода'!L100)</f>
        <v>47.987012904845194</v>
      </c>
      <c r="H81" s="4124"/>
      <c r="I81" s="4124"/>
      <c r="J81" s="4124"/>
      <c r="K81" s="4269">
        <f t="shared" si="99"/>
        <v>0</v>
      </c>
      <c r="L81" s="4270">
        <f>SUM('Произв. прогр. Вода'!M100)</f>
        <v>87.7285232146358</v>
      </c>
      <c r="M81" s="4270">
        <f t="shared" si="100"/>
        <v>0</v>
      </c>
      <c r="N81" s="4270">
        <f t="shared" si="43"/>
        <v>-87.7285232146358</v>
      </c>
      <c r="O81" s="4269">
        <f>SUM('Произв. прогр. Вода'!Q100)</f>
        <v>53.749803729520721</v>
      </c>
      <c r="P81" s="4124">
        <f>6.35+44.53+13.34</f>
        <v>64.22</v>
      </c>
      <c r="Q81" s="4124">
        <f>28.63+18.61-0.02</f>
        <v>47.219999999999992</v>
      </c>
      <c r="R81" s="4124">
        <v>67.13</v>
      </c>
      <c r="S81" s="4269">
        <f t="shared" si="101"/>
        <v>178.57</v>
      </c>
      <c r="T81" s="4270">
        <f>SUM('Произв. прогр. Вода'!R100)</f>
        <v>141.47832694415652</v>
      </c>
      <c r="U81" s="4270">
        <f t="shared" si="102"/>
        <v>178.57</v>
      </c>
      <c r="V81" s="4270">
        <f t="shared" si="47"/>
        <v>37.091673055843472</v>
      </c>
      <c r="W81" s="4269">
        <f>SUM('Произв. прогр. Вода'!V100)</f>
        <v>39.741510309790598</v>
      </c>
      <c r="X81" s="4124"/>
      <c r="Y81" s="4124"/>
      <c r="Z81" s="4124"/>
      <c r="AA81" s="4269">
        <f t="shared" si="103"/>
        <v>0</v>
      </c>
      <c r="AB81" s="4270">
        <f>SUM('Произв. прогр. Вода'!B100)</f>
        <v>181.21983725394711</v>
      </c>
      <c r="AC81" s="4270">
        <f t="shared" si="104"/>
        <v>178.57</v>
      </c>
      <c r="AD81" s="4270">
        <f t="shared" si="51"/>
        <v>-2.649837253947112</v>
      </c>
      <c r="AE81" s="4112"/>
      <c r="AF81" s="4112"/>
      <c r="AG81" s="4100"/>
      <c r="AH81" s="4100"/>
      <c r="AI81" s="4100"/>
      <c r="AJ81" s="4100"/>
      <c r="AK81" s="4100"/>
    </row>
    <row r="82" spans="1:37" ht="18.75" customHeight="1">
      <c r="A82" s="4123" t="s">
        <v>644</v>
      </c>
      <c r="B82" s="4269">
        <f>SUM('Произв. прогр. Вода'!H101)</f>
        <v>7.5508265522477966</v>
      </c>
      <c r="C82" s="4124"/>
      <c r="D82" s="4124">
        <v>0.76</v>
      </c>
      <c r="E82" s="4124"/>
      <c r="F82" s="4269">
        <f t="shared" si="98"/>
        <v>0.76</v>
      </c>
      <c r="G82" s="4269">
        <f>SUM('Произв. прогр. Вода'!L101)</f>
        <v>7.5508265522477966</v>
      </c>
      <c r="H82" s="4124">
        <v>0.76</v>
      </c>
      <c r="I82" s="4124"/>
      <c r="J82" s="4124">
        <v>6.3</v>
      </c>
      <c r="K82" s="4269">
        <f t="shared" si="99"/>
        <v>7.06</v>
      </c>
      <c r="L82" s="4270">
        <f>SUM('Произв. прогр. Вода'!M101)</f>
        <v>15.101653104495593</v>
      </c>
      <c r="M82" s="4270">
        <f t="shared" si="100"/>
        <v>7.8199999999999994</v>
      </c>
      <c r="N82" s="4270">
        <f t="shared" si="43"/>
        <v>-7.2816531044955939</v>
      </c>
      <c r="O82" s="4269">
        <f>SUM('Произв. прогр. Вода'!Q101)</f>
        <v>7.5508265522477966</v>
      </c>
      <c r="P82" s="4124">
        <v>0.38</v>
      </c>
      <c r="Q82" s="4124"/>
      <c r="R82" s="4124">
        <v>0.52</v>
      </c>
      <c r="S82" s="4269">
        <f t="shared" si="101"/>
        <v>0.9</v>
      </c>
      <c r="T82" s="4270">
        <f>SUM('Произв. прогр. Вода'!R101)</f>
        <v>22.652479656743388</v>
      </c>
      <c r="U82" s="4270">
        <f t="shared" si="102"/>
        <v>8.7199999999999989</v>
      </c>
      <c r="V82" s="4270">
        <f t="shared" si="47"/>
        <v>-13.932479656743389</v>
      </c>
      <c r="W82" s="4269">
        <f>SUM('Произв. прогр. Вода'!V101)</f>
        <v>7.5508265522477966</v>
      </c>
      <c r="X82" s="4124"/>
      <c r="Y82" s="4124"/>
      <c r="Z82" s="4124"/>
      <c r="AA82" s="4269">
        <f t="shared" si="103"/>
        <v>0</v>
      </c>
      <c r="AB82" s="4270">
        <f>SUM('Произв. прогр. Вода'!B101)</f>
        <v>30.203306208991187</v>
      </c>
      <c r="AC82" s="4270">
        <f t="shared" si="104"/>
        <v>8.7199999999999989</v>
      </c>
      <c r="AD82" s="4270">
        <f t="shared" si="51"/>
        <v>-21.483306208991188</v>
      </c>
      <c r="AE82" s="4112"/>
      <c r="AF82" s="4112"/>
      <c r="AG82" s="4100"/>
      <c r="AH82" s="4100"/>
      <c r="AI82" s="4100"/>
      <c r="AJ82" s="4100"/>
      <c r="AK82" s="4100"/>
    </row>
    <row r="83" spans="1:37" ht="18.75" customHeight="1">
      <c r="A83" s="4123" t="s">
        <v>560</v>
      </c>
      <c r="B83" s="4269">
        <f>SUM('Произв. прогр. Вода'!H102)</f>
        <v>8.071573211023507</v>
      </c>
      <c r="C83" s="4124"/>
      <c r="D83" s="4124"/>
      <c r="E83" s="4124">
        <v>17.63</v>
      </c>
      <c r="F83" s="4269">
        <f t="shared" si="98"/>
        <v>17.63</v>
      </c>
      <c r="G83" s="4269">
        <f>SUM('Произв. прогр. Вода'!L102)</f>
        <v>8.071573211023507</v>
      </c>
      <c r="H83" s="4124">
        <v>1.67</v>
      </c>
      <c r="I83" s="4124"/>
      <c r="J83" s="4124">
        <v>24.6</v>
      </c>
      <c r="K83" s="4269">
        <f t="shared" si="99"/>
        <v>26.270000000000003</v>
      </c>
      <c r="L83" s="4270">
        <f>SUM('Произв. прогр. Вода'!M102)</f>
        <v>16.143146422047014</v>
      </c>
      <c r="M83" s="4270">
        <f t="shared" si="100"/>
        <v>43.900000000000006</v>
      </c>
      <c r="N83" s="4270">
        <f t="shared" si="43"/>
        <v>27.756853577952992</v>
      </c>
      <c r="O83" s="4269">
        <f>SUM('Произв. прогр. Вода'!Q102)</f>
        <v>8.071573211023507</v>
      </c>
      <c r="P83" s="4124"/>
      <c r="Q83" s="4124"/>
      <c r="R83" s="4124">
        <v>0</v>
      </c>
      <c r="S83" s="4269">
        <f t="shared" si="101"/>
        <v>0</v>
      </c>
      <c r="T83" s="4270">
        <f>SUM('Произв. прогр. Вода'!R102)</f>
        <v>24.214719633070523</v>
      </c>
      <c r="U83" s="4270">
        <f t="shared" si="102"/>
        <v>43.900000000000006</v>
      </c>
      <c r="V83" s="4270">
        <f t="shared" si="47"/>
        <v>19.685280366929483</v>
      </c>
      <c r="W83" s="4269">
        <f>SUM('Произв. прогр. Вода'!V102)</f>
        <v>8.071573211023507</v>
      </c>
      <c r="X83" s="4124"/>
      <c r="Y83" s="4124"/>
      <c r="Z83" s="4124"/>
      <c r="AA83" s="4269">
        <f t="shared" si="103"/>
        <v>0</v>
      </c>
      <c r="AB83" s="4270">
        <f>SUM('Произв. прогр. Вода'!B102)</f>
        <v>32.286292844094028</v>
      </c>
      <c r="AC83" s="4270">
        <f t="shared" si="104"/>
        <v>43.900000000000006</v>
      </c>
      <c r="AD83" s="4270">
        <f t="shared" si="51"/>
        <v>11.613707155905978</v>
      </c>
      <c r="AE83" s="4112"/>
      <c r="AF83" s="4112"/>
      <c r="AG83" s="4100"/>
      <c r="AH83" s="4100"/>
      <c r="AI83" s="4100"/>
      <c r="AJ83" s="4100"/>
      <c r="AK83" s="4100"/>
    </row>
    <row r="84" spans="1:37" ht="18.75" customHeight="1">
      <c r="A84" s="4123" t="s">
        <v>614</v>
      </c>
      <c r="B84" s="4269">
        <f>SUM('Произв. прогр. Вода'!H103)</f>
        <v>1.8226133057149858</v>
      </c>
      <c r="C84" s="4124"/>
      <c r="D84" s="4124"/>
      <c r="E84" s="4124"/>
      <c r="F84" s="4269">
        <f t="shared" si="98"/>
        <v>0</v>
      </c>
      <c r="G84" s="4269">
        <f>SUM('Произв. прогр. Вода'!L103)</f>
        <v>1.8226133057149858</v>
      </c>
      <c r="H84" s="4124"/>
      <c r="I84" s="4124">
        <v>0.9</v>
      </c>
      <c r="J84" s="4124"/>
      <c r="K84" s="4269">
        <f t="shared" si="99"/>
        <v>0.9</v>
      </c>
      <c r="L84" s="4270">
        <f>SUM('Произв. прогр. Вода'!M103)</f>
        <v>3.6452266114299716</v>
      </c>
      <c r="M84" s="4270">
        <f t="shared" si="100"/>
        <v>0.9</v>
      </c>
      <c r="N84" s="4270">
        <f t="shared" si="43"/>
        <v>-2.7452266114299717</v>
      </c>
      <c r="O84" s="4269">
        <f>SUM('Произв. прогр. Вода'!Q103)</f>
        <v>1.8226133057149858</v>
      </c>
      <c r="P84" s="4124"/>
      <c r="Q84" s="4124">
        <v>0.15</v>
      </c>
      <c r="R84" s="4124">
        <v>0.2</v>
      </c>
      <c r="S84" s="4269">
        <f t="shared" si="101"/>
        <v>0.35</v>
      </c>
      <c r="T84" s="4270">
        <f>SUM('Произв. прогр. Вода'!R103)</f>
        <v>5.467839917144957</v>
      </c>
      <c r="U84" s="4270">
        <f t="shared" si="102"/>
        <v>1.25</v>
      </c>
      <c r="V84" s="4270">
        <f t="shared" si="47"/>
        <v>-4.217839917144957</v>
      </c>
      <c r="W84" s="4269">
        <f>SUM('Произв. прогр. Вода'!V103)</f>
        <v>1.8226133057149858</v>
      </c>
      <c r="X84" s="4124"/>
      <c r="Y84" s="4124"/>
      <c r="Z84" s="4124"/>
      <c r="AA84" s="4269">
        <f t="shared" si="103"/>
        <v>0</v>
      </c>
      <c r="AB84" s="4270">
        <f>SUM('Произв. прогр. Вода'!B103)</f>
        <v>7.2904532228599432</v>
      </c>
      <c r="AC84" s="4270">
        <f t="shared" si="104"/>
        <v>1.25</v>
      </c>
      <c r="AD84" s="4270">
        <f t="shared" si="51"/>
        <v>-6.0404532228599432</v>
      </c>
      <c r="AE84" s="4112"/>
      <c r="AF84" s="4112"/>
      <c r="AG84" s="4100"/>
      <c r="AH84" s="4100"/>
      <c r="AI84" s="4100"/>
      <c r="AJ84" s="4100"/>
      <c r="AK84" s="4100"/>
    </row>
    <row r="85" spans="1:37" ht="18.75" customHeight="1">
      <c r="A85" s="4116" t="s">
        <v>16</v>
      </c>
      <c r="B85" s="4117">
        <f>SUM('Произв. прогр. Вода'!H104)</f>
        <v>4779.6234484215884</v>
      </c>
      <c r="C85" s="4117">
        <f t="shared" ref="C85" si="114">SUM(C86:C90)+C92</f>
        <v>1253.0899999999999</v>
      </c>
      <c r="D85" s="4117">
        <f t="shared" ref="D85:F85" si="115">SUM(D86:D90)+D92</f>
        <v>1133.3600000000001</v>
      </c>
      <c r="E85" s="4117">
        <f>SUM(E86:E90)+E92</f>
        <v>1221.33</v>
      </c>
      <c r="F85" s="4117">
        <f t="shared" si="115"/>
        <v>3607.7799999999997</v>
      </c>
      <c r="G85" s="4117">
        <f>SUM('Произв. прогр. Вода'!L104)</f>
        <v>4783.3208832978644</v>
      </c>
      <c r="H85" s="4117">
        <f>SUM(H86:H90)+H92</f>
        <v>1256.83</v>
      </c>
      <c r="I85" s="4117">
        <f t="shared" ref="I85:M85" si="116">SUM(I86:I90)+I92</f>
        <v>1224.04</v>
      </c>
      <c r="J85" s="4117">
        <f t="shared" si="116"/>
        <v>1414.1399999999999</v>
      </c>
      <c r="K85" s="4117">
        <f t="shared" si="116"/>
        <v>3895.01</v>
      </c>
      <c r="L85" s="4118">
        <f>SUM('Произв. прогр. Вода'!M104)</f>
        <v>9562.9443317194527</v>
      </c>
      <c r="M85" s="4118">
        <f t="shared" si="116"/>
        <v>7502.7900000000009</v>
      </c>
      <c r="N85" s="4118">
        <f t="shared" si="43"/>
        <v>-2060.1543317194519</v>
      </c>
      <c r="O85" s="4117">
        <f>SUM('Произв. прогр. Вода'!Q104)</f>
        <v>5033.5055073228286</v>
      </c>
      <c r="P85" s="4117">
        <f t="shared" ref="P85:U85" si="117">SUM(P86:P90)+P92</f>
        <v>1136.7</v>
      </c>
      <c r="Q85" s="4117">
        <f t="shared" si="117"/>
        <v>1399.8600000000001</v>
      </c>
      <c r="R85" s="4117">
        <f t="shared" si="117"/>
        <v>1097.4500000000003</v>
      </c>
      <c r="S85" s="4117">
        <f t="shared" si="117"/>
        <v>3634.0099999999998</v>
      </c>
      <c r="T85" s="4118">
        <f>SUM('Произв. прогр. Вода'!R104)</f>
        <v>14596.44983904228</v>
      </c>
      <c r="U85" s="4118">
        <f t="shared" si="117"/>
        <v>11136.8</v>
      </c>
      <c r="V85" s="4271">
        <f t="shared" si="47"/>
        <v>-3459.6498390422803</v>
      </c>
      <c r="W85" s="4117">
        <f>SUM('Произв. прогр. Вода'!V104)</f>
        <v>5027.2239311484082</v>
      </c>
      <c r="X85" s="4117">
        <f t="shared" ref="X85:AC85" si="118">SUM(X86:X90)+X92</f>
        <v>0</v>
      </c>
      <c r="Y85" s="4117">
        <f t="shared" si="118"/>
        <v>0</v>
      </c>
      <c r="Z85" s="4117">
        <f t="shared" si="118"/>
        <v>0</v>
      </c>
      <c r="AA85" s="4117">
        <f t="shared" si="118"/>
        <v>0</v>
      </c>
      <c r="AB85" s="4118">
        <f>SUM('Произв. прогр. Вода'!B104)</f>
        <v>19623.67377019069</v>
      </c>
      <c r="AC85" s="4118">
        <f t="shared" si="118"/>
        <v>11136.8</v>
      </c>
      <c r="AD85" s="4118">
        <f t="shared" si="51"/>
        <v>-8486.8737701906903</v>
      </c>
      <c r="AE85" s="4112"/>
      <c r="AF85" s="4112"/>
      <c r="AG85" s="4100"/>
      <c r="AH85" s="4100"/>
      <c r="AI85" s="4100"/>
      <c r="AJ85" s="4100"/>
      <c r="AK85" s="4100"/>
    </row>
    <row r="86" spans="1:37" ht="18.75" customHeight="1">
      <c r="A86" s="4114" t="s">
        <v>3</v>
      </c>
      <c r="B86" s="4121">
        <f>SUM('Произв. прогр. Вода'!H105)</f>
        <v>67.89381464249999</v>
      </c>
      <c r="C86" s="4120">
        <v>48.27</v>
      </c>
      <c r="D86" s="4120">
        <v>6.52</v>
      </c>
      <c r="E86" s="4120">
        <v>43.54</v>
      </c>
      <c r="F86" s="4121">
        <f t="shared" si="98"/>
        <v>98.330000000000013</v>
      </c>
      <c r="G86" s="4121">
        <f>SUM('Произв. прогр. Вода'!L105)</f>
        <v>67.89381464249999</v>
      </c>
      <c r="H86" s="4120">
        <v>45.07</v>
      </c>
      <c r="I86" s="4120">
        <v>7.18</v>
      </c>
      <c r="J86" s="4120">
        <v>49.11</v>
      </c>
      <c r="K86" s="4121">
        <f t="shared" si="99"/>
        <v>101.36</v>
      </c>
      <c r="L86" s="4122">
        <f>SUM('Произв. прогр. Вода'!M105)</f>
        <v>135.78762928499998</v>
      </c>
      <c r="M86" s="4122">
        <f t="shared" si="100"/>
        <v>199.69</v>
      </c>
      <c r="N86" s="4122">
        <f t="shared" si="43"/>
        <v>63.902370715000018</v>
      </c>
      <c r="O86" s="4121">
        <f>SUM('Произв. прогр. Вода'!Q105)</f>
        <v>67.89381464249999</v>
      </c>
      <c r="P86" s="4120">
        <f>11.59+0.25+0.26</f>
        <v>12.1</v>
      </c>
      <c r="Q86" s="4120">
        <f>79.96+0.25</f>
        <v>80.209999999999994</v>
      </c>
      <c r="R86" s="4120">
        <v>75.959999999999994</v>
      </c>
      <c r="S86" s="4121">
        <f t="shared" si="101"/>
        <v>168.26999999999998</v>
      </c>
      <c r="T86" s="4122">
        <f>SUM('Произв. прогр. Вода'!R105)</f>
        <v>203.68144392749997</v>
      </c>
      <c r="U86" s="4122">
        <f t="shared" si="102"/>
        <v>367.96</v>
      </c>
      <c r="V86" s="4122">
        <f t="shared" si="47"/>
        <v>164.27855607250001</v>
      </c>
      <c r="W86" s="4121">
        <f>SUM('Произв. прогр. Вода'!V105)</f>
        <v>67.89381464249999</v>
      </c>
      <c r="X86" s="4120"/>
      <c r="Y86" s="4120"/>
      <c r="Z86" s="4120"/>
      <c r="AA86" s="4121">
        <f t="shared" si="103"/>
        <v>0</v>
      </c>
      <c r="AB86" s="4122">
        <f>SUM('Произв. прогр. Вода'!B105)</f>
        <v>271.57525856999996</v>
      </c>
      <c r="AC86" s="4122">
        <f t="shared" si="104"/>
        <v>367.96</v>
      </c>
      <c r="AD86" s="4122">
        <f t="shared" si="51"/>
        <v>96.38474143000002</v>
      </c>
      <c r="AE86" s="4112"/>
      <c r="AF86" s="4112"/>
      <c r="AG86" s="4100"/>
      <c r="AH86" s="4100"/>
      <c r="AI86" s="4100"/>
      <c r="AJ86" s="4100"/>
      <c r="AK86" s="4100"/>
    </row>
    <row r="87" spans="1:37" ht="18.75" customHeight="1">
      <c r="A87" s="4114" t="s">
        <v>2</v>
      </c>
      <c r="B87" s="4121">
        <f>SUM('Произв. прогр. Вода'!H106)</f>
        <v>13.4725</v>
      </c>
      <c r="C87" s="4120">
        <v>4.49</v>
      </c>
      <c r="D87" s="4120">
        <v>4.49</v>
      </c>
      <c r="E87" s="4120">
        <v>4.49</v>
      </c>
      <c r="F87" s="4121">
        <f t="shared" si="98"/>
        <v>13.47</v>
      </c>
      <c r="G87" s="4121">
        <f>SUM('Произв. прогр. Вода'!L106)</f>
        <v>13.4725</v>
      </c>
      <c r="H87" s="4120">
        <v>4.49</v>
      </c>
      <c r="I87" s="4120">
        <v>4.49</v>
      </c>
      <c r="J87" s="4120">
        <v>4.49</v>
      </c>
      <c r="K87" s="4121">
        <f t="shared" si="99"/>
        <v>13.47</v>
      </c>
      <c r="L87" s="4122">
        <f>SUM('Произв. прогр. Вода'!M106)</f>
        <v>26.945</v>
      </c>
      <c r="M87" s="4122">
        <f t="shared" si="100"/>
        <v>26.94</v>
      </c>
      <c r="N87" s="4122">
        <f t="shared" si="43"/>
        <v>-4.9999999999990052E-3</v>
      </c>
      <c r="O87" s="4121">
        <f>SUM('Произв. прогр. Вода'!Q106)</f>
        <v>13.4725</v>
      </c>
      <c r="P87" s="4120">
        <v>4.49</v>
      </c>
      <c r="Q87" s="4120">
        <v>4.49</v>
      </c>
      <c r="R87" s="4120">
        <v>4.49</v>
      </c>
      <c r="S87" s="4121">
        <f t="shared" si="101"/>
        <v>13.47</v>
      </c>
      <c r="T87" s="4122">
        <f>SUM('Произв. прогр. Вода'!R106)</f>
        <v>40.417500000000004</v>
      </c>
      <c r="U87" s="4122">
        <f t="shared" si="102"/>
        <v>40.410000000000004</v>
      </c>
      <c r="V87" s="4122">
        <f t="shared" si="47"/>
        <v>-7.5000000000002842E-3</v>
      </c>
      <c r="W87" s="4121">
        <f>SUM('Произв. прогр. Вода'!V106)</f>
        <v>13.4725</v>
      </c>
      <c r="X87" s="4120"/>
      <c r="Y87" s="4120"/>
      <c r="Z87" s="4120"/>
      <c r="AA87" s="4121">
        <f t="shared" si="103"/>
        <v>0</v>
      </c>
      <c r="AB87" s="4122">
        <f>SUM('Произв. прогр. Вода'!B106)</f>
        <v>53.89</v>
      </c>
      <c r="AC87" s="4122">
        <f t="shared" si="104"/>
        <v>40.410000000000004</v>
      </c>
      <c r="AD87" s="4122">
        <f t="shared" si="51"/>
        <v>-13.479999999999997</v>
      </c>
      <c r="AE87" s="4112"/>
      <c r="AF87" s="4112"/>
      <c r="AG87" s="4100"/>
      <c r="AH87" s="4100"/>
      <c r="AI87" s="4100"/>
      <c r="AJ87" s="4100"/>
      <c r="AK87" s="4100"/>
    </row>
    <row r="88" spans="1:37" ht="18.75" customHeight="1">
      <c r="A88" s="4114" t="s">
        <v>219</v>
      </c>
      <c r="B88" s="4121">
        <f>SUM('Произв. прогр. Вода'!H107)</f>
        <v>0</v>
      </c>
      <c r="C88" s="4120"/>
      <c r="D88" s="4120"/>
      <c r="E88" s="4120"/>
      <c r="F88" s="4121">
        <f t="shared" si="98"/>
        <v>0</v>
      </c>
      <c r="G88" s="4121">
        <f>SUM('Произв. прогр. Вода'!L107)</f>
        <v>0</v>
      </c>
      <c r="H88" s="4120"/>
      <c r="I88" s="4120"/>
      <c r="J88" s="4120"/>
      <c r="K88" s="4121">
        <f t="shared" si="99"/>
        <v>0</v>
      </c>
      <c r="L88" s="4122">
        <f>SUM('Произв. прогр. Вода'!M107)</f>
        <v>0</v>
      </c>
      <c r="M88" s="4122">
        <f t="shared" si="100"/>
        <v>0</v>
      </c>
      <c r="N88" s="4122">
        <f t="shared" si="43"/>
        <v>0</v>
      </c>
      <c r="O88" s="4121">
        <f>SUM('Произв. прогр. Вода'!Q107)</f>
        <v>0</v>
      </c>
      <c r="P88" s="4120"/>
      <c r="Q88" s="4120"/>
      <c r="R88" s="4120"/>
      <c r="S88" s="4121">
        <f t="shared" si="101"/>
        <v>0</v>
      </c>
      <c r="T88" s="4122">
        <f>SUM('Произв. прогр. Вода'!R107)</f>
        <v>0</v>
      </c>
      <c r="U88" s="4122">
        <f t="shared" si="102"/>
        <v>0</v>
      </c>
      <c r="V88" s="4122">
        <f t="shared" si="47"/>
        <v>0</v>
      </c>
      <c r="W88" s="4121">
        <f>SUM('Произв. прогр. Вода'!V107)</f>
        <v>0</v>
      </c>
      <c r="X88" s="4120"/>
      <c r="Y88" s="4120"/>
      <c r="Z88" s="4120"/>
      <c r="AA88" s="4121">
        <f t="shared" si="103"/>
        <v>0</v>
      </c>
      <c r="AB88" s="4122">
        <f>SUM('Произв. прогр. Вода'!B107)</f>
        <v>0</v>
      </c>
      <c r="AC88" s="4122">
        <f t="shared" si="104"/>
        <v>0</v>
      </c>
      <c r="AD88" s="4122">
        <f t="shared" si="51"/>
        <v>0</v>
      </c>
      <c r="AE88" s="4112"/>
      <c r="AF88" s="4112"/>
      <c r="AG88" s="4100"/>
      <c r="AH88" s="4100"/>
      <c r="AI88" s="4100"/>
      <c r="AJ88" s="4100"/>
      <c r="AK88" s="4100"/>
    </row>
    <row r="89" spans="1:37" ht="18.75" customHeight="1">
      <c r="A89" s="4114" t="s">
        <v>4</v>
      </c>
      <c r="B89" s="4121">
        <f>SUM('Произв. прогр. Вода'!H108)</f>
        <v>2735.1034197521581</v>
      </c>
      <c r="C89" s="4120">
        <v>645.04999999999995</v>
      </c>
      <c r="D89" s="4120">
        <v>656.58</v>
      </c>
      <c r="E89" s="4120">
        <v>736.55</v>
      </c>
      <c r="F89" s="4121">
        <f t="shared" si="98"/>
        <v>2038.18</v>
      </c>
      <c r="G89" s="4121">
        <f>SUM('Произв. прогр. Вода'!L108)</f>
        <v>2735.1034197521581</v>
      </c>
      <c r="H89" s="4120">
        <v>769.49</v>
      </c>
      <c r="I89" s="4120">
        <v>685.43</v>
      </c>
      <c r="J89" s="4120">
        <v>836.49</v>
      </c>
      <c r="K89" s="4121">
        <f t="shared" si="99"/>
        <v>2291.41</v>
      </c>
      <c r="L89" s="4122">
        <f>SUM('Произв. прогр. Вода'!M108)</f>
        <v>5470.2068395043161</v>
      </c>
      <c r="M89" s="4122">
        <f t="shared" si="100"/>
        <v>4329.59</v>
      </c>
      <c r="N89" s="4122">
        <f t="shared" ref="N89:N149" si="119">SUM(M89-L89)</f>
        <v>-1140.616839504316</v>
      </c>
      <c r="O89" s="4121">
        <f>SUM('Произв. прогр. Вода'!Q108)</f>
        <v>2900.030155963213</v>
      </c>
      <c r="P89" s="4120">
        <v>662.12</v>
      </c>
      <c r="Q89" s="4120">
        <v>829.44</v>
      </c>
      <c r="R89" s="4120">
        <v>629.69000000000005</v>
      </c>
      <c r="S89" s="4121">
        <f t="shared" si="101"/>
        <v>2121.25</v>
      </c>
      <c r="T89" s="4122">
        <f>SUM('Произв. прогр. Вода'!R108)</f>
        <v>8370.2369954675287</v>
      </c>
      <c r="U89" s="4122">
        <f t="shared" si="102"/>
        <v>6450.84</v>
      </c>
      <c r="V89" s="4122">
        <f t="shared" ref="V89:V149" si="120">SUM(U89-T89)</f>
        <v>-1919.3969954675285</v>
      </c>
      <c r="W89" s="4121">
        <f>SUM('Произв. прогр. Вода'!V108)</f>
        <v>2900.030155963213</v>
      </c>
      <c r="X89" s="4120"/>
      <c r="Y89" s="4120"/>
      <c r="Z89" s="4120"/>
      <c r="AA89" s="4121">
        <f t="shared" si="103"/>
        <v>0</v>
      </c>
      <c r="AB89" s="4122">
        <f>SUM('Произв. прогр. Вода'!B108)</f>
        <v>11270.267151430742</v>
      </c>
      <c r="AC89" s="4122">
        <f t="shared" si="104"/>
        <v>6450.84</v>
      </c>
      <c r="AD89" s="4122">
        <f t="shared" ref="AD89:AD149" si="121">SUM(AC89-AB89)</f>
        <v>-4819.427151430742</v>
      </c>
      <c r="AE89" s="4112"/>
      <c r="AF89" s="4112"/>
      <c r="AG89" s="4100"/>
      <c r="AH89" s="4100"/>
      <c r="AI89" s="4100"/>
      <c r="AJ89" s="4100"/>
      <c r="AK89" s="4100"/>
    </row>
    <row r="90" spans="1:37" ht="18.75" customHeight="1">
      <c r="A90" s="4114" t="s">
        <v>5</v>
      </c>
      <c r="B90" s="4121">
        <f>SUM('Произв. прогр. Вода'!H109)</f>
        <v>821.332106007123</v>
      </c>
      <c r="C90" s="4120">
        <v>193.97</v>
      </c>
      <c r="D90" s="4120">
        <v>193.62</v>
      </c>
      <c r="E90" s="4120">
        <v>221.51</v>
      </c>
      <c r="F90" s="4121">
        <f t="shared" si="98"/>
        <v>609.1</v>
      </c>
      <c r="G90" s="4121">
        <f>SUM('Произв. прогр. Вода'!L109)</f>
        <v>821.332106007123</v>
      </c>
      <c r="H90" s="4120">
        <v>228.71</v>
      </c>
      <c r="I90" s="4120">
        <v>207</v>
      </c>
      <c r="J90" s="4120">
        <v>253.92</v>
      </c>
      <c r="K90" s="4121">
        <f t="shared" si="99"/>
        <v>689.63</v>
      </c>
      <c r="L90" s="4122">
        <f>SUM('Произв. прогр. Вода'!M109)</f>
        <v>1642.664212014246</v>
      </c>
      <c r="M90" s="4122">
        <f t="shared" si="100"/>
        <v>1298.73</v>
      </c>
      <c r="N90" s="4122">
        <f t="shared" si="119"/>
        <v>-343.93421201424599</v>
      </c>
      <c r="O90" s="4121">
        <f>SUM('Произв. прогр. Вода'!Q109)</f>
        <v>870.85843199935243</v>
      </c>
      <c r="P90" s="4120">
        <v>198.47</v>
      </c>
      <c r="Q90" s="4120">
        <v>247.54</v>
      </c>
      <c r="R90" s="4120">
        <v>194.47</v>
      </c>
      <c r="S90" s="4121">
        <f t="shared" si="101"/>
        <v>640.48</v>
      </c>
      <c r="T90" s="4122">
        <f>SUM('Произв. прогр. Вода'!R109)</f>
        <v>2513.5226440135984</v>
      </c>
      <c r="U90" s="4122">
        <f t="shared" si="102"/>
        <v>1939.21</v>
      </c>
      <c r="V90" s="4122">
        <f t="shared" si="120"/>
        <v>-574.3126440135984</v>
      </c>
      <c r="W90" s="4121">
        <f>SUM('Произв. прогр. Вода'!V109)</f>
        <v>870.85843199935243</v>
      </c>
      <c r="X90" s="4120"/>
      <c r="Y90" s="4120"/>
      <c r="Z90" s="4120"/>
      <c r="AA90" s="4121">
        <f t="shared" si="103"/>
        <v>0</v>
      </c>
      <c r="AB90" s="4122">
        <f>SUM('Произв. прогр. Вода'!B109)</f>
        <v>3384.3810760129504</v>
      </c>
      <c r="AC90" s="4122">
        <f t="shared" si="104"/>
        <v>1939.21</v>
      </c>
      <c r="AD90" s="4122">
        <f t="shared" si="121"/>
        <v>-1445.1710760129504</v>
      </c>
      <c r="AE90" s="4112"/>
      <c r="AF90" s="4112"/>
      <c r="AG90" s="4100"/>
      <c r="AH90" s="4100"/>
      <c r="AI90" s="4100"/>
      <c r="AJ90" s="4100"/>
      <c r="AK90" s="4100"/>
    </row>
    <row r="91" spans="1:37" ht="18.75" customHeight="1">
      <c r="A91" s="4115" t="str">
        <f>A57</f>
        <v>то же в %</v>
      </c>
      <c r="B91" s="4107">
        <f>SUM('Произв. прогр. Вода'!H110)</f>
        <v>0.30029288840622642</v>
      </c>
      <c r="C91" s="4107">
        <f t="shared" ref="C91:F91" si="122">SUM(C90/C89)</f>
        <v>0.30070537167661421</v>
      </c>
      <c r="D91" s="4107">
        <f t="shared" si="122"/>
        <v>0.29489171159645433</v>
      </c>
      <c r="E91" s="4107">
        <f t="shared" si="122"/>
        <v>0.3007399361889892</v>
      </c>
      <c r="F91" s="4107">
        <f t="shared" si="122"/>
        <v>0.29884504803304912</v>
      </c>
      <c r="G91" s="4107">
        <f>SUM('Произв. прогр. Вода'!L110)</f>
        <v>0.30029288840622642</v>
      </c>
      <c r="H91" s="4107">
        <f t="shared" ref="H91:M91" si="123">SUM(H90/H89)</f>
        <v>0.29722283590430026</v>
      </c>
      <c r="I91" s="4107">
        <f t="shared" si="123"/>
        <v>0.30200020425134588</v>
      </c>
      <c r="J91" s="4107">
        <f t="shared" si="123"/>
        <v>0.30355413692931177</v>
      </c>
      <c r="K91" s="4107">
        <f t="shared" si="123"/>
        <v>0.30096316241964555</v>
      </c>
      <c r="L91" s="4109">
        <f>SUM('Произв. прогр. Вода'!M110)</f>
        <v>0.30029288840622642</v>
      </c>
      <c r="M91" s="4109">
        <f t="shared" si="123"/>
        <v>0.2999660475934211</v>
      </c>
      <c r="N91" s="4109">
        <f t="shared" si="119"/>
        <v>-3.2684081280531796E-4</v>
      </c>
      <c r="O91" s="4107">
        <f>SUM('Произв. прогр. Вода'!Q110)</f>
        <v>0.30029288840622637</v>
      </c>
      <c r="P91" s="4107">
        <f t="shared" ref="P91:U91" si="124">SUM(P90/P89)</f>
        <v>0.29974929015888357</v>
      </c>
      <c r="Q91" s="4107">
        <f t="shared" si="124"/>
        <v>0.29844232253086417</v>
      </c>
      <c r="R91" s="4107">
        <f t="shared" si="124"/>
        <v>0.30883450586796674</v>
      </c>
      <c r="S91" s="4107">
        <f t="shared" si="124"/>
        <v>0.30193517972893341</v>
      </c>
      <c r="T91" s="4109">
        <f>SUM('Произв. прогр. Вода'!R110)</f>
        <v>0.30029288840622642</v>
      </c>
      <c r="U91" s="4109">
        <f t="shared" si="124"/>
        <v>0.30061356350490787</v>
      </c>
      <c r="V91" s="4109">
        <f t="shared" si="120"/>
        <v>3.2067509868144439E-4</v>
      </c>
      <c r="W91" s="4107">
        <f>SUM('Произв. прогр. Вода'!V110)</f>
        <v>0.30029288840622637</v>
      </c>
      <c r="X91" s="4107" t="e">
        <f t="shared" ref="X91:AC91" si="125">SUM(X90/X89)</f>
        <v>#DIV/0!</v>
      </c>
      <c r="Y91" s="4107" t="e">
        <f t="shared" si="125"/>
        <v>#DIV/0!</v>
      </c>
      <c r="Z91" s="4107" t="e">
        <f t="shared" si="125"/>
        <v>#DIV/0!</v>
      </c>
      <c r="AA91" s="4107" t="e">
        <f t="shared" si="125"/>
        <v>#DIV/0!</v>
      </c>
      <c r="AB91" s="4109">
        <f>SUM('Произв. прогр. Вода'!B110)</f>
        <v>0.30029288840622637</v>
      </c>
      <c r="AC91" s="4109">
        <f t="shared" si="125"/>
        <v>0.30061356350490787</v>
      </c>
      <c r="AD91" s="4109">
        <f t="shared" si="121"/>
        <v>3.206750986814999E-4</v>
      </c>
      <c r="AE91" s="4112"/>
      <c r="AF91" s="4112"/>
      <c r="AG91" s="4100"/>
      <c r="AH91" s="4100"/>
      <c r="AI91" s="4100"/>
      <c r="AJ91" s="4100"/>
      <c r="AK91" s="4100"/>
    </row>
    <row r="92" spans="1:37" ht="18.75" customHeight="1">
      <c r="A92" s="4116" t="s">
        <v>1742</v>
      </c>
      <c r="B92" s="4117">
        <f>SUM('Произв. прогр. Вода'!H111)</f>
        <v>1141.8216080198072</v>
      </c>
      <c r="C92" s="4117">
        <f t="shared" ref="C92" si="126">SUM(C93:C103)+C105</f>
        <v>361.31</v>
      </c>
      <c r="D92" s="4117">
        <f t="shared" ref="D92:F92" si="127">SUM(D93:D103)+D105</f>
        <v>272.14999999999998</v>
      </c>
      <c r="E92" s="4117">
        <f>SUM(E93:E103)+E105</f>
        <v>215.24</v>
      </c>
      <c r="F92" s="4117">
        <f t="shared" si="127"/>
        <v>848.7</v>
      </c>
      <c r="G92" s="4117">
        <f>SUM('Произв. прогр. Вода'!L111)</f>
        <v>1145.5190428960832</v>
      </c>
      <c r="H92" s="4117">
        <f>SUM(H93:H103)+H105</f>
        <v>209.07000000000002</v>
      </c>
      <c r="I92" s="4117">
        <f t="shared" ref="I92:M92" si="128">SUM(I93:I103)+I105</f>
        <v>319.94</v>
      </c>
      <c r="J92" s="4117">
        <f t="shared" si="128"/>
        <v>270.13</v>
      </c>
      <c r="K92" s="4117">
        <f t="shared" si="128"/>
        <v>799.1400000000001</v>
      </c>
      <c r="L92" s="4118">
        <f>SUM('Произв. прогр. Вода'!M111)</f>
        <v>2287.3406509158904</v>
      </c>
      <c r="M92" s="4118">
        <f t="shared" si="128"/>
        <v>1647.8400000000004</v>
      </c>
      <c r="N92" s="4118">
        <f t="shared" si="119"/>
        <v>-639.50065091588999</v>
      </c>
      <c r="O92" s="4117">
        <f>SUM('Произв. прогр. Вода'!Q111)</f>
        <v>1181.2506047177626</v>
      </c>
      <c r="P92" s="4117">
        <f t="shared" ref="P92:U92" si="129">SUM(P93:P103)+P105</f>
        <v>259.52</v>
      </c>
      <c r="Q92" s="4117">
        <f>SUM(Q93:Q103)+Q105</f>
        <v>238.18000000000006</v>
      </c>
      <c r="R92" s="4117">
        <f t="shared" si="129"/>
        <v>192.84000000000003</v>
      </c>
      <c r="S92" s="4117">
        <f t="shared" si="129"/>
        <v>690.54</v>
      </c>
      <c r="T92" s="4118">
        <f>SUM('Произв. прогр. Вода'!R111)</f>
        <v>3468.591255633653</v>
      </c>
      <c r="U92" s="4118">
        <f t="shared" si="129"/>
        <v>2338.3799999999997</v>
      </c>
      <c r="V92" s="4271">
        <f t="shared" si="120"/>
        <v>-1130.2112556336533</v>
      </c>
      <c r="W92" s="4117">
        <f>SUM('Произв. прогр. Вода'!V111)</f>
        <v>1174.9690285433421</v>
      </c>
      <c r="X92" s="4117">
        <f t="shared" ref="X92:AC92" si="130">SUM(X93:X103)+X105</f>
        <v>0</v>
      </c>
      <c r="Y92" s="4117">
        <f t="shared" si="130"/>
        <v>0</v>
      </c>
      <c r="Z92" s="4117">
        <f t="shared" si="130"/>
        <v>0</v>
      </c>
      <c r="AA92" s="4117">
        <f t="shared" si="130"/>
        <v>0</v>
      </c>
      <c r="AB92" s="4118">
        <f>SUM('Произв. прогр. Вода'!B111)</f>
        <v>4643.5602841769951</v>
      </c>
      <c r="AC92" s="4118">
        <f t="shared" si="130"/>
        <v>2338.3799999999997</v>
      </c>
      <c r="AD92" s="4118">
        <f t="shared" si="121"/>
        <v>-2305.1802841769954</v>
      </c>
      <c r="AE92" s="4112"/>
      <c r="AF92" s="4112"/>
      <c r="AG92" s="4100"/>
      <c r="AH92" s="4100"/>
      <c r="AI92" s="4100"/>
      <c r="AJ92" s="4100"/>
      <c r="AK92" s="4100"/>
    </row>
    <row r="93" spans="1:37" ht="18.75" customHeight="1">
      <c r="A93" s="4119" t="s">
        <v>72</v>
      </c>
      <c r="B93" s="4121">
        <f>SUM('Произв. прогр. Вода'!H112)</f>
        <v>422.59260946618781</v>
      </c>
      <c r="C93" s="4120">
        <v>151.69</v>
      </c>
      <c r="D93" s="4120">
        <v>45.44</v>
      </c>
      <c r="E93" s="4120">
        <v>17.03</v>
      </c>
      <c r="F93" s="4121">
        <f t="shared" ref="F93:F114" si="131">SUM(C93:E93)</f>
        <v>214.16</v>
      </c>
      <c r="G93" s="4121">
        <f>SUM('Произв. прогр. Вода'!L112)</f>
        <v>422.59260946618781</v>
      </c>
      <c r="H93" s="4120">
        <v>4.2</v>
      </c>
      <c r="I93" s="4120">
        <v>97.58</v>
      </c>
      <c r="J93" s="4120">
        <v>57.62</v>
      </c>
      <c r="K93" s="4121">
        <f t="shared" ref="K93:K114" si="132">SUM(H93:J93)</f>
        <v>159.4</v>
      </c>
      <c r="L93" s="4122">
        <f>SUM('Произв. прогр. Вода'!M112)</f>
        <v>845.18521893237562</v>
      </c>
      <c r="M93" s="4122">
        <f t="shared" ref="M93:M114" si="133">SUM(F93+K93)</f>
        <v>373.56</v>
      </c>
      <c r="N93" s="4122">
        <f t="shared" si="119"/>
        <v>-471.62521893237562</v>
      </c>
      <c r="O93" s="4121">
        <f>SUM('Произв. прогр. Вода'!Q112)</f>
        <v>448.07494381699883</v>
      </c>
      <c r="P93" s="4120"/>
      <c r="Q93" s="4120"/>
      <c r="R93" s="4120"/>
      <c r="S93" s="4121">
        <f t="shared" ref="S93:S114" si="134">SUM(P93:R93)</f>
        <v>0</v>
      </c>
      <c r="T93" s="4122">
        <f>SUM('Произв. прогр. Вода'!R112)</f>
        <v>1293.2601627493746</v>
      </c>
      <c r="U93" s="4122">
        <f t="shared" ref="U93:U114" si="135">SUM(M93+S93)</f>
        <v>373.56</v>
      </c>
      <c r="V93" s="4122">
        <f t="shared" si="120"/>
        <v>-919.70016274937461</v>
      </c>
      <c r="W93" s="4121">
        <f>SUM('Произв. прогр. Вода'!V112)</f>
        <v>448.07494381699883</v>
      </c>
      <c r="X93" s="4120"/>
      <c r="Y93" s="4120"/>
      <c r="Z93" s="4120"/>
      <c r="AA93" s="4121">
        <f t="shared" ref="AA93:AA114" si="136">SUM(X93:Z93)</f>
        <v>0</v>
      </c>
      <c r="AB93" s="4122">
        <f>SUM('Произв. прогр. Вода'!B112)</f>
        <v>1741.3351065663733</v>
      </c>
      <c r="AC93" s="4122">
        <f t="shared" ref="AC93:AC114" si="137">SUM(U93+AA93)</f>
        <v>373.56</v>
      </c>
      <c r="AD93" s="4122">
        <f t="shared" si="121"/>
        <v>-1367.7751065663733</v>
      </c>
      <c r="AE93" s="4112"/>
      <c r="AF93" s="4112"/>
      <c r="AG93" s="4100"/>
      <c r="AH93" s="4100"/>
      <c r="AI93" s="4100"/>
      <c r="AJ93" s="4100"/>
      <c r="AK93" s="4100"/>
    </row>
    <row r="94" spans="1:37" ht="18.75" customHeight="1">
      <c r="A94" s="4119" t="s">
        <v>121</v>
      </c>
      <c r="B94" s="4121">
        <f>SUM('Произв. прогр. Вода'!H113)</f>
        <v>127.11585692742926</v>
      </c>
      <c r="C94" s="4120">
        <v>45.81</v>
      </c>
      <c r="D94" s="4120">
        <v>13.72</v>
      </c>
      <c r="E94" s="4120">
        <v>5.14</v>
      </c>
      <c r="F94" s="4121">
        <f t="shared" si="131"/>
        <v>64.67</v>
      </c>
      <c r="G94" s="4121">
        <f>SUM('Произв. прогр. Вода'!L113)</f>
        <v>127.11585692742926</v>
      </c>
      <c r="H94" s="4120"/>
      <c r="I94" s="4120">
        <v>27.5</v>
      </c>
      <c r="J94" s="4120">
        <v>17.399999999999999</v>
      </c>
      <c r="K94" s="4121">
        <f t="shared" si="132"/>
        <v>44.9</v>
      </c>
      <c r="L94" s="4122">
        <f>SUM('Произв. прогр. Вода'!M113)</f>
        <v>254.23171385485853</v>
      </c>
      <c r="M94" s="4122">
        <f t="shared" si="133"/>
        <v>109.57</v>
      </c>
      <c r="N94" s="4122">
        <f t="shared" si="119"/>
        <v>-144.66171385485853</v>
      </c>
      <c r="O94" s="4121">
        <f>SUM('Произв. прогр. Вода'!Q113)</f>
        <v>134.78094310015325</v>
      </c>
      <c r="P94" s="4120"/>
      <c r="Q94" s="4120"/>
      <c r="R94" s="4120"/>
      <c r="S94" s="4121">
        <f t="shared" si="134"/>
        <v>0</v>
      </c>
      <c r="T94" s="4122">
        <f>SUM('Произв. прогр. Вода'!R113)</f>
        <v>389.01265695501178</v>
      </c>
      <c r="U94" s="4122">
        <f t="shared" si="135"/>
        <v>109.57</v>
      </c>
      <c r="V94" s="4122">
        <f t="shared" si="120"/>
        <v>-279.44265695501178</v>
      </c>
      <c r="W94" s="4121">
        <f>SUM('Произв. прогр. Вода'!V113)</f>
        <v>134.78094310015325</v>
      </c>
      <c r="X94" s="4120"/>
      <c r="Y94" s="4120"/>
      <c r="Z94" s="4120"/>
      <c r="AA94" s="4121">
        <f t="shared" si="136"/>
        <v>0</v>
      </c>
      <c r="AB94" s="4122">
        <f>SUM('Произв. прогр. Вода'!B113)</f>
        <v>523.79360005516503</v>
      </c>
      <c r="AC94" s="4122">
        <f t="shared" si="137"/>
        <v>109.57</v>
      </c>
      <c r="AD94" s="4122">
        <f t="shared" si="121"/>
        <v>-414.22360005516504</v>
      </c>
      <c r="AE94" s="4112"/>
      <c r="AF94" s="4112"/>
      <c r="AG94" s="4100"/>
      <c r="AH94" s="4100"/>
      <c r="AI94" s="4100"/>
      <c r="AJ94" s="4100"/>
      <c r="AK94" s="4100"/>
    </row>
    <row r="95" spans="1:37" ht="18.75" customHeight="1">
      <c r="A95" s="4119" t="s">
        <v>52</v>
      </c>
      <c r="B95" s="4121">
        <f>SUM('Произв. прогр. Вода'!H114)</f>
        <v>1.8574241136707981</v>
      </c>
      <c r="C95" s="4120">
        <v>0.95</v>
      </c>
      <c r="D95" s="4120">
        <v>0.24</v>
      </c>
      <c r="E95" s="4120">
        <v>0.4</v>
      </c>
      <c r="F95" s="4121">
        <f t="shared" si="131"/>
        <v>1.5899999999999999</v>
      </c>
      <c r="G95" s="4121">
        <f>SUM('Произв. прогр. Вода'!L114)</f>
        <v>1.8574241136707981</v>
      </c>
      <c r="H95" s="4120">
        <v>0.45</v>
      </c>
      <c r="I95" s="4120"/>
      <c r="J95" s="4120">
        <v>0.75</v>
      </c>
      <c r="K95" s="4121">
        <f t="shared" si="132"/>
        <v>1.2</v>
      </c>
      <c r="L95" s="4122">
        <f>SUM('Произв. прогр. Вода'!M114)</f>
        <v>3.7148482273415961</v>
      </c>
      <c r="M95" s="4122">
        <f t="shared" si="133"/>
        <v>2.79</v>
      </c>
      <c r="N95" s="4122">
        <f t="shared" si="119"/>
        <v>-0.92484822734159611</v>
      </c>
      <c r="O95" s="4121">
        <f>SUM('Произв. прогр. Вода'!Q114)</f>
        <v>1.8574241136707981</v>
      </c>
      <c r="P95" s="4120"/>
      <c r="Q95" s="4120">
        <v>0.86</v>
      </c>
      <c r="R95" s="4120">
        <v>0.53</v>
      </c>
      <c r="S95" s="4121">
        <f t="shared" si="134"/>
        <v>1.3900000000000001</v>
      </c>
      <c r="T95" s="4122">
        <f>SUM('Произв. прогр. Вода'!R114)</f>
        <v>5.5722723410123942</v>
      </c>
      <c r="U95" s="4122">
        <f t="shared" si="135"/>
        <v>4.18</v>
      </c>
      <c r="V95" s="4122">
        <f t="shared" si="120"/>
        <v>-1.3922723410123945</v>
      </c>
      <c r="W95" s="4121">
        <f>SUM('Произв. прогр. Вода'!V114)</f>
        <v>1.8574241136707981</v>
      </c>
      <c r="X95" s="4120"/>
      <c r="Y95" s="4120"/>
      <c r="Z95" s="4120"/>
      <c r="AA95" s="4121">
        <f t="shared" si="136"/>
        <v>0</v>
      </c>
      <c r="AB95" s="4122">
        <f>SUM('Произв. прогр. Вода'!B114)</f>
        <v>7.4296964546831923</v>
      </c>
      <c r="AC95" s="4122">
        <f t="shared" si="137"/>
        <v>4.18</v>
      </c>
      <c r="AD95" s="4122">
        <f t="shared" si="121"/>
        <v>-3.2496964546831926</v>
      </c>
      <c r="AE95" s="4112"/>
      <c r="AF95" s="4112"/>
      <c r="AG95" s="4100"/>
      <c r="AH95" s="4100"/>
      <c r="AI95" s="4100"/>
      <c r="AJ95" s="4100"/>
      <c r="AK95" s="4100"/>
    </row>
    <row r="96" spans="1:37" ht="18.75" customHeight="1">
      <c r="A96" s="4119" t="s">
        <v>604</v>
      </c>
      <c r="B96" s="4121">
        <f>SUM('Произв. прогр. Вода'!H115)</f>
        <v>511.37207629499153</v>
      </c>
      <c r="C96" s="4120">
        <f>2.43+0.91+132.19</f>
        <v>135.53</v>
      </c>
      <c r="D96" s="4120">
        <v>175.2</v>
      </c>
      <c r="E96" s="4120">
        <v>145.05000000000001</v>
      </c>
      <c r="F96" s="4121">
        <f t="shared" si="131"/>
        <v>455.78000000000003</v>
      </c>
      <c r="G96" s="4121">
        <f>SUM('Произв. прогр. Вода'!L115)</f>
        <v>511.37207629499153</v>
      </c>
      <c r="H96" s="4120">
        <v>163.84</v>
      </c>
      <c r="I96" s="4120">
        <f>0.03+136.78</f>
        <v>136.81</v>
      </c>
      <c r="J96" s="4120">
        <v>131.74</v>
      </c>
      <c r="K96" s="4121">
        <f t="shared" si="132"/>
        <v>432.39</v>
      </c>
      <c r="L96" s="4122">
        <f>SUM('Произв. прогр. Вода'!M115)</f>
        <v>1022.7441525899831</v>
      </c>
      <c r="M96" s="4122">
        <f t="shared" si="133"/>
        <v>888.17000000000007</v>
      </c>
      <c r="N96" s="4122">
        <f t="shared" si="119"/>
        <v>-134.57415258998299</v>
      </c>
      <c r="O96" s="4121">
        <f>SUM('Произв. прогр. Вода'!Q115)</f>
        <v>511.37207629499153</v>
      </c>
      <c r="P96" s="4120">
        <f>0.61+123.91+0.03</f>
        <v>124.55</v>
      </c>
      <c r="Q96" s="4120">
        <f>0.31+1.24+149.55</f>
        <v>151.10000000000002</v>
      </c>
      <c r="R96" s="4120">
        <v>131.97</v>
      </c>
      <c r="S96" s="4121">
        <f t="shared" si="134"/>
        <v>407.62</v>
      </c>
      <c r="T96" s="4122">
        <f>SUM('Произв. прогр. Вода'!R115)</f>
        <v>1534.1162288849746</v>
      </c>
      <c r="U96" s="4122">
        <f t="shared" si="135"/>
        <v>1295.79</v>
      </c>
      <c r="V96" s="4122">
        <f t="shared" si="120"/>
        <v>-238.32622888497463</v>
      </c>
      <c r="W96" s="4121">
        <f>SUM('Произв. прогр. Вода'!V115)</f>
        <v>511.37207629499153</v>
      </c>
      <c r="X96" s="4120"/>
      <c r="Y96" s="4120"/>
      <c r="Z96" s="4120"/>
      <c r="AA96" s="4121">
        <f t="shared" si="136"/>
        <v>0</v>
      </c>
      <c r="AB96" s="4122">
        <f>SUM('Произв. прогр. Вода'!B115)</f>
        <v>2045.4883051799661</v>
      </c>
      <c r="AC96" s="4122">
        <f t="shared" si="137"/>
        <v>1295.79</v>
      </c>
      <c r="AD96" s="4122">
        <f t="shared" si="121"/>
        <v>-749.69830517996616</v>
      </c>
      <c r="AE96" s="4112"/>
      <c r="AF96" s="4112"/>
      <c r="AG96" s="4100"/>
      <c r="AH96" s="4100"/>
      <c r="AI96" s="4100"/>
      <c r="AJ96" s="4100"/>
      <c r="AK96" s="4100"/>
    </row>
    <row r="97" spans="1:37" ht="18.75" customHeight="1">
      <c r="A97" s="4119" t="s">
        <v>606</v>
      </c>
      <c r="B97" s="4121">
        <f>SUM('Произв. прогр. Вода'!H116)</f>
        <v>26.932649648226572</v>
      </c>
      <c r="C97" s="4120">
        <v>7.32</v>
      </c>
      <c r="D97" s="4120">
        <v>20.37</v>
      </c>
      <c r="E97" s="4120">
        <v>22</v>
      </c>
      <c r="F97" s="4121">
        <f t="shared" si="131"/>
        <v>49.69</v>
      </c>
      <c r="G97" s="4121">
        <f>SUM('Произв. прогр. Вода'!L116)</f>
        <v>26.932649648226572</v>
      </c>
      <c r="H97" s="4120">
        <v>7.44</v>
      </c>
      <c r="I97" s="4120">
        <v>19.18</v>
      </c>
      <c r="J97" s="4120">
        <v>8</v>
      </c>
      <c r="K97" s="4121">
        <f t="shared" si="132"/>
        <v>34.620000000000005</v>
      </c>
      <c r="L97" s="4122">
        <f>SUM('Произв. прогр. Вода'!M116)</f>
        <v>53.865299296453145</v>
      </c>
      <c r="M97" s="4122">
        <f t="shared" si="133"/>
        <v>84.31</v>
      </c>
      <c r="N97" s="4122">
        <f t="shared" si="119"/>
        <v>30.444700703546857</v>
      </c>
      <c r="O97" s="4121">
        <f>SUM('Произв. прогр. Вода'!Q116)</f>
        <v>26.932649648226572</v>
      </c>
      <c r="P97" s="4120">
        <v>11.24</v>
      </c>
      <c r="Q97" s="4120">
        <v>7.72</v>
      </c>
      <c r="R97" s="4120">
        <v>11.1</v>
      </c>
      <c r="S97" s="4121">
        <f t="shared" si="134"/>
        <v>30.060000000000002</v>
      </c>
      <c r="T97" s="4122">
        <f>SUM('Произв. прогр. Вода'!R116)</f>
        <v>80.797948944679717</v>
      </c>
      <c r="U97" s="4122">
        <f t="shared" si="135"/>
        <v>114.37</v>
      </c>
      <c r="V97" s="4122">
        <f t="shared" si="120"/>
        <v>33.572051055320287</v>
      </c>
      <c r="W97" s="4121">
        <f>SUM('Произв. прогр. Вода'!V116)</f>
        <v>26.932649648226572</v>
      </c>
      <c r="X97" s="4120"/>
      <c r="Y97" s="4120"/>
      <c r="Z97" s="4120"/>
      <c r="AA97" s="4121">
        <f t="shared" si="136"/>
        <v>0</v>
      </c>
      <c r="AB97" s="4122">
        <f>SUM('Произв. прогр. Вода'!B116)</f>
        <v>107.73059859290628</v>
      </c>
      <c r="AC97" s="4122">
        <f t="shared" si="137"/>
        <v>114.37</v>
      </c>
      <c r="AD97" s="4122">
        <f t="shared" si="121"/>
        <v>6.6394014070937288</v>
      </c>
      <c r="AE97" s="4112"/>
      <c r="AF97" s="4112"/>
      <c r="AG97" s="4100"/>
      <c r="AH97" s="4100"/>
      <c r="AI97" s="4100"/>
      <c r="AJ97" s="4100"/>
      <c r="AK97" s="4100"/>
    </row>
    <row r="98" spans="1:37" ht="18.75" customHeight="1">
      <c r="A98" s="4119" t="s">
        <v>605</v>
      </c>
      <c r="B98" s="4121">
        <f>SUM('Произв. прогр. Вода'!H117)</f>
        <v>18.690330143812403</v>
      </c>
      <c r="C98" s="4120">
        <v>10.34</v>
      </c>
      <c r="D98" s="4120">
        <v>10.34</v>
      </c>
      <c r="E98" s="4120">
        <v>10.31</v>
      </c>
      <c r="F98" s="4121">
        <f t="shared" si="131"/>
        <v>30.990000000000002</v>
      </c>
      <c r="G98" s="4121">
        <f>SUM('Произв. прогр. Вода'!L117)</f>
        <v>18.690330143812403</v>
      </c>
      <c r="H98" s="4120">
        <v>10.3</v>
      </c>
      <c r="I98" s="4120">
        <v>10.3</v>
      </c>
      <c r="J98" s="4120">
        <v>10.3</v>
      </c>
      <c r="K98" s="4121">
        <f t="shared" si="132"/>
        <v>30.900000000000002</v>
      </c>
      <c r="L98" s="4122">
        <f>SUM('Произв. прогр. Вода'!M117)</f>
        <v>37.380660287624806</v>
      </c>
      <c r="M98" s="4122">
        <f t="shared" si="133"/>
        <v>61.89</v>
      </c>
      <c r="N98" s="4122">
        <f t="shared" si="119"/>
        <v>24.509339712375194</v>
      </c>
      <c r="O98" s="4121">
        <f>SUM('Произв. прогр. Вода'!Q117)</f>
        <v>18.690330143812403</v>
      </c>
      <c r="P98" s="4120">
        <v>10.3</v>
      </c>
      <c r="Q98" s="4120">
        <v>10.3</v>
      </c>
      <c r="R98" s="4120">
        <v>10.3</v>
      </c>
      <c r="S98" s="4121">
        <f t="shared" si="134"/>
        <v>30.900000000000002</v>
      </c>
      <c r="T98" s="4122">
        <f>SUM('Произв. прогр. Вода'!R117)</f>
        <v>56.07099043143721</v>
      </c>
      <c r="U98" s="4122">
        <f t="shared" si="135"/>
        <v>92.79</v>
      </c>
      <c r="V98" s="4122">
        <f t="shared" si="120"/>
        <v>36.719009568562797</v>
      </c>
      <c r="W98" s="4121">
        <f>SUM('Произв. прогр. Вода'!V117)</f>
        <v>18.690330143812403</v>
      </c>
      <c r="X98" s="4120"/>
      <c r="Y98" s="4120"/>
      <c r="Z98" s="4120"/>
      <c r="AA98" s="4121">
        <f t="shared" si="136"/>
        <v>0</v>
      </c>
      <c r="AB98" s="4122">
        <f>SUM('Произв. прогр. Вода'!B117)</f>
        <v>74.761320575249613</v>
      </c>
      <c r="AC98" s="4122">
        <f t="shared" si="137"/>
        <v>92.79</v>
      </c>
      <c r="AD98" s="4122">
        <f t="shared" si="121"/>
        <v>18.028679424750393</v>
      </c>
      <c r="AE98" s="4112"/>
      <c r="AF98" s="4112"/>
      <c r="AG98" s="4100"/>
      <c r="AH98" s="4100"/>
      <c r="AI98" s="4100"/>
      <c r="AJ98" s="4100"/>
      <c r="AK98" s="4100"/>
    </row>
    <row r="99" spans="1:37" ht="18.75" customHeight="1">
      <c r="A99" s="4119" t="s">
        <v>615</v>
      </c>
      <c r="B99" s="4121">
        <f>SUM('Произв. прогр. Вода'!H118)</f>
        <v>3.3665812060283216</v>
      </c>
      <c r="C99" s="4120"/>
      <c r="D99" s="4120">
        <v>0.64</v>
      </c>
      <c r="E99" s="4120">
        <v>1.26</v>
      </c>
      <c r="F99" s="4121">
        <f t="shared" si="131"/>
        <v>1.9</v>
      </c>
      <c r="G99" s="4121">
        <f>SUM('Произв. прогр. Вода'!L118)</f>
        <v>3.3665812060283216</v>
      </c>
      <c r="H99" s="4120"/>
      <c r="I99" s="4120"/>
      <c r="J99" s="4120">
        <v>1.26</v>
      </c>
      <c r="K99" s="4121">
        <f t="shared" si="132"/>
        <v>1.26</v>
      </c>
      <c r="L99" s="4122">
        <f>SUM('Произв. прогр. Вода'!M118)</f>
        <v>6.7331624120566431</v>
      </c>
      <c r="M99" s="4122">
        <f t="shared" si="133"/>
        <v>3.16</v>
      </c>
      <c r="N99" s="4122">
        <f t="shared" si="119"/>
        <v>-3.573162412056643</v>
      </c>
      <c r="O99" s="4121">
        <f>SUM('Произв. прогр. Вода'!Q118)</f>
        <v>3.3665812060283216</v>
      </c>
      <c r="P99" s="4120">
        <v>4.38</v>
      </c>
      <c r="Q99" s="4120">
        <v>2.52</v>
      </c>
      <c r="R99" s="4120">
        <v>3.78</v>
      </c>
      <c r="S99" s="4121">
        <f t="shared" si="134"/>
        <v>10.68</v>
      </c>
      <c r="T99" s="4122">
        <f>SUM('Произв. прогр. Вода'!R118)</f>
        <v>10.099743618084965</v>
      </c>
      <c r="U99" s="4122">
        <f t="shared" si="135"/>
        <v>13.84</v>
      </c>
      <c r="V99" s="4122">
        <f t="shared" si="120"/>
        <v>3.7402563819150352</v>
      </c>
      <c r="W99" s="4121">
        <f>SUM('Произв. прогр. Вода'!V118)</f>
        <v>3.3665812060283216</v>
      </c>
      <c r="X99" s="4120"/>
      <c r="Y99" s="4120"/>
      <c r="Z99" s="4120"/>
      <c r="AA99" s="4121">
        <f t="shared" si="136"/>
        <v>0</v>
      </c>
      <c r="AB99" s="4122">
        <f>SUM('Произв. прогр. Вода'!B118)</f>
        <v>13.466324824113284</v>
      </c>
      <c r="AC99" s="4122">
        <f t="shared" si="137"/>
        <v>13.84</v>
      </c>
      <c r="AD99" s="4122">
        <f t="shared" si="121"/>
        <v>0.37367517588671539</v>
      </c>
      <c r="AE99" s="4112"/>
      <c r="AF99" s="4112"/>
      <c r="AG99" s="4100"/>
      <c r="AH99" s="4100"/>
      <c r="AI99" s="4100"/>
      <c r="AJ99" s="4100"/>
      <c r="AK99" s="4100"/>
    </row>
    <row r="100" spans="1:37" ht="18.75" customHeight="1">
      <c r="A100" s="4119" t="s">
        <v>41</v>
      </c>
      <c r="B100" s="4121">
        <f>SUM('Произв. прогр. Вода'!H119)</f>
        <v>0</v>
      </c>
      <c r="C100" s="4120"/>
      <c r="D100" s="4120"/>
      <c r="E100" s="4120"/>
      <c r="F100" s="4121">
        <f t="shared" si="131"/>
        <v>0</v>
      </c>
      <c r="G100" s="4121">
        <f>SUM('Произв. прогр. Вода'!L119)</f>
        <v>0</v>
      </c>
      <c r="H100" s="4120"/>
      <c r="I100" s="4120"/>
      <c r="J100" s="4120"/>
      <c r="K100" s="4121">
        <f t="shared" si="132"/>
        <v>0</v>
      </c>
      <c r="L100" s="4122">
        <f>SUM('Произв. прогр. Вода'!M119)</f>
        <v>0</v>
      </c>
      <c r="M100" s="4122">
        <f t="shared" si="133"/>
        <v>0</v>
      </c>
      <c r="N100" s="4122">
        <f t="shared" si="119"/>
        <v>0</v>
      </c>
      <c r="O100" s="4121">
        <f>SUM('Произв. прогр. Вода'!Q119)</f>
        <v>0</v>
      </c>
      <c r="P100" s="4120"/>
      <c r="Q100" s="4120"/>
      <c r="R100" s="4120"/>
      <c r="S100" s="4121">
        <f t="shared" si="134"/>
        <v>0</v>
      </c>
      <c r="T100" s="4122">
        <f>SUM('Произв. прогр. Вода'!R119)</f>
        <v>0</v>
      </c>
      <c r="U100" s="4122">
        <f t="shared" si="135"/>
        <v>0</v>
      </c>
      <c r="V100" s="4122">
        <f t="shared" si="120"/>
        <v>0</v>
      </c>
      <c r="W100" s="4121">
        <f>SUM('Произв. прогр. Вода'!V119)</f>
        <v>0</v>
      </c>
      <c r="X100" s="4120"/>
      <c r="Y100" s="4120"/>
      <c r="Z100" s="4120"/>
      <c r="AA100" s="4121">
        <f t="shared" si="136"/>
        <v>0</v>
      </c>
      <c r="AB100" s="4122">
        <f>SUM('Произв. прогр. Вода'!B119)</f>
        <v>0</v>
      </c>
      <c r="AC100" s="4122">
        <f t="shared" si="137"/>
        <v>0</v>
      </c>
      <c r="AD100" s="4122">
        <f t="shared" si="121"/>
        <v>0</v>
      </c>
      <c r="AE100" s="4112"/>
      <c r="AF100" s="4112"/>
      <c r="AG100" s="4100"/>
      <c r="AH100" s="4100"/>
      <c r="AI100" s="4100"/>
      <c r="AJ100" s="4100"/>
      <c r="AK100" s="4100"/>
    </row>
    <row r="101" spans="1:37" ht="18.75" customHeight="1">
      <c r="A101" s="4119" t="s">
        <v>38</v>
      </c>
      <c r="B101" s="4121">
        <f>SUM('Произв. прогр. Вода'!H120)</f>
        <v>0</v>
      </c>
      <c r="C101" s="4120"/>
      <c r="D101" s="4120"/>
      <c r="E101" s="4120"/>
      <c r="F101" s="4121">
        <f t="shared" si="131"/>
        <v>0</v>
      </c>
      <c r="G101" s="4121">
        <f>SUM('Произв. прогр. Вода'!L120)</f>
        <v>0</v>
      </c>
      <c r="H101" s="4120"/>
      <c r="I101" s="4120"/>
      <c r="J101" s="4120"/>
      <c r="K101" s="4121">
        <f t="shared" si="132"/>
        <v>0</v>
      </c>
      <c r="L101" s="4122">
        <f>SUM('Произв. прогр. Вода'!M120)</f>
        <v>0</v>
      </c>
      <c r="M101" s="4122">
        <f t="shared" si="133"/>
        <v>0</v>
      </c>
      <c r="N101" s="4122">
        <f t="shared" si="119"/>
        <v>0</v>
      </c>
      <c r="O101" s="4121">
        <f>SUM('Произв. прогр. Вода'!Q120)</f>
        <v>0</v>
      </c>
      <c r="P101" s="4120"/>
      <c r="Q101" s="4120"/>
      <c r="R101" s="4120"/>
      <c r="S101" s="4121">
        <f t="shared" si="134"/>
        <v>0</v>
      </c>
      <c r="T101" s="4122">
        <f>SUM('Произв. прогр. Вода'!R120)</f>
        <v>0</v>
      </c>
      <c r="U101" s="4122">
        <f t="shared" si="135"/>
        <v>0</v>
      </c>
      <c r="V101" s="4122">
        <f t="shared" si="120"/>
        <v>0</v>
      </c>
      <c r="W101" s="4121">
        <f>SUM('Произв. прогр. Вода'!V120)</f>
        <v>0</v>
      </c>
      <c r="X101" s="4120"/>
      <c r="Y101" s="4120"/>
      <c r="Z101" s="4120"/>
      <c r="AA101" s="4121">
        <f t="shared" si="136"/>
        <v>0</v>
      </c>
      <c r="AB101" s="4122">
        <f>SUM('Произв. прогр. Вода'!B120)</f>
        <v>0</v>
      </c>
      <c r="AC101" s="4122">
        <f t="shared" si="137"/>
        <v>0</v>
      </c>
      <c r="AD101" s="4122">
        <f t="shared" si="121"/>
        <v>0</v>
      </c>
      <c r="AE101" s="4112"/>
      <c r="AF101" s="4112"/>
      <c r="AG101" s="4100"/>
      <c r="AH101" s="4100"/>
      <c r="AI101" s="4100"/>
      <c r="AJ101" s="4100"/>
      <c r="AK101" s="4100"/>
    </row>
    <row r="102" spans="1:37" ht="18.75" customHeight="1">
      <c r="A102" s="4119" t="s">
        <v>32</v>
      </c>
      <c r="B102" s="4121">
        <f>SUM('Произв. прогр. Вода'!H121)</f>
        <v>1.2769790781486736</v>
      </c>
      <c r="C102" s="4120"/>
      <c r="D102" s="4120"/>
      <c r="E102" s="4120">
        <v>4.8</v>
      </c>
      <c r="F102" s="4121">
        <f t="shared" si="131"/>
        <v>4.8</v>
      </c>
      <c r="G102" s="4121">
        <f>SUM('Произв. прогр. Вода'!L121)</f>
        <v>1.2769790781486736</v>
      </c>
      <c r="H102" s="4120"/>
      <c r="I102" s="4120">
        <f>7.5+0.5</f>
        <v>8</v>
      </c>
      <c r="J102" s="4120">
        <v>12.7</v>
      </c>
      <c r="K102" s="4121">
        <f t="shared" si="132"/>
        <v>20.7</v>
      </c>
      <c r="L102" s="4122">
        <f>SUM('Произв. прогр. Вода'!M121)</f>
        <v>2.5539581562973472</v>
      </c>
      <c r="M102" s="4122">
        <f t="shared" si="133"/>
        <v>25.5</v>
      </c>
      <c r="N102" s="4122">
        <f t="shared" si="119"/>
        <v>22.946041843702652</v>
      </c>
      <c r="O102" s="4121">
        <f>SUM('Произв. прогр. Вода'!Q121)</f>
        <v>1.2769790781486736</v>
      </c>
      <c r="P102" s="4120"/>
      <c r="Q102" s="4120"/>
      <c r="R102" s="4120">
        <v>14.4</v>
      </c>
      <c r="S102" s="4121">
        <f t="shared" si="134"/>
        <v>14.4</v>
      </c>
      <c r="T102" s="4122">
        <f>SUM('Произв. прогр. Вода'!R121)</f>
        <v>3.8309372344460209</v>
      </c>
      <c r="U102" s="4122">
        <f t="shared" si="135"/>
        <v>39.9</v>
      </c>
      <c r="V102" s="4122">
        <f t="shared" si="120"/>
        <v>36.06906276555398</v>
      </c>
      <c r="W102" s="4121">
        <f>SUM('Произв. прогр. Вода'!V121)</f>
        <v>1.2769790781486736</v>
      </c>
      <c r="X102" s="4120"/>
      <c r="Y102" s="4120"/>
      <c r="Z102" s="4120"/>
      <c r="AA102" s="4121">
        <f t="shared" si="136"/>
        <v>0</v>
      </c>
      <c r="AB102" s="4122">
        <f>SUM('Произв. прогр. Вода'!B121)</f>
        <v>5.1079163125946945</v>
      </c>
      <c r="AC102" s="4122">
        <f t="shared" si="137"/>
        <v>39.9</v>
      </c>
      <c r="AD102" s="4122">
        <f t="shared" si="121"/>
        <v>34.792083687405302</v>
      </c>
      <c r="AE102" s="4112"/>
      <c r="AF102" s="4112"/>
      <c r="AG102" s="4100"/>
      <c r="AH102" s="4100"/>
      <c r="AI102" s="4100"/>
      <c r="AJ102" s="4100"/>
      <c r="AK102" s="4100"/>
    </row>
    <row r="103" spans="1:37" ht="18.75" customHeight="1">
      <c r="A103" s="4119" t="s">
        <v>607</v>
      </c>
      <c r="B103" s="4121">
        <f>SUM('Произв. прогр. Вода'!H122)</f>
        <v>4.8757382983858442</v>
      </c>
      <c r="C103" s="4121">
        <f t="shared" ref="C103:F103" si="138">SUM(C104)</f>
        <v>9.67</v>
      </c>
      <c r="D103" s="4121">
        <f t="shared" si="138"/>
        <v>1.65</v>
      </c>
      <c r="E103" s="4121">
        <f t="shared" si="138"/>
        <v>0.15</v>
      </c>
      <c r="F103" s="4121">
        <f t="shared" si="138"/>
        <v>11.47</v>
      </c>
      <c r="G103" s="4121">
        <f>SUM('Произв. прогр. Вода'!L122)</f>
        <v>4.8757382983858442</v>
      </c>
      <c r="H103" s="4121">
        <f t="shared" ref="H103" si="139">SUM(H104)</f>
        <v>18.29</v>
      </c>
      <c r="I103" s="4121">
        <f t="shared" ref="I103:M103" si="140">SUM(I104)</f>
        <v>2.63</v>
      </c>
      <c r="J103" s="4121">
        <f t="shared" si="140"/>
        <v>12.29</v>
      </c>
      <c r="K103" s="4121">
        <f t="shared" si="140"/>
        <v>33.209999999999994</v>
      </c>
      <c r="L103" s="4122">
        <f>SUM('Произв. прогр. Вода'!M122)</f>
        <v>9.7514765967716883</v>
      </c>
      <c r="M103" s="4122">
        <f t="shared" si="140"/>
        <v>44.679999999999993</v>
      </c>
      <c r="N103" s="4122">
        <f t="shared" si="119"/>
        <v>34.928523403228304</v>
      </c>
      <c r="O103" s="4121">
        <f>SUM('Произв. прогр. Вода'!Q122)</f>
        <v>4.8757382983858442</v>
      </c>
      <c r="P103" s="4121">
        <f t="shared" ref="P103" si="141">SUM(P104)</f>
        <v>79.23</v>
      </c>
      <c r="Q103" s="4121">
        <f t="shared" ref="Q103:U103" si="142">SUM(Q104)</f>
        <v>15.86</v>
      </c>
      <c r="R103" s="4121">
        <f t="shared" si="142"/>
        <v>12.15</v>
      </c>
      <c r="S103" s="4121">
        <f t="shared" si="142"/>
        <v>107.24000000000001</v>
      </c>
      <c r="T103" s="4122">
        <f>SUM('Произв. прогр. Вода'!R122)</f>
        <v>14.627214895157532</v>
      </c>
      <c r="U103" s="4122">
        <f t="shared" si="142"/>
        <v>151.92000000000002</v>
      </c>
      <c r="V103" s="4122">
        <f t="shared" si="120"/>
        <v>137.29278510484249</v>
      </c>
      <c r="W103" s="4121">
        <f>SUM('Произв. прогр. Вода'!V122)</f>
        <v>4.8757382983858442</v>
      </c>
      <c r="X103" s="4121">
        <f t="shared" ref="X103" si="143">SUM(X104)</f>
        <v>0</v>
      </c>
      <c r="Y103" s="4121">
        <f t="shared" ref="Y103:AC103" si="144">SUM(Y104)</f>
        <v>0</v>
      </c>
      <c r="Z103" s="4121">
        <f t="shared" si="144"/>
        <v>0</v>
      </c>
      <c r="AA103" s="4121">
        <f t="shared" si="144"/>
        <v>0</v>
      </c>
      <c r="AB103" s="4122">
        <f>SUM('Произв. прогр. Вода'!B122)</f>
        <v>19.502953193543377</v>
      </c>
      <c r="AC103" s="4122">
        <f t="shared" si="144"/>
        <v>151.92000000000002</v>
      </c>
      <c r="AD103" s="4122">
        <f t="shared" si="121"/>
        <v>132.41704680645665</v>
      </c>
      <c r="AE103" s="4112"/>
      <c r="AF103" s="4112"/>
      <c r="AG103" s="4100"/>
      <c r="AH103" s="4100"/>
      <c r="AI103" s="4100"/>
      <c r="AJ103" s="4100"/>
      <c r="AK103" s="4100"/>
    </row>
    <row r="104" spans="1:37" ht="18.75" customHeight="1">
      <c r="A104" s="4123" t="s">
        <v>565</v>
      </c>
      <c r="B104" s="4269">
        <f>SUM('Произв. прогр. Вода'!H123)</f>
        <v>4.8757382983858442</v>
      </c>
      <c r="C104" s="4124">
        <v>9.67</v>
      </c>
      <c r="D104" s="4124">
        <v>1.65</v>
      </c>
      <c r="E104" s="4124">
        <v>0.15</v>
      </c>
      <c r="F104" s="4269">
        <f t="shared" si="131"/>
        <v>11.47</v>
      </c>
      <c r="G104" s="4269">
        <f>SUM('Произв. прогр. Вода'!L123)</f>
        <v>4.8757382983858442</v>
      </c>
      <c r="H104" s="4124">
        <v>18.29</v>
      </c>
      <c r="I104" s="4124">
        <v>2.63</v>
      </c>
      <c r="J104" s="4124">
        <v>12.29</v>
      </c>
      <c r="K104" s="4269">
        <f t="shared" si="132"/>
        <v>33.209999999999994</v>
      </c>
      <c r="L104" s="4270">
        <f>SUM('Произв. прогр. Вода'!M123)</f>
        <v>9.7514765967716883</v>
      </c>
      <c r="M104" s="4270">
        <f t="shared" si="133"/>
        <v>44.679999999999993</v>
      </c>
      <c r="N104" s="4270">
        <f t="shared" si="119"/>
        <v>34.928523403228304</v>
      </c>
      <c r="O104" s="4269">
        <f>SUM('Произв. прогр. Вода'!Q123)</f>
        <v>4.8757382983858442</v>
      </c>
      <c r="P104" s="4124">
        <v>79.23</v>
      </c>
      <c r="Q104" s="4124">
        <v>15.86</v>
      </c>
      <c r="R104" s="4124">
        <v>12.15</v>
      </c>
      <c r="S104" s="4269">
        <f t="shared" si="134"/>
        <v>107.24000000000001</v>
      </c>
      <c r="T104" s="4270">
        <f>SUM('Произв. прогр. Вода'!R123)</f>
        <v>14.627214895157532</v>
      </c>
      <c r="U104" s="4270">
        <f t="shared" si="135"/>
        <v>151.92000000000002</v>
      </c>
      <c r="V104" s="4270">
        <f t="shared" si="120"/>
        <v>137.29278510484249</v>
      </c>
      <c r="W104" s="4269">
        <f>SUM('Произв. прогр. Вода'!V123)</f>
        <v>4.8757382983858442</v>
      </c>
      <c r="X104" s="4124"/>
      <c r="Y104" s="4124"/>
      <c r="Z104" s="4124"/>
      <c r="AA104" s="4269">
        <f t="shared" si="136"/>
        <v>0</v>
      </c>
      <c r="AB104" s="4270">
        <f>SUM('Произв. прогр. Вода'!B123)</f>
        <v>19.502953193543377</v>
      </c>
      <c r="AC104" s="4270">
        <f t="shared" si="137"/>
        <v>151.92000000000002</v>
      </c>
      <c r="AD104" s="4270">
        <f t="shared" si="121"/>
        <v>132.41704680645665</v>
      </c>
      <c r="AE104" s="4112"/>
      <c r="AF104" s="4112"/>
      <c r="AG104" s="4100"/>
      <c r="AH104" s="4100"/>
      <c r="AI104" s="4100"/>
      <c r="AJ104" s="4100"/>
      <c r="AK104" s="4100"/>
    </row>
    <row r="105" spans="1:37" ht="18.75" customHeight="1">
      <c r="A105" s="4119" t="s">
        <v>610</v>
      </c>
      <c r="B105" s="4121">
        <f>SUM('Произв. прогр. Вода'!H124)</f>
        <v>23.741362842925934</v>
      </c>
      <c r="C105" s="4121">
        <f t="shared" ref="C105" si="145">SUM(C106:C108)</f>
        <v>0</v>
      </c>
      <c r="D105" s="4121">
        <f t="shared" ref="D105:F105" si="146">SUM(D106:D108)</f>
        <v>4.55</v>
      </c>
      <c r="E105" s="4121">
        <f t="shared" si="146"/>
        <v>9.1</v>
      </c>
      <c r="F105" s="4121">
        <f t="shared" si="146"/>
        <v>13.649999999999999</v>
      </c>
      <c r="G105" s="4121">
        <f>SUM('Произв. прогр. Вода'!L124)</f>
        <v>27.438797719201869</v>
      </c>
      <c r="H105" s="4121">
        <f t="shared" ref="H105:M105" si="147">SUM(H106:H108)</f>
        <v>4.55</v>
      </c>
      <c r="I105" s="4121">
        <f t="shared" si="147"/>
        <v>17.939999999999998</v>
      </c>
      <c r="J105" s="4121">
        <f t="shared" si="147"/>
        <v>18.07</v>
      </c>
      <c r="K105" s="4121">
        <f t="shared" si="147"/>
        <v>40.56</v>
      </c>
      <c r="L105" s="4122">
        <f>SUM('Произв. прогр. Вода'!M124)</f>
        <v>51.180160562127803</v>
      </c>
      <c r="M105" s="4122">
        <f t="shared" si="147"/>
        <v>54.21</v>
      </c>
      <c r="N105" s="4122">
        <f t="shared" si="119"/>
        <v>3.029839437872198</v>
      </c>
      <c r="O105" s="4121">
        <f>SUM('Произв. прогр. Вода'!Q124)</f>
        <v>30.022939017346367</v>
      </c>
      <c r="P105" s="4121">
        <f t="shared" ref="P105:U105" si="148">SUM(P106:P108)</f>
        <v>29.82</v>
      </c>
      <c r="Q105" s="4121">
        <f t="shared" si="148"/>
        <v>49.82</v>
      </c>
      <c r="R105" s="4121">
        <f t="shared" si="148"/>
        <v>8.61</v>
      </c>
      <c r="S105" s="4121">
        <f t="shared" si="148"/>
        <v>88.25</v>
      </c>
      <c r="T105" s="4122">
        <f>SUM('Произв. прогр. Вода'!R124)</f>
        <v>81.20309957947417</v>
      </c>
      <c r="U105" s="4122">
        <f t="shared" si="148"/>
        <v>142.46</v>
      </c>
      <c r="V105" s="4270">
        <f t="shared" si="120"/>
        <v>61.256900420525838</v>
      </c>
      <c r="W105" s="4121">
        <f>SUM('Произв. прогр. Вода'!V124)</f>
        <v>23.741362842925934</v>
      </c>
      <c r="X105" s="4121">
        <f t="shared" ref="X105:AC105" si="149">SUM(X106:X108)</f>
        <v>0</v>
      </c>
      <c r="Y105" s="4121">
        <f t="shared" si="149"/>
        <v>0</v>
      </c>
      <c r="Z105" s="4121">
        <f t="shared" si="149"/>
        <v>0</v>
      </c>
      <c r="AA105" s="4121">
        <f t="shared" si="149"/>
        <v>0</v>
      </c>
      <c r="AB105" s="4122">
        <f>SUM('Произв. прогр. Вода'!B124)</f>
        <v>104.94446242240011</v>
      </c>
      <c r="AC105" s="4122">
        <f t="shared" si="149"/>
        <v>142.46</v>
      </c>
      <c r="AD105" s="4122">
        <f t="shared" si="121"/>
        <v>37.5155375775999</v>
      </c>
      <c r="AE105" s="4112"/>
      <c r="AF105" s="4112"/>
      <c r="AG105" s="4100"/>
      <c r="AH105" s="4100"/>
      <c r="AI105" s="4100"/>
      <c r="AJ105" s="4100"/>
      <c r="AK105" s="4100"/>
    </row>
    <row r="106" spans="1:37" ht="18.75" customHeight="1">
      <c r="A106" s="4123" t="s">
        <v>552</v>
      </c>
      <c r="B106" s="4269">
        <f>SUM('Произв. прогр. Вода'!H125)</f>
        <v>17.820823480600264</v>
      </c>
      <c r="C106" s="4124"/>
      <c r="D106" s="4124"/>
      <c r="E106" s="4124"/>
      <c r="F106" s="4269">
        <f t="shared" si="131"/>
        <v>0</v>
      </c>
      <c r="G106" s="4269">
        <f>SUM('Произв. прогр. Вода'!L125)</f>
        <v>21.518258356876199</v>
      </c>
      <c r="H106" s="4124"/>
      <c r="I106" s="4124"/>
      <c r="J106" s="4124"/>
      <c r="K106" s="4269">
        <f t="shared" si="132"/>
        <v>0</v>
      </c>
      <c r="L106" s="4270">
        <f>SUM('Произв. прогр. Вода'!M125)</f>
        <v>39.339081837476463</v>
      </c>
      <c r="M106" s="4270">
        <f t="shared" si="133"/>
        <v>0</v>
      </c>
      <c r="N106" s="4270">
        <f t="shared" si="119"/>
        <v>-39.339081837476463</v>
      </c>
      <c r="O106" s="4269">
        <f>SUM('Произв. прогр. Вода'!Q125)</f>
        <v>24.102399655020697</v>
      </c>
      <c r="P106" s="4124">
        <v>21.9</v>
      </c>
      <c r="Q106" s="4124">
        <v>39.94</v>
      </c>
      <c r="R106" s="4124"/>
      <c r="S106" s="4269">
        <f t="shared" si="134"/>
        <v>61.839999999999996</v>
      </c>
      <c r="T106" s="4270">
        <f>SUM('Произв. прогр. Вода'!R125)</f>
        <v>63.441481492497161</v>
      </c>
      <c r="U106" s="4270">
        <f t="shared" si="135"/>
        <v>61.839999999999996</v>
      </c>
      <c r="V106" s="4270">
        <f t="shared" si="120"/>
        <v>-1.6014814924971645</v>
      </c>
      <c r="W106" s="4269">
        <f>SUM('Произв. прогр. Вода'!V125)</f>
        <v>17.820823480600264</v>
      </c>
      <c r="X106" s="4124"/>
      <c r="Y106" s="4124"/>
      <c r="Z106" s="4124"/>
      <c r="AA106" s="4269">
        <f t="shared" si="136"/>
        <v>0</v>
      </c>
      <c r="AB106" s="4270">
        <f>SUM('Произв. прогр. Вода'!B125)</f>
        <v>81.262304973097429</v>
      </c>
      <c r="AC106" s="4270">
        <f t="shared" si="137"/>
        <v>61.839999999999996</v>
      </c>
      <c r="AD106" s="4270">
        <f t="shared" si="121"/>
        <v>-19.422304973097432</v>
      </c>
      <c r="AE106" s="4112"/>
      <c r="AF106" s="4112"/>
      <c r="AG106" s="4100"/>
      <c r="AH106" s="4100"/>
      <c r="AI106" s="4100"/>
      <c r="AJ106" s="4100"/>
      <c r="AK106" s="4100"/>
    </row>
    <row r="107" spans="1:37" ht="18.75" customHeight="1">
      <c r="A107" s="4123" t="s">
        <v>560</v>
      </c>
      <c r="B107" s="4269">
        <f>SUM('Произв. прогр. Вода'!H126)</f>
        <v>5.9205393623256688</v>
      </c>
      <c r="C107" s="4124"/>
      <c r="D107" s="4124">
        <v>4.55</v>
      </c>
      <c r="E107" s="4124">
        <v>9.1</v>
      </c>
      <c r="F107" s="4269">
        <f t="shared" si="131"/>
        <v>13.649999999999999</v>
      </c>
      <c r="G107" s="4269">
        <f>SUM('Произв. прогр. Вода'!L126)</f>
        <v>5.9205393623256688</v>
      </c>
      <c r="H107" s="4124">
        <v>4.55</v>
      </c>
      <c r="I107" s="4124">
        <f>14.44+3.5</f>
        <v>17.939999999999998</v>
      </c>
      <c r="J107" s="4124">
        <v>18.07</v>
      </c>
      <c r="K107" s="4269">
        <f t="shared" si="132"/>
        <v>40.56</v>
      </c>
      <c r="L107" s="4270">
        <f>SUM('Произв. прогр. Вода'!M126)</f>
        <v>11.841078724651338</v>
      </c>
      <c r="M107" s="4270">
        <f t="shared" si="133"/>
        <v>54.21</v>
      </c>
      <c r="N107" s="4270">
        <f t="shared" si="119"/>
        <v>42.368921275348661</v>
      </c>
      <c r="O107" s="4269">
        <f>SUM('Произв. прогр. Вода'!Q126)</f>
        <v>5.9205393623256688</v>
      </c>
      <c r="P107" s="4124">
        <f>6.42+1.5</f>
        <v>7.92</v>
      </c>
      <c r="Q107" s="4124">
        <f>8.38+1.5</f>
        <v>9.8800000000000008</v>
      </c>
      <c r="R107" s="4124">
        <v>8.61</v>
      </c>
      <c r="S107" s="4269">
        <f t="shared" si="134"/>
        <v>26.41</v>
      </c>
      <c r="T107" s="4270">
        <f>SUM('Произв. прогр. Вода'!R126)</f>
        <v>17.761618086977006</v>
      </c>
      <c r="U107" s="4270">
        <f t="shared" si="135"/>
        <v>80.62</v>
      </c>
      <c r="V107" s="4270">
        <f t="shared" si="120"/>
        <v>62.858381913022995</v>
      </c>
      <c r="W107" s="4269">
        <f>SUM('Произв. прогр. Вода'!V126)</f>
        <v>5.9205393623256688</v>
      </c>
      <c r="X107" s="4124"/>
      <c r="Y107" s="4124"/>
      <c r="Z107" s="4124"/>
      <c r="AA107" s="4269">
        <f t="shared" si="136"/>
        <v>0</v>
      </c>
      <c r="AB107" s="4270">
        <f>SUM('Произв. прогр. Вода'!B126)</f>
        <v>23.682157449302675</v>
      </c>
      <c r="AC107" s="4270">
        <f t="shared" si="137"/>
        <v>80.62</v>
      </c>
      <c r="AD107" s="4270">
        <f t="shared" si="121"/>
        <v>56.937842550697326</v>
      </c>
      <c r="AE107" s="4112"/>
      <c r="AF107" s="4112"/>
      <c r="AG107" s="4100"/>
      <c r="AH107" s="4100"/>
      <c r="AI107" s="4100"/>
      <c r="AJ107" s="4100"/>
      <c r="AK107" s="4100"/>
    </row>
    <row r="108" spans="1:37" ht="18.75" customHeight="1">
      <c r="A108" s="4123" t="s">
        <v>614</v>
      </c>
      <c r="B108" s="4269">
        <f>SUM('Произв. прогр. Вода'!H127)</f>
        <v>0</v>
      </c>
      <c r="C108" s="4124"/>
      <c r="D108" s="4124"/>
      <c r="E108" s="4124"/>
      <c r="F108" s="4269">
        <f t="shared" si="131"/>
        <v>0</v>
      </c>
      <c r="G108" s="4269">
        <f>SUM('Произв. прогр. Вода'!L127)</f>
        <v>0</v>
      </c>
      <c r="H108" s="4124"/>
      <c r="I108" s="4124"/>
      <c r="J108" s="4124"/>
      <c r="K108" s="4269">
        <f t="shared" si="132"/>
        <v>0</v>
      </c>
      <c r="L108" s="4270">
        <f>SUM('Произв. прогр. Вода'!M127)</f>
        <v>0</v>
      </c>
      <c r="M108" s="4270">
        <f t="shared" si="133"/>
        <v>0</v>
      </c>
      <c r="N108" s="4270">
        <f t="shared" si="119"/>
        <v>0</v>
      </c>
      <c r="O108" s="4269">
        <f>SUM('Произв. прогр. Вода'!Q127)</f>
        <v>0</v>
      </c>
      <c r="P108" s="4124"/>
      <c r="Q108" s="4124"/>
      <c r="R108" s="4124"/>
      <c r="S108" s="4269">
        <f t="shared" si="134"/>
        <v>0</v>
      </c>
      <c r="T108" s="4270">
        <f>SUM('Произв. прогр. Вода'!R127)</f>
        <v>0</v>
      </c>
      <c r="U108" s="4270">
        <f t="shared" si="135"/>
        <v>0</v>
      </c>
      <c r="V108" s="4270">
        <f t="shared" si="120"/>
        <v>0</v>
      </c>
      <c r="W108" s="4269">
        <f>SUM('Произв. прогр. Вода'!V127)</f>
        <v>0</v>
      </c>
      <c r="X108" s="4124"/>
      <c r="Y108" s="4124"/>
      <c r="Z108" s="4124"/>
      <c r="AA108" s="4269">
        <f t="shared" si="136"/>
        <v>0</v>
      </c>
      <c r="AB108" s="4270">
        <f>SUM('Произв. прогр. Вода'!B127)</f>
        <v>0</v>
      </c>
      <c r="AC108" s="4270">
        <f t="shared" si="137"/>
        <v>0</v>
      </c>
      <c r="AD108" s="4270">
        <f t="shared" si="121"/>
        <v>0</v>
      </c>
      <c r="AE108" s="4112"/>
      <c r="AF108" s="4112"/>
      <c r="AG108" s="4100"/>
      <c r="AH108" s="4100"/>
      <c r="AI108" s="4100"/>
      <c r="AJ108" s="4100"/>
      <c r="AK108" s="4100"/>
    </row>
    <row r="109" spans="1:37" ht="18.75" customHeight="1">
      <c r="A109" s="4101" t="s">
        <v>542</v>
      </c>
      <c r="B109" s="4117">
        <f>SUM('Произв. прогр. Вода'!H128)</f>
        <v>3957.2151109873362</v>
      </c>
      <c r="C109" s="4117">
        <f t="shared" ref="C109" si="150">SUM(C110:C114)+C116</f>
        <v>1075.05</v>
      </c>
      <c r="D109" s="4117">
        <f t="shared" ref="D109:F109" si="151">SUM(D110:D114)+D116</f>
        <v>1137.67</v>
      </c>
      <c r="E109" s="4117">
        <f>SUM(E110:E114)+E116</f>
        <v>1154.51</v>
      </c>
      <c r="F109" s="4117">
        <f t="shared" si="151"/>
        <v>3367.2299999999996</v>
      </c>
      <c r="G109" s="4117">
        <f>SUM('Произв. прогр. Вода'!L128)</f>
        <v>3958.8085718530765</v>
      </c>
      <c r="H109" s="4117">
        <f>SUM(H110:H114)+H116</f>
        <v>1472.45</v>
      </c>
      <c r="I109" s="4117">
        <f t="shared" ref="I109:M109" si="152">SUM(I110:I114)+I116</f>
        <v>1343.37</v>
      </c>
      <c r="J109" s="4117">
        <f t="shared" si="152"/>
        <v>1253.75</v>
      </c>
      <c r="K109" s="4117">
        <f t="shared" si="152"/>
        <v>4069.57</v>
      </c>
      <c r="L109" s="4118">
        <f>SUM('Произв. прогр. Вода'!M128)</f>
        <v>7916.0236828404122</v>
      </c>
      <c r="M109" s="4118">
        <f t="shared" si="152"/>
        <v>7436.7999999999993</v>
      </c>
      <c r="N109" s="4118">
        <f t="shared" si="119"/>
        <v>-479.22368284041295</v>
      </c>
      <c r="O109" s="4117">
        <f>SUM('Произв. прогр. Вода'!Q128)</f>
        <v>4153.7291505356943</v>
      </c>
      <c r="P109" s="4117">
        <f t="shared" ref="P109:U109" si="153">SUM(P110:P114)+P116</f>
        <v>1453.69</v>
      </c>
      <c r="Q109" s="4117">
        <f t="shared" si="153"/>
        <v>1180.04</v>
      </c>
      <c r="R109" s="4117">
        <f t="shared" si="153"/>
        <v>1647.46</v>
      </c>
      <c r="S109" s="4117">
        <f t="shared" si="153"/>
        <v>4281.1900000000005</v>
      </c>
      <c r="T109" s="4118">
        <f>SUM('Произв. прогр. Вода'!R128)</f>
        <v>12069.752833376107</v>
      </c>
      <c r="U109" s="4118">
        <f t="shared" si="153"/>
        <v>11717.99</v>
      </c>
      <c r="V109" s="4271">
        <f t="shared" si="120"/>
        <v>-351.76283337610766</v>
      </c>
      <c r="W109" s="4117">
        <f>SUM('Произв. прогр. Вода'!V128)</f>
        <v>4151.0220181198329</v>
      </c>
      <c r="X109" s="4117">
        <f t="shared" ref="X109:AC109" si="154">SUM(X110:X114)+X116</f>
        <v>0</v>
      </c>
      <c r="Y109" s="4117">
        <f t="shared" si="154"/>
        <v>0</v>
      </c>
      <c r="Z109" s="4117">
        <f t="shared" si="154"/>
        <v>0</v>
      </c>
      <c r="AA109" s="4117">
        <f t="shared" si="154"/>
        <v>0</v>
      </c>
      <c r="AB109" s="4118">
        <f>SUM('Произв. прогр. Вода'!B128)</f>
        <v>16220.774851495938</v>
      </c>
      <c r="AC109" s="4118">
        <f t="shared" si="154"/>
        <v>11717.99</v>
      </c>
      <c r="AD109" s="4118">
        <f t="shared" si="121"/>
        <v>-4502.7848514959387</v>
      </c>
      <c r="AE109" s="4112"/>
      <c r="AF109" s="4112"/>
      <c r="AG109" s="4100"/>
      <c r="AH109" s="4100"/>
      <c r="AI109" s="4100"/>
      <c r="AJ109" s="4100"/>
      <c r="AK109" s="4100"/>
    </row>
    <row r="110" spans="1:37" ht="18.75" customHeight="1">
      <c r="A110" s="4114" t="s">
        <v>2</v>
      </c>
      <c r="B110" s="4121">
        <f>SUM('Произв. прогр. Вода'!H129)</f>
        <v>764.94500000000005</v>
      </c>
      <c r="C110" s="4120">
        <v>294.44</v>
      </c>
      <c r="D110" s="4120">
        <v>294.44</v>
      </c>
      <c r="E110" s="4120">
        <v>294.44</v>
      </c>
      <c r="F110" s="4121">
        <f t="shared" si="131"/>
        <v>883.31999999999994</v>
      </c>
      <c r="G110" s="4121">
        <f>SUM('Произв. прогр. Вода'!L129)</f>
        <v>764.94500000000005</v>
      </c>
      <c r="H110" s="4120">
        <v>294.43</v>
      </c>
      <c r="I110" s="4120">
        <v>294.44</v>
      </c>
      <c r="J110" s="4120">
        <v>294.44</v>
      </c>
      <c r="K110" s="4121">
        <f t="shared" si="132"/>
        <v>883.31</v>
      </c>
      <c r="L110" s="4122">
        <f>SUM('Произв. прогр. Вода'!M129)</f>
        <v>1529.89</v>
      </c>
      <c r="M110" s="4122">
        <f t="shared" si="133"/>
        <v>1766.6299999999999</v>
      </c>
      <c r="N110" s="4122">
        <f t="shared" si="119"/>
        <v>236.73999999999978</v>
      </c>
      <c r="O110" s="4121">
        <f>SUM('Произв. прогр. Вода'!Q129)</f>
        <v>764.94500000000005</v>
      </c>
      <c r="P110" s="4120">
        <v>294.44</v>
      </c>
      <c r="Q110" s="4120">
        <v>294.44</v>
      </c>
      <c r="R110" s="4120">
        <v>294.44</v>
      </c>
      <c r="S110" s="4121">
        <f t="shared" si="134"/>
        <v>883.31999999999994</v>
      </c>
      <c r="T110" s="4122">
        <f>SUM('Произв. прогр. Вода'!R129)</f>
        <v>2294.835</v>
      </c>
      <c r="U110" s="4122">
        <f t="shared" si="135"/>
        <v>2649.95</v>
      </c>
      <c r="V110" s="4122">
        <f t="shared" si="120"/>
        <v>355.11499999999978</v>
      </c>
      <c r="W110" s="4121">
        <f>SUM('Произв. прогр. Вода'!V129)</f>
        <v>764.94500000000005</v>
      </c>
      <c r="X110" s="4120"/>
      <c r="Y110" s="4120"/>
      <c r="Z110" s="4120"/>
      <c r="AA110" s="4121">
        <f t="shared" si="136"/>
        <v>0</v>
      </c>
      <c r="AB110" s="4122">
        <f>SUM('Произв. прогр. Вода'!B129)</f>
        <v>3059.78</v>
      </c>
      <c r="AC110" s="4122">
        <f t="shared" si="137"/>
        <v>2649.95</v>
      </c>
      <c r="AD110" s="4122">
        <f t="shared" si="121"/>
        <v>-409.83000000000038</v>
      </c>
      <c r="AE110" s="4112"/>
      <c r="AF110" s="4112"/>
      <c r="AG110" s="4100"/>
      <c r="AH110" s="4100"/>
      <c r="AI110" s="4100"/>
      <c r="AJ110" s="4100"/>
      <c r="AK110" s="4100"/>
    </row>
    <row r="111" spans="1:37" ht="18.75" customHeight="1">
      <c r="A111" s="4114" t="s">
        <v>219</v>
      </c>
      <c r="B111" s="4121">
        <f>SUM('Произв. прогр. Вода'!H130)</f>
        <v>0</v>
      </c>
      <c r="C111" s="4120"/>
      <c r="D111" s="4120"/>
      <c r="E111" s="4120"/>
      <c r="F111" s="4121">
        <f t="shared" si="131"/>
        <v>0</v>
      </c>
      <c r="G111" s="4121">
        <f>SUM('Произв. прогр. Вода'!L130)</f>
        <v>0</v>
      </c>
      <c r="H111" s="4120"/>
      <c r="I111" s="4120"/>
      <c r="J111" s="4120"/>
      <c r="K111" s="4121">
        <f t="shared" si="132"/>
        <v>0</v>
      </c>
      <c r="L111" s="4122">
        <f>SUM('Произв. прогр. Вода'!M130)</f>
        <v>0</v>
      </c>
      <c r="M111" s="4122">
        <f t="shared" si="133"/>
        <v>0</v>
      </c>
      <c r="N111" s="4122">
        <f t="shared" si="119"/>
        <v>0</v>
      </c>
      <c r="O111" s="4121">
        <f>SUM('Произв. прогр. Вода'!Q130)</f>
        <v>0</v>
      </c>
      <c r="P111" s="4120"/>
      <c r="Q111" s="4120"/>
      <c r="R111" s="4120"/>
      <c r="S111" s="4121">
        <f t="shared" si="134"/>
        <v>0</v>
      </c>
      <c r="T111" s="4122">
        <f>SUM('Произв. прогр. Вода'!R130)</f>
        <v>0</v>
      </c>
      <c r="U111" s="4122">
        <f t="shared" si="135"/>
        <v>0</v>
      </c>
      <c r="V111" s="4122">
        <f t="shared" si="120"/>
        <v>0</v>
      </c>
      <c r="W111" s="4121">
        <f>SUM('Произв. прогр. Вода'!V130)</f>
        <v>0</v>
      </c>
      <c r="X111" s="4120"/>
      <c r="Y111" s="4120"/>
      <c r="Z111" s="4120"/>
      <c r="AA111" s="4121">
        <f t="shared" si="136"/>
        <v>0</v>
      </c>
      <c r="AB111" s="4122">
        <f>SUM('Произв. прогр. Вода'!B130)</f>
        <v>0</v>
      </c>
      <c r="AC111" s="4122">
        <f t="shared" si="137"/>
        <v>0</v>
      </c>
      <c r="AD111" s="4122">
        <f t="shared" si="121"/>
        <v>0</v>
      </c>
      <c r="AE111" s="4112"/>
      <c r="AF111" s="4112"/>
      <c r="AG111" s="4100"/>
      <c r="AH111" s="4100"/>
      <c r="AI111" s="4100"/>
      <c r="AJ111" s="4100"/>
      <c r="AK111" s="4100"/>
    </row>
    <row r="112" spans="1:37" ht="18.75" customHeight="1">
      <c r="A112" s="4114" t="s">
        <v>3</v>
      </c>
      <c r="B112" s="4121">
        <f>SUM('Произв. прогр. Вода'!H131)</f>
        <v>64.78551610169491</v>
      </c>
      <c r="C112" s="4120">
        <f>39.48+12.3</f>
        <v>51.78</v>
      </c>
      <c r="D112" s="4120">
        <v>83.82</v>
      </c>
      <c r="E112" s="4120">
        <v>26.47</v>
      </c>
      <c r="F112" s="4121">
        <f t="shared" si="131"/>
        <v>162.07</v>
      </c>
      <c r="G112" s="4121">
        <f>SUM('Произв. прогр. Вода'!L131)</f>
        <v>64.78551610169491</v>
      </c>
      <c r="H112" s="4120">
        <v>407.82</v>
      </c>
      <c r="I112" s="4120">
        <f>59.59+36.23</f>
        <v>95.82</v>
      </c>
      <c r="J112" s="4120">
        <v>140.21</v>
      </c>
      <c r="K112" s="4121">
        <f t="shared" si="132"/>
        <v>643.85</v>
      </c>
      <c r="L112" s="4122">
        <f>SUM('Произв. прогр. Вода'!M131)</f>
        <v>129.57103220338982</v>
      </c>
      <c r="M112" s="4122">
        <f t="shared" si="133"/>
        <v>805.92000000000007</v>
      </c>
      <c r="N112" s="4122">
        <f t="shared" si="119"/>
        <v>676.34896779661028</v>
      </c>
      <c r="O112" s="4121">
        <f>SUM('Произв. прогр. Вода'!Q131)</f>
        <v>64.78551610169491</v>
      </c>
      <c r="P112" s="4120">
        <v>151.29</v>
      </c>
      <c r="Q112" s="4120">
        <f>8.26+76.34</f>
        <v>84.600000000000009</v>
      </c>
      <c r="R112" s="4120">
        <v>421.01</v>
      </c>
      <c r="S112" s="4121">
        <f t="shared" si="134"/>
        <v>656.9</v>
      </c>
      <c r="T112" s="4122">
        <f>SUM('Произв. прогр. Вода'!R131)</f>
        <v>194.35654830508474</v>
      </c>
      <c r="U112" s="4122">
        <f t="shared" si="135"/>
        <v>1462.8200000000002</v>
      </c>
      <c r="V112" s="4122">
        <f t="shared" si="120"/>
        <v>1268.4634516949154</v>
      </c>
      <c r="W112" s="4121">
        <f>SUM('Произв. прогр. Вода'!V131)</f>
        <v>64.78551610169491</v>
      </c>
      <c r="X112" s="4120"/>
      <c r="Y112" s="4120"/>
      <c r="Z112" s="4120"/>
      <c r="AA112" s="4121">
        <f t="shared" si="136"/>
        <v>0</v>
      </c>
      <c r="AB112" s="4122">
        <f>SUM('Произв. прогр. Вода'!B131)</f>
        <v>259.14206440677964</v>
      </c>
      <c r="AC112" s="4122">
        <f t="shared" si="137"/>
        <v>1462.8200000000002</v>
      </c>
      <c r="AD112" s="4122">
        <f t="shared" si="121"/>
        <v>1203.6779355932206</v>
      </c>
      <c r="AE112" s="4112"/>
      <c r="AF112" s="4112"/>
      <c r="AG112" s="4100"/>
      <c r="AH112" s="4100"/>
      <c r="AI112" s="4100"/>
      <c r="AJ112" s="4100"/>
      <c r="AK112" s="4100"/>
    </row>
    <row r="113" spans="1:37" ht="18.75" customHeight="1">
      <c r="A113" s="4114" t="s">
        <v>4</v>
      </c>
      <c r="B113" s="4121">
        <f>SUM('Произв. прогр. Вода'!H132)</f>
        <v>1896.2910726113059</v>
      </c>
      <c r="C113" s="4120">
        <v>380.06</v>
      </c>
      <c r="D113" s="4120">
        <v>442.66</v>
      </c>
      <c r="E113" s="4120">
        <v>508.57</v>
      </c>
      <c r="F113" s="4121">
        <f t="shared" si="131"/>
        <v>1331.29</v>
      </c>
      <c r="G113" s="4121">
        <f>SUM('Произв. прогр. Вода'!L132)</f>
        <v>1896.2910726113059</v>
      </c>
      <c r="H113" s="4120">
        <v>467.27</v>
      </c>
      <c r="I113" s="4120">
        <v>550.19000000000005</v>
      </c>
      <c r="J113" s="4120">
        <v>537.35</v>
      </c>
      <c r="K113" s="4121">
        <f t="shared" si="132"/>
        <v>1554.81</v>
      </c>
      <c r="L113" s="4122">
        <f>SUM('Произв. прогр. Вода'!M132)</f>
        <v>3792.5821452226119</v>
      </c>
      <c r="M113" s="4122">
        <f t="shared" si="133"/>
        <v>2886.1</v>
      </c>
      <c r="N113" s="4122">
        <f t="shared" si="119"/>
        <v>-906.48214522261196</v>
      </c>
      <c r="O113" s="4121">
        <f>SUM('Произв. прогр. Вода'!Q132)</f>
        <v>2010.6374242897678</v>
      </c>
      <c r="P113" s="4120">
        <f>570.64+41.39</f>
        <v>612.03</v>
      </c>
      <c r="Q113" s="4120">
        <v>451.46</v>
      </c>
      <c r="R113" s="4120">
        <v>496.41</v>
      </c>
      <c r="S113" s="4121">
        <f t="shared" si="134"/>
        <v>1559.9</v>
      </c>
      <c r="T113" s="4122">
        <f>SUM('Произв. прогр. Вода'!R132)</f>
        <v>5803.2195695123792</v>
      </c>
      <c r="U113" s="4122">
        <f t="shared" si="135"/>
        <v>4446</v>
      </c>
      <c r="V113" s="4122">
        <f t="shared" si="120"/>
        <v>-1357.2195695123792</v>
      </c>
      <c r="W113" s="4121">
        <f>SUM('Произв. прогр. Вода'!V132)</f>
        <v>2010.6374242897678</v>
      </c>
      <c r="X113" s="4120"/>
      <c r="Y113" s="4120"/>
      <c r="Z113" s="4120"/>
      <c r="AA113" s="4121">
        <f t="shared" si="136"/>
        <v>0</v>
      </c>
      <c r="AB113" s="4122">
        <f>SUM('Произв. прогр. Вода'!B132)</f>
        <v>7813.8569938021474</v>
      </c>
      <c r="AC113" s="4122">
        <f t="shared" si="137"/>
        <v>4446</v>
      </c>
      <c r="AD113" s="4122">
        <f t="shared" si="121"/>
        <v>-3367.8569938021474</v>
      </c>
      <c r="AE113" s="4112"/>
      <c r="AF113" s="4112"/>
      <c r="AG113" s="4100"/>
      <c r="AH113" s="4100"/>
      <c r="AI113" s="4100"/>
      <c r="AJ113" s="4100"/>
      <c r="AK113" s="4100"/>
    </row>
    <row r="114" spans="1:37" ht="18.75" customHeight="1">
      <c r="A114" s="4114" t="s">
        <v>5</v>
      </c>
      <c r="B114" s="4121">
        <f>SUM('Произв. прогр. Вода'!H133)</f>
        <v>570.78361285600317</v>
      </c>
      <c r="C114" s="4120">
        <v>118.29</v>
      </c>
      <c r="D114" s="4120">
        <v>134.32</v>
      </c>
      <c r="E114" s="4120">
        <v>156.35</v>
      </c>
      <c r="F114" s="4121">
        <f t="shared" si="131"/>
        <v>408.96000000000004</v>
      </c>
      <c r="G114" s="4121">
        <f>SUM('Произв. прогр. Вода'!L133)</f>
        <v>570.78361285600317</v>
      </c>
      <c r="H114" s="4120">
        <v>144.5</v>
      </c>
      <c r="I114" s="4120">
        <v>170.56</v>
      </c>
      <c r="J114" s="4120">
        <v>167.99</v>
      </c>
      <c r="K114" s="4121">
        <f t="shared" si="132"/>
        <v>483.05</v>
      </c>
      <c r="L114" s="4122">
        <f>SUM('Произв. прогр. Вода'!M133)</f>
        <v>1141.5672257120063</v>
      </c>
      <c r="M114" s="4122">
        <f t="shared" si="133"/>
        <v>892.01</v>
      </c>
      <c r="N114" s="4122">
        <f t="shared" si="119"/>
        <v>-249.55722571200636</v>
      </c>
      <c r="O114" s="4121">
        <f>SUM('Произв. прогр. Вода'!Q133)</f>
        <v>605.20186471122008</v>
      </c>
      <c r="P114" s="4120">
        <v>174.7</v>
      </c>
      <c r="Q114" s="4120">
        <v>140.44</v>
      </c>
      <c r="R114" s="4120">
        <v>152.58000000000001</v>
      </c>
      <c r="S114" s="4121">
        <f t="shared" si="134"/>
        <v>467.72</v>
      </c>
      <c r="T114" s="4122">
        <f>SUM('Произв. прогр. Вода'!R133)</f>
        <v>1746.7690904232263</v>
      </c>
      <c r="U114" s="4122">
        <f t="shared" si="135"/>
        <v>1359.73</v>
      </c>
      <c r="V114" s="4122">
        <f t="shared" si="120"/>
        <v>-387.0390904232263</v>
      </c>
      <c r="W114" s="4121">
        <f>SUM('Произв. прогр. Вода'!V133)</f>
        <v>605.20186471122008</v>
      </c>
      <c r="X114" s="4120"/>
      <c r="Y114" s="4120"/>
      <c r="Z114" s="4120"/>
      <c r="AA114" s="4121">
        <f t="shared" si="136"/>
        <v>0</v>
      </c>
      <c r="AB114" s="4122">
        <f>SUM('Произв. прогр. Вода'!B133)</f>
        <v>2351.9709551344463</v>
      </c>
      <c r="AC114" s="4122">
        <f t="shared" si="137"/>
        <v>1359.73</v>
      </c>
      <c r="AD114" s="4122">
        <f t="shared" si="121"/>
        <v>-992.24095513444627</v>
      </c>
      <c r="AE114" s="4112"/>
      <c r="AF114" s="4112"/>
      <c r="AG114" s="4100"/>
      <c r="AH114" s="4100"/>
      <c r="AI114" s="4100"/>
      <c r="AJ114" s="4100"/>
      <c r="AK114" s="4100"/>
    </row>
    <row r="115" spans="1:37" ht="18.75" customHeight="1">
      <c r="A115" s="4115" t="str">
        <f>A57</f>
        <v>то же в %</v>
      </c>
      <c r="B115" s="4107">
        <f>SUM('Произв. прогр. Вода'!H134)</f>
        <v>0.30100000000000005</v>
      </c>
      <c r="C115" s="4107">
        <f t="shared" ref="C115" si="155">SUM(C114/C113)</f>
        <v>0.31124033047413568</v>
      </c>
      <c r="D115" s="4107">
        <f t="shared" ref="D115:F115" si="156">SUM(D114/D113)</f>
        <v>0.30343830479374684</v>
      </c>
      <c r="E115" s="4107">
        <f t="shared" si="156"/>
        <v>0.30743063885010913</v>
      </c>
      <c r="F115" s="4107">
        <f t="shared" si="156"/>
        <v>0.30719076985480254</v>
      </c>
      <c r="G115" s="4107">
        <f>SUM('Произв. прогр. Вода'!L134)</f>
        <v>0.30100000000000005</v>
      </c>
      <c r="H115" s="4107">
        <f t="shared" ref="H115:M115" si="157">SUM(H114/H113)</f>
        <v>0.30924305005671243</v>
      </c>
      <c r="I115" s="4107">
        <f t="shared" si="157"/>
        <v>0.31000199930932948</v>
      </c>
      <c r="J115" s="4107">
        <f t="shared" si="157"/>
        <v>0.31262677956639062</v>
      </c>
      <c r="K115" s="4107">
        <f t="shared" si="157"/>
        <v>0.31068104784507433</v>
      </c>
      <c r="L115" s="4109">
        <f>SUM('Произв. прогр. Вода'!M134)</f>
        <v>0.30100000000000005</v>
      </c>
      <c r="M115" s="4109">
        <f t="shared" si="157"/>
        <v>0.30907106475867085</v>
      </c>
      <c r="N115" s="4109">
        <f t="shared" si="119"/>
        <v>8.0710647586708095E-3</v>
      </c>
      <c r="O115" s="4107">
        <f>SUM('Произв. прогр. Вода'!Q134)</f>
        <v>0.30099999999999999</v>
      </c>
      <c r="P115" s="4107">
        <f t="shared" ref="P115:U115" si="158">SUM(P114/P113)</f>
        <v>0.28544352401026091</v>
      </c>
      <c r="Q115" s="4107">
        <f t="shared" si="158"/>
        <v>0.31107960838169496</v>
      </c>
      <c r="R115" s="4107">
        <f t="shared" si="158"/>
        <v>0.30736689430108177</v>
      </c>
      <c r="S115" s="4107">
        <f t="shared" si="158"/>
        <v>0.2998397333162382</v>
      </c>
      <c r="T115" s="4109">
        <f>SUM('Произв. прогр. Вода'!R134)</f>
        <v>0.30100000000000005</v>
      </c>
      <c r="U115" s="4109">
        <f t="shared" si="158"/>
        <v>0.30583220872694555</v>
      </c>
      <c r="V115" s="4109">
        <f t="shared" si="120"/>
        <v>4.8322087269455083E-3</v>
      </c>
      <c r="W115" s="4107">
        <f>SUM('Произв. прогр. Вода'!V134)</f>
        <v>0.30099999999999999</v>
      </c>
      <c r="X115" s="4107" t="e">
        <f t="shared" ref="X115:AC115" si="159">SUM(X114/X113)</f>
        <v>#DIV/0!</v>
      </c>
      <c r="Y115" s="4107" t="e">
        <f t="shared" si="159"/>
        <v>#DIV/0!</v>
      </c>
      <c r="Z115" s="4107" t="e">
        <f t="shared" si="159"/>
        <v>#DIV/0!</v>
      </c>
      <c r="AA115" s="4107" t="e">
        <f t="shared" si="159"/>
        <v>#DIV/0!</v>
      </c>
      <c r="AB115" s="4109">
        <f>SUM('Произв. прогр. Вода'!B134)</f>
        <v>0.30099999999999999</v>
      </c>
      <c r="AC115" s="4109">
        <f t="shared" si="159"/>
        <v>0.30583220872694555</v>
      </c>
      <c r="AD115" s="4109">
        <f t="shared" si="121"/>
        <v>4.8322087269455638E-3</v>
      </c>
      <c r="AE115" s="4112"/>
      <c r="AF115" s="4112"/>
      <c r="AG115" s="4100"/>
      <c r="AH115" s="4100"/>
      <c r="AI115" s="4100"/>
      <c r="AJ115" s="4100"/>
      <c r="AK115" s="4100"/>
    </row>
    <row r="116" spans="1:37" ht="18.75" customHeight="1">
      <c r="A116" s="4116" t="s">
        <v>1742</v>
      </c>
      <c r="B116" s="4117">
        <f>SUM('Произв. прогр. Вода'!H135)</f>
        <v>660.40990941833263</v>
      </c>
      <c r="C116" s="4117">
        <f>SUM(C117:C123)+C125+C129</f>
        <v>230.48</v>
      </c>
      <c r="D116" s="4117">
        <f t="shared" ref="D116:M116" si="160">SUM(D117:D123)+D125+D129</f>
        <v>182.42999999999998</v>
      </c>
      <c r="E116" s="4117">
        <f>SUM(E117:E123)+E125+E129</f>
        <v>168.67999999999998</v>
      </c>
      <c r="F116" s="4117">
        <f t="shared" si="160"/>
        <v>581.58999999999992</v>
      </c>
      <c r="G116" s="4117">
        <f>SUM('Произв. прогр. Вода'!L135)</f>
        <v>662.00337028407262</v>
      </c>
      <c r="H116" s="4117">
        <f>SUM(H117:H123)+H125+H129</f>
        <v>158.43</v>
      </c>
      <c r="I116" s="4117">
        <f t="shared" si="160"/>
        <v>232.36</v>
      </c>
      <c r="J116" s="4117">
        <f t="shared" si="160"/>
        <v>113.76</v>
      </c>
      <c r="K116" s="4117">
        <f t="shared" si="160"/>
        <v>504.55</v>
      </c>
      <c r="L116" s="4118">
        <f>SUM('Произв. прогр. Вода'!M135)</f>
        <v>1322.4132797024054</v>
      </c>
      <c r="M116" s="4118">
        <f t="shared" si="160"/>
        <v>1086.1399999999999</v>
      </c>
      <c r="N116" s="4118">
        <f t="shared" si="119"/>
        <v>-236.27327970240549</v>
      </c>
      <c r="O116" s="4117">
        <f>SUM('Произв. прогр. Вода'!Q135)</f>
        <v>708.15934543301114</v>
      </c>
      <c r="P116" s="4117">
        <f t="shared" ref="P116" si="161">SUM(P117:P123)+P125+P129</f>
        <v>221.23</v>
      </c>
      <c r="Q116" s="4117">
        <f t="shared" ref="Q116" si="162">SUM(Q117:Q123)+Q125+Q129</f>
        <v>209.1</v>
      </c>
      <c r="R116" s="4117">
        <f t="shared" ref="R116:U116" si="163">SUM(R117:R123)+R125+R129</f>
        <v>283.02000000000004</v>
      </c>
      <c r="S116" s="4117">
        <f t="shared" si="163"/>
        <v>713.35000000000014</v>
      </c>
      <c r="T116" s="4118">
        <f>SUM('Произв. прогр. Вода'!R135)</f>
        <v>2030.5726251354165</v>
      </c>
      <c r="U116" s="4118">
        <f t="shared" si="163"/>
        <v>1799.4900000000002</v>
      </c>
      <c r="V116" s="4271">
        <f t="shared" si="120"/>
        <v>-231.08262513541627</v>
      </c>
      <c r="W116" s="4117">
        <f>SUM('Произв. прогр. Вода'!V135)</f>
        <v>705.45221301714946</v>
      </c>
      <c r="X116" s="4117">
        <f t="shared" ref="X116:AC116" si="164">SUM(X117:X123)+X125+X129</f>
        <v>0</v>
      </c>
      <c r="Y116" s="4117">
        <f t="shared" si="164"/>
        <v>0</v>
      </c>
      <c r="Z116" s="4117">
        <f t="shared" si="164"/>
        <v>0</v>
      </c>
      <c r="AA116" s="4117">
        <f t="shared" si="164"/>
        <v>0</v>
      </c>
      <c r="AB116" s="4118">
        <f>SUM('Произв. прогр. Вода'!B135)</f>
        <v>2736.0248381525657</v>
      </c>
      <c r="AC116" s="4118">
        <f t="shared" si="164"/>
        <v>1799.4900000000002</v>
      </c>
      <c r="AD116" s="4118">
        <f t="shared" si="121"/>
        <v>-936.5348381525655</v>
      </c>
      <c r="AE116" s="4112"/>
      <c r="AF116" s="4112"/>
      <c r="AG116" s="4100"/>
      <c r="AH116" s="4100"/>
      <c r="AI116" s="4100"/>
      <c r="AJ116" s="4100"/>
      <c r="AK116" s="4100"/>
    </row>
    <row r="117" spans="1:37" ht="18.75" customHeight="1">
      <c r="A117" s="4119" t="s">
        <v>72</v>
      </c>
      <c r="B117" s="4121">
        <f>SUM('Произв. прогр. Вода'!H136)</f>
        <v>467.98689071100421</v>
      </c>
      <c r="C117" s="4120">
        <v>167.79</v>
      </c>
      <c r="D117" s="4120">
        <v>103.05</v>
      </c>
      <c r="E117" s="4120">
        <v>101.29</v>
      </c>
      <c r="F117" s="4121">
        <f t="shared" ref="F117:F146" si="165">SUM(C117:E117)</f>
        <v>372.13</v>
      </c>
      <c r="G117" s="4121">
        <f>SUM('Произв. прогр. Вода'!L136)</f>
        <v>467.98689071100421</v>
      </c>
      <c r="H117" s="4120">
        <v>108.86</v>
      </c>
      <c r="I117" s="4120">
        <v>159.87</v>
      </c>
      <c r="J117" s="4120">
        <v>79.92</v>
      </c>
      <c r="K117" s="4121">
        <f t="shared" ref="K117:K141" si="166">SUM(H117:J117)</f>
        <v>348.65000000000003</v>
      </c>
      <c r="L117" s="4122">
        <f>SUM('Произв. прогр. Вода'!M136)</f>
        <v>935.97378142200841</v>
      </c>
      <c r="M117" s="4122">
        <f t="shared" ref="M117:M145" si="167">SUM(F117+K117)</f>
        <v>720.78</v>
      </c>
      <c r="N117" s="4122">
        <f t="shared" si="119"/>
        <v>-215.19378142200844</v>
      </c>
      <c r="O117" s="4121">
        <f>SUM('Произв. прогр. Вода'!Q136)</f>
        <v>502.61792062361849</v>
      </c>
      <c r="P117" s="4120">
        <v>159.18</v>
      </c>
      <c r="Q117" s="4120">
        <v>133.4</v>
      </c>
      <c r="R117" s="4120">
        <v>160.33000000000001</v>
      </c>
      <c r="S117" s="4121">
        <f t="shared" ref="S117:S141" si="168">SUM(P117:R117)</f>
        <v>452.91000000000008</v>
      </c>
      <c r="T117" s="4122">
        <f>SUM('Произв. прогр. Вода'!R136)</f>
        <v>1438.5917020456268</v>
      </c>
      <c r="U117" s="4122">
        <f t="shared" ref="U117:U146" si="169">SUM(M117+S117)</f>
        <v>1173.69</v>
      </c>
      <c r="V117" s="4122">
        <f t="shared" si="120"/>
        <v>-264.90170204562673</v>
      </c>
      <c r="W117" s="4121">
        <f>SUM('Произв. прогр. Вода'!V136)</f>
        <v>502.61792062361849</v>
      </c>
      <c r="X117" s="4120"/>
      <c r="Y117" s="4120"/>
      <c r="Z117" s="4120"/>
      <c r="AA117" s="4121">
        <f t="shared" ref="AA117:AA146" si="170">SUM(X117:Z117)</f>
        <v>0</v>
      </c>
      <c r="AB117" s="4122">
        <f>SUM('Произв. прогр. Вода'!B136)</f>
        <v>1941.2096226692454</v>
      </c>
      <c r="AC117" s="4122">
        <f t="shared" ref="AC117:AC146" si="171">SUM(U117+AA117)</f>
        <v>1173.69</v>
      </c>
      <c r="AD117" s="4122">
        <f t="shared" si="121"/>
        <v>-767.51962266924534</v>
      </c>
      <c r="AE117" s="4112"/>
      <c r="AF117" s="4112"/>
      <c r="AG117" s="4100"/>
      <c r="AH117" s="4100"/>
      <c r="AI117" s="4100"/>
      <c r="AJ117" s="4100"/>
      <c r="AK117" s="4100"/>
    </row>
    <row r="118" spans="1:37" ht="18.75" customHeight="1">
      <c r="A118" s="4119" t="s">
        <v>121</v>
      </c>
      <c r="B118" s="4121">
        <f>SUM('Произв. прогр. Вода'!H137)</f>
        <v>140.69288765138435</v>
      </c>
      <c r="C118" s="4120">
        <v>50.67</v>
      </c>
      <c r="D118" s="4120">
        <v>31.12</v>
      </c>
      <c r="E118" s="4120">
        <v>30.59</v>
      </c>
      <c r="F118" s="4121">
        <f t="shared" si="165"/>
        <v>112.38000000000001</v>
      </c>
      <c r="G118" s="4121">
        <f>SUM('Произв. прогр. Вода'!L137)</f>
        <v>140.69288765138435</v>
      </c>
      <c r="H118" s="4120">
        <v>32.880000000000003</v>
      </c>
      <c r="I118" s="4120">
        <v>48.28</v>
      </c>
      <c r="J118" s="4120">
        <v>24.14</v>
      </c>
      <c r="K118" s="4121">
        <f t="shared" si="166"/>
        <v>105.3</v>
      </c>
      <c r="L118" s="4122">
        <f>SUM('Произв. прогр. Вода'!M137)</f>
        <v>281.38577530276871</v>
      </c>
      <c r="M118" s="4122">
        <f t="shared" si="167"/>
        <v>217.68</v>
      </c>
      <c r="N118" s="4122">
        <f t="shared" si="119"/>
        <v>-63.7057753027687</v>
      </c>
      <c r="O118" s="4121">
        <f>SUM('Произв. прогр. Вода'!Q137)</f>
        <v>151.10416133758679</v>
      </c>
      <c r="P118" s="4120">
        <v>48.07</v>
      </c>
      <c r="Q118" s="4120">
        <v>40.29</v>
      </c>
      <c r="R118" s="4120">
        <v>48.42</v>
      </c>
      <c r="S118" s="4121">
        <f t="shared" si="168"/>
        <v>136.78</v>
      </c>
      <c r="T118" s="4122">
        <f>SUM('Произв. прогр. Вода'!R137)</f>
        <v>432.4899366403555</v>
      </c>
      <c r="U118" s="4122">
        <f t="shared" si="169"/>
        <v>354.46000000000004</v>
      </c>
      <c r="V118" s="4122">
        <f t="shared" si="120"/>
        <v>-78.029936640355459</v>
      </c>
      <c r="W118" s="4121">
        <f>SUM('Произв. прогр. Вода'!V137)</f>
        <v>151.10416133758679</v>
      </c>
      <c r="X118" s="4120"/>
      <c r="Y118" s="4120"/>
      <c r="Z118" s="4120"/>
      <c r="AA118" s="4121">
        <f t="shared" si="170"/>
        <v>0</v>
      </c>
      <c r="AB118" s="4122">
        <f>SUM('Произв. прогр. Вода'!B137)</f>
        <v>583.59409797794228</v>
      </c>
      <c r="AC118" s="4122">
        <f t="shared" si="171"/>
        <v>354.46000000000004</v>
      </c>
      <c r="AD118" s="4122">
        <f t="shared" si="121"/>
        <v>-229.13409797794225</v>
      </c>
      <c r="AE118" s="4112"/>
      <c r="AF118" s="4112"/>
      <c r="AG118" s="4100"/>
      <c r="AH118" s="4100"/>
      <c r="AI118" s="4100"/>
      <c r="AJ118" s="4100"/>
      <c r="AK118" s="4100"/>
    </row>
    <row r="119" spans="1:37" ht="18.75" customHeight="1">
      <c r="A119" s="4119" t="s">
        <v>52</v>
      </c>
      <c r="B119" s="4121">
        <f>SUM('Произв. прогр. Вода'!H138)</f>
        <v>3.4200310476907072</v>
      </c>
      <c r="C119" s="4120">
        <v>0.93</v>
      </c>
      <c r="D119" s="4120">
        <v>0.44</v>
      </c>
      <c r="E119" s="4120">
        <v>0.78</v>
      </c>
      <c r="F119" s="4121">
        <f t="shared" si="165"/>
        <v>2.1500000000000004</v>
      </c>
      <c r="G119" s="4121">
        <f>SUM('Произв. прогр. Вода'!L138)</f>
        <v>3.4200310476907072</v>
      </c>
      <c r="H119" s="4120">
        <v>0.74</v>
      </c>
      <c r="I119" s="4120"/>
      <c r="J119" s="4120">
        <v>1.53</v>
      </c>
      <c r="K119" s="4121">
        <f t="shared" si="166"/>
        <v>2.27</v>
      </c>
      <c r="L119" s="4122">
        <f>SUM('Произв. прогр. Вода'!M138)</f>
        <v>6.8400620953814144</v>
      </c>
      <c r="M119" s="4122">
        <f t="shared" si="167"/>
        <v>4.42</v>
      </c>
      <c r="N119" s="4122">
        <f t="shared" si="119"/>
        <v>-2.4200620953814145</v>
      </c>
      <c r="O119" s="4121">
        <f>SUM('Произв. прогр. Вода'!Q138)</f>
        <v>3.4200310476907072</v>
      </c>
      <c r="P119" s="4120"/>
      <c r="Q119" s="4120">
        <v>1.5</v>
      </c>
      <c r="R119" s="4120">
        <v>0.74</v>
      </c>
      <c r="S119" s="4121">
        <f t="shared" si="168"/>
        <v>2.2400000000000002</v>
      </c>
      <c r="T119" s="4122">
        <f>SUM('Произв. прогр. Вода'!R138)</f>
        <v>10.260093143072123</v>
      </c>
      <c r="U119" s="4122">
        <f t="shared" si="169"/>
        <v>6.66</v>
      </c>
      <c r="V119" s="4122">
        <f t="shared" si="120"/>
        <v>-3.6000931430721224</v>
      </c>
      <c r="W119" s="4121">
        <f>SUM('Произв. прогр. Вода'!V138)</f>
        <v>3.4200310476907072</v>
      </c>
      <c r="X119" s="4120"/>
      <c r="Y119" s="4120"/>
      <c r="Z119" s="4120"/>
      <c r="AA119" s="4121">
        <f t="shared" si="170"/>
        <v>0</v>
      </c>
      <c r="AB119" s="4122">
        <f>SUM('Произв. прогр. Вода'!B138)</f>
        <v>13.680124190762829</v>
      </c>
      <c r="AC119" s="4122">
        <f t="shared" si="171"/>
        <v>6.66</v>
      </c>
      <c r="AD119" s="4122">
        <f t="shared" si="121"/>
        <v>-7.0201241907628287</v>
      </c>
      <c r="AE119" s="4112"/>
      <c r="AF119" s="4112"/>
      <c r="AG119" s="4100"/>
      <c r="AH119" s="4100"/>
      <c r="AI119" s="4100"/>
      <c r="AJ119" s="4100"/>
      <c r="AK119" s="4100"/>
    </row>
    <row r="120" spans="1:37" ht="18.75" customHeight="1">
      <c r="A120" s="4119" t="s">
        <v>606</v>
      </c>
      <c r="B120" s="4121">
        <f>SUM('Произв. прогр. Вода'!H139)</f>
        <v>26.539440930079891</v>
      </c>
      <c r="C120" s="4120">
        <v>10.52</v>
      </c>
      <c r="D120" s="4120">
        <v>5.01</v>
      </c>
      <c r="E120" s="4120">
        <v>7.23</v>
      </c>
      <c r="F120" s="4121">
        <f t="shared" si="165"/>
        <v>22.759999999999998</v>
      </c>
      <c r="G120" s="4121">
        <f>SUM('Произв. прогр. Вода'!L139)</f>
        <v>26.539440930079891</v>
      </c>
      <c r="H120" s="4120">
        <v>12.79</v>
      </c>
      <c r="I120" s="4120">
        <f>24.12+0.06</f>
        <v>24.18</v>
      </c>
      <c r="J120" s="4120">
        <v>4.74</v>
      </c>
      <c r="K120" s="4121">
        <f t="shared" si="166"/>
        <v>41.71</v>
      </c>
      <c r="L120" s="4122">
        <f>SUM('Произв. прогр. Вода'!M139)</f>
        <v>53.078881860159782</v>
      </c>
      <c r="M120" s="4122">
        <f t="shared" si="167"/>
        <v>64.47</v>
      </c>
      <c r="N120" s="4122">
        <f t="shared" si="119"/>
        <v>11.391118139840216</v>
      </c>
      <c r="O120" s="4121">
        <f>SUM('Произв. прогр. Вода'!Q139)</f>
        <v>26.539440930079891</v>
      </c>
      <c r="P120" s="4120">
        <v>12.67</v>
      </c>
      <c r="Q120" s="4120">
        <v>7.78</v>
      </c>
      <c r="R120" s="4120">
        <v>37.24</v>
      </c>
      <c r="S120" s="4121">
        <f t="shared" si="168"/>
        <v>57.69</v>
      </c>
      <c r="T120" s="4122">
        <f>SUM('Произв. прогр. Вода'!R139)</f>
        <v>79.618322790239674</v>
      </c>
      <c r="U120" s="4122">
        <f t="shared" si="169"/>
        <v>122.16</v>
      </c>
      <c r="V120" s="4122">
        <f t="shared" si="120"/>
        <v>42.541677209760323</v>
      </c>
      <c r="W120" s="4121">
        <f>SUM('Произв. прогр. Вода'!V139)</f>
        <v>26.539440930079891</v>
      </c>
      <c r="X120" s="4120"/>
      <c r="Y120" s="4120"/>
      <c r="Z120" s="4120"/>
      <c r="AA120" s="4121">
        <f t="shared" si="170"/>
        <v>0</v>
      </c>
      <c r="AB120" s="4122">
        <f>SUM('Произв. прогр. Вода'!B139)</f>
        <v>106.15776372031955</v>
      </c>
      <c r="AC120" s="4122">
        <f t="shared" si="171"/>
        <v>122.16</v>
      </c>
      <c r="AD120" s="4122">
        <f t="shared" si="121"/>
        <v>16.002236279680446</v>
      </c>
      <c r="AE120" s="4112"/>
      <c r="AF120" s="4112"/>
      <c r="AG120" s="4100"/>
      <c r="AH120" s="4100"/>
      <c r="AI120" s="4100"/>
      <c r="AJ120" s="4100"/>
      <c r="AK120" s="4100"/>
    </row>
    <row r="121" spans="1:37" ht="18.75" customHeight="1">
      <c r="A121" s="4119" t="s">
        <v>38</v>
      </c>
      <c r="B121" s="4121">
        <f>SUM('Произв. прогр. Вода'!H140)</f>
        <v>0</v>
      </c>
      <c r="C121" s="4120"/>
      <c r="D121" s="4120"/>
      <c r="E121" s="4120">
        <v>26</v>
      </c>
      <c r="F121" s="4121">
        <f t="shared" si="165"/>
        <v>26</v>
      </c>
      <c r="G121" s="4121">
        <f>SUM('Произв. прогр. Вода'!L140)</f>
        <v>0</v>
      </c>
      <c r="H121" s="4120"/>
      <c r="I121" s="4120"/>
      <c r="J121" s="4120"/>
      <c r="K121" s="4121">
        <f t="shared" si="166"/>
        <v>0</v>
      </c>
      <c r="L121" s="4122">
        <f>SUM('Произв. прогр. Вода'!M140)</f>
        <v>0</v>
      </c>
      <c r="M121" s="4122">
        <f t="shared" si="167"/>
        <v>26</v>
      </c>
      <c r="N121" s="4122">
        <f t="shared" si="119"/>
        <v>26</v>
      </c>
      <c r="O121" s="4121">
        <f>SUM('Произв. прогр. Вода'!Q140)</f>
        <v>0</v>
      </c>
      <c r="P121" s="4120"/>
      <c r="Q121" s="4120"/>
      <c r="R121" s="4120"/>
      <c r="S121" s="4121">
        <f t="shared" si="168"/>
        <v>0</v>
      </c>
      <c r="T121" s="4122">
        <f>SUM('Произв. прогр. Вода'!R140)</f>
        <v>0</v>
      </c>
      <c r="U121" s="4122">
        <f t="shared" si="169"/>
        <v>26</v>
      </c>
      <c r="V121" s="4122">
        <f t="shared" si="120"/>
        <v>26</v>
      </c>
      <c r="W121" s="4121">
        <f>SUM('Произв. прогр. Вода'!V140)</f>
        <v>0</v>
      </c>
      <c r="X121" s="4120"/>
      <c r="Y121" s="4120"/>
      <c r="Z121" s="4120"/>
      <c r="AA121" s="4121">
        <f t="shared" si="170"/>
        <v>0</v>
      </c>
      <c r="AB121" s="4122">
        <f>SUM('Произв. прогр. Вода'!B140)</f>
        <v>0</v>
      </c>
      <c r="AC121" s="4122">
        <f t="shared" si="171"/>
        <v>26</v>
      </c>
      <c r="AD121" s="4122">
        <f t="shared" si="121"/>
        <v>26</v>
      </c>
      <c r="AE121" s="4112"/>
      <c r="AF121" s="4112"/>
      <c r="AG121" s="4100"/>
      <c r="AH121" s="4100"/>
      <c r="AI121" s="4100"/>
      <c r="AJ121" s="4100"/>
      <c r="AK121" s="4100"/>
    </row>
    <row r="122" spans="1:37" ht="18.75" customHeight="1">
      <c r="A122" s="4119" t="s">
        <v>32</v>
      </c>
      <c r="B122" s="4121">
        <f>SUM('Произв. прогр. Вода'!H141)</f>
        <v>1.436413040030097</v>
      </c>
      <c r="C122" s="4120"/>
      <c r="D122" s="4120"/>
      <c r="E122" s="4120"/>
      <c r="F122" s="4121">
        <f t="shared" si="165"/>
        <v>0</v>
      </c>
      <c r="G122" s="4121">
        <f>SUM('Произв. прогр. Вода'!L141)</f>
        <v>1.436413040030097</v>
      </c>
      <c r="H122" s="4120"/>
      <c r="I122" s="4120"/>
      <c r="J122" s="4120"/>
      <c r="K122" s="4121">
        <f t="shared" si="166"/>
        <v>0</v>
      </c>
      <c r="L122" s="4122">
        <f>SUM('Произв. прогр. Вода'!M141)</f>
        <v>2.8728260800601939</v>
      </c>
      <c r="M122" s="4122">
        <f t="shared" si="167"/>
        <v>0</v>
      </c>
      <c r="N122" s="4122">
        <f t="shared" si="119"/>
        <v>-2.8728260800601939</v>
      </c>
      <c r="O122" s="4121">
        <f>SUM('Произв. прогр. Вода'!Q141)</f>
        <v>1.436413040030097</v>
      </c>
      <c r="P122" s="4120"/>
      <c r="Q122" s="4120"/>
      <c r="R122" s="4120"/>
      <c r="S122" s="4121">
        <f t="shared" si="168"/>
        <v>0</v>
      </c>
      <c r="T122" s="4122">
        <f>SUM('Произв. прогр. Вода'!R141)</f>
        <v>4.3092391200902913</v>
      </c>
      <c r="U122" s="4122">
        <f t="shared" si="169"/>
        <v>0</v>
      </c>
      <c r="V122" s="4122">
        <f t="shared" si="120"/>
        <v>-4.3092391200902913</v>
      </c>
      <c r="W122" s="4121">
        <f>SUM('Произв. прогр. Вода'!V141)</f>
        <v>1.436413040030097</v>
      </c>
      <c r="X122" s="4120"/>
      <c r="Y122" s="4120"/>
      <c r="Z122" s="4120"/>
      <c r="AA122" s="4121">
        <f t="shared" si="170"/>
        <v>0</v>
      </c>
      <c r="AB122" s="4122">
        <f>SUM('Произв. прогр. Вода'!B141)</f>
        <v>5.7456521601203878</v>
      </c>
      <c r="AC122" s="4122">
        <f t="shared" si="171"/>
        <v>0</v>
      </c>
      <c r="AD122" s="4122">
        <f t="shared" si="121"/>
        <v>-5.7456521601203878</v>
      </c>
      <c r="AE122" s="4112"/>
      <c r="AF122" s="4112"/>
      <c r="AG122" s="4100"/>
      <c r="AH122" s="4100"/>
      <c r="AI122" s="4100"/>
      <c r="AJ122" s="4100"/>
      <c r="AK122" s="4100"/>
    </row>
    <row r="123" spans="1:37" ht="18.75" customHeight="1">
      <c r="A123" s="4119" t="s">
        <v>607</v>
      </c>
      <c r="B123" s="4121">
        <f>SUM('Произв. прогр. Вода'!H142)</f>
        <v>12.175310529778919</v>
      </c>
      <c r="C123" s="4121">
        <f t="shared" ref="C123:F123" si="172">SUM(C124)</f>
        <v>0.56999999999999995</v>
      </c>
      <c r="D123" s="4121">
        <f t="shared" si="172"/>
        <v>0.56999999999999995</v>
      </c>
      <c r="E123" s="4121">
        <f t="shared" si="172"/>
        <v>2.79</v>
      </c>
      <c r="F123" s="4121">
        <f t="shared" si="172"/>
        <v>3.9299999999999997</v>
      </c>
      <c r="G123" s="4121">
        <f>SUM('Произв. прогр. Вода'!L142)</f>
        <v>12.175310529778919</v>
      </c>
      <c r="H123" s="4121">
        <f t="shared" ref="H123" si="173">SUM(H124)</f>
        <v>3.16</v>
      </c>
      <c r="I123" s="4121">
        <f t="shared" ref="I123:M123" si="174">SUM(I124)</f>
        <v>0.03</v>
      </c>
      <c r="J123" s="4121">
        <f t="shared" si="174"/>
        <v>0.93</v>
      </c>
      <c r="K123" s="4121">
        <f t="shared" si="174"/>
        <v>4.12</v>
      </c>
      <c r="L123" s="4122">
        <f>SUM('Произв. прогр. Вода'!M142)</f>
        <v>24.350621059557838</v>
      </c>
      <c r="M123" s="4122">
        <f t="shared" si="174"/>
        <v>8.0500000000000007</v>
      </c>
      <c r="N123" s="4122">
        <f t="shared" si="119"/>
        <v>-16.300621059557837</v>
      </c>
      <c r="O123" s="4121">
        <f>SUM('Произв. прогр. Вода'!Q142)</f>
        <v>12.175310529778919</v>
      </c>
      <c r="P123" s="4121">
        <f t="shared" ref="P123" si="175">SUM(P124)</f>
        <v>1.31</v>
      </c>
      <c r="Q123" s="4121">
        <f t="shared" ref="Q123:U123" si="176">SUM(Q124)</f>
        <v>4.5599999999999996</v>
      </c>
      <c r="R123" s="4121">
        <f t="shared" si="176"/>
        <v>0.3</v>
      </c>
      <c r="S123" s="4121">
        <f t="shared" si="176"/>
        <v>6.169999999999999</v>
      </c>
      <c r="T123" s="4122">
        <f>SUM('Произв. прогр. Вода'!R142)</f>
        <v>36.525931589336757</v>
      </c>
      <c r="U123" s="4122">
        <f t="shared" si="176"/>
        <v>14.219999999999999</v>
      </c>
      <c r="V123" s="4122">
        <f t="shared" si="120"/>
        <v>-22.305931589336758</v>
      </c>
      <c r="W123" s="4121">
        <f>SUM('Произв. прогр. Вода'!V142)</f>
        <v>12.175310529778919</v>
      </c>
      <c r="X123" s="4121">
        <f t="shared" ref="X123" si="177">SUM(X124)</f>
        <v>0</v>
      </c>
      <c r="Y123" s="4121">
        <f t="shared" ref="Y123:AC123" si="178">SUM(Y124)</f>
        <v>0</v>
      </c>
      <c r="Z123" s="4121">
        <f t="shared" si="178"/>
        <v>0</v>
      </c>
      <c r="AA123" s="4121">
        <f t="shared" si="178"/>
        <v>0</v>
      </c>
      <c r="AB123" s="4122">
        <f>SUM('Произв. прогр. Вода'!B142)</f>
        <v>48.701242119115669</v>
      </c>
      <c r="AC123" s="4122">
        <f t="shared" si="178"/>
        <v>14.219999999999999</v>
      </c>
      <c r="AD123" s="4122">
        <f t="shared" si="121"/>
        <v>-34.48124211911567</v>
      </c>
      <c r="AE123" s="4112"/>
      <c r="AF123" s="4112"/>
      <c r="AG123" s="4100"/>
      <c r="AH123" s="4100"/>
      <c r="AI123" s="4100"/>
      <c r="AJ123" s="4100"/>
      <c r="AK123" s="4100"/>
    </row>
    <row r="124" spans="1:37" ht="18.75" customHeight="1">
      <c r="A124" s="4123" t="s">
        <v>565</v>
      </c>
      <c r="B124" s="4121">
        <f>SUM('Произв. прогр. Вода'!H143)</f>
        <v>12.175310529778919</v>
      </c>
      <c r="C124" s="4120">
        <v>0.56999999999999995</v>
      </c>
      <c r="D124" s="4120">
        <v>0.56999999999999995</v>
      </c>
      <c r="E124" s="4120">
        <v>2.79</v>
      </c>
      <c r="F124" s="4121">
        <f t="shared" si="165"/>
        <v>3.9299999999999997</v>
      </c>
      <c r="G124" s="4121">
        <f>SUM('Произв. прогр. Вода'!L143)</f>
        <v>12.175310529778919</v>
      </c>
      <c r="H124" s="4120">
        <v>3.16</v>
      </c>
      <c r="I124" s="4120">
        <v>0.03</v>
      </c>
      <c r="J124" s="4120">
        <v>0.93</v>
      </c>
      <c r="K124" s="4121">
        <f t="shared" si="166"/>
        <v>4.12</v>
      </c>
      <c r="L124" s="4122">
        <f>SUM('Произв. прогр. Вода'!M143)</f>
        <v>24.350621059557838</v>
      </c>
      <c r="M124" s="4122">
        <f t="shared" si="167"/>
        <v>8.0500000000000007</v>
      </c>
      <c r="N124" s="4122">
        <f t="shared" si="119"/>
        <v>-16.300621059557837</v>
      </c>
      <c r="O124" s="4121">
        <f>SUM('Произв. прогр. Вода'!Q143)</f>
        <v>12.175310529778919</v>
      </c>
      <c r="P124" s="4120">
        <v>1.31</v>
      </c>
      <c r="Q124" s="4120">
        <v>4.5599999999999996</v>
      </c>
      <c r="R124" s="4120">
        <v>0.3</v>
      </c>
      <c r="S124" s="4121">
        <f t="shared" si="168"/>
        <v>6.169999999999999</v>
      </c>
      <c r="T124" s="4122">
        <f>SUM('Произв. прогр. Вода'!R143)</f>
        <v>36.525931589336757</v>
      </c>
      <c r="U124" s="4122">
        <f t="shared" si="169"/>
        <v>14.219999999999999</v>
      </c>
      <c r="V124" s="4122">
        <f t="shared" si="120"/>
        <v>-22.305931589336758</v>
      </c>
      <c r="W124" s="4121">
        <f>SUM('Произв. прогр. Вода'!V143)</f>
        <v>12.175310529778919</v>
      </c>
      <c r="X124" s="4120"/>
      <c r="Y124" s="4120"/>
      <c r="Z124" s="4120"/>
      <c r="AA124" s="4121">
        <f t="shared" si="170"/>
        <v>0</v>
      </c>
      <c r="AB124" s="4122">
        <f>SUM('Произв. прогр. Вода'!B143)</f>
        <v>48.701242119115669</v>
      </c>
      <c r="AC124" s="4122">
        <f t="shared" si="171"/>
        <v>14.219999999999999</v>
      </c>
      <c r="AD124" s="4122">
        <f t="shared" si="121"/>
        <v>-34.48124211911567</v>
      </c>
      <c r="AE124" s="4112"/>
      <c r="AF124" s="4112"/>
      <c r="AG124" s="4100"/>
      <c r="AH124" s="4100"/>
      <c r="AI124" s="4100"/>
      <c r="AJ124" s="4100"/>
      <c r="AK124" s="4100"/>
    </row>
    <row r="125" spans="1:37" ht="18.75" customHeight="1">
      <c r="A125" s="4119" t="s">
        <v>610</v>
      </c>
      <c r="B125" s="4121">
        <f>SUM('Произв. прогр. Вода'!H144)</f>
        <v>8.158935508364479</v>
      </c>
      <c r="C125" s="4121">
        <f>SUM(C126:C129)</f>
        <v>0</v>
      </c>
      <c r="D125" s="4121">
        <f t="shared" ref="D125:F125" si="179">SUM(D126:D129)</f>
        <v>42.24</v>
      </c>
      <c r="E125" s="4121">
        <f t="shared" si="179"/>
        <v>0</v>
      </c>
      <c r="F125" s="4121">
        <f t="shared" si="179"/>
        <v>42.24</v>
      </c>
      <c r="G125" s="4121">
        <f>SUM('Произв. прогр. Вода'!L144)</f>
        <v>9.7523963741045314</v>
      </c>
      <c r="H125" s="4121">
        <f t="shared" ref="H125:M125" si="180">SUM(H126:H129)</f>
        <v>0</v>
      </c>
      <c r="I125" s="4121">
        <f t="shared" si="180"/>
        <v>0</v>
      </c>
      <c r="J125" s="4121">
        <f t="shared" si="180"/>
        <v>2.5</v>
      </c>
      <c r="K125" s="4121">
        <f t="shared" si="180"/>
        <v>2.5</v>
      </c>
      <c r="L125" s="4122">
        <f>SUM('Произв. прогр. Вода'!M144)</f>
        <v>17.91133188246901</v>
      </c>
      <c r="M125" s="4122">
        <f t="shared" si="180"/>
        <v>44.74</v>
      </c>
      <c r="N125" s="4122">
        <f t="shared" si="119"/>
        <v>26.828668117530992</v>
      </c>
      <c r="O125" s="4121">
        <f>SUM('Произв. прогр. Вода'!Q144)</f>
        <v>10.866067924226153</v>
      </c>
      <c r="P125" s="4121">
        <f>SUM(P126:P129)</f>
        <v>0</v>
      </c>
      <c r="Q125" s="4121">
        <f>SUM(Q126:Q129)</f>
        <v>21.57</v>
      </c>
      <c r="R125" s="4121">
        <f>SUM(R126:R129)</f>
        <v>35.99</v>
      </c>
      <c r="S125" s="4121">
        <f t="shared" ref="S125" si="181">SUM(S126:S129)</f>
        <v>57.56</v>
      </c>
      <c r="T125" s="4122">
        <f>SUM('Произв. прогр. Вода'!R144)</f>
        <v>28.777399806695165</v>
      </c>
      <c r="U125" s="4122">
        <f>SUM(U126:U129)</f>
        <v>102.30000000000001</v>
      </c>
      <c r="V125" s="4122">
        <f t="shared" si="120"/>
        <v>73.522600193304839</v>
      </c>
      <c r="W125" s="4121">
        <f>SUM('Произв. прогр. Вода'!V144)</f>
        <v>8.158935508364479</v>
      </c>
      <c r="X125" s="4121">
        <f t="shared" ref="X125:AC125" si="182">SUM(X126:X129)</f>
        <v>0</v>
      </c>
      <c r="Y125" s="4121">
        <f t="shared" si="182"/>
        <v>0</v>
      </c>
      <c r="Z125" s="4121">
        <f t="shared" si="182"/>
        <v>0</v>
      </c>
      <c r="AA125" s="4121">
        <f t="shared" si="182"/>
        <v>0</v>
      </c>
      <c r="AB125" s="4122">
        <f>SUM('Произв. прогр. Вода'!B144)</f>
        <v>36.936335315059637</v>
      </c>
      <c r="AC125" s="4122">
        <f t="shared" si="182"/>
        <v>102.30000000000001</v>
      </c>
      <c r="AD125" s="4122">
        <f t="shared" si="121"/>
        <v>65.363664684940375</v>
      </c>
      <c r="AE125" s="4112"/>
      <c r="AF125" s="4112"/>
      <c r="AG125" s="4100"/>
      <c r="AH125" s="4100"/>
      <c r="AI125" s="4100"/>
      <c r="AJ125" s="4100"/>
      <c r="AK125" s="4100"/>
    </row>
    <row r="126" spans="1:37" ht="18.75" customHeight="1">
      <c r="A126" s="4123" t="s">
        <v>552</v>
      </c>
      <c r="B126" s="4269">
        <f>SUM('Произв. прогр. Вода'!H145)</f>
        <v>7.680131161687779</v>
      </c>
      <c r="C126" s="4124"/>
      <c r="D126" s="4124">
        <v>42.24</v>
      </c>
      <c r="E126" s="4124"/>
      <c r="F126" s="4269">
        <f t="shared" si="165"/>
        <v>42.24</v>
      </c>
      <c r="G126" s="4269">
        <f>SUM('Произв. прогр. Вода'!L145)</f>
        <v>9.2735920274278332</v>
      </c>
      <c r="H126" s="4124"/>
      <c r="I126" s="4124"/>
      <c r="J126" s="4124"/>
      <c r="K126" s="4269">
        <f t="shared" si="166"/>
        <v>0</v>
      </c>
      <c r="L126" s="4270">
        <f>SUM('Произв. прогр. Вода'!M145)</f>
        <v>16.953723189115614</v>
      </c>
      <c r="M126" s="4270">
        <f t="shared" si="167"/>
        <v>42.24</v>
      </c>
      <c r="N126" s="4270">
        <f t="shared" si="119"/>
        <v>25.286276810884388</v>
      </c>
      <c r="O126" s="4269">
        <f>SUM('Произв. прогр. Вода'!Q145)</f>
        <v>10.387263577549454</v>
      </c>
      <c r="P126" s="4124"/>
      <c r="Q126" s="4124">
        <v>21.57</v>
      </c>
      <c r="R126" s="4124">
        <v>35.99</v>
      </c>
      <c r="S126" s="4269">
        <f t="shared" si="168"/>
        <v>57.56</v>
      </c>
      <c r="T126" s="4270">
        <f>SUM('Произв. прогр. Вода'!R145)</f>
        <v>27.340986766665068</v>
      </c>
      <c r="U126" s="4270">
        <f t="shared" si="169"/>
        <v>99.800000000000011</v>
      </c>
      <c r="V126" s="4270">
        <f t="shared" si="120"/>
        <v>72.459013233334943</v>
      </c>
      <c r="W126" s="4269">
        <f>SUM('Произв. прогр. Вода'!V145)</f>
        <v>7.680131161687779</v>
      </c>
      <c r="X126" s="4124"/>
      <c r="Y126" s="4124"/>
      <c r="Z126" s="4124"/>
      <c r="AA126" s="4269">
        <f t="shared" si="170"/>
        <v>0</v>
      </c>
      <c r="AB126" s="4270">
        <f>SUM('Произв. прогр. Вода'!B145)</f>
        <v>35.021117928352844</v>
      </c>
      <c r="AC126" s="4270">
        <f t="shared" si="171"/>
        <v>99.800000000000011</v>
      </c>
      <c r="AD126" s="4270">
        <f t="shared" si="121"/>
        <v>64.778882071647161</v>
      </c>
      <c r="AE126" s="4112"/>
      <c r="AF126" s="4112"/>
      <c r="AG126" s="4100"/>
      <c r="AH126" s="4100"/>
      <c r="AI126" s="4100"/>
      <c r="AJ126" s="4100"/>
      <c r="AK126" s="4100"/>
    </row>
    <row r="127" spans="1:37" ht="18.75" customHeight="1">
      <c r="A127" s="4123" t="s">
        <v>644</v>
      </c>
      <c r="B127" s="4269">
        <f>SUM('Произв. прогр. Вода'!H146)</f>
        <v>0.47880434667669902</v>
      </c>
      <c r="C127" s="4124"/>
      <c r="D127" s="4124"/>
      <c r="E127" s="4124"/>
      <c r="F127" s="4269">
        <f t="shared" si="165"/>
        <v>0</v>
      </c>
      <c r="G127" s="4269">
        <f>SUM('Произв. прогр. Вода'!L146)</f>
        <v>0.47880434667669902</v>
      </c>
      <c r="H127" s="4124"/>
      <c r="I127" s="4124"/>
      <c r="J127" s="4124">
        <v>2.5</v>
      </c>
      <c r="K127" s="4269">
        <f t="shared" si="166"/>
        <v>2.5</v>
      </c>
      <c r="L127" s="4270">
        <f>SUM('Произв. прогр. Вода'!M146)</f>
        <v>0.95760869335339804</v>
      </c>
      <c r="M127" s="4270">
        <f t="shared" si="167"/>
        <v>2.5</v>
      </c>
      <c r="N127" s="4270">
        <f t="shared" si="119"/>
        <v>1.542391306646602</v>
      </c>
      <c r="O127" s="4269">
        <f>SUM('Произв. прогр. Вода'!Q146)</f>
        <v>0.47880434667669902</v>
      </c>
      <c r="P127" s="4124"/>
      <c r="Q127" s="4124"/>
      <c r="R127" s="4124"/>
      <c r="S127" s="4269">
        <f t="shared" si="168"/>
        <v>0</v>
      </c>
      <c r="T127" s="4270">
        <f>SUM('Произв. прогр. Вода'!R146)</f>
        <v>1.436413040030097</v>
      </c>
      <c r="U127" s="4270">
        <f t="shared" si="169"/>
        <v>2.5</v>
      </c>
      <c r="V127" s="4270">
        <f t="shared" si="120"/>
        <v>1.063586959969903</v>
      </c>
      <c r="W127" s="4269">
        <f>SUM('Произв. прогр. Вода'!V146)</f>
        <v>0.47880434667669902</v>
      </c>
      <c r="X127" s="4124"/>
      <c r="Y127" s="4124"/>
      <c r="Z127" s="4124"/>
      <c r="AA127" s="4269">
        <f t="shared" si="170"/>
        <v>0</v>
      </c>
      <c r="AB127" s="4270">
        <f>SUM('Произв. прогр. Вода'!B146)</f>
        <v>1.9152173867067963</v>
      </c>
      <c r="AC127" s="4270">
        <f t="shared" si="171"/>
        <v>2.5</v>
      </c>
      <c r="AD127" s="4270">
        <f t="shared" si="121"/>
        <v>0.58478261329320369</v>
      </c>
      <c r="AE127" s="4112"/>
      <c r="AF127" s="4112"/>
      <c r="AG127" s="4100"/>
      <c r="AH127" s="4100"/>
      <c r="AI127" s="4100"/>
      <c r="AJ127" s="4100"/>
      <c r="AK127" s="4100"/>
    </row>
    <row r="128" spans="1:37" ht="18.75" customHeight="1">
      <c r="A128" s="4123" t="s">
        <v>614</v>
      </c>
      <c r="B128" s="4269">
        <f>SUM('Произв. прогр. Вода'!H147)</f>
        <v>0</v>
      </c>
      <c r="C128" s="4124"/>
      <c r="D128" s="4124"/>
      <c r="E128" s="4124"/>
      <c r="F128" s="4269">
        <f t="shared" si="165"/>
        <v>0</v>
      </c>
      <c r="G128" s="4269">
        <f>SUM('Произв. прогр. Вода'!L147)</f>
        <v>0</v>
      </c>
      <c r="H128" s="4124"/>
      <c r="I128" s="4124"/>
      <c r="J128" s="4124"/>
      <c r="K128" s="4269">
        <f t="shared" si="166"/>
        <v>0</v>
      </c>
      <c r="L128" s="4270">
        <f>SUM('Произв. прогр. Вода'!M147)</f>
        <v>0</v>
      </c>
      <c r="M128" s="4270">
        <f t="shared" si="167"/>
        <v>0</v>
      </c>
      <c r="N128" s="4270">
        <f t="shared" si="119"/>
        <v>0</v>
      </c>
      <c r="O128" s="4269">
        <f>SUM('Произв. прогр. Вода'!Q147)</f>
        <v>0</v>
      </c>
      <c r="P128" s="4124"/>
      <c r="Q128" s="4124"/>
      <c r="R128" s="4124"/>
      <c r="S128" s="4269">
        <f t="shared" si="168"/>
        <v>0</v>
      </c>
      <c r="T128" s="4270">
        <f>SUM('Произв. прогр. Вода'!R147)</f>
        <v>0</v>
      </c>
      <c r="U128" s="4270">
        <f t="shared" si="169"/>
        <v>0</v>
      </c>
      <c r="V128" s="4270">
        <f t="shared" si="120"/>
        <v>0</v>
      </c>
      <c r="W128" s="4269">
        <f>SUM('Произв. прогр. Вода'!V147)</f>
        <v>0</v>
      </c>
      <c r="X128" s="4124"/>
      <c r="Y128" s="4124"/>
      <c r="Z128" s="4124"/>
      <c r="AA128" s="4269">
        <f t="shared" si="170"/>
        <v>0</v>
      </c>
      <c r="AB128" s="4270">
        <f>SUM('Произв. прогр. Вода'!B147)</f>
        <v>0</v>
      </c>
      <c r="AC128" s="4270">
        <f t="shared" si="171"/>
        <v>0</v>
      </c>
      <c r="AD128" s="4270">
        <f t="shared" si="121"/>
        <v>0</v>
      </c>
      <c r="AE128" s="4112"/>
      <c r="AF128" s="4112"/>
      <c r="AG128" s="4100"/>
      <c r="AH128" s="4100"/>
      <c r="AI128" s="4100"/>
      <c r="AJ128" s="4100"/>
      <c r="AK128" s="4100"/>
    </row>
    <row r="129" spans="1:37" ht="18.75" customHeight="1">
      <c r="A129" s="4125" t="s">
        <v>1743</v>
      </c>
      <c r="B129" s="4269">
        <f>SUM('Произв. прогр. Вода'!H148)</f>
        <v>0</v>
      </c>
      <c r="C129" s="4124"/>
      <c r="D129" s="4124"/>
      <c r="E129" s="4124"/>
      <c r="F129" s="4269">
        <f t="shared" si="165"/>
        <v>0</v>
      </c>
      <c r="G129" s="4269">
        <f>SUM('Произв. прогр. Вода'!L148)</f>
        <v>0</v>
      </c>
      <c r="H129" s="4124"/>
      <c r="I129" s="4124"/>
      <c r="J129" s="4124"/>
      <c r="K129" s="4269">
        <f t="shared" si="166"/>
        <v>0</v>
      </c>
      <c r="L129" s="4270">
        <f>SUM('Произв. прогр. Вода'!M148)</f>
        <v>0</v>
      </c>
      <c r="M129" s="4270">
        <f t="shared" si="167"/>
        <v>0</v>
      </c>
      <c r="N129" s="4270">
        <f t="shared" si="119"/>
        <v>0</v>
      </c>
      <c r="O129" s="4269">
        <f>SUM('Произв. прогр. Вода'!Q148)</f>
        <v>0</v>
      </c>
      <c r="P129" s="4124"/>
      <c r="Q129" s="4124"/>
      <c r="R129" s="4124"/>
      <c r="S129" s="4269">
        <f t="shared" si="168"/>
        <v>0</v>
      </c>
      <c r="T129" s="4270">
        <f>SUM('Произв. прогр. Вода'!R148)</f>
        <v>0</v>
      </c>
      <c r="U129" s="4270">
        <f t="shared" si="169"/>
        <v>0</v>
      </c>
      <c r="V129" s="4270">
        <f t="shared" si="120"/>
        <v>0</v>
      </c>
      <c r="W129" s="4269">
        <f>SUM('Произв. прогр. Вода'!V148)</f>
        <v>0</v>
      </c>
      <c r="X129" s="4124"/>
      <c r="Y129" s="4124"/>
      <c r="Z129" s="4124"/>
      <c r="AA129" s="4269">
        <f t="shared" si="170"/>
        <v>0</v>
      </c>
      <c r="AB129" s="4270">
        <f>SUM('Произв. прогр. Вода'!B148)</f>
        <v>0</v>
      </c>
      <c r="AC129" s="4270">
        <f t="shared" ref="AC129" si="183">SUM(U129+AA129)</f>
        <v>0</v>
      </c>
      <c r="AD129" s="4270">
        <f t="shared" ref="AD129" si="184">SUM(AC129-AB129)</f>
        <v>0</v>
      </c>
      <c r="AE129" s="4112"/>
      <c r="AF129" s="4112"/>
      <c r="AG129" s="4100"/>
      <c r="AH129" s="4100"/>
      <c r="AI129" s="4100"/>
      <c r="AJ129" s="4100"/>
      <c r="AK129" s="4100"/>
    </row>
    <row r="130" spans="1:37" ht="18.75" customHeight="1">
      <c r="A130" s="4116" t="s">
        <v>1744</v>
      </c>
      <c r="B130" s="4117">
        <f>SUM('Произв. прогр. Вода'!H149)</f>
        <v>905.47599999999989</v>
      </c>
      <c r="C130" s="4117">
        <f t="shared" ref="C130:F130" si="185">SUM(C131:C134)</f>
        <v>0</v>
      </c>
      <c r="D130" s="4117">
        <f t="shared" si="185"/>
        <v>0</v>
      </c>
      <c r="E130" s="4117">
        <f>SUM(E131:E134)</f>
        <v>522.91999999999996</v>
      </c>
      <c r="F130" s="4117">
        <f t="shared" si="185"/>
        <v>522.91999999999996</v>
      </c>
      <c r="G130" s="4117">
        <f>SUM('Произв. прогр. Вода'!L149)</f>
        <v>905.47599999999989</v>
      </c>
      <c r="H130" s="4117">
        <f t="shared" ref="H130:M130" si="186">SUM(H131:H134)</f>
        <v>0</v>
      </c>
      <c r="I130" s="4117">
        <f t="shared" si="186"/>
        <v>0</v>
      </c>
      <c r="J130" s="4117">
        <f t="shared" si="186"/>
        <v>522.91999999999996</v>
      </c>
      <c r="K130" s="4117">
        <f t="shared" si="186"/>
        <v>522.91999999999996</v>
      </c>
      <c r="L130" s="4118">
        <f>SUM('Произв. прогр. Вода'!M149)</f>
        <v>1810.9519999999998</v>
      </c>
      <c r="M130" s="4118">
        <f t="shared" si="186"/>
        <v>1045.8399999999999</v>
      </c>
      <c r="N130" s="4118">
        <f t="shared" si="119"/>
        <v>-765.11199999999985</v>
      </c>
      <c r="O130" s="4117">
        <f>SUM('Произв. прогр. Вода'!Q149)</f>
        <v>905.47599999999989</v>
      </c>
      <c r="P130" s="4117">
        <f t="shared" ref="P130:U130" si="187">SUM(P131:P134)</f>
        <v>0</v>
      </c>
      <c r="Q130" s="4117">
        <f t="shared" si="187"/>
        <v>0</v>
      </c>
      <c r="R130" s="4117">
        <f t="shared" si="187"/>
        <v>522.91999999999996</v>
      </c>
      <c r="S130" s="4117">
        <f t="shared" si="187"/>
        <v>522.91999999999996</v>
      </c>
      <c r="T130" s="4118">
        <f>SUM('Произв. прогр. Вода'!R149)</f>
        <v>2716.4279999999999</v>
      </c>
      <c r="U130" s="4118">
        <f t="shared" si="187"/>
        <v>1568.76</v>
      </c>
      <c r="V130" s="4118">
        <f t="shared" si="120"/>
        <v>-1147.6679999999999</v>
      </c>
      <c r="W130" s="4117">
        <f>SUM('Произв. прогр. Вода'!V149)</f>
        <v>905.47599999999989</v>
      </c>
      <c r="X130" s="4117">
        <f t="shared" ref="X130:AC130" si="188">SUM(X131:X134)</f>
        <v>0</v>
      </c>
      <c r="Y130" s="4117">
        <f t="shared" si="188"/>
        <v>0</v>
      </c>
      <c r="Z130" s="4117">
        <f t="shared" si="188"/>
        <v>0</v>
      </c>
      <c r="AA130" s="4117">
        <f t="shared" si="188"/>
        <v>0</v>
      </c>
      <c r="AB130" s="4118">
        <f>SUM('Произв. прогр. Вода'!B149)</f>
        <v>3621.9039999999995</v>
      </c>
      <c r="AC130" s="4118">
        <f t="shared" si="188"/>
        <v>1568.76</v>
      </c>
      <c r="AD130" s="4118">
        <f t="shared" si="121"/>
        <v>-2053.1439999999993</v>
      </c>
      <c r="AE130" s="4112"/>
      <c r="AF130" s="4112"/>
      <c r="AG130" s="4100"/>
      <c r="AH130" s="4100"/>
      <c r="AI130" s="4100"/>
      <c r="AJ130" s="4100"/>
      <c r="AK130" s="4100"/>
    </row>
    <row r="131" spans="1:37" ht="18.75" customHeight="1">
      <c r="A131" s="4115" t="s">
        <v>1881</v>
      </c>
      <c r="B131" s="4269">
        <f>SUM('Произв. прогр. Вода'!H150)</f>
        <v>339.3775</v>
      </c>
      <c r="C131" s="4124"/>
      <c r="D131" s="4124"/>
      <c r="E131" s="4124">
        <v>501.14</v>
      </c>
      <c r="F131" s="4269">
        <f t="shared" si="165"/>
        <v>501.14</v>
      </c>
      <c r="G131" s="4269">
        <f>SUM('Произв. прогр. Вода'!L150)</f>
        <v>339.3775</v>
      </c>
      <c r="H131" s="4124"/>
      <c r="I131" s="4124"/>
      <c r="J131" s="4124">
        <v>501.14</v>
      </c>
      <c r="K131" s="4269">
        <f t="shared" si="166"/>
        <v>501.14</v>
      </c>
      <c r="L131" s="4270">
        <f>SUM('Произв. прогр. Вода'!M150)</f>
        <v>678.755</v>
      </c>
      <c r="M131" s="4270">
        <f t="shared" si="167"/>
        <v>1002.28</v>
      </c>
      <c r="N131" s="4270">
        <f t="shared" si="119"/>
        <v>323.52499999999998</v>
      </c>
      <c r="O131" s="4269">
        <f>SUM('Произв. прогр. Вода'!Q150)</f>
        <v>339.3775</v>
      </c>
      <c r="P131" s="4124"/>
      <c r="Q131" s="4124"/>
      <c r="R131" s="4124">
        <v>501.14</v>
      </c>
      <c r="S131" s="4269">
        <f t="shared" si="168"/>
        <v>501.14</v>
      </c>
      <c r="T131" s="4270">
        <f>SUM('Произв. прогр. Вода'!R150)</f>
        <v>1018.1324999999999</v>
      </c>
      <c r="U131" s="4270">
        <f t="shared" si="169"/>
        <v>1503.42</v>
      </c>
      <c r="V131" s="4270">
        <f t="shared" si="120"/>
        <v>485.28750000000014</v>
      </c>
      <c r="W131" s="4269">
        <f>SUM('Произв. прогр. Вода'!V150)</f>
        <v>339.3775</v>
      </c>
      <c r="X131" s="4124"/>
      <c r="Y131" s="4124"/>
      <c r="Z131" s="4124"/>
      <c r="AA131" s="4269">
        <f t="shared" si="170"/>
        <v>0</v>
      </c>
      <c r="AB131" s="4270">
        <f>SUM('Произв. прогр. Вода'!B150)</f>
        <v>1357.51</v>
      </c>
      <c r="AC131" s="4270">
        <f t="shared" si="171"/>
        <v>1503.42</v>
      </c>
      <c r="AD131" s="4270">
        <f t="shared" si="121"/>
        <v>145.91000000000008</v>
      </c>
      <c r="AE131" s="4112"/>
      <c r="AF131" s="4112"/>
      <c r="AG131" s="4100"/>
      <c r="AH131" s="4100"/>
      <c r="AI131" s="4100"/>
      <c r="AJ131" s="4100"/>
      <c r="AK131" s="4100"/>
    </row>
    <row r="132" spans="1:37" ht="18.75" customHeight="1">
      <c r="A132" s="4115" t="s">
        <v>543</v>
      </c>
      <c r="B132" s="4269">
        <f>SUM('Произв. прогр. Вода'!H151)</f>
        <v>22.2925</v>
      </c>
      <c r="C132" s="4124"/>
      <c r="D132" s="4124"/>
      <c r="E132" s="4124">
        <v>21.78</v>
      </c>
      <c r="F132" s="4269">
        <f t="shared" si="165"/>
        <v>21.78</v>
      </c>
      <c r="G132" s="4269">
        <f>SUM('Произв. прогр. Вода'!L151)</f>
        <v>22.2925</v>
      </c>
      <c r="H132" s="4124"/>
      <c r="I132" s="4124"/>
      <c r="J132" s="4124">
        <v>21.78</v>
      </c>
      <c r="K132" s="4269">
        <f t="shared" si="166"/>
        <v>21.78</v>
      </c>
      <c r="L132" s="4270">
        <f>SUM('Произв. прогр. Вода'!M151)</f>
        <v>44.585000000000001</v>
      </c>
      <c r="M132" s="4270">
        <f t="shared" si="167"/>
        <v>43.56</v>
      </c>
      <c r="N132" s="4270">
        <f t="shared" si="119"/>
        <v>-1.0249999999999986</v>
      </c>
      <c r="O132" s="4269">
        <f>SUM('Произв. прогр. Вода'!Q151)</f>
        <v>22.2925</v>
      </c>
      <c r="P132" s="4124"/>
      <c r="Q132" s="4124"/>
      <c r="R132" s="4124">
        <v>21.78</v>
      </c>
      <c r="S132" s="4269">
        <f t="shared" si="168"/>
        <v>21.78</v>
      </c>
      <c r="T132" s="4270">
        <f>SUM('Произв. прогр. Вода'!R151)</f>
        <v>66.877499999999998</v>
      </c>
      <c r="U132" s="4270">
        <f t="shared" si="169"/>
        <v>65.34</v>
      </c>
      <c r="V132" s="4270">
        <f t="shared" si="120"/>
        <v>-1.5374999999999943</v>
      </c>
      <c r="W132" s="4269">
        <f>SUM('Произв. прогр. Вода'!V151)</f>
        <v>22.2925</v>
      </c>
      <c r="X132" s="4124"/>
      <c r="Y132" s="4124"/>
      <c r="Z132" s="4124"/>
      <c r="AA132" s="4269">
        <f t="shared" si="170"/>
        <v>0</v>
      </c>
      <c r="AB132" s="4270">
        <f>SUM('Произв. прогр. Вода'!B151)</f>
        <v>89.17</v>
      </c>
      <c r="AC132" s="4270">
        <f t="shared" si="171"/>
        <v>65.34</v>
      </c>
      <c r="AD132" s="4270">
        <f t="shared" si="121"/>
        <v>-23.83</v>
      </c>
      <c r="AE132" s="4112"/>
      <c r="AF132" s="4112"/>
      <c r="AG132" s="4100"/>
      <c r="AH132" s="4100"/>
      <c r="AI132" s="4100"/>
      <c r="AJ132" s="4100"/>
      <c r="AK132" s="4100"/>
    </row>
    <row r="133" spans="1:37" ht="18.75" customHeight="1">
      <c r="A133" s="4115" t="s">
        <v>544</v>
      </c>
      <c r="B133" s="4269">
        <f>SUM('Произв. прогр. Вода'!H152)</f>
        <v>0</v>
      </c>
      <c r="C133" s="4124"/>
      <c r="D133" s="4124"/>
      <c r="E133" s="4124"/>
      <c r="F133" s="4269">
        <f t="shared" si="165"/>
        <v>0</v>
      </c>
      <c r="G133" s="4269">
        <f>SUM('Произв. прогр. Вода'!L152)</f>
        <v>0</v>
      </c>
      <c r="H133" s="4124"/>
      <c r="I133" s="4124"/>
      <c r="J133" s="4124"/>
      <c r="K133" s="4269">
        <f t="shared" si="166"/>
        <v>0</v>
      </c>
      <c r="L133" s="4270">
        <f>SUM('Произв. прогр. Вода'!M152)</f>
        <v>0</v>
      </c>
      <c r="M133" s="4270">
        <f t="shared" si="167"/>
        <v>0</v>
      </c>
      <c r="N133" s="4270">
        <f t="shared" si="119"/>
        <v>0</v>
      </c>
      <c r="O133" s="4269">
        <f>SUM('Произв. прогр. Вода'!Q152)</f>
        <v>0</v>
      </c>
      <c r="P133" s="4124"/>
      <c r="Q133" s="4124"/>
      <c r="R133" s="4124"/>
      <c r="S133" s="4269">
        <f t="shared" si="168"/>
        <v>0</v>
      </c>
      <c r="T133" s="4270">
        <f>SUM('Произв. прогр. Вода'!R152)</f>
        <v>0</v>
      </c>
      <c r="U133" s="4270">
        <f t="shared" si="169"/>
        <v>0</v>
      </c>
      <c r="V133" s="4270">
        <f t="shared" si="120"/>
        <v>0</v>
      </c>
      <c r="W133" s="4269">
        <f>SUM('Произв. прогр. Вода'!V152)</f>
        <v>0</v>
      </c>
      <c r="X133" s="4124"/>
      <c r="Y133" s="4124"/>
      <c r="Z133" s="4124"/>
      <c r="AA133" s="4269">
        <f t="shared" si="170"/>
        <v>0</v>
      </c>
      <c r="AB133" s="4270">
        <f>SUM('Произв. прогр. Вода'!B152)</f>
        <v>0</v>
      </c>
      <c r="AC133" s="4270">
        <f t="shared" si="171"/>
        <v>0</v>
      </c>
      <c r="AD133" s="4270">
        <f t="shared" si="121"/>
        <v>0</v>
      </c>
      <c r="AE133" s="4112"/>
      <c r="AF133" s="4112"/>
      <c r="AG133" s="4100"/>
      <c r="AH133" s="4100"/>
      <c r="AI133" s="4100"/>
      <c r="AJ133" s="4100"/>
      <c r="AK133" s="4100"/>
    </row>
    <row r="134" spans="1:37" ht="18.75" customHeight="1">
      <c r="A134" s="4115" t="s">
        <v>545</v>
      </c>
      <c r="B134" s="4269">
        <f>SUM('Произв. прогр. Вода'!H153)</f>
        <v>543.80599999999993</v>
      </c>
      <c r="C134" s="4124"/>
      <c r="D134" s="4124"/>
      <c r="E134" s="4124"/>
      <c r="F134" s="4269">
        <f t="shared" si="165"/>
        <v>0</v>
      </c>
      <c r="G134" s="4269">
        <f>SUM('Произв. прогр. Вода'!L153)</f>
        <v>543.80599999999993</v>
      </c>
      <c r="H134" s="4124"/>
      <c r="I134" s="4124"/>
      <c r="J134" s="4124"/>
      <c r="K134" s="4269">
        <f t="shared" si="166"/>
        <v>0</v>
      </c>
      <c r="L134" s="4270">
        <f>SUM('Произв. прогр. Вода'!M153)</f>
        <v>1087.6119999999999</v>
      </c>
      <c r="M134" s="4270">
        <f t="shared" si="167"/>
        <v>0</v>
      </c>
      <c r="N134" s="4270">
        <f t="shared" si="119"/>
        <v>-1087.6119999999999</v>
      </c>
      <c r="O134" s="4269">
        <f>SUM('Произв. прогр. Вода'!Q153)</f>
        <v>543.80599999999993</v>
      </c>
      <c r="P134" s="4124"/>
      <c r="Q134" s="4124"/>
      <c r="R134" s="4124"/>
      <c r="S134" s="4269">
        <f t="shared" si="168"/>
        <v>0</v>
      </c>
      <c r="T134" s="4270">
        <f>SUM('Произв. прогр. Вода'!R153)</f>
        <v>1631.4179999999997</v>
      </c>
      <c r="U134" s="4270">
        <f t="shared" si="169"/>
        <v>0</v>
      </c>
      <c r="V134" s="4270">
        <f t="shared" si="120"/>
        <v>-1631.4179999999997</v>
      </c>
      <c r="W134" s="4269">
        <f>SUM('Произв. прогр. Вода'!V153)</f>
        <v>543.80599999999993</v>
      </c>
      <c r="X134" s="4124"/>
      <c r="Y134" s="4124"/>
      <c r="Z134" s="4124"/>
      <c r="AA134" s="4269">
        <f t="shared" si="170"/>
        <v>0</v>
      </c>
      <c r="AB134" s="4270">
        <f>SUM('Произв. прогр. Вода'!B153)</f>
        <v>2175.2239999999997</v>
      </c>
      <c r="AC134" s="4270">
        <f t="shared" si="171"/>
        <v>0</v>
      </c>
      <c r="AD134" s="4270">
        <f t="shared" si="121"/>
        <v>-2175.2239999999997</v>
      </c>
      <c r="AE134" s="4112"/>
      <c r="AF134" s="4112"/>
      <c r="AG134" s="4100"/>
      <c r="AH134" s="4100"/>
      <c r="AI134" s="4100"/>
      <c r="AJ134" s="4100"/>
      <c r="AK134" s="4100"/>
    </row>
    <row r="135" spans="1:37" ht="18.75" customHeight="1">
      <c r="A135" s="4116" t="s">
        <v>1746</v>
      </c>
      <c r="B135" s="4117">
        <f>SUM('Произв. прогр. Вода'!H154)</f>
        <v>2532.214942142054</v>
      </c>
      <c r="C135" s="4117">
        <f t="shared" ref="C135:F135" si="189">SUM(C136:C141)</f>
        <v>1041.58</v>
      </c>
      <c r="D135" s="4117">
        <f t="shared" si="189"/>
        <v>1143.79</v>
      </c>
      <c r="E135" s="4117">
        <f>SUM(E136:E141)</f>
        <v>1059.8</v>
      </c>
      <c r="F135" s="4117">
        <f t="shared" si="189"/>
        <v>3245.1700000000005</v>
      </c>
      <c r="G135" s="4117">
        <f>SUM('Произв. прогр. Вода'!L154)</f>
        <v>2532.214942142054</v>
      </c>
      <c r="H135" s="4117">
        <f t="shared" ref="H135:M135" si="190">SUM(H136:H141)</f>
        <v>1047.5900000000001</v>
      </c>
      <c r="I135" s="4117">
        <f t="shared" si="190"/>
        <v>1160.6599999999999</v>
      </c>
      <c r="J135" s="4117">
        <f t="shared" si="190"/>
        <v>1288.3</v>
      </c>
      <c r="K135" s="4117">
        <f t="shared" si="190"/>
        <v>3496.5499999999993</v>
      </c>
      <c r="L135" s="4118">
        <f>SUM('Произв. прогр. Вода'!M154)</f>
        <v>5064.4298842841081</v>
      </c>
      <c r="M135" s="4118">
        <f t="shared" si="190"/>
        <v>6741.72</v>
      </c>
      <c r="N135" s="4118">
        <f t="shared" si="119"/>
        <v>1677.2901157158922</v>
      </c>
      <c r="O135" s="4117">
        <f>SUM('Произв. прогр. Вода'!Q154)</f>
        <v>2670.5699318136303</v>
      </c>
      <c r="P135" s="4117">
        <f t="shared" ref="P135:U135" si="191">SUM(P136:P141)</f>
        <v>1093.54</v>
      </c>
      <c r="Q135" s="4117">
        <f t="shared" si="191"/>
        <v>1207.29</v>
      </c>
      <c r="R135" s="4117">
        <f t="shared" si="191"/>
        <v>1229.0800000000002</v>
      </c>
      <c r="S135" s="4117">
        <f t="shared" si="191"/>
        <v>3529.91</v>
      </c>
      <c r="T135" s="4118">
        <f>SUM('Произв. прогр. Вода'!R154)</f>
        <v>7734.9998160977384</v>
      </c>
      <c r="U135" s="4118">
        <f t="shared" si="191"/>
        <v>10271.629999999999</v>
      </c>
      <c r="V135" s="4118">
        <f t="shared" si="120"/>
        <v>2536.6301839022608</v>
      </c>
      <c r="W135" s="4117">
        <f>SUM('Произв. прогр. Вода'!V154)</f>
        <v>2670.5699318136303</v>
      </c>
      <c r="X135" s="4117">
        <f t="shared" ref="X135:AC135" si="192">SUM(X136:X141)</f>
        <v>0</v>
      </c>
      <c r="Y135" s="4117">
        <f t="shared" si="192"/>
        <v>0</v>
      </c>
      <c r="Z135" s="4117">
        <f t="shared" si="192"/>
        <v>0</v>
      </c>
      <c r="AA135" s="4117">
        <f t="shared" si="192"/>
        <v>0</v>
      </c>
      <c r="AB135" s="4118">
        <f>SUM('Произв. прогр. Вода'!B154)</f>
        <v>10405.569747911368</v>
      </c>
      <c r="AC135" s="4118">
        <f t="shared" si="192"/>
        <v>10271.629999999999</v>
      </c>
      <c r="AD135" s="4118">
        <f t="shared" si="121"/>
        <v>-133.93974791136861</v>
      </c>
      <c r="AE135" s="4112"/>
      <c r="AF135" s="4112"/>
      <c r="AG135" s="4100"/>
      <c r="AH135" s="4100"/>
      <c r="AI135" s="4100"/>
      <c r="AJ135" s="4100"/>
      <c r="AK135" s="4100"/>
    </row>
    <row r="136" spans="1:37" ht="18.75" customHeight="1">
      <c r="A136" s="4123" t="s">
        <v>1747</v>
      </c>
      <c r="B136" s="4269">
        <f>SUM('Произв. прогр. Вода'!H155)</f>
        <v>1792.7740236362665</v>
      </c>
      <c r="C136" s="4124">
        <v>700.88</v>
      </c>
      <c r="D136" s="4124">
        <v>770.7</v>
      </c>
      <c r="E136" s="4124">
        <v>704.82</v>
      </c>
      <c r="F136" s="4269">
        <f t="shared" si="165"/>
        <v>2176.4</v>
      </c>
      <c r="G136" s="4269">
        <f>SUM('Произв. прогр. Вода'!L155)</f>
        <v>1792.7740236362665</v>
      </c>
      <c r="H136" s="4124">
        <v>680.34</v>
      </c>
      <c r="I136" s="4124">
        <v>805.05</v>
      </c>
      <c r="J136" s="4124">
        <v>878.38</v>
      </c>
      <c r="K136" s="4269">
        <f t="shared" si="166"/>
        <v>2363.77</v>
      </c>
      <c r="L136" s="4270">
        <f>SUM('Произв. прогр. Вода'!M155)</f>
        <v>3585.548047272533</v>
      </c>
      <c r="M136" s="4270">
        <f t="shared" si="167"/>
        <v>4540.17</v>
      </c>
      <c r="N136" s="4270">
        <f t="shared" si="119"/>
        <v>954.62195272746703</v>
      </c>
      <c r="O136" s="4269">
        <f>SUM('Произв. прогр. Вода'!Q155)</f>
        <v>1900.8782972615336</v>
      </c>
      <c r="P136" s="4124">
        <v>707.71</v>
      </c>
      <c r="Q136" s="4124">
        <v>781.88</v>
      </c>
      <c r="R136" s="4124">
        <v>730.95</v>
      </c>
      <c r="S136" s="4269">
        <f t="shared" si="168"/>
        <v>2220.54</v>
      </c>
      <c r="T136" s="4270">
        <f>SUM('Произв. прогр. Вода'!R155)</f>
        <v>5486.4263445340666</v>
      </c>
      <c r="U136" s="4270">
        <f t="shared" si="169"/>
        <v>6760.71</v>
      </c>
      <c r="V136" s="4270">
        <f t="shared" si="120"/>
        <v>1274.2836554659334</v>
      </c>
      <c r="W136" s="4269">
        <f>SUM('Произв. прогр. Вода'!V155)</f>
        <v>1900.8782972615336</v>
      </c>
      <c r="X136" s="4124"/>
      <c r="Y136" s="4124"/>
      <c r="Z136" s="4124"/>
      <c r="AA136" s="4269">
        <f t="shared" si="170"/>
        <v>0</v>
      </c>
      <c r="AB136" s="4270">
        <f>SUM('Произв. прогр. Вода'!B155)</f>
        <v>7387.3046417956002</v>
      </c>
      <c r="AC136" s="4270">
        <f t="shared" si="171"/>
        <v>6760.71</v>
      </c>
      <c r="AD136" s="4270">
        <f t="shared" si="121"/>
        <v>-626.59464179560018</v>
      </c>
      <c r="AE136" s="4112"/>
      <c r="AF136" s="4112"/>
      <c r="AG136" s="4100"/>
      <c r="AH136" s="4100"/>
      <c r="AI136" s="4100"/>
      <c r="AJ136" s="4100"/>
      <c r="AK136" s="4100"/>
    </row>
    <row r="137" spans="1:37" ht="18.75" customHeight="1">
      <c r="A137" s="4123" t="s">
        <v>1748</v>
      </c>
      <c r="B137" s="4269">
        <f>SUM('Произв. прогр. Вода'!H156)</f>
        <v>501.67024952420161</v>
      </c>
      <c r="C137" s="4124">
        <v>211.04</v>
      </c>
      <c r="D137" s="4124">
        <v>231.23</v>
      </c>
      <c r="E137" s="4124">
        <v>212.18</v>
      </c>
      <c r="F137" s="4269">
        <f t="shared" si="165"/>
        <v>654.45000000000005</v>
      </c>
      <c r="G137" s="4269">
        <f>SUM('Произв. прогр. Вода'!L156)</f>
        <v>501.67024952420161</v>
      </c>
      <c r="H137" s="4124">
        <v>205.46</v>
      </c>
      <c r="I137" s="4124">
        <v>243.06</v>
      </c>
      <c r="J137" s="4124">
        <v>262.07</v>
      </c>
      <c r="K137" s="4269">
        <f t="shared" si="166"/>
        <v>710.58999999999992</v>
      </c>
      <c r="L137" s="4270">
        <f>SUM('Произв. прогр. Вода'!M156)</f>
        <v>1003.3404990484032</v>
      </c>
      <c r="M137" s="4270">
        <f t="shared" si="167"/>
        <v>1365.04</v>
      </c>
      <c r="N137" s="4270">
        <f t="shared" si="119"/>
        <v>361.69950095159675</v>
      </c>
      <c r="O137" s="4269">
        <f>SUM('Произв. прогр. Вода'!Q156)</f>
        <v>531.92096557051082</v>
      </c>
      <c r="P137" s="4124">
        <v>210.87</v>
      </c>
      <c r="Q137" s="4124">
        <v>228.78</v>
      </c>
      <c r="R137" s="4124">
        <v>235.34</v>
      </c>
      <c r="S137" s="4269">
        <f t="shared" si="168"/>
        <v>674.99</v>
      </c>
      <c r="T137" s="4270">
        <f>SUM('Произв. прогр. Вода'!R156)</f>
        <v>1535.261464618914</v>
      </c>
      <c r="U137" s="4270">
        <f t="shared" si="169"/>
        <v>2040.03</v>
      </c>
      <c r="V137" s="4270">
        <f t="shared" si="120"/>
        <v>504.76853538108594</v>
      </c>
      <c r="W137" s="4269">
        <f>SUM('Произв. прогр. Вода'!V156)</f>
        <v>531.92096557051082</v>
      </c>
      <c r="X137" s="4124"/>
      <c r="Y137" s="4124"/>
      <c r="Z137" s="4124"/>
      <c r="AA137" s="4269">
        <f t="shared" si="170"/>
        <v>0</v>
      </c>
      <c r="AB137" s="4270">
        <f>SUM('Произв. прогр. Вода'!B156)</f>
        <v>2067.1824301894248</v>
      </c>
      <c r="AC137" s="4270">
        <f t="shared" si="171"/>
        <v>2040.03</v>
      </c>
      <c r="AD137" s="4270">
        <f t="shared" si="121"/>
        <v>-27.152430189424877</v>
      </c>
      <c r="AE137" s="4112"/>
      <c r="AF137" s="4112"/>
      <c r="AG137" s="4100"/>
      <c r="AH137" s="4100"/>
      <c r="AI137" s="4100"/>
      <c r="AJ137" s="4100"/>
      <c r="AK137" s="4100"/>
    </row>
    <row r="138" spans="1:37" ht="18.75" customHeight="1">
      <c r="A138" s="4125" t="s">
        <v>285</v>
      </c>
      <c r="B138" s="4269"/>
      <c r="C138" s="4124">
        <v>0.02</v>
      </c>
      <c r="D138" s="4124">
        <v>0.02</v>
      </c>
      <c r="E138" s="4124">
        <v>0.02</v>
      </c>
      <c r="F138" s="4269">
        <f t="shared" si="165"/>
        <v>0.06</v>
      </c>
      <c r="G138" s="4269"/>
      <c r="H138" s="4124">
        <v>0.02</v>
      </c>
      <c r="I138" s="4124">
        <v>0.02</v>
      </c>
      <c r="J138" s="4124">
        <v>0.02</v>
      </c>
      <c r="K138" s="4269">
        <f t="shared" si="166"/>
        <v>0.06</v>
      </c>
      <c r="L138" s="4270"/>
      <c r="M138" s="4270">
        <f t="shared" si="167"/>
        <v>0.12</v>
      </c>
      <c r="N138" s="4270"/>
      <c r="O138" s="4269"/>
      <c r="P138" s="4124">
        <v>0.56000000000000005</v>
      </c>
      <c r="Q138" s="4124">
        <v>0.02</v>
      </c>
      <c r="R138" s="4124">
        <v>0.01</v>
      </c>
      <c r="S138" s="4269">
        <f t="shared" si="168"/>
        <v>0.59000000000000008</v>
      </c>
      <c r="T138" s="4270"/>
      <c r="U138" s="4270">
        <f t="shared" si="169"/>
        <v>0.71000000000000008</v>
      </c>
      <c r="V138" s="4270"/>
      <c r="W138" s="4269"/>
      <c r="X138" s="4124"/>
      <c r="Y138" s="4124"/>
      <c r="Z138" s="4124"/>
      <c r="AA138" s="4269">
        <f t="shared" si="170"/>
        <v>0</v>
      </c>
      <c r="AB138" s="4270"/>
      <c r="AC138" s="4270">
        <f t="shared" si="171"/>
        <v>0.71000000000000008</v>
      </c>
      <c r="AD138" s="4270"/>
      <c r="AE138" s="4112"/>
      <c r="AF138" s="4112"/>
      <c r="AG138" s="4100"/>
      <c r="AH138" s="4100"/>
      <c r="AI138" s="4100"/>
      <c r="AJ138" s="4100"/>
      <c r="AK138" s="4100"/>
    </row>
    <row r="139" spans="1:37" ht="18.75" customHeight="1">
      <c r="A139" s="4125" t="s">
        <v>1882</v>
      </c>
      <c r="B139" s="4269"/>
      <c r="C139" s="4124">
        <v>9.94</v>
      </c>
      <c r="D139" s="4124">
        <v>9.26</v>
      </c>
      <c r="E139" s="4124">
        <v>7.9</v>
      </c>
      <c r="F139" s="4269">
        <f t="shared" si="165"/>
        <v>27.1</v>
      </c>
      <c r="G139" s="4269"/>
      <c r="H139" s="4124">
        <v>6.21</v>
      </c>
      <c r="I139" s="4124">
        <v>4.74</v>
      </c>
      <c r="J139" s="4124">
        <v>0</v>
      </c>
      <c r="K139" s="4269">
        <f t="shared" si="166"/>
        <v>10.95</v>
      </c>
      <c r="L139" s="4270"/>
      <c r="M139" s="4270">
        <f t="shared" si="167"/>
        <v>38.049999999999997</v>
      </c>
      <c r="N139" s="4270"/>
      <c r="O139" s="4269"/>
      <c r="P139" s="4124">
        <v>0</v>
      </c>
      <c r="Q139" s="4124">
        <v>0</v>
      </c>
      <c r="R139" s="4124">
        <v>2.14</v>
      </c>
      <c r="S139" s="4269">
        <f t="shared" si="168"/>
        <v>2.14</v>
      </c>
      <c r="T139" s="4270"/>
      <c r="U139" s="4270">
        <f t="shared" si="169"/>
        <v>40.19</v>
      </c>
      <c r="V139" s="4270"/>
      <c r="W139" s="4269"/>
      <c r="X139" s="4124"/>
      <c r="Y139" s="4124"/>
      <c r="Z139" s="4124"/>
      <c r="AA139" s="4269">
        <f t="shared" si="170"/>
        <v>0</v>
      </c>
      <c r="AB139" s="4270"/>
      <c r="AC139" s="4270">
        <f t="shared" si="171"/>
        <v>40.19</v>
      </c>
      <c r="AD139" s="4270"/>
      <c r="AE139" s="4112"/>
      <c r="AF139" s="4112"/>
      <c r="AG139" s="4100"/>
      <c r="AH139" s="4100"/>
      <c r="AI139" s="4100"/>
      <c r="AJ139" s="4100"/>
      <c r="AK139" s="4100"/>
    </row>
    <row r="140" spans="1:37" ht="18.75" customHeight="1">
      <c r="A140" s="4125" t="s">
        <v>286</v>
      </c>
      <c r="B140" s="4269"/>
      <c r="C140" s="4124">
        <v>6.13</v>
      </c>
      <c r="D140" s="4124">
        <v>6.49</v>
      </c>
      <c r="E140" s="4124">
        <v>6.18</v>
      </c>
      <c r="F140" s="4269">
        <f t="shared" si="165"/>
        <v>18.8</v>
      </c>
      <c r="G140" s="4269"/>
      <c r="H140" s="4124">
        <v>6.37</v>
      </c>
      <c r="I140" s="4124">
        <v>6.6</v>
      </c>
      <c r="J140" s="4124">
        <v>6.48</v>
      </c>
      <c r="K140" s="4269">
        <f t="shared" si="166"/>
        <v>19.45</v>
      </c>
      <c r="L140" s="4270"/>
      <c r="M140" s="4270">
        <f t="shared" si="167"/>
        <v>38.25</v>
      </c>
      <c r="N140" s="4270"/>
      <c r="O140" s="4269"/>
      <c r="P140" s="4124">
        <v>6.37</v>
      </c>
      <c r="Q140" s="4124">
        <v>6.16</v>
      </c>
      <c r="R140" s="4124">
        <v>6.49</v>
      </c>
      <c r="S140" s="4269">
        <f t="shared" si="168"/>
        <v>19.020000000000003</v>
      </c>
      <c r="T140" s="4270"/>
      <c r="U140" s="4270">
        <f t="shared" si="169"/>
        <v>57.27</v>
      </c>
      <c r="V140" s="4270"/>
      <c r="W140" s="4269"/>
      <c r="X140" s="4124"/>
      <c r="Y140" s="4124"/>
      <c r="Z140" s="4124"/>
      <c r="AA140" s="4269">
        <f t="shared" si="170"/>
        <v>0</v>
      </c>
      <c r="AB140" s="4270"/>
      <c r="AC140" s="4270">
        <f t="shared" si="171"/>
        <v>57.27</v>
      </c>
      <c r="AD140" s="4270"/>
      <c r="AE140" s="4112"/>
      <c r="AF140" s="4112"/>
      <c r="AG140" s="4100"/>
      <c r="AH140" s="4100"/>
      <c r="AI140" s="4100"/>
      <c r="AJ140" s="4100"/>
      <c r="AK140" s="4100"/>
    </row>
    <row r="141" spans="1:37" ht="18.75" customHeight="1">
      <c r="A141" s="4115" t="s">
        <v>1749</v>
      </c>
      <c r="B141" s="4269">
        <f>SUM('Произв. прогр. Вода'!H157)</f>
        <v>237.77066898158569</v>
      </c>
      <c r="C141" s="4124">
        <v>113.57</v>
      </c>
      <c r="D141" s="4124">
        <v>126.09</v>
      </c>
      <c r="E141" s="4124">
        <v>128.69999999999999</v>
      </c>
      <c r="F141" s="4269">
        <f t="shared" si="165"/>
        <v>368.36</v>
      </c>
      <c r="G141" s="4269">
        <f>SUM('Произв. прогр. Вода'!L157)</f>
        <v>237.77066898158569</v>
      </c>
      <c r="H141" s="4124">
        <v>149.19</v>
      </c>
      <c r="I141" s="4124">
        <v>101.19</v>
      </c>
      <c r="J141" s="4124">
        <v>141.35</v>
      </c>
      <c r="K141" s="4269">
        <f t="shared" si="166"/>
        <v>391.73</v>
      </c>
      <c r="L141" s="4270">
        <f>SUM('Произв. прогр. Вода'!M157)</f>
        <v>475.54133796317137</v>
      </c>
      <c r="M141" s="4270">
        <f t="shared" si="167"/>
        <v>760.09</v>
      </c>
      <c r="N141" s="4270">
        <f t="shared" si="119"/>
        <v>284.54866203682866</v>
      </c>
      <c r="O141" s="4269">
        <f>SUM('Произв. прогр. Вода'!Q157)</f>
        <v>237.77066898158569</v>
      </c>
      <c r="P141" s="4124">
        <v>168.03</v>
      </c>
      <c r="Q141" s="4124">
        <v>190.45</v>
      </c>
      <c r="R141" s="4124">
        <v>254.15</v>
      </c>
      <c r="S141" s="4269">
        <f t="shared" si="168"/>
        <v>612.63</v>
      </c>
      <c r="T141" s="4270">
        <f>SUM('Произв. прогр. Вода'!R157)</f>
        <v>713.31200694475706</v>
      </c>
      <c r="U141" s="4270">
        <f t="shared" si="169"/>
        <v>1372.72</v>
      </c>
      <c r="V141" s="4270">
        <f t="shared" si="120"/>
        <v>659.40799305524297</v>
      </c>
      <c r="W141" s="4269">
        <f>SUM('Произв. прогр. Вода'!V157)</f>
        <v>237.77066898158569</v>
      </c>
      <c r="X141" s="4124"/>
      <c r="Y141" s="4124"/>
      <c r="Z141" s="4124"/>
      <c r="AA141" s="4269">
        <f t="shared" si="170"/>
        <v>0</v>
      </c>
      <c r="AB141" s="4270">
        <f>SUM('Произв. прогр. Вода'!B157)</f>
        <v>951.08267592634274</v>
      </c>
      <c r="AC141" s="4270">
        <f t="shared" si="171"/>
        <v>1372.72</v>
      </c>
      <c r="AD141" s="4270">
        <f t="shared" si="121"/>
        <v>421.63732407365728</v>
      </c>
      <c r="AE141" s="4112"/>
      <c r="AF141" s="4112"/>
      <c r="AG141" s="4100"/>
      <c r="AH141" s="4100"/>
      <c r="AI141" s="4100"/>
      <c r="AJ141" s="4100"/>
      <c r="AK141" s="4100"/>
    </row>
    <row r="142" spans="1:37" ht="18.75" customHeight="1">
      <c r="A142" s="4101" t="s">
        <v>1750</v>
      </c>
      <c r="B142" s="4272">
        <f>SUM('Произв. прогр. Вода'!H158)</f>
        <v>563.59500000000003</v>
      </c>
      <c r="C142" s="4117">
        <f>SUM(C143:C145)</f>
        <v>0</v>
      </c>
      <c r="D142" s="4117">
        <f t="shared" ref="D142:F142" si="193">SUM(D143:D145)</f>
        <v>0</v>
      </c>
      <c r="E142" s="4117">
        <f>SUM(E143:E145)</f>
        <v>0</v>
      </c>
      <c r="F142" s="4117">
        <f t="shared" si="193"/>
        <v>0</v>
      </c>
      <c r="G142" s="4272">
        <f>SUM('Произв. прогр. Вода'!L158)</f>
        <v>563.59500000000003</v>
      </c>
      <c r="H142" s="4117">
        <f>SUM(H143:H145)</f>
        <v>0</v>
      </c>
      <c r="I142" s="4117">
        <f t="shared" ref="I142" si="194">SUM(I143:I145)</f>
        <v>0</v>
      </c>
      <c r="J142" s="4117">
        <f t="shared" ref="J142" si="195">SUM(J143:J145)</f>
        <v>0</v>
      </c>
      <c r="K142" s="4117">
        <f t="shared" ref="K142" si="196">SUM(K143:K145)</f>
        <v>0</v>
      </c>
      <c r="L142" s="4271">
        <f>SUM('Произв. прогр. Вода'!M158)</f>
        <v>1127.19</v>
      </c>
      <c r="M142" s="4118">
        <f>SUM(M143:M145)</f>
        <v>0</v>
      </c>
      <c r="N142" s="4118">
        <f t="shared" si="119"/>
        <v>-1127.19</v>
      </c>
      <c r="O142" s="4272">
        <f>SUM('Произв. прогр. Вода'!Q158)</f>
        <v>563.59500000000003</v>
      </c>
      <c r="P142" s="4117">
        <f>SUM(P143:P145)</f>
        <v>0</v>
      </c>
      <c r="Q142" s="4117">
        <f t="shared" ref="Q142" si="197">SUM(Q143:Q145)</f>
        <v>0</v>
      </c>
      <c r="R142" s="4117">
        <f t="shared" ref="R142" si="198">SUM(R143:R145)</f>
        <v>0</v>
      </c>
      <c r="S142" s="4117">
        <f t="shared" ref="S142" si="199">SUM(S143:S145)</f>
        <v>0</v>
      </c>
      <c r="T142" s="4271">
        <f>SUM('Произв. прогр. Вода'!R158)</f>
        <v>1690.7850000000001</v>
      </c>
      <c r="U142" s="4118">
        <f>SUM(U143:U145)</f>
        <v>0</v>
      </c>
      <c r="V142" s="4118">
        <f t="shared" si="120"/>
        <v>-1690.7850000000001</v>
      </c>
      <c r="W142" s="4272">
        <f>SUM('Произв. прогр. Вода'!V158)</f>
        <v>563.59500000000003</v>
      </c>
      <c r="X142" s="4117">
        <f>SUM(X143:X145)</f>
        <v>0</v>
      </c>
      <c r="Y142" s="4117">
        <f t="shared" ref="Y142" si="200">SUM(Y143:Y145)</f>
        <v>0</v>
      </c>
      <c r="Z142" s="4117">
        <f t="shared" ref="Z142" si="201">SUM(Z143:Z145)</f>
        <v>0</v>
      </c>
      <c r="AA142" s="4117">
        <f t="shared" ref="AA142" si="202">SUM(AA143:AA145)</f>
        <v>0</v>
      </c>
      <c r="AB142" s="4271">
        <f>SUM('Произв. прогр. Вода'!B158)</f>
        <v>2254.38</v>
      </c>
      <c r="AC142" s="4118">
        <f>SUM(AC143:AC145)</f>
        <v>0</v>
      </c>
      <c r="AD142" s="4118">
        <f t="shared" si="121"/>
        <v>-2254.38</v>
      </c>
      <c r="AE142" s="4112"/>
      <c r="AF142" s="4112"/>
      <c r="AG142" s="4100"/>
      <c r="AH142" s="4100"/>
      <c r="AI142" s="4100"/>
      <c r="AJ142" s="4100"/>
      <c r="AK142" s="4100"/>
    </row>
    <row r="143" spans="1:37" ht="18.75" customHeight="1">
      <c r="A143" s="4106" t="s">
        <v>286</v>
      </c>
      <c r="B143" s="4269">
        <f>SUM('Произв. прогр. Вода'!H159)</f>
        <v>186.58750000000001</v>
      </c>
      <c r="C143" s="4124"/>
      <c r="D143" s="4124"/>
      <c r="E143" s="4124"/>
      <c r="F143" s="4269">
        <f t="shared" si="165"/>
        <v>0</v>
      </c>
      <c r="G143" s="4269">
        <f>SUM('Произв. прогр. Вода'!L159)</f>
        <v>186.58750000000001</v>
      </c>
      <c r="H143" s="4124"/>
      <c r="I143" s="4124"/>
      <c r="J143" s="4124"/>
      <c r="K143" s="4269">
        <f t="shared" ref="K143:K146" si="203">SUM(H143:J143)</f>
        <v>0</v>
      </c>
      <c r="L143" s="4270">
        <f>SUM('Произв. прогр. Вода'!M159)</f>
        <v>373.17500000000001</v>
      </c>
      <c r="M143" s="4270">
        <f t="shared" si="167"/>
        <v>0</v>
      </c>
      <c r="N143" s="4270">
        <f t="shared" si="119"/>
        <v>-373.17500000000001</v>
      </c>
      <c r="O143" s="4269">
        <f>SUM('Произв. прогр. Вода'!Q159)</f>
        <v>186.58750000000001</v>
      </c>
      <c r="P143" s="4124"/>
      <c r="Q143" s="4124"/>
      <c r="R143" s="4124"/>
      <c r="S143" s="4269">
        <f t="shared" ref="S143:S145" si="204">SUM(P143:R143)</f>
        <v>0</v>
      </c>
      <c r="T143" s="4270">
        <f>SUM('Произв. прогр. Вода'!R159)</f>
        <v>559.76250000000005</v>
      </c>
      <c r="U143" s="4270">
        <f t="shared" si="169"/>
        <v>0</v>
      </c>
      <c r="V143" s="4270">
        <f t="shared" si="120"/>
        <v>-559.76250000000005</v>
      </c>
      <c r="W143" s="4269">
        <f>SUM('Произв. прогр. Вода'!V159)</f>
        <v>186.58750000000001</v>
      </c>
      <c r="X143" s="4124"/>
      <c r="Y143" s="4124"/>
      <c r="Z143" s="4124"/>
      <c r="AA143" s="4269">
        <f t="shared" ref="AA143:AA145" si="205">SUM(X143:Z143)</f>
        <v>0</v>
      </c>
      <c r="AB143" s="4270">
        <f>SUM('Произв. прогр. Вода'!B159)</f>
        <v>746.35</v>
      </c>
      <c r="AC143" s="4270">
        <f t="shared" ref="AC143:AC145" si="206">SUM(U143+AA143)</f>
        <v>0</v>
      </c>
      <c r="AD143" s="4270">
        <f t="shared" si="121"/>
        <v>-746.35</v>
      </c>
      <c r="AE143" s="4112"/>
      <c r="AF143" s="4112"/>
      <c r="AG143" s="4100"/>
      <c r="AH143" s="4100"/>
      <c r="AI143" s="4100"/>
      <c r="AJ143" s="4100"/>
      <c r="AK143" s="4100"/>
    </row>
    <row r="144" spans="1:37" ht="18.75" customHeight="1">
      <c r="A144" s="4106" t="s">
        <v>289</v>
      </c>
      <c r="B144" s="4269">
        <f>SUM('Произв. прогр. Вода'!H160)</f>
        <v>301.5625</v>
      </c>
      <c r="C144" s="4124"/>
      <c r="D144" s="4124"/>
      <c r="E144" s="4124"/>
      <c r="F144" s="4269">
        <f t="shared" si="165"/>
        <v>0</v>
      </c>
      <c r="G144" s="4269">
        <f>SUM('Произв. прогр. Вода'!L160)</f>
        <v>301.5625</v>
      </c>
      <c r="H144" s="4124"/>
      <c r="I144" s="4124"/>
      <c r="J144" s="4124"/>
      <c r="K144" s="4269">
        <f t="shared" si="203"/>
        <v>0</v>
      </c>
      <c r="L144" s="4270">
        <f>SUM('Произв. прогр. Вода'!M160)</f>
        <v>603.125</v>
      </c>
      <c r="M144" s="4270">
        <f t="shared" si="167"/>
        <v>0</v>
      </c>
      <c r="N144" s="4270">
        <f t="shared" si="119"/>
        <v>-603.125</v>
      </c>
      <c r="O144" s="4269">
        <f>SUM('Произв. прогр. Вода'!Q160)</f>
        <v>301.5625</v>
      </c>
      <c r="P144" s="4124"/>
      <c r="Q144" s="4124"/>
      <c r="R144" s="4124"/>
      <c r="S144" s="4269">
        <f t="shared" si="204"/>
        <v>0</v>
      </c>
      <c r="T144" s="4270">
        <f>SUM('Произв. прогр. Вода'!R160)</f>
        <v>904.6875</v>
      </c>
      <c r="U144" s="4270">
        <f t="shared" si="169"/>
        <v>0</v>
      </c>
      <c r="V144" s="4270">
        <f t="shared" si="120"/>
        <v>-904.6875</v>
      </c>
      <c r="W144" s="4269">
        <f>SUM('Произв. прогр. Вода'!V160)</f>
        <v>301.5625</v>
      </c>
      <c r="X144" s="4124"/>
      <c r="Y144" s="4124"/>
      <c r="Z144" s="4124"/>
      <c r="AA144" s="4269">
        <f t="shared" si="205"/>
        <v>0</v>
      </c>
      <c r="AB144" s="4270">
        <f>SUM('Произв. прогр. Вода'!B160)</f>
        <v>1206.25</v>
      </c>
      <c r="AC144" s="4270">
        <f t="shared" si="206"/>
        <v>0</v>
      </c>
      <c r="AD144" s="4270">
        <f t="shared" si="121"/>
        <v>-1206.25</v>
      </c>
      <c r="AE144" s="4112"/>
      <c r="AF144" s="4112"/>
      <c r="AG144" s="4100"/>
      <c r="AH144" s="4100"/>
      <c r="AI144" s="4100"/>
      <c r="AJ144" s="4100"/>
      <c r="AK144" s="4100"/>
    </row>
    <row r="145" spans="1:37" ht="18.75" customHeight="1">
      <c r="A145" s="4106" t="s">
        <v>1745</v>
      </c>
      <c r="B145" s="4269">
        <f>SUM('Произв. прогр. Вода'!H161)</f>
        <v>75.444999999999993</v>
      </c>
      <c r="C145" s="4124"/>
      <c r="D145" s="4124"/>
      <c r="E145" s="4124"/>
      <c r="F145" s="4269">
        <f t="shared" si="165"/>
        <v>0</v>
      </c>
      <c r="G145" s="4269">
        <f>SUM('Произв. прогр. Вода'!L161)</f>
        <v>75.444999999999993</v>
      </c>
      <c r="H145" s="4124"/>
      <c r="I145" s="4124"/>
      <c r="J145" s="4124"/>
      <c r="K145" s="4269">
        <f t="shared" si="203"/>
        <v>0</v>
      </c>
      <c r="L145" s="4270">
        <f>SUM('Произв. прогр. Вода'!M161)</f>
        <v>150.88999999999999</v>
      </c>
      <c r="M145" s="4270">
        <f t="shared" si="167"/>
        <v>0</v>
      </c>
      <c r="N145" s="4270">
        <f t="shared" si="119"/>
        <v>-150.88999999999999</v>
      </c>
      <c r="O145" s="4269">
        <f>SUM('Произв. прогр. Вода'!Q161)</f>
        <v>75.444999999999993</v>
      </c>
      <c r="P145" s="4124"/>
      <c r="Q145" s="4124"/>
      <c r="R145" s="4124"/>
      <c r="S145" s="4269">
        <f t="shared" si="204"/>
        <v>0</v>
      </c>
      <c r="T145" s="4270">
        <f>SUM('Произв. прогр. Вода'!R161)</f>
        <v>226.33499999999998</v>
      </c>
      <c r="U145" s="4270">
        <f t="shared" si="169"/>
        <v>0</v>
      </c>
      <c r="V145" s="4270">
        <f t="shared" si="120"/>
        <v>-226.33499999999998</v>
      </c>
      <c r="W145" s="4269">
        <f>SUM('Произв. прогр. Вода'!V161)</f>
        <v>75.444999999999993</v>
      </c>
      <c r="X145" s="4124"/>
      <c r="Y145" s="4124"/>
      <c r="Z145" s="4124"/>
      <c r="AA145" s="4269">
        <f t="shared" si="205"/>
        <v>0</v>
      </c>
      <c r="AB145" s="4270">
        <f>SUM('Произв. прогр. Вода'!B161)</f>
        <v>301.77999999999997</v>
      </c>
      <c r="AC145" s="4270">
        <f t="shared" si="206"/>
        <v>0</v>
      </c>
      <c r="AD145" s="4270">
        <f t="shared" si="121"/>
        <v>-301.77999999999997</v>
      </c>
      <c r="AE145" s="4112"/>
      <c r="AF145" s="4112"/>
      <c r="AG145" s="4100"/>
      <c r="AH145" s="4100"/>
      <c r="AI145" s="4100"/>
      <c r="AJ145" s="4100"/>
      <c r="AK145" s="4100"/>
    </row>
    <row r="146" spans="1:37" ht="18.75" customHeight="1">
      <c r="A146" s="4101" t="s">
        <v>1751</v>
      </c>
      <c r="B146" s="4117">
        <f>SUM('Произв. прогр. Вода'!H162)</f>
        <v>99.32</v>
      </c>
      <c r="C146" s="4268"/>
      <c r="D146" s="4268"/>
      <c r="E146" s="4268"/>
      <c r="F146" s="4117">
        <f t="shared" si="165"/>
        <v>0</v>
      </c>
      <c r="G146" s="4117">
        <f>SUM('Произв. прогр. Вода'!L162)</f>
        <v>99.32</v>
      </c>
      <c r="H146" s="4268"/>
      <c r="I146" s="4268"/>
      <c r="J146" s="4268"/>
      <c r="K146" s="4117">
        <f t="shared" si="203"/>
        <v>0</v>
      </c>
      <c r="L146" s="4118">
        <f>SUM('Произв. прогр. Вода'!M162)</f>
        <v>198.64</v>
      </c>
      <c r="M146" s="4118">
        <f t="shared" ref="M146" si="207">SUM(F146+K146)</f>
        <v>0</v>
      </c>
      <c r="N146" s="4118">
        <f t="shared" ref="N146" si="208">SUM(M146-L146)</f>
        <v>-198.64</v>
      </c>
      <c r="O146" s="4117">
        <f>SUM('Произв. прогр. Вода'!Q162)</f>
        <v>99.32</v>
      </c>
      <c r="P146" s="4268"/>
      <c r="Q146" s="4268"/>
      <c r="R146" s="4268"/>
      <c r="S146" s="4117">
        <f t="shared" ref="S146" si="209">SUM(P146:R146)</f>
        <v>0</v>
      </c>
      <c r="T146" s="4118">
        <f>SUM('Произв. прогр. Вода'!R162)</f>
        <v>297.95999999999998</v>
      </c>
      <c r="U146" s="4118">
        <f t="shared" si="169"/>
        <v>0</v>
      </c>
      <c r="V146" s="4118">
        <f t="shared" si="120"/>
        <v>-297.95999999999998</v>
      </c>
      <c r="W146" s="4117">
        <f>SUM('Произв. прогр. Вода'!V162)</f>
        <v>99.32</v>
      </c>
      <c r="X146" s="4268"/>
      <c r="Y146" s="4268"/>
      <c r="Z146" s="4268"/>
      <c r="AA146" s="4117">
        <f t="shared" si="170"/>
        <v>0</v>
      </c>
      <c r="AB146" s="4118">
        <f>SUM('Произв. прогр. Вода'!B162)</f>
        <v>397.28</v>
      </c>
      <c r="AC146" s="4118">
        <f t="shared" si="171"/>
        <v>0</v>
      </c>
      <c r="AD146" s="4118">
        <f t="shared" ref="AD146" si="210">SUM(AC146-AB146)</f>
        <v>-397.28</v>
      </c>
      <c r="AE146" s="4112"/>
      <c r="AF146" s="4112"/>
      <c r="AG146" s="4100"/>
      <c r="AH146" s="4100"/>
      <c r="AI146" s="4100"/>
      <c r="AJ146" s="4100"/>
      <c r="AK146" s="4100"/>
    </row>
    <row r="147" spans="1:37" ht="18.75" customHeight="1">
      <c r="A147" s="4116" t="s">
        <v>12</v>
      </c>
      <c r="B147" s="4117">
        <f>SUM('Произв. прогр. Вода'!H163)</f>
        <v>31841.764883454744</v>
      </c>
      <c r="C147" s="4117">
        <f>SUM(C25+C49+C85+C109+C130+C135+C142+C146)</f>
        <v>9822.2800000000007</v>
      </c>
      <c r="D147" s="4117">
        <f>SUM(D25+D49+D85+D109+D130+D135+D142+D146)</f>
        <v>9093.91</v>
      </c>
      <c r="E147" s="4117">
        <f>SUM(E25+E49+E85+E109+E130+E135+E142+E146)</f>
        <v>10025.09</v>
      </c>
      <c r="F147" s="4117">
        <f>SUM(F25+F49+F85+F109+F130+F135+F142+F146)</f>
        <v>28941.279999999995</v>
      </c>
      <c r="G147" s="4117">
        <f>SUM('Произв. прогр. Вода'!L163)</f>
        <v>30467.182986625085</v>
      </c>
      <c r="H147" s="4117">
        <f>SUM(H25+H49+H85+H109+H130+H135+H142+H146)</f>
        <v>12338.54</v>
      </c>
      <c r="I147" s="4117">
        <f>SUM(I25+I49+I85+I109+I130+I135+I142+I146)</f>
        <v>12174.649999999998</v>
      </c>
      <c r="J147" s="4117">
        <f>SUM(J25+J49+J85+J109+J130+J135+J142+J146)</f>
        <v>11203.669999999998</v>
      </c>
      <c r="K147" s="4117">
        <f>SUM(K25+K49+K85+K109+K130+K135+K142+K146)</f>
        <v>35716.86</v>
      </c>
      <c r="L147" s="4118">
        <f>SUM('Произв. прогр. Вода'!M163)</f>
        <v>62308.947870079828</v>
      </c>
      <c r="M147" s="4118">
        <f>SUM(M25+M49+M85+M109+M130+M135+M142+M146)</f>
        <v>64658.14</v>
      </c>
      <c r="N147" s="4118">
        <f t="shared" si="119"/>
        <v>2349.1921299201713</v>
      </c>
      <c r="O147" s="4117">
        <f>SUM('Произв. прогр. Вода'!Q163)</f>
        <v>31510.624390520865</v>
      </c>
      <c r="P147" s="4117">
        <f>SUM(P25+P49+P85+P109+P130+P135+P142+P146)</f>
        <v>10391.259999999998</v>
      </c>
      <c r="Q147" s="4117">
        <f>SUM(Q25+Q49+Q85+Q109+Q130+Q135+Q142+Q146)</f>
        <v>11652.720000000001</v>
      </c>
      <c r="R147" s="4117">
        <f>SUM(R25+R49+R85+R109+R130+R135+R142+R146)</f>
        <v>12720.169999999998</v>
      </c>
      <c r="S147" s="4117">
        <f>SUM(S25+S49+S85+S109+S130+S135+S142+S146)</f>
        <v>34764.149999999994</v>
      </c>
      <c r="T147" s="4118">
        <f>SUM('Произв. прогр. Вода'!R163)</f>
        <v>93819.572260600689</v>
      </c>
      <c r="U147" s="4118">
        <f>SUM(U25+U49+U85+U109+U130+U135+U142+U146)</f>
        <v>99422.290000000008</v>
      </c>
      <c r="V147" s="4118">
        <f t="shared" si="120"/>
        <v>5602.7177393993188</v>
      </c>
      <c r="W147" s="4117">
        <f>SUM('Произв. прогр. Вода'!V163)</f>
        <v>33044.684221808406</v>
      </c>
      <c r="X147" s="4117">
        <f>SUM(X25+X49+X85+X109+X130+X135+X142+X146)</f>
        <v>0</v>
      </c>
      <c r="Y147" s="4117">
        <f>SUM(Y25+Y49+Y85+Y109+Y130+Y135+Y142+Y146)</f>
        <v>0</v>
      </c>
      <c r="Z147" s="4117">
        <f>SUM(Z25+Z49+Z85+Z109+Z130+Z135+Z142+Z146)</f>
        <v>0</v>
      </c>
      <c r="AA147" s="4117">
        <f>SUM(AA25+AA49+AA85+AA109+AA130+AA135+AA142+AA146)</f>
        <v>0</v>
      </c>
      <c r="AB147" s="4118">
        <f>SUM('Произв. прогр. Вода'!B163)</f>
        <v>126864.26461703914</v>
      </c>
      <c r="AC147" s="4118">
        <f>SUM(AC25+AC49+AC85+AC109+AC130+AC135+AC142+AC146)</f>
        <v>99422.290000000008</v>
      </c>
      <c r="AD147" s="4118">
        <f t="shared" si="121"/>
        <v>-27441.97461703913</v>
      </c>
      <c r="AE147" s="4112"/>
      <c r="AF147" s="4112"/>
      <c r="AG147" s="4100"/>
      <c r="AH147" s="4100"/>
      <c r="AI147" s="4100"/>
      <c r="AJ147" s="4100"/>
      <c r="AK147" s="4100"/>
    </row>
    <row r="148" spans="1:37" ht="18.75" customHeight="1">
      <c r="A148" s="4116" t="s">
        <v>13</v>
      </c>
      <c r="B148" s="4117">
        <f>SUM('Произв. прогр. Вода'!H164)</f>
        <v>969.05283660000009</v>
      </c>
      <c r="C148" s="4117">
        <f t="shared" ref="C148" si="211">SUM(C14)</f>
        <v>297.70999999999998</v>
      </c>
      <c r="D148" s="4117">
        <f t="shared" ref="D148:F148" si="212">SUM(D14)</f>
        <v>313.73999999999995</v>
      </c>
      <c r="E148" s="4117">
        <f t="shared" si="212"/>
        <v>300.90999999999997</v>
      </c>
      <c r="F148" s="4117">
        <f t="shared" si="212"/>
        <v>912.3599999999999</v>
      </c>
      <c r="G148" s="4117">
        <f>SUM('Произв. прогр. Вода'!L164)</f>
        <v>934.82215469999994</v>
      </c>
      <c r="H148" s="4117">
        <f t="shared" ref="H148:K148" si="213">SUM(H14)</f>
        <v>332.07</v>
      </c>
      <c r="I148" s="4117">
        <f t="shared" si="213"/>
        <v>308.57000000000005</v>
      </c>
      <c r="J148" s="4117">
        <f t="shared" si="213"/>
        <v>299.16000000000003</v>
      </c>
      <c r="K148" s="4117">
        <f t="shared" si="213"/>
        <v>939.8</v>
      </c>
      <c r="L148" s="4118">
        <f>SUM('Произв. прогр. Вода'!M164)</f>
        <v>1903.8749913000001</v>
      </c>
      <c r="M148" s="4118">
        <f t="shared" ref="M148" si="214">SUM(M14)</f>
        <v>1852.1599999999996</v>
      </c>
      <c r="N148" s="4118">
        <f t="shared" si="119"/>
        <v>-51.71499130000052</v>
      </c>
      <c r="O148" s="4117">
        <f>SUM('Произв. прогр. Вода'!Q164)</f>
        <v>915.52058549999992</v>
      </c>
      <c r="P148" s="4117">
        <f t="shared" ref="P148:S148" si="215">SUM(P14)</f>
        <v>265.63</v>
      </c>
      <c r="Q148" s="4117">
        <f t="shared" si="215"/>
        <v>278.93665000000004</v>
      </c>
      <c r="R148" s="4117">
        <f t="shared" si="215"/>
        <v>311.65000000000003</v>
      </c>
      <c r="S148" s="4117">
        <f t="shared" si="215"/>
        <v>856.21664999999985</v>
      </c>
      <c r="T148" s="4118">
        <f>SUM('Произв. прогр. Вода'!R164)</f>
        <v>2819.3955768000001</v>
      </c>
      <c r="U148" s="4118">
        <f t="shared" ref="U148" si="216">SUM(U14)</f>
        <v>2708.3766499999997</v>
      </c>
      <c r="V148" s="4118">
        <f t="shared" si="120"/>
        <v>-111.01892680000037</v>
      </c>
      <c r="W148" s="4117">
        <f>SUM('Произв. прогр. Вода'!V164)</f>
        <v>971.95342320000009</v>
      </c>
      <c r="X148" s="4117">
        <f t="shared" ref="X148:AA148" si="217">SUM(X14)</f>
        <v>0</v>
      </c>
      <c r="Y148" s="4117">
        <f t="shared" si="217"/>
        <v>0</v>
      </c>
      <c r="Z148" s="4117">
        <f t="shared" si="217"/>
        <v>0</v>
      </c>
      <c r="AA148" s="4117">
        <f t="shared" si="217"/>
        <v>0</v>
      </c>
      <c r="AB148" s="4118">
        <f>SUM('Произв. прогр. Вода'!B164)</f>
        <v>3791.3490000000002</v>
      </c>
      <c r="AC148" s="4118">
        <f t="shared" ref="AC148" si="218">SUM(AC14)</f>
        <v>2708.3766499999997</v>
      </c>
      <c r="AD148" s="4118">
        <f t="shared" si="121"/>
        <v>-1082.9723500000005</v>
      </c>
      <c r="AE148" s="4112"/>
      <c r="AF148" s="4112"/>
      <c r="AG148" s="4100"/>
      <c r="AH148" s="4100"/>
      <c r="AI148" s="4100"/>
      <c r="AJ148" s="4100"/>
      <c r="AK148" s="4100"/>
    </row>
    <row r="149" spans="1:37" ht="18.75" customHeight="1">
      <c r="A149" s="4116" t="s">
        <v>14</v>
      </c>
      <c r="B149" s="4117">
        <f>SUM('Произв. прогр. Вода'!H165)</f>
        <v>32.85864679492002</v>
      </c>
      <c r="C149" s="4117">
        <f t="shared" ref="C149:F149" si="219">SUM(C147/C148)</f>
        <v>32.992778206979949</v>
      </c>
      <c r="D149" s="4117">
        <f t="shared" si="219"/>
        <v>28.985497545738514</v>
      </c>
      <c r="E149" s="4117">
        <f t="shared" si="219"/>
        <v>33.31590841115284</v>
      </c>
      <c r="F149" s="4117">
        <f t="shared" si="219"/>
        <v>31.72133806830637</v>
      </c>
      <c r="G149" s="4117">
        <f>SUM('Произв. прогр. Вода'!L165)</f>
        <v>32.591421623295304</v>
      </c>
      <c r="H149" s="4117">
        <f t="shared" ref="H149:M149" si="220">SUM(H147/H148)</f>
        <v>37.156442918661732</v>
      </c>
      <c r="I149" s="4117">
        <f t="shared" si="220"/>
        <v>39.455066921606104</v>
      </c>
      <c r="J149" s="4117">
        <f t="shared" si="220"/>
        <v>37.450427864687782</v>
      </c>
      <c r="K149" s="4117">
        <f t="shared" si="220"/>
        <v>38.004745690572463</v>
      </c>
      <c r="L149" s="4118">
        <f>SUM('Произв. прогр. Вода'!M165)</f>
        <v>32.727436493891943</v>
      </c>
      <c r="M149" s="4118">
        <f t="shared" si="220"/>
        <v>34.909586644782316</v>
      </c>
      <c r="N149" s="4118">
        <f t="shared" si="119"/>
        <v>2.1821501508903722</v>
      </c>
      <c r="O149" s="4117">
        <f>SUM('Произв. прогр. Вода'!Q165)</f>
        <v>34.418258736707422</v>
      </c>
      <c r="P149" s="4117">
        <f t="shared" ref="P149:U149" si="221">SUM(P147/P148)</f>
        <v>39.119301283740533</v>
      </c>
      <c r="Q149" s="4117">
        <f t="shared" si="221"/>
        <v>41.775507090946995</v>
      </c>
      <c r="R149" s="4117">
        <f t="shared" si="221"/>
        <v>40.815562329536327</v>
      </c>
      <c r="S149" s="4117">
        <f t="shared" si="221"/>
        <v>40.602048558621235</v>
      </c>
      <c r="T149" s="4118">
        <f>SUM('Произв. прогр. Вода'!R165)</f>
        <v>33.276484162994052</v>
      </c>
      <c r="U149" s="4118">
        <f t="shared" si="221"/>
        <v>36.709181494383365</v>
      </c>
      <c r="V149" s="4118">
        <f t="shared" si="120"/>
        <v>3.4326973313893134</v>
      </c>
      <c r="W149" s="4117">
        <f>SUM('Произв. прогр. Вода'!V165)</f>
        <v>33.998217849795836</v>
      </c>
      <c r="X149" s="4117" t="e">
        <f t="shared" ref="X149:AC149" si="222">SUM(X147/X148)</f>
        <v>#DIV/0!</v>
      </c>
      <c r="Y149" s="4117" t="e">
        <f t="shared" si="222"/>
        <v>#DIV/0!</v>
      </c>
      <c r="Z149" s="4117" t="e">
        <f t="shared" si="222"/>
        <v>#DIV/0!</v>
      </c>
      <c r="AA149" s="4117" t="e">
        <f t="shared" si="222"/>
        <v>#DIV/0!</v>
      </c>
      <c r="AB149" s="4118">
        <f>SUM('Произв. прогр. Вода'!B165)</f>
        <v>33.46151056445585</v>
      </c>
      <c r="AC149" s="4118">
        <f t="shared" si="222"/>
        <v>36.709181494383365</v>
      </c>
      <c r="AD149" s="4118">
        <f t="shared" si="121"/>
        <v>3.2476709299275157</v>
      </c>
      <c r="AE149" s="4112"/>
      <c r="AF149" s="4112"/>
      <c r="AG149" s="4100"/>
      <c r="AH149" s="4100"/>
      <c r="AI149" s="4100"/>
      <c r="AJ149" s="4100"/>
      <c r="AK149" s="4100"/>
    </row>
    <row r="150" spans="1:37" ht="18.75" customHeight="1">
      <c r="A150" s="4126" t="s">
        <v>1883</v>
      </c>
      <c r="B150" s="4117">
        <f>SUM(B151:B152)</f>
        <v>0</v>
      </c>
      <c r="C150" s="4117">
        <f t="shared" ref="C150:AD150" si="223">SUM(C151:C152)</f>
        <v>0</v>
      </c>
      <c r="D150" s="4117">
        <f t="shared" si="223"/>
        <v>0</v>
      </c>
      <c r="E150" s="4117">
        <f t="shared" si="223"/>
        <v>0</v>
      </c>
      <c r="F150" s="4117">
        <f t="shared" si="223"/>
        <v>0</v>
      </c>
      <c r="G150" s="4117">
        <f t="shared" si="223"/>
        <v>0</v>
      </c>
      <c r="H150" s="4117">
        <f t="shared" si="223"/>
        <v>0</v>
      </c>
      <c r="I150" s="4117">
        <f t="shared" si="223"/>
        <v>0</v>
      </c>
      <c r="J150" s="4117">
        <f t="shared" si="223"/>
        <v>0</v>
      </c>
      <c r="K150" s="4117">
        <f t="shared" si="223"/>
        <v>0</v>
      </c>
      <c r="L150" s="4118">
        <f t="shared" si="223"/>
        <v>0</v>
      </c>
      <c r="M150" s="4118">
        <f t="shared" si="223"/>
        <v>0</v>
      </c>
      <c r="N150" s="4118">
        <f t="shared" si="223"/>
        <v>0</v>
      </c>
      <c r="O150" s="4117">
        <f t="shared" si="223"/>
        <v>0</v>
      </c>
      <c r="P150" s="4117">
        <f t="shared" si="223"/>
        <v>0</v>
      </c>
      <c r="Q150" s="4117">
        <f t="shared" si="223"/>
        <v>0</v>
      </c>
      <c r="R150" s="4117">
        <f t="shared" si="223"/>
        <v>0</v>
      </c>
      <c r="S150" s="4117">
        <f t="shared" si="223"/>
        <v>0</v>
      </c>
      <c r="T150" s="4118">
        <f t="shared" si="223"/>
        <v>0</v>
      </c>
      <c r="U150" s="4118">
        <f t="shared" si="223"/>
        <v>0</v>
      </c>
      <c r="V150" s="4118">
        <f t="shared" si="223"/>
        <v>0</v>
      </c>
      <c r="W150" s="4117">
        <f t="shared" si="223"/>
        <v>0</v>
      </c>
      <c r="X150" s="4117">
        <f t="shared" si="223"/>
        <v>0</v>
      </c>
      <c r="Y150" s="4117">
        <f t="shared" si="223"/>
        <v>0</v>
      </c>
      <c r="Z150" s="4117">
        <f t="shared" si="223"/>
        <v>0</v>
      </c>
      <c r="AA150" s="4117">
        <f t="shared" si="223"/>
        <v>0</v>
      </c>
      <c r="AB150" s="4118">
        <f t="shared" si="223"/>
        <v>0</v>
      </c>
      <c r="AC150" s="4118">
        <f t="shared" si="223"/>
        <v>0</v>
      </c>
      <c r="AD150" s="4118">
        <f t="shared" si="223"/>
        <v>0</v>
      </c>
      <c r="AE150" s="4112"/>
      <c r="AF150" s="4112"/>
      <c r="AG150" s="4100"/>
      <c r="AH150" s="4100"/>
      <c r="AI150" s="4100"/>
      <c r="AJ150" s="4100"/>
      <c r="AK150" s="4100"/>
    </row>
    <row r="151" spans="1:37" ht="18.75" customHeight="1">
      <c r="A151" s="4115" t="s">
        <v>1884</v>
      </c>
      <c r="B151" s="4269">
        <v>0</v>
      </c>
      <c r="C151" s="4124"/>
      <c r="D151" s="4124"/>
      <c r="E151" s="4273"/>
      <c r="F151" s="4269">
        <f>SUM(C151:E151)</f>
        <v>0</v>
      </c>
      <c r="G151" s="4269">
        <v>0</v>
      </c>
      <c r="H151" s="4124"/>
      <c r="I151" s="4124"/>
      <c r="J151" s="4124"/>
      <c r="K151" s="4269">
        <f>SUM(H151:J151)</f>
        <v>0</v>
      </c>
      <c r="L151" s="4270">
        <v>0</v>
      </c>
      <c r="M151" s="4270">
        <f t="shared" ref="M151:M152" si="224">SUM(F151+K151)</f>
        <v>0</v>
      </c>
      <c r="N151" s="4270">
        <v>0</v>
      </c>
      <c r="O151" s="4269">
        <v>0</v>
      </c>
      <c r="P151" s="4124"/>
      <c r="Q151" s="4124"/>
      <c r="R151" s="4124"/>
      <c r="S151" s="4269">
        <f t="shared" ref="S151:S152" si="225">SUM(P151:R151)</f>
        <v>0</v>
      </c>
      <c r="T151" s="4270">
        <v>0</v>
      </c>
      <c r="U151" s="4270">
        <f t="shared" ref="U151:U152" si="226">SUM(M151+S151)</f>
        <v>0</v>
      </c>
      <c r="V151" s="4270">
        <v>0</v>
      </c>
      <c r="W151" s="4269">
        <v>0</v>
      </c>
      <c r="X151" s="4124"/>
      <c r="Y151" s="4124"/>
      <c r="Z151" s="4124"/>
      <c r="AA151" s="4269">
        <f t="shared" ref="AA151:AA152" si="227">SUM(X151:Z151)</f>
        <v>0</v>
      </c>
      <c r="AB151" s="4270">
        <v>0</v>
      </c>
      <c r="AC151" s="4270">
        <f t="shared" ref="AC151:AC152" si="228">SUM(U151+AA151)</f>
        <v>0</v>
      </c>
      <c r="AD151" s="4270">
        <v>0</v>
      </c>
      <c r="AE151" s="4112"/>
      <c r="AF151" s="4112"/>
      <c r="AG151" s="4100"/>
      <c r="AH151" s="4100"/>
      <c r="AI151" s="4100"/>
      <c r="AJ151" s="4100"/>
      <c r="AK151" s="4100"/>
    </row>
    <row r="152" spans="1:37" ht="18.75" customHeight="1">
      <c r="A152" s="4115" t="s">
        <v>1885</v>
      </c>
      <c r="B152" s="4269">
        <v>0</v>
      </c>
      <c r="C152" s="4124"/>
      <c r="D152" s="4124"/>
      <c r="E152" s="4124"/>
      <c r="F152" s="4269">
        <f>SUM(C152:E152)</f>
        <v>0</v>
      </c>
      <c r="G152" s="4269">
        <v>0</v>
      </c>
      <c r="H152" s="4124"/>
      <c r="I152" s="4124"/>
      <c r="J152" s="4124"/>
      <c r="K152" s="4269">
        <f>SUM(H152:J152)</f>
        <v>0</v>
      </c>
      <c r="L152" s="4270">
        <v>0</v>
      </c>
      <c r="M152" s="4270">
        <f t="shared" si="224"/>
        <v>0</v>
      </c>
      <c r="N152" s="4270">
        <v>0</v>
      </c>
      <c r="O152" s="4269">
        <v>0</v>
      </c>
      <c r="P152" s="4124"/>
      <c r="Q152" s="4124"/>
      <c r="R152" s="4124"/>
      <c r="S152" s="4269">
        <f t="shared" si="225"/>
        <v>0</v>
      </c>
      <c r="T152" s="4270">
        <v>0</v>
      </c>
      <c r="U152" s="4270">
        <f t="shared" si="226"/>
        <v>0</v>
      </c>
      <c r="V152" s="4270">
        <v>0</v>
      </c>
      <c r="W152" s="4269">
        <v>0</v>
      </c>
      <c r="X152" s="4124"/>
      <c r="Y152" s="4124"/>
      <c r="Z152" s="4124"/>
      <c r="AA152" s="4269">
        <f t="shared" si="227"/>
        <v>0</v>
      </c>
      <c r="AB152" s="4270">
        <v>0</v>
      </c>
      <c r="AC152" s="4270">
        <f t="shared" si="228"/>
        <v>0</v>
      </c>
      <c r="AD152" s="4270">
        <v>0</v>
      </c>
      <c r="AE152" s="4112"/>
      <c r="AF152" s="4112"/>
      <c r="AG152" s="4100"/>
      <c r="AH152" s="4100"/>
      <c r="AI152" s="4100"/>
      <c r="AJ152" s="4100"/>
      <c r="AK152" s="4100"/>
    </row>
    <row r="153" spans="1:37" ht="18.75" customHeight="1">
      <c r="A153" s="4126" t="s">
        <v>1886</v>
      </c>
      <c r="B153" s="4274">
        <f>SUM(B147+B150)</f>
        <v>31841.764883454744</v>
      </c>
      <c r="C153" s="4274">
        <f t="shared" ref="C153:AD153" si="229">SUM(C147+C150)</f>
        <v>9822.2800000000007</v>
      </c>
      <c r="D153" s="4274">
        <f t="shared" si="229"/>
        <v>9093.91</v>
      </c>
      <c r="E153" s="4274">
        <f t="shared" si="229"/>
        <v>10025.09</v>
      </c>
      <c r="F153" s="4274">
        <f t="shared" si="229"/>
        <v>28941.279999999995</v>
      </c>
      <c r="G153" s="4274">
        <f t="shared" si="229"/>
        <v>30467.182986625085</v>
      </c>
      <c r="H153" s="4274">
        <f t="shared" si="229"/>
        <v>12338.54</v>
      </c>
      <c r="I153" s="4274">
        <f t="shared" si="229"/>
        <v>12174.649999999998</v>
      </c>
      <c r="J153" s="4274">
        <f t="shared" si="229"/>
        <v>11203.669999999998</v>
      </c>
      <c r="K153" s="4274">
        <f t="shared" si="229"/>
        <v>35716.86</v>
      </c>
      <c r="L153" s="4275">
        <f t="shared" si="229"/>
        <v>62308.947870079828</v>
      </c>
      <c r="M153" s="4275">
        <f t="shared" si="229"/>
        <v>64658.14</v>
      </c>
      <c r="N153" s="4275">
        <f t="shared" si="229"/>
        <v>2349.1921299201713</v>
      </c>
      <c r="O153" s="4274">
        <f t="shared" si="229"/>
        <v>31510.624390520865</v>
      </c>
      <c r="P153" s="4274">
        <f t="shared" si="229"/>
        <v>10391.259999999998</v>
      </c>
      <c r="Q153" s="4274">
        <f t="shared" si="229"/>
        <v>11652.720000000001</v>
      </c>
      <c r="R153" s="4274">
        <f t="shared" si="229"/>
        <v>12720.169999999998</v>
      </c>
      <c r="S153" s="4274">
        <f t="shared" si="229"/>
        <v>34764.149999999994</v>
      </c>
      <c r="T153" s="4275">
        <f t="shared" si="229"/>
        <v>93819.572260600689</v>
      </c>
      <c r="U153" s="4275">
        <f t="shared" si="229"/>
        <v>99422.290000000008</v>
      </c>
      <c r="V153" s="4275">
        <f t="shared" si="229"/>
        <v>5602.7177393993188</v>
      </c>
      <c r="W153" s="4274">
        <f t="shared" si="229"/>
        <v>33044.684221808406</v>
      </c>
      <c r="X153" s="4274">
        <f t="shared" si="229"/>
        <v>0</v>
      </c>
      <c r="Y153" s="4274">
        <f t="shared" si="229"/>
        <v>0</v>
      </c>
      <c r="Z153" s="4274">
        <f t="shared" si="229"/>
        <v>0</v>
      </c>
      <c r="AA153" s="4274">
        <f t="shared" si="229"/>
        <v>0</v>
      </c>
      <c r="AB153" s="4275">
        <f t="shared" si="229"/>
        <v>126864.26461703914</v>
      </c>
      <c r="AC153" s="4275">
        <f t="shared" si="229"/>
        <v>99422.290000000008</v>
      </c>
      <c r="AD153" s="4275">
        <f t="shared" si="229"/>
        <v>-27441.97461703913</v>
      </c>
      <c r="AE153" s="4093"/>
      <c r="AF153" s="4093"/>
      <c r="AG153" s="4093"/>
      <c r="AH153" s="4093"/>
      <c r="AI153" s="4093"/>
      <c r="AJ153" s="4093"/>
      <c r="AK153" s="4093"/>
    </row>
    <row r="154" spans="1:37">
      <c r="A154" s="4093"/>
      <c r="B154" s="4093"/>
      <c r="C154" s="4093"/>
      <c r="D154" s="4093"/>
      <c r="E154" s="4093"/>
      <c r="F154" s="4093"/>
      <c r="G154" s="4093"/>
      <c r="H154" s="4093"/>
      <c r="I154" s="4093"/>
      <c r="J154" s="4093"/>
      <c r="K154" s="4093"/>
      <c r="L154" s="4093"/>
      <c r="M154" s="4093"/>
      <c r="N154" s="4093"/>
      <c r="O154" s="4093"/>
      <c r="P154" s="4093"/>
      <c r="Q154" s="4093"/>
      <c r="R154" s="4093"/>
      <c r="S154" s="4093"/>
      <c r="T154" s="4093"/>
      <c r="U154" s="4093"/>
      <c r="V154" s="4093"/>
      <c r="W154" s="4093"/>
      <c r="X154" s="4093"/>
      <c r="Y154" s="4093"/>
      <c r="Z154" s="4093"/>
      <c r="AA154" s="4093"/>
      <c r="AB154" s="4093"/>
      <c r="AC154" s="4093"/>
      <c r="AD154" s="4093"/>
      <c r="AE154" s="4093"/>
      <c r="AF154" s="4093"/>
      <c r="AG154" s="4093"/>
      <c r="AH154" s="4093"/>
      <c r="AI154" s="4093"/>
      <c r="AJ154" s="4093"/>
      <c r="AK154" s="4093"/>
    </row>
    <row r="155" spans="1:37">
      <c r="A155" s="4093"/>
      <c r="B155" s="4093"/>
      <c r="C155" s="4093"/>
      <c r="D155" s="4093"/>
      <c r="E155" s="4093"/>
      <c r="F155" s="4093"/>
      <c r="G155" s="4093"/>
      <c r="H155" s="4093"/>
      <c r="I155" s="4093"/>
      <c r="J155" s="4093"/>
      <c r="K155" s="4093"/>
      <c r="L155" s="4093"/>
      <c r="M155" s="4093"/>
      <c r="N155" s="4093"/>
      <c r="O155" s="4093"/>
      <c r="P155" s="4093"/>
      <c r="Q155" s="4093"/>
      <c r="R155" s="4093"/>
      <c r="S155" s="4093"/>
      <c r="T155" s="4093"/>
      <c r="U155" s="4093"/>
      <c r="V155" s="4093"/>
      <c r="W155" s="4093"/>
      <c r="X155" s="4093"/>
      <c r="Y155" s="4093"/>
      <c r="Z155" s="4093"/>
      <c r="AA155" s="4093"/>
      <c r="AB155" s="4093"/>
      <c r="AC155" s="4093"/>
      <c r="AD155" s="4093"/>
      <c r="AE155" s="4093"/>
      <c r="AF155" s="4093"/>
      <c r="AG155" s="4093"/>
      <c r="AH155" s="4093"/>
      <c r="AI155" s="4093"/>
      <c r="AJ155" s="4093"/>
      <c r="AK155" s="4093"/>
    </row>
    <row r="156" spans="1:37" ht="20.25">
      <c r="A156" s="4088" t="s">
        <v>1918</v>
      </c>
      <c r="B156" s="4093"/>
      <c r="C156" s="4093"/>
      <c r="D156" s="4093"/>
      <c r="E156" s="4093"/>
      <c r="F156" s="4093"/>
      <c r="G156" s="4093"/>
      <c r="H156" s="4093"/>
      <c r="I156" s="4093"/>
      <c r="J156" s="4093"/>
      <c r="K156" s="4093"/>
      <c r="L156" s="4093"/>
      <c r="M156" s="4093"/>
      <c r="N156" s="4093"/>
      <c r="O156" s="4093"/>
      <c r="P156" s="4093"/>
      <c r="Q156" s="4093"/>
      <c r="R156" s="4093"/>
      <c r="S156" s="4093"/>
      <c r="T156" s="4093"/>
      <c r="U156" s="4093"/>
      <c r="V156" s="4093"/>
      <c r="W156" s="4093"/>
      <c r="X156" s="4093"/>
      <c r="Y156" s="4093"/>
      <c r="Z156" s="4093"/>
      <c r="AA156" s="4093"/>
      <c r="AB156" s="4093"/>
      <c r="AC156" s="4093"/>
      <c r="AD156" s="4093"/>
      <c r="AE156" s="4093"/>
      <c r="AF156" s="4093"/>
      <c r="AG156" s="4093"/>
      <c r="AH156" s="4093"/>
      <c r="AI156" s="4093"/>
      <c r="AJ156" s="4093"/>
      <c r="AK156" s="4093"/>
    </row>
    <row r="157" spans="1:37" ht="20.25">
      <c r="A157" s="4094" t="s">
        <v>1887</v>
      </c>
      <c r="B157" s="4093"/>
      <c r="C157" s="4093"/>
      <c r="D157" s="4093"/>
      <c r="E157" s="4093"/>
      <c r="F157" s="4093"/>
      <c r="G157" s="4093"/>
      <c r="H157" s="4093"/>
      <c r="I157" s="4093"/>
      <c r="J157" s="4093"/>
      <c r="K157" s="4093"/>
      <c r="L157" s="4093"/>
      <c r="M157" s="4093"/>
      <c r="N157" s="4093"/>
      <c r="O157" s="4093"/>
      <c r="P157" s="4093"/>
      <c r="Q157" s="4093"/>
      <c r="R157" s="4093"/>
      <c r="S157" s="4093"/>
      <c r="T157" s="4093"/>
      <c r="U157" s="4093"/>
      <c r="V157" s="4093"/>
      <c r="W157" s="4093"/>
      <c r="X157" s="4093"/>
      <c r="Y157" s="4093"/>
      <c r="Z157" s="4093"/>
      <c r="AA157" s="4093"/>
      <c r="AB157" s="4093"/>
      <c r="AC157" s="4093"/>
      <c r="AD157" s="4093"/>
      <c r="AE157" s="4093"/>
      <c r="AF157" s="4093"/>
      <c r="AG157" s="4093"/>
      <c r="AH157" s="4093"/>
      <c r="AI157" s="4093"/>
      <c r="AJ157" s="4093"/>
      <c r="AK157" s="4093"/>
    </row>
    <row r="158" spans="1:37" ht="20.25">
      <c r="A158" s="4094"/>
      <c r="B158" s="4093"/>
      <c r="C158" s="4093"/>
      <c r="D158" s="4093"/>
      <c r="E158" s="4093"/>
      <c r="F158" s="4093"/>
      <c r="G158" s="4093"/>
      <c r="H158" s="4093"/>
      <c r="I158" s="4093"/>
      <c r="J158" s="4093"/>
      <c r="K158" s="4093"/>
      <c r="L158" s="4093"/>
      <c r="M158" s="4093"/>
      <c r="N158" s="4093"/>
      <c r="O158" s="4093"/>
      <c r="P158" s="4093"/>
      <c r="Q158" s="4093"/>
      <c r="R158" s="4093"/>
      <c r="S158" s="4093"/>
      <c r="T158" s="4093"/>
      <c r="U158" s="4093"/>
      <c r="V158" s="4093"/>
      <c r="W158" s="4093"/>
      <c r="X158" s="4093"/>
      <c r="Y158" s="4093"/>
      <c r="Z158" s="4093"/>
      <c r="AA158" s="4093"/>
      <c r="AB158" s="4093"/>
      <c r="AC158" s="4093"/>
      <c r="AD158" s="4093"/>
      <c r="AE158" s="4093"/>
      <c r="AF158" s="4093"/>
      <c r="AG158" s="4093"/>
      <c r="AH158" s="4093"/>
      <c r="AI158" s="4093"/>
      <c r="AJ158" s="4093"/>
      <c r="AK158" s="4093"/>
    </row>
    <row r="159" spans="1:37" ht="18.75">
      <c r="A159" s="4096" t="s">
        <v>1868</v>
      </c>
      <c r="B159" s="4127"/>
      <c r="C159" s="4127"/>
      <c r="D159" s="4127"/>
      <c r="E159" s="4127"/>
      <c r="F159" s="4127"/>
      <c r="G159" s="4127"/>
      <c r="H159" s="4127"/>
      <c r="I159" s="4127"/>
      <c r="J159" s="4127"/>
      <c r="K159" s="4127"/>
      <c r="L159" s="4127"/>
      <c r="M159" s="4127"/>
      <c r="N159" s="4127"/>
      <c r="O159" s="4127"/>
      <c r="P159" s="4127"/>
      <c r="Q159" s="4127"/>
      <c r="R159" s="4127"/>
      <c r="S159" s="4127"/>
      <c r="T159" s="4127"/>
      <c r="U159" s="4127"/>
      <c r="V159" s="4127"/>
      <c r="W159" s="4127"/>
      <c r="X159" s="4127"/>
      <c r="Y159" s="4127"/>
      <c r="Z159" s="4127"/>
      <c r="AA159" s="4127"/>
      <c r="AB159" s="4127"/>
      <c r="AC159" s="4127"/>
      <c r="AD159" s="4128"/>
      <c r="AE159" s="4093"/>
      <c r="AF159" s="4093"/>
      <c r="AG159" s="4093"/>
      <c r="AH159" s="4093"/>
      <c r="AI159" s="4093"/>
      <c r="AJ159" s="4093"/>
      <c r="AK159" s="4093"/>
    </row>
    <row r="160" spans="1:37" ht="18.75">
      <c r="A160" s="4340" t="s">
        <v>546</v>
      </c>
      <c r="B160" s="4338" t="s">
        <v>1869</v>
      </c>
      <c r="C160" s="4338"/>
      <c r="D160" s="4338"/>
      <c r="E160" s="4338"/>
      <c r="F160" s="4338"/>
      <c r="G160" s="4338" t="s">
        <v>1870</v>
      </c>
      <c r="H160" s="4338"/>
      <c r="I160" s="4338"/>
      <c r="J160" s="4338"/>
      <c r="K160" s="4338"/>
      <c r="L160" s="4336" t="s">
        <v>1871</v>
      </c>
      <c r="M160" s="4336"/>
      <c r="N160" s="4336"/>
      <c r="O160" s="4338" t="s">
        <v>1872</v>
      </c>
      <c r="P160" s="4338"/>
      <c r="Q160" s="4338"/>
      <c r="R160" s="4338"/>
      <c r="S160" s="4338"/>
      <c r="T160" s="4336" t="s">
        <v>1873</v>
      </c>
      <c r="U160" s="4336"/>
      <c r="V160" s="4336"/>
      <c r="W160" s="4338" t="s">
        <v>1874</v>
      </c>
      <c r="X160" s="4338"/>
      <c r="Y160" s="4338"/>
      <c r="Z160" s="4338"/>
      <c r="AA160" s="4338"/>
      <c r="AB160" s="4336" t="s">
        <v>887</v>
      </c>
      <c r="AC160" s="4336"/>
      <c r="AD160" s="4336"/>
      <c r="AE160" s="4093"/>
      <c r="AF160" s="4093"/>
      <c r="AG160" s="4093"/>
      <c r="AH160" s="4093"/>
      <c r="AI160" s="4093"/>
      <c r="AJ160" s="4093"/>
      <c r="AK160" s="4093"/>
    </row>
    <row r="161" spans="1:37" ht="12.75" customHeight="1">
      <c r="A161" s="4341"/>
      <c r="B161" s="4337" t="s">
        <v>1875</v>
      </c>
      <c r="C161" s="4338" t="s">
        <v>587</v>
      </c>
      <c r="D161" s="4338" t="s">
        <v>588</v>
      </c>
      <c r="E161" s="4338" t="s">
        <v>589</v>
      </c>
      <c r="F161" s="4337" t="s">
        <v>1876</v>
      </c>
      <c r="G161" s="4337" t="s">
        <v>1875</v>
      </c>
      <c r="H161" s="4338" t="s">
        <v>1563</v>
      </c>
      <c r="I161" s="4338" t="s">
        <v>591</v>
      </c>
      <c r="J161" s="4338" t="s">
        <v>592</v>
      </c>
      <c r="K161" s="4337" t="s">
        <v>1876</v>
      </c>
      <c r="L161" s="4339" t="s">
        <v>1875</v>
      </c>
      <c r="M161" s="4339" t="s">
        <v>1876</v>
      </c>
      <c r="N161" s="4336" t="s">
        <v>1877</v>
      </c>
      <c r="O161" s="4337" t="s">
        <v>1875</v>
      </c>
      <c r="P161" s="4338" t="s">
        <v>593</v>
      </c>
      <c r="Q161" s="4338" t="s">
        <v>594</v>
      </c>
      <c r="R161" s="4338" t="s">
        <v>595</v>
      </c>
      <c r="S161" s="4337" t="s">
        <v>1876</v>
      </c>
      <c r="T161" s="4339" t="s">
        <v>1875</v>
      </c>
      <c r="U161" s="4339" t="s">
        <v>1876</v>
      </c>
      <c r="V161" s="4336" t="s">
        <v>1877</v>
      </c>
      <c r="W161" s="4337" t="s">
        <v>1875</v>
      </c>
      <c r="X161" s="4338" t="s">
        <v>596</v>
      </c>
      <c r="Y161" s="4338" t="s">
        <v>597</v>
      </c>
      <c r="Z161" s="4338" t="s">
        <v>598</v>
      </c>
      <c r="AA161" s="4337" t="s">
        <v>1876</v>
      </c>
      <c r="AB161" s="4339" t="s">
        <v>1875</v>
      </c>
      <c r="AC161" s="4339" t="s">
        <v>1876</v>
      </c>
      <c r="AD161" s="4336" t="s">
        <v>1877</v>
      </c>
      <c r="AE161" s="4093"/>
      <c r="AF161" s="4093"/>
      <c r="AG161" s="4093"/>
      <c r="AH161" s="4093"/>
      <c r="AI161" s="4093"/>
      <c r="AJ161" s="4093"/>
      <c r="AK161" s="4093"/>
    </row>
    <row r="162" spans="1:37" ht="12.75" customHeight="1">
      <c r="A162" s="4341"/>
      <c r="B162" s="4337"/>
      <c r="C162" s="4338"/>
      <c r="D162" s="4338"/>
      <c r="E162" s="4338"/>
      <c r="F162" s="4337"/>
      <c r="G162" s="4337"/>
      <c r="H162" s="4338"/>
      <c r="I162" s="4338"/>
      <c r="J162" s="4338"/>
      <c r="K162" s="4337"/>
      <c r="L162" s="4339"/>
      <c r="M162" s="4339"/>
      <c r="N162" s="4336"/>
      <c r="O162" s="4337"/>
      <c r="P162" s="4338"/>
      <c r="Q162" s="4338"/>
      <c r="R162" s="4338"/>
      <c r="S162" s="4337"/>
      <c r="T162" s="4339"/>
      <c r="U162" s="4339"/>
      <c r="V162" s="4336"/>
      <c r="W162" s="4337"/>
      <c r="X162" s="4338"/>
      <c r="Y162" s="4338"/>
      <c r="Z162" s="4338"/>
      <c r="AA162" s="4337"/>
      <c r="AB162" s="4339"/>
      <c r="AC162" s="4339"/>
      <c r="AD162" s="4336"/>
      <c r="AE162" s="4093"/>
      <c r="AF162" s="4093"/>
      <c r="AG162" s="4093"/>
      <c r="AH162" s="4093"/>
      <c r="AI162" s="4093"/>
      <c r="AJ162" s="4093"/>
      <c r="AK162" s="4093"/>
    </row>
    <row r="163" spans="1:37" ht="18.75">
      <c r="A163" s="4101" t="s">
        <v>1726</v>
      </c>
      <c r="B163" s="4117">
        <f>SUM(B8)</f>
        <v>1423.8436242759692</v>
      </c>
      <c r="C163" s="4117">
        <f t="shared" ref="C163:E164" si="230">SUM(C8)</f>
        <v>508.25</v>
      </c>
      <c r="D163" s="4117">
        <f t="shared" si="230"/>
        <v>454.69</v>
      </c>
      <c r="E163" s="4117">
        <f t="shared" si="230"/>
        <v>498.41199999999998</v>
      </c>
      <c r="F163" s="4117">
        <f>SUM(C163:E163)</f>
        <v>1461.3520000000001</v>
      </c>
      <c r="G163" s="4117">
        <f>SUM(G8)</f>
        <v>1373.5479785308526</v>
      </c>
      <c r="H163" s="4117">
        <f t="shared" ref="H163:J164" si="231">SUM(H8)</f>
        <v>538.62</v>
      </c>
      <c r="I163" s="4117">
        <f t="shared" si="231"/>
        <v>593.98299999999995</v>
      </c>
      <c r="J163" s="4117">
        <f>SUM(J8)</f>
        <v>608.50800000000004</v>
      </c>
      <c r="K163" s="4117">
        <f>SUM(H163:J163)</f>
        <v>1741.1110000000001</v>
      </c>
      <c r="L163" s="4118">
        <f>SUM(L8)</f>
        <v>2797.3916028068215</v>
      </c>
      <c r="M163" s="4118">
        <f>SUM(F163+K163)</f>
        <v>3202.4630000000002</v>
      </c>
      <c r="N163" s="4118">
        <f>SUM(M163-L163)</f>
        <v>405.07139719317865</v>
      </c>
      <c r="O163" s="4117">
        <f>SUM(O8)</f>
        <v>1345.187898248372</v>
      </c>
      <c r="P163" s="4117">
        <f t="shared" ref="P163:R164" si="232">SUM(P8)</f>
        <v>612.81299999999999</v>
      </c>
      <c r="Q163" s="4117">
        <f t="shared" si="232"/>
        <v>615.16999999999996</v>
      </c>
      <c r="R163" s="4117">
        <f t="shared" si="232"/>
        <v>603.98</v>
      </c>
      <c r="S163" s="4117">
        <f>SUM(P163:R163)</f>
        <v>1831.963</v>
      </c>
      <c r="T163" s="4118">
        <f>SUM(T8)</f>
        <v>4142.5795010551938</v>
      </c>
      <c r="U163" s="4118">
        <f>SUM(M163+S163)</f>
        <v>5034.4260000000004</v>
      </c>
      <c r="V163" s="4118">
        <f>SUM(U163-T163)</f>
        <v>891.84649894480663</v>
      </c>
      <c r="W163" s="4117">
        <f>SUM(W8)</f>
        <v>1428.1054989448064</v>
      </c>
      <c r="X163" s="4117">
        <f t="shared" ref="X163:Z164" si="233">SUM(X8)</f>
        <v>0</v>
      </c>
      <c r="Y163" s="4117">
        <f t="shared" si="233"/>
        <v>0</v>
      </c>
      <c r="Z163" s="4117">
        <f t="shared" si="233"/>
        <v>0</v>
      </c>
      <c r="AA163" s="4117">
        <f>SUM(X163:Z163)</f>
        <v>0</v>
      </c>
      <c r="AB163" s="4118">
        <f>SUM(AB8)</f>
        <v>5570.6850000000004</v>
      </c>
      <c r="AC163" s="4118">
        <f>SUM(U163+AA163)</f>
        <v>5034.4260000000004</v>
      </c>
      <c r="AD163" s="4118">
        <f>SUM(AC163-AB163)</f>
        <v>-536.25900000000001</v>
      </c>
      <c r="AE163" s="4093"/>
      <c r="AF163" s="4093"/>
      <c r="AG163" s="4093"/>
      <c r="AH163" s="4093"/>
      <c r="AI163" s="4093"/>
      <c r="AJ163" s="4093"/>
      <c r="AK163" s="4093"/>
    </row>
    <row r="164" spans="1:37" ht="18.75">
      <c r="A164" s="4102" t="s">
        <v>20</v>
      </c>
      <c r="B164" s="4121">
        <f>SUM(B9)</f>
        <v>213.54924999999997</v>
      </c>
      <c r="C164" s="4121">
        <f t="shared" si="230"/>
        <v>37.540999999999997</v>
      </c>
      <c r="D164" s="4121">
        <f t="shared" si="230"/>
        <v>38.46</v>
      </c>
      <c r="E164" s="4121">
        <f t="shared" si="230"/>
        <v>38.691000000000003</v>
      </c>
      <c r="F164" s="4121">
        <f>SUM(C164:E164)</f>
        <v>114.69200000000001</v>
      </c>
      <c r="G164" s="4121">
        <f>SUM(G9)</f>
        <v>213.54924999999997</v>
      </c>
      <c r="H164" s="4121">
        <f t="shared" si="231"/>
        <v>87.93</v>
      </c>
      <c r="I164" s="4121">
        <f t="shared" si="231"/>
        <v>120.30800000000001</v>
      </c>
      <c r="J164" s="4121">
        <f t="shared" si="231"/>
        <v>150.96799999999999</v>
      </c>
      <c r="K164" s="4121">
        <f>SUM(H164:J164)</f>
        <v>359.20600000000002</v>
      </c>
      <c r="L164" s="4122">
        <f>SUM(L9)</f>
        <v>427.09849999999994</v>
      </c>
      <c r="M164" s="4122">
        <f>SUM(F164+K164)</f>
        <v>473.89800000000002</v>
      </c>
      <c r="N164" s="4122">
        <f>SUM(M164-L164)</f>
        <v>46.79950000000008</v>
      </c>
      <c r="O164" s="4121">
        <f>SUM(O9)</f>
        <v>213.54924999999997</v>
      </c>
      <c r="P164" s="4121">
        <f t="shared" si="232"/>
        <v>152.94800000000001</v>
      </c>
      <c r="Q164" s="4121">
        <f t="shared" si="232"/>
        <v>138.33000000000001</v>
      </c>
      <c r="R164" s="4121">
        <f t="shared" si="232"/>
        <v>137.273</v>
      </c>
      <c r="S164" s="4121">
        <f>SUM(P164:R164)</f>
        <v>428.55100000000004</v>
      </c>
      <c r="T164" s="4122">
        <f>SUM(T9)</f>
        <v>640.64774999999986</v>
      </c>
      <c r="U164" s="4122">
        <f>SUM(M164+S164)</f>
        <v>902.44900000000007</v>
      </c>
      <c r="V164" s="4122">
        <f t="shared" ref="V164:V175" si="234">SUM(U164-T164)</f>
        <v>261.80125000000021</v>
      </c>
      <c r="W164" s="4121">
        <f>SUM(W9)</f>
        <v>213.54924999999997</v>
      </c>
      <c r="X164" s="4121">
        <f t="shared" si="233"/>
        <v>0</v>
      </c>
      <c r="Y164" s="4121">
        <f t="shared" si="233"/>
        <v>0</v>
      </c>
      <c r="Z164" s="4121">
        <f t="shared" si="233"/>
        <v>0</v>
      </c>
      <c r="AA164" s="4121">
        <f>SUM(X164:Z164)</f>
        <v>0</v>
      </c>
      <c r="AB164" s="4122">
        <f>SUM(AB9)</f>
        <v>854.197</v>
      </c>
      <c r="AC164" s="4122">
        <f>SUM(U164+AA164)</f>
        <v>902.44900000000007</v>
      </c>
      <c r="AD164" s="4122">
        <f t="shared" ref="AD164:AD175" si="235">SUM(AC164-AB164)</f>
        <v>48.252000000000066</v>
      </c>
      <c r="AE164" s="4093"/>
      <c r="AF164" s="4093"/>
      <c r="AG164" s="4093"/>
      <c r="AH164" s="4093"/>
      <c r="AI164" s="4093"/>
      <c r="AJ164" s="4093"/>
      <c r="AK164" s="4093"/>
    </row>
    <row r="165" spans="1:37" ht="18.75">
      <c r="A165" s="4106" t="s">
        <v>389</v>
      </c>
      <c r="B165" s="4107">
        <f>SUM(B164/B163)</f>
        <v>0.14998083101196644</v>
      </c>
      <c r="C165" s="4107">
        <f>SUM(C164/C163)</f>
        <v>7.386325627151992E-2</v>
      </c>
      <c r="D165" s="4107">
        <f t="shared" ref="D165:M165" si="236">SUM(D164/D163)</f>
        <v>8.4585101937583854E-2</v>
      </c>
      <c r="E165" s="4107">
        <f t="shared" si="236"/>
        <v>7.7628548269303321E-2</v>
      </c>
      <c r="F165" s="4107">
        <f t="shared" si="236"/>
        <v>7.8483486524807161E-2</v>
      </c>
      <c r="G165" s="4107">
        <f t="shared" si="236"/>
        <v>0.15547272708188348</v>
      </c>
      <c r="H165" s="4107">
        <f t="shared" si="236"/>
        <v>0.16325052912999891</v>
      </c>
      <c r="I165" s="4107">
        <f t="shared" si="236"/>
        <v>0.20254451726732922</v>
      </c>
      <c r="J165" s="4107">
        <f t="shared" si="236"/>
        <v>0.24809534139238923</v>
      </c>
      <c r="K165" s="4107">
        <f t="shared" si="236"/>
        <v>0.20630850072166565</v>
      </c>
      <c r="L165" s="4109">
        <f t="shared" si="236"/>
        <v>0.15267740832976753</v>
      </c>
      <c r="M165" s="4109">
        <f t="shared" si="236"/>
        <v>0.14797922723853485</v>
      </c>
      <c r="N165" s="4108">
        <f t="shared" ref="N165:N175" si="237">SUM(M165-L165)</f>
        <v>-4.6981810912326838E-3</v>
      </c>
      <c r="O165" s="4107">
        <f t="shared" ref="O165:U165" si="238">SUM(O164/O163)</f>
        <v>0.15875049892886473</v>
      </c>
      <c r="P165" s="4107">
        <f t="shared" si="238"/>
        <v>0.24958347815728454</v>
      </c>
      <c r="Q165" s="4107">
        <f t="shared" si="238"/>
        <v>0.22486467155420456</v>
      </c>
      <c r="R165" s="4107">
        <f t="shared" si="238"/>
        <v>0.22728070465909467</v>
      </c>
      <c r="S165" s="4107">
        <f t="shared" si="238"/>
        <v>0.23392994290823563</v>
      </c>
      <c r="T165" s="4109">
        <f t="shared" si="238"/>
        <v>0.15464947621085237</v>
      </c>
      <c r="U165" s="4109">
        <f t="shared" si="238"/>
        <v>0.17925558941575465</v>
      </c>
      <c r="V165" s="4108">
        <f t="shared" si="234"/>
        <v>2.4606113204902275E-2</v>
      </c>
      <c r="W165" s="4107">
        <f t="shared" ref="W165:AC165" si="239">SUM(W164/W163)</f>
        <v>0.14953324537843071</v>
      </c>
      <c r="X165" s="4107" t="e">
        <f t="shared" si="239"/>
        <v>#DIV/0!</v>
      </c>
      <c r="Y165" s="4107" t="e">
        <f t="shared" si="239"/>
        <v>#DIV/0!</v>
      </c>
      <c r="Z165" s="4107" t="e">
        <f t="shared" si="239"/>
        <v>#DIV/0!</v>
      </c>
      <c r="AA165" s="4107" t="e">
        <f t="shared" si="239"/>
        <v>#DIV/0!</v>
      </c>
      <c r="AB165" s="4109">
        <f t="shared" si="239"/>
        <v>0.15333787496510751</v>
      </c>
      <c r="AC165" s="4109">
        <f t="shared" si="239"/>
        <v>0.17925558941575465</v>
      </c>
      <c r="AD165" s="4108">
        <f t="shared" si="235"/>
        <v>2.5917714450647139E-2</v>
      </c>
      <c r="AE165" s="4093"/>
      <c r="AF165" s="4093"/>
      <c r="AG165" s="4093"/>
      <c r="AH165" s="4093"/>
      <c r="AI165" s="4093"/>
      <c r="AJ165" s="4093"/>
      <c r="AK165" s="4093"/>
    </row>
    <row r="166" spans="1:37" ht="18.75">
      <c r="A166" s="4101" t="s">
        <v>1727</v>
      </c>
      <c r="B166" s="4117">
        <f>SUM(B11)</f>
        <v>1210.2943742759692</v>
      </c>
      <c r="C166" s="4117">
        <f>SUM(C163-C164)</f>
        <v>470.709</v>
      </c>
      <c r="D166" s="4117">
        <f t="shared" ref="D166:F166" si="240">SUM(D163-D164)</f>
        <v>416.23</v>
      </c>
      <c r="E166" s="4117">
        <f t="shared" si="240"/>
        <v>459.721</v>
      </c>
      <c r="F166" s="4117">
        <f t="shared" si="240"/>
        <v>1346.66</v>
      </c>
      <c r="G166" s="4117">
        <f>SUM(G11)</f>
        <v>1159.9987285308525</v>
      </c>
      <c r="H166" s="4117">
        <f t="shared" ref="H166:K166" si="241">SUM(H163-H164)</f>
        <v>450.69</v>
      </c>
      <c r="I166" s="4117">
        <f t="shared" si="241"/>
        <v>473.67499999999995</v>
      </c>
      <c r="J166" s="4117">
        <f t="shared" si="241"/>
        <v>457.54000000000008</v>
      </c>
      <c r="K166" s="4117">
        <f t="shared" si="241"/>
        <v>1381.9050000000002</v>
      </c>
      <c r="L166" s="4118">
        <f>SUM(L11)</f>
        <v>1210.2943742759692</v>
      </c>
      <c r="M166" s="4118">
        <f t="shared" ref="M166" si="242">SUM(M163-M164)</f>
        <v>2728.5650000000001</v>
      </c>
      <c r="N166" s="4118">
        <f t="shared" si="237"/>
        <v>1518.2706257240309</v>
      </c>
      <c r="O166" s="4117">
        <f>SUM(O11)</f>
        <v>1131.638648248372</v>
      </c>
      <c r="P166" s="4117">
        <f t="shared" ref="P166:S166" si="243">SUM(P163-P164)</f>
        <v>459.86500000000001</v>
      </c>
      <c r="Q166" s="4117">
        <f t="shared" si="243"/>
        <v>476.83999999999992</v>
      </c>
      <c r="R166" s="4117">
        <f t="shared" si="243"/>
        <v>466.70699999999999</v>
      </c>
      <c r="S166" s="4117">
        <f t="shared" si="243"/>
        <v>1403.4119999999998</v>
      </c>
      <c r="T166" s="4118">
        <f>SUM(T11)</f>
        <v>3501.9317510551937</v>
      </c>
      <c r="U166" s="4118">
        <f t="shared" ref="U166" si="244">SUM(U163-U164)</f>
        <v>4131.9770000000008</v>
      </c>
      <c r="V166" s="4118">
        <f t="shared" si="234"/>
        <v>630.0452489448071</v>
      </c>
      <c r="W166" s="4117">
        <f>SUM(W11)</f>
        <v>1214.5562489448064</v>
      </c>
      <c r="X166" s="4117">
        <f t="shared" ref="X166:AA166" si="245">SUM(X163-X164)</f>
        <v>0</v>
      </c>
      <c r="Y166" s="4117">
        <f t="shared" si="245"/>
        <v>0</v>
      </c>
      <c r="Z166" s="4117">
        <f t="shared" si="245"/>
        <v>0</v>
      </c>
      <c r="AA166" s="4117">
        <f t="shared" si="245"/>
        <v>0</v>
      </c>
      <c r="AB166" s="4118">
        <f>SUM(AB11)</f>
        <v>4716.4880000000003</v>
      </c>
      <c r="AC166" s="4118">
        <f t="shared" ref="AC166" si="246">SUM(AC163-AC164)</f>
        <v>4131.9770000000008</v>
      </c>
      <c r="AD166" s="4118">
        <f t="shared" si="235"/>
        <v>-584.51099999999951</v>
      </c>
      <c r="AE166" s="4093"/>
      <c r="AF166" s="4093"/>
      <c r="AG166" s="4093"/>
      <c r="AH166" s="4093"/>
      <c r="AI166" s="4093"/>
      <c r="AJ166" s="4093"/>
      <c r="AK166" s="4093"/>
    </row>
    <row r="167" spans="1:37" ht="18.75">
      <c r="A167" s="4102" t="s">
        <v>51</v>
      </c>
      <c r="B167" s="4121">
        <f>SUM(B12)</f>
        <v>241.24153767596908</v>
      </c>
      <c r="C167" s="4121">
        <f>SUM(C166-C169)</f>
        <v>172.99900000000002</v>
      </c>
      <c r="D167" s="4121">
        <f t="shared" ref="D167:F167" si="247">SUM(D166-D169)</f>
        <v>102.49000000000007</v>
      </c>
      <c r="E167" s="4121">
        <f t="shared" si="247"/>
        <v>158.81100000000004</v>
      </c>
      <c r="F167" s="4121">
        <f t="shared" si="247"/>
        <v>434.30000000000018</v>
      </c>
      <c r="G167" s="4121">
        <f>SUM(G12)</f>
        <v>225.17657383085253</v>
      </c>
      <c r="H167" s="4121">
        <f t="shared" ref="H167:K167" si="248">SUM(H166-H169)</f>
        <v>118.62</v>
      </c>
      <c r="I167" s="4121">
        <f t="shared" si="248"/>
        <v>165.1049999999999</v>
      </c>
      <c r="J167" s="4121">
        <f t="shared" si="248"/>
        <v>158.38000000000005</v>
      </c>
      <c r="K167" s="4121">
        <f t="shared" si="248"/>
        <v>442.10500000000025</v>
      </c>
      <c r="L167" s="4122">
        <f>SUM(L12)</f>
        <v>241.24153767596908</v>
      </c>
      <c r="M167" s="4122">
        <f t="shared" ref="M167" si="249">SUM(M166-M169)</f>
        <v>876.40500000000043</v>
      </c>
      <c r="N167" s="4122">
        <f t="shared" si="237"/>
        <v>635.16346232403134</v>
      </c>
      <c r="O167" s="4121">
        <f>SUM(O12)</f>
        <v>216.11806274837204</v>
      </c>
      <c r="P167" s="4121">
        <f t="shared" ref="P167:S167" si="250">SUM(P166-P169)</f>
        <v>194.23500000000001</v>
      </c>
      <c r="Q167" s="4121">
        <f t="shared" si="250"/>
        <v>197.90334999999988</v>
      </c>
      <c r="R167" s="4121">
        <f t="shared" si="250"/>
        <v>155.05699999999996</v>
      </c>
      <c r="S167" s="4121">
        <f t="shared" si="250"/>
        <v>547.19534999999996</v>
      </c>
      <c r="T167" s="4122">
        <f>SUM(T12)</f>
        <v>682.5361742551936</v>
      </c>
      <c r="U167" s="4122">
        <f t="shared" ref="U167" si="251">SUM(U166-U169)</f>
        <v>1423.6003500000011</v>
      </c>
      <c r="V167" s="4122">
        <f t="shared" si="234"/>
        <v>741.06417574480747</v>
      </c>
      <c r="W167" s="4121">
        <f>SUM(W12)</f>
        <v>242.6028257448063</v>
      </c>
      <c r="X167" s="4121">
        <f t="shared" ref="X167:AA167" si="252">SUM(X166-X169)</f>
        <v>0</v>
      </c>
      <c r="Y167" s="4121">
        <f t="shared" si="252"/>
        <v>0</v>
      </c>
      <c r="Z167" s="4121">
        <f t="shared" si="252"/>
        <v>0</v>
      </c>
      <c r="AA167" s="4121">
        <f t="shared" si="252"/>
        <v>0</v>
      </c>
      <c r="AB167" s="4122">
        <f>SUM(AB12)</f>
        <v>925.13900000000012</v>
      </c>
      <c r="AC167" s="4122">
        <f t="shared" ref="AC167" si="253">SUM(AC166-AC169)</f>
        <v>1423.6003500000011</v>
      </c>
      <c r="AD167" s="4122">
        <f t="shared" si="235"/>
        <v>498.46135000000095</v>
      </c>
      <c r="AE167" s="4093"/>
      <c r="AF167" s="4093"/>
      <c r="AG167" s="4093"/>
      <c r="AH167" s="4093"/>
      <c r="AI167" s="4093"/>
      <c r="AJ167" s="4093"/>
      <c r="AK167" s="4093"/>
    </row>
    <row r="168" spans="1:37" ht="18.75">
      <c r="A168" s="4106" t="s">
        <v>117</v>
      </c>
      <c r="B168" s="4107">
        <f>SUM(B167/B166)</f>
        <v>0.19932467902305692</v>
      </c>
      <c r="C168" s="4107">
        <f>SUM(C167/C166)</f>
        <v>0.36752855798380746</v>
      </c>
      <c r="D168" s="4107">
        <f t="shared" ref="D168:M168" si="254">SUM(D167/D166)</f>
        <v>0.24623405328784581</v>
      </c>
      <c r="E168" s="4107">
        <f t="shared" si="254"/>
        <v>0.34545082778467817</v>
      </c>
      <c r="F168" s="4107">
        <f t="shared" si="254"/>
        <v>0.32250159654255728</v>
      </c>
      <c r="G168" s="4107">
        <f t="shared" si="254"/>
        <v>0.19411794883261677</v>
      </c>
      <c r="H168" s="4107">
        <f t="shared" si="254"/>
        <v>0.26319643213738936</v>
      </c>
      <c r="I168" s="4107">
        <f t="shared" si="254"/>
        <v>0.34856177759011964</v>
      </c>
      <c r="J168" s="4107">
        <f t="shared" si="254"/>
        <v>0.34615552738558381</v>
      </c>
      <c r="K168" s="4107">
        <f t="shared" si="254"/>
        <v>0.31992430738726624</v>
      </c>
      <c r="L168" s="4109">
        <f t="shared" si="254"/>
        <v>0.19932467902305692</v>
      </c>
      <c r="M168" s="4109">
        <f t="shared" si="254"/>
        <v>0.32119630648344477</v>
      </c>
      <c r="N168" s="4108">
        <f t="shared" si="237"/>
        <v>0.12187162746038785</v>
      </c>
      <c r="O168" s="4107">
        <f t="shared" ref="O168:AC168" si="255">SUM(O167/O166)</f>
        <v>0.19097797966064028</v>
      </c>
      <c r="P168" s="4107">
        <f t="shared" si="255"/>
        <v>0.42237395757450558</v>
      </c>
      <c r="Q168" s="4107">
        <f t="shared" si="255"/>
        <v>0.41503093280765019</v>
      </c>
      <c r="R168" s="4107">
        <f t="shared" si="255"/>
        <v>0.33223628529248533</v>
      </c>
      <c r="S168" s="4107">
        <f t="shared" si="255"/>
        <v>0.38990357072620158</v>
      </c>
      <c r="T168" s="4109">
        <f t="shared" si="255"/>
        <v>0.19490276303915216</v>
      </c>
      <c r="U168" s="4109">
        <f t="shared" si="255"/>
        <v>0.34453249618766046</v>
      </c>
      <c r="V168" s="4108">
        <f t="shared" si="234"/>
        <v>0.1496297331485083</v>
      </c>
      <c r="W168" s="4107">
        <f t="shared" si="255"/>
        <v>0.19974606030439271</v>
      </c>
      <c r="X168" s="4107" t="e">
        <f t="shared" si="255"/>
        <v>#DIV/0!</v>
      </c>
      <c r="Y168" s="4107" t="e">
        <f t="shared" si="255"/>
        <v>#DIV/0!</v>
      </c>
      <c r="Z168" s="4107" t="e">
        <f t="shared" si="255"/>
        <v>#DIV/0!</v>
      </c>
      <c r="AA168" s="4107" t="e">
        <f t="shared" si="255"/>
        <v>#DIV/0!</v>
      </c>
      <c r="AB168" s="4109">
        <f t="shared" si="255"/>
        <v>0.19614997430291353</v>
      </c>
      <c r="AC168" s="4109">
        <f t="shared" si="255"/>
        <v>0.34453249618766046</v>
      </c>
      <c r="AD168" s="4108">
        <f t="shared" si="235"/>
        <v>0.14838252188474693</v>
      </c>
      <c r="AE168" s="4093"/>
      <c r="AF168" s="4093"/>
      <c r="AG168" s="4093"/>
      <c r="AH168" s="4093"/>
      <c r="AI168" s="4093"/>
      <c r="AJ168" s="4093"/>
      <c r="AK168" s="4093"/>
    </row>
    <row r="169" spans="1:37" ht="18.75">
      <c r="A169" s="4101" t="s">
        <v>1728</v>
      </c>
      <c r="B169" s="4117">
        <f>SUM(B14)</f>
        <v>969.05283660000009</v>
      </c>
      <c r="C169" s="4117">
        <f>SUM(C170+C171+C173)</f>
        <v>297.70999999999998</v>
      </c>
      <c r="D169" s="4117">
        <f t="shared" ref="D169:F169" si="256">SUM(D170+D171+D173)</f>
        <v>313.73999999999995</v>
      </c>
      <c r="E169" s="4117">
        <f t="shared" si="256"/>
        <v>300.90999999999997</v>
      </c>
      <c r="F169" s="4117">
        <f t="shared" si="256"/>
        <v>912.3599999999999</v>
      </c>
      <c r="G169" s="4117">
        <f>SUM(G14)</f>
        <v>934.82215469999994</v>
      </c>
      <c r="H169" s="4117">
        <f t="shared" ref="H169:K169" si="257">SUM(H170+H171+H173)</f>
        <v>332.07</v>
      </c>
      <c r="I169" s="4117">
        <f t="shared" si="257"/>
        <v>308.57000000000005</v>
      </c>
      <c r="J169" s="4117">
        <f t="shared" si="257"/>
        <v>299.16000000000003</v>
      </c>
      <c r="K169" s="4117">
        <f t="shared" si="257"/>
        <v>939.8</v>
      </c>
      <c r="L169" s="4118">
        <f>SUM(L14)</f>
        <v>969.05283660000009</v>
      </c>
      <c r="M169" s="4118">
        <f t="shared" ref="M169" si="258">SUM(M170+M171+M173)</f>
        <v>1852.1599999999996</v>
      </c>
      <c r="N169" s="4118">
        <f t="shared" si="237"/>
        <v>883.10716339999954</v>
      </c>
      <c r="O169" s="4117">
        <f>SUM(O14)</f>
        <v>915.52058549999992</v>
      </c>
      <c r="P169" s="4117">
        <f t="shared" ref="P169:S169" si="259">SUM(P170+P171+P173)</f>
        <v>265.63</v>
      </c>
      <c r="Q169" s="4117">
        <f t="shared" si="259"/>
        <v>278.93665000000004</v>
      </c>
      <c r="R169" s="4117">
        <f t="shared" si="259"/>
        <v>311.65000000000003</v>
      </c>
      <c r="S169" s="4117">
        <f t="shared" si="259"/>
        <v>856.21664999999985</v>
      </c>
      <c r="T169" s="4118">
        <f>SUM(T14)</f>
        <v>2819.3955768000001</v>
      </c>
      <c r="U169" s="4118">
        <f t="shared" ref="U169" si="260">SUM(U170+U171+U173)</f>
        <v>2708.3766499999997</v>
      </c>
      <c r="V169" s="4118">
        <f t="shared" si="234"/>
        <v>-111.01892680000037</v>
      </c>
      <c r="W169" s="4117">
        <f>SUM(W14)</f>
        <v>971.95342320000009</v>
      </c>
      <c r="X169" s="4117">
        <f t="shared" ref="X169:AA169" si="261">SUM(X170+X171+X173)</f>
        <v>0</v>
      </c>
      <c r="Y169" s="4117">
        <f t="shared" si="261"/>
        <v>0</v>
      </c>
      <c r="Z169" s="4117">
        <f t="shared" si="261"/>
        <v>0</v>
      </c>
      <c r="AA169" s="4117">
        <f t="shared" si="261"/>
        <v>0</v>
      </c>
      <c r="AB169" s="4118">
        <f>SUM(AB14)</f>
        <v>3791.3490000000002</v>
      </c>
      <c r="AC169" s="4118">
        <f t="shared" ref="AC169" si="262">SUM(AC170+AC171+AC173)</f>
        <v>2708.3766499999997</v>
      </c>
      <c r="AD169" s="4118">
        <f t="shared" si="235"/>
        <v>-1082.9723500000005</v>
      </c>
      <c r="AE169" s="4093"/>
      <c r="AF169" s="4093"/>
      <c r="AG169" s="4093"/>
      <c r="AH169" s="4093"/>
      <c r="AI169" s="4093"/>
      <c r="AJ169" s="4093"/>
      <c r="AK169" s="4093"/>
    </row>
    <row r="170" spans="1:37" ht="18.75">
      <c r="A170" s="4102" t="s">
        <v>24</v>
      </c>
      <c r="B170" s="4121">
        <f>SUM(B15)</f>
        <v>610.23199999999997</v>
      </c>
      <c r="C170" s="4121">
        <f t="shared" ref="C170:E172" si="263">SUM(C15)</f>
        <v>191.23</v>
      </c>
      <c r="D170" s="4121">
        <f t="shared" si="263"/>
        <v>200.57</v>
      </c>
      <c r="E170" s="4121">
        <f t="shared" si="263"/>
        <v>200.87</v>
      </c>
      <c r="F170" s="4121">
        <f>SUM(C170:E170)</f>
        <v>592.66999999999996</v>
      </c>
      <c r="G170" s="4121">
        <f>SUM(G15)</f>
        <v>583.57600000000002</v>
      </c>
      <c r="H170" s="4121">
        <f t="shared" ref="H170:J172" si="264">SUM(H15)</f>
        <v>226.93</v>
      </c>
      <c r="I170" s="4121">
        <f t="shared" si="264"/>
        <v>207.3</v>
      </c>
      <c r="J170" s="4121">
        <f t="shared" si="264"/>
        <v>196.74</v>
      </c>
      <c r="K170" s="4121">
        <f>SUM(H170:J170)</f>
        <v>630.97</v>
      </c>
      <c r="L170" s="4122">
        <f>SUM(L15)</f>
        <v>610.23199999999997</v>
      </c>
      <c r="M170" s="4122">
        <f>SUM(F170+K170)</f>
        <v>1223.6399999999999</v>
      </c>
      <c r="N170" s="4122">
        <f t="shared" si="237"/>
        <v>613.4079999999999</v>
      </c>
      <c r="O170" s="4121">
        <f>SUM(O15)</f>
        <v>576.43599999999992</v>
      </c>
      <c r="P170" s="4121">
        <f t="shared" ref="P170:R172" si="265">SUM(P15)</f>
        <v>181.39</v>
      </c>
      <c r="Q170" s="4121">
        <f t="shared" si="265"/>
        <v>193.56</v>
      </c>
      <c r="R170" s="4121">
        <f t="shared" si="265"/>
        <v>201.08</v>
      </c>
      <c r="S170" s="4121">
        <f>SUM(P170:R170)</f>
        <v>576.03</v>
      </c>
      <c r="T170" s="4122">
        <f>SUM(T15)</f>
        <v>1770.2439999999999</v>
      </c>
      <c r="U170" s="4122">
        <f>SUM(M170+S170)</f>
        <v>1799.6699999999998</v>
      </c>
      <c r="V170" s="4122">
        <f t="shared" si="234"/>
        <v>29.425999999999931</v>
      </c>
      <c r="W170" s="4121">
        <f>SUM(W15)</f>
        <v>609.75599999999997</v>
      </c>
      <c r="X170" s="4121">
        <f t="shared" ref="X170:AA172" si="266">SUM(X15)</f>
        <v>0</v>
      </c>
      <c r="Y170" s="4121">
        <f t="shared" si="266"/>
        <v>0</v>
      </c>
      <c r="Z170" s="4121">
        <f t="shared" si="266"/>
        <v>0</v>
      </c>
      <c r="AA170" s="4121">
        <f t="shared" si="266"/>
        <v>0</v>
      </c>
      <c r="AB170" s="4122">
        <f>SUM(AB15)</f>
        <v>2380</v>
      </c>
      <c r="AC170" s="4122">
        <f>SUM(U170+AA170)</f>
        <v>1799.6699999999998</v>
      </c>
      <c r="AD170" s="4122">
        <f t="shared" si="235"/>
        <v>-580.33000000000015</v>
      </c>
      <c r="AE170" s="4093"/>
      <c r="AF170" s="4093"/>
      <c r="AG170" s="4093"/>
      <c r="AH170" s="4093"/>
      <c r="AI170" s="4093"/>
      <c r="AJ170" s="4093"/>
      <c r="AK170" s="4093"/>
    </row>
    <row r="171" spans="1:37" ht="18.75">
      <c r="A171" s="4102" t="s">
        <v>1729</v>
      </c>
      <c r="B171" s="4121">
        <f>SUM(B16)</f>
        <v>257.54283660000004</v>
      </c>
      <c r="C171" s="4121">
        <f t="shared" si="263"/>
        <v>77.11</v>
      </c>
      <c r="D171" s="4121">
        <f t="shared" si="263"/>
        <v>83.58</v>
      </c>
      <c r="E171" s="4121">
        <f t="shared" si="263"/>
        <v>73.459999999999994</v>
      </c>
      <c r="F171" s="4121">
        <f>SUM(C171:E171)</f>
        <v>234.14999999999998</v>
      </c>
      <c r="G171" s="4121">
        <f>SUM(G16)</f>
        <v>254.39215469999999</v>
      </c>
      <c r="H171" s="4121">
        <f t="shared" si="264"/>
        <v>76.84</v>
      </c>
      <c r="I171" s="4121">
        <f t="shared" si="264"/>
        <v>75.739999999999995</v>
      </c>
      <c r="J171" s="4121">
        <f t="shared" si="264"/>
        <v>75.680000000000007</v>
      </c>
      <c r="K171" s="4121">
        <f>SUM(H171:J171)</f>
        <v>228.26</v>
      </c>
      <c r="L171" s="4122">
        <f>SUM(L16)</f>
        <v>257.54283660000004</v>
      </c>
      <c r="M171" s="4122">
        <f>SUM(F171+K171)</f>
        <v>462.40999999999997</v>
      </c>
      <c r="N171" s="4122">
        <f t="shared" si="237"/>
        <v>204.86716339999992</v>
      </c>
      <c r="O171" s="4121">
        <f>SUM(O16)</f>
        <v>243.41558549999999</v>
      </c>
      <c r="P171" s="4121">
        <f t="shared" si="265"/>
        <v>65.81</v>
      </c>
      <c r="Q171" s="4121">
        <f t="shared" si="265"/>
        <v>63.026649999999997</v>
      </c>
      <c r="R171" s="4121">
        <f t="shared" si="265"/>
        <v>83.78</v>
      </c>
      <c r="S171" s="4121">
        <f>SUM(P171:R171)</f>
        <v>212.61664999999999</v>
      </c>
      <c r="T171" s="4122">
        <f>SUM(T16)</f>
        <v>755.3505768</v>
      </c>
      <c r="U171" s="4122">
        <f>SUM(M171+S171)</f>
        <v>675.02665000000002</v>
      </c>
      <c r="V171" s="4122">
        <f t="shared" si="234"/>
        <v>-80.323926799999981</v>
      </c>
      <c r="W171" s="4121">
        <f>SUM(W16)</f>
        <v>260.99842320000005</v>
      </c>
      <c r="X171" s="4121">
        <f t="shared" si="266"/>
        <v>0</v>
      </c>
      <c r="Y171" s="4121">
        <f t="shared" si="266"/>
        <v>0</v>
      </c>
      <c r="Z171" s="4121">
        <f t="shared" si="266"/>
        <v>0</v>
      </c>
      <c r="AA171" s="4121">
        <f t="shared" si="266"/>
        <v>0</v>
      </c>
      <c r="AB171" s="4122">
        <f>SUM(AB16)</f>
        <v>1016.349</v>
      </c>
      <c r="AC171" s="4122">
        <f>SUM(U171+AA171)</f>
        <v>675.02665000000002</v>
      </c>
      <c r="AD171" s="4122">
        <f t="shared" si="235"/>
        <v>-341.32235000000003</v>
      </c>
      <c r="AE171" s="4093"/>
      <c r="AF171" s="4093"/>
      <c r="AG171" s="4093"/>
      <c r="AH171" s="4093"/>
      <c r="AI171" s="4093"/>
      <c r="AJ171" s="4093"/>
      <c r="AK171" s="4093"/>
    </row>
    <row r="172" spans="1:37" ht="18.75">
      <c r="A172" s="4106" t="s">
        <v>25</v>
      </c>
      <c r="B172" s="4121">
        <f>SUM(B17)</f>
        <v>5.08725</v>
      </c>
      <c r="C172" s="4121">
        <f t="shared" si="263"/>
        <v>0.27</v>
      </c>
      <c r="D172" s="4121">
        <f t="shared" si="263"/>
        <v>0.25</v>
      </c>
      <c r="E172" s="4121">
        <f t="shared" si="263"/>
        <v>0.15</v>
      </c>
      <c r="F172" s="4121">
        <f>SUM(C172:E172)</f>
        <v>0.67</v>
      </c>
      <c r="G172" s="4121">
        <f>SUM(G17)</f>
        <v>5.08725</v>
      </c>
      <c r="H172" s="4121">
        <f t="shared" si="264"/>
        <v>0.18</v>
      </c>
      <c r="I172" s="4121">
        <f t="shared" si="264"/>
        <v>0.1</v>
      </c>
      <c r="J172" s="4121">
        <f t="shared" si="264"/>
        <v>0.13</v>
      </c>
      <c r="K172" s="4121">
        <f>SUM(H172:J172)</f>
        <v>0.41000000000000003</v>
      </c>
      <c r="L172" s="4122">
        <f>SUM(L17)</f>
        <v>5.08725</v>
      </c>
      <c r="M172" s="4122">
        <f>SUM(F172+K172)</f>
        <v>1.08</v>
      </c>
      <c r="N172" s="4122">
        <f t="shared" si="237"/>
        <v>-4.00725</v>
      </c>
      <c r="O172" s="4121">
        <f>SUM(O17)</f>
        <v>5.08725</v>
      </c>
      <c r="P172" s="4121">
        <f t="shared" si="265"/>
        <v>0.14000000000000001</v>
      </c>
      <c r="Q172" s="4121">
        <f t="shared" si="265"/>
        <v>0.17</v>
      </c>
      <c r="R172" s="4121">
        <f t="shared" si="265"/>
        <v>0</v>
      </c>
      <c r="S172" s="4121">
        <f>SUM(P172:R172)</f>
        <v>0.31000000000000005</v>
      </c>
      <c r="T172" s="4122">
        <f>SUM(T17)</f>
        <v>15.261749999999999</v>
      </c>
      <c r="U172" s="4122">
        <f>SUM(M172+S172)</f>
        <v>1.3900000000000001</v>
      </c>
      <c r="V172" s="4122">
        <f t="shared" si="234"/>
        <v>-13.871749999999999</v>
      </c>
      <c r="W172" s="4121">
        <f>SUM(W17)</f>
        <v>5.08725</v>
      </c>
      <c r="X172" s="4121">
        <f t="shared" si="266"/>
        <v>0</v>
      </c>
      <c r="Y172" s="4121">
        <f t="shared" si="266"/>
        <v>0</v>
      </c>
      <c r="Z172" s="4121">
        <f t="shared" si="266"/>
        <v>0</v>
      </c>
      <c r="AA172" s="4121">
        <f t="shared" si="266"/>
        <v>0</v>
      </c>
      <c r="AB172" s="4122">
        <f>SUM(AB17)</f>
        <v>20.349</v>
      </c>
      <c r="AC172" s="4122">
        <f>SUM(U172+AA172)</f>
        <v>1.3900000000000001</v>
      </c>
      <c r="AD172" s="4122">
        <f t="shared" si="235"/>
        <v>-18.959</v>
      </c>
      <c r="AE172" s="4093"/>
      <c r="AF172" s="4093"/>
      <c r="AG172" s="4093"/>
      <c r="AH172" s="4093"/>
      <c r="AI172" s="4093"/>
      <c r="AJ172" s="4093"/>
      <c r="AK172" s="4093"/>
    </row>
    <row r="173" spans="1:37" ht="18.75">
      <c r="A173" s="4101" t="s">
        <v>1730</v>
      </c>
      <c r="B173" s="4117">
        <f t="shared" ref="B173:E175" si="267">SUM(B18)</f>
        <v>101.27799999999999</v>
      </c>
      <c r="C173" s="4117">
        <f>SUM(C174:C175)</f>
        <v>29.37</v>
      </c>
      <c r="D173" s="4117">
        <f t="shared" ref="D173:F173" si="268">SUM(D174:D175)</f>
        <v>29.59</v>
      </c>
      <c r="E173" s="4117">
        <f t="shared" si="268"/>
        <v>26.58</v>
      </c>
      <c r="F173" s="4117">
        <f t="shared" si="268"/>
        <v>85.539999999999992</v>
      </c>
      <c r="G173" s="4117">
        <f t="shared" ref="G173:J175" si="269">SUM(G18)</f>
        <v>96.853999999999985</v>
      </c>
      <c r="H173" s="4117">
        <f t="shared" ref="H173:K173" si="270">SUM(H174:H175)</f>
        <v>28.3</v>
      </c>
      <c r="I173" s="4117">
        <f t="shared" si="270"/>
        <v>25.53</v>
      </c>
      <c r="J173" s="4117">
        <f t="shared" si="270"/>
        <v>26.74</v>
      </c>
      <c r="K173" s="4117">
        <f t="shared" si="270"/>
        <v>80.569999999999993</v>
      </c>
      <c r="L173" s="4118">
        <f t="shared" ref="L173:L175" si="271">SUM(L18)</f>
        <v>101.27799999999999</v>
      </c>
      <c r="M173" s="4118">
        <f t="shared" ref="M173" si="272">SUM(M174:M175)</f>
        <v>166.10999999999999</v>
      </c>
      <c r="N173" s="4118">
        <f t="shared" si="237"/>
        <v>64.831999999999994</v>
      </c>
      <c r="O173" s="4117">
        <f t="shared" ref="O173:R175" si="273">SUM(O18)</f>
        <v>95.668999999999983</v>
      </c>
      <c r="P173" s="4117">
        <f t="shared" ref="P173:S173" si="274">SUM(P174:P175)</f>
        <v>18.43</v>
      </c>
      <c r="Q173" s="4117">
        <f t="shared" si="274"/>
        <v>22.35</v>
      </c>
      <c r="R173" s="4117">
        <f t="shared" si="274"/>
        <v>26.79</v>
      </c>
      <c r="S173" s="4117">
        <f t="shared" si="274"/>
        <v>67.569999999999993</v>
      </c>
      <c r="T173" s="4118">
        <f t="shared" ref="T173:T175" si="275">SUM(T18)</f>
        <v>293.80099999999993</v>
      </c>
      <c r="U173" s="4118">
        <f t="shared" ref="U173" si="276">SUM(U174:U175)</f>
        <v>233.67999999999998</v>
      </c>
      <c r="V173" s="4118">
        <f t="shared" si="234"/>
        <v>-60.120999999999952</v>
      </c>
      <c r="W173" s="4117">
        <f t="shared" ref="W173:Z175" si="277">SUM(W18)</f>
        <v>101.19899999999998</v>
      </c>
      <c r="X173" s="4117">
        <f t="shared" ref="X173:AA173" si="278">SUM(X174:X175)</f>
        <v>0</v>
      </c>
      <c r="Y173" s="4117">
        <f t="shared" si="278"/>
        <v>0</v>
      </c>
      <c r="Z173" s="4117">
        <f t="shared" si="278"/>
        <v>0</v>
      </c>
      <c r="AA173" s="4117">
        <f t="shared" si="278"/>
        <v>0</v>
      </c>
      <c r="AB173" s="4118">
        <f t="shared" ref="AB173:AB175" si="279">SUM(AB18)</f>
        <v>395</v>
      </c>
      <c r="AC173" s="4118">
        <f t="shared" ref="AC173" si="280">SUM(AC174:AC175)</f>
        <v>233.67999999999998</v>
      </c>
      <c r="AD173" s="4118">
        <f t="shared" si="235"/>
        <v>-161.32000000000002</v>
      </c>
      <c r="AE173" s="4093"/>
      <c r="AF173" s="4093"/>
      <c r="AG173" s="4093"/>
      <c r="AH173" s="4093"/>
      <c r="AI173" s="4093"/>
      <c r="AJ173" s="4093"/>
      <c r="AK173" s="4093"/>
    </row>
    <row r="174" spans="1:37" ht="18.75">
      <c r="A174" s="4106" t="s">
        <v>655</v>
      </c>
      <c r="B174" s="4269">
        <f t="shared" si="267"/>
        <v>89.74</v>
      </c>
      <c r="C174" s="4269">
        <f t="shared" ref="C174:E174" si="281">SUM(C19)</f>
        <v>29.37</v>
      </c>
      <c r="D174" s="4269">
        <f t="shared" si="281"/>
        <v>29.59</v>
      </c>
      <c r="E174" s="4269">
        <f t="shared" si="281"/>
        <v>26.58</v>
      </c>
      <c r="F174" s="4269">
        <f>SUM(C174:E174)</f>
        <v>85.539999999999992</v>
      </c>
      <c r="G174" s="4269">
        <f t="shared" si="269"/>
        <v>85.82</v>
      </c>
      <c r="H174" s="4269">
        <f t="shared" si="269"/>
        <v>28.3</v>
      </c>
      <c r="I174" s="4269">
        <f t="shared" si="269"/>
        <v>25.53</v>
      </c>
      <c r="J174" s="4269">
        <f t="shared" si="269"/>
        <v>26.74</v>
      </c>
      <c r="K174" s="4269">
        <f>SUM(H174:J174)</f>
        <v>80.569999999999993</v>
      </c>
      <c r="L174" s="4270">
        <f t="shared" si="271"/>
        <v>89.74</v>
      </c>
      <c r="M174" s="4270">
        <f>SUM(F174+K174)</f>
        <v>166.10999999999999</v>
      </c>
      <c r="N174" s="4270">
        <f t="shared" si="237"/>
        <v>76.36999999999999</v>
      </c>
      <c r="O174" s="4269">
        <f t="shared" si="273"/>
        <v>84.77</v>
      </c>
      <c r="P174" s="4269">
        <f t="shared" si="273"/>
        <v>18.43</v>
      </c>
      <c r="Q174" s="4269">
        <f t="shared" si="273"/>
        <v>22.35</v>
      </c>
      <c r="R174" s="4269">
        <f t="shared" si="273"/>
        <v>26.79</v>
      </c>
      <c r="S174" s="4269">
        <f>SUM(P174:R174)</f>
        <v>67.569999999999993</v>
      </c>
      <c r="T174" s="4270">
        <f t="shared" si="275"/>
        <v>260.33</v>
      </c>
      <c r="U174" s="4270">
        <f>SUM(M174+S174)</f>
        <v>233.67999999999998</v>
      </c>
      <c r="V174" s="4270">
        <f t="shared" si="234"/>
        <v>-26.650000000000006</v>
      </c>
      <c r="W174" s="4269">
        <f t="shared" si="277"/>
        <v>89.669999999999987</v>
      </c>
      <c r="X174" s="4269">
        <f t="shared" si="277"/>
        <v>0</v>
      </c>
      <c r="Y174" s="4269">
        <f t="shared" si="277"/>
        <v>0</v>
      </c>
      <c r="Z174" s="4269">
        <f t="shared" si="277"/>
        <v>0</v>
      </c>
      <c r="AA174" s="4269">
        <f>SUM(X174:Z174)</f>
        <v>0</v>
      </c>
      <c r="AB174" s="4270">
        <f t="shared" si="279"/>
        <v>350</v>
      </c>
      <c r="AC174" s="4270">
        <f>SUM(U174+AA174)</f>
        <v>233.67999999999998</v>
      </c>
      <c r="AD174" s="4270">
        <f t="shared" si="235"/>
        <v>-116.32000000000002</v>
      </c>
      <c r="AE174" s="4093"/>
      <c r="AF174" s="4093"/>
      <c r="AG174" s="4093"/>
      <c r="AH174" s="4093"/>
      <c r="AI174" s="4093"/>
      <c r="AJ174" s="4093"/>
      <c r="AK174" s="4093"/>
    </row>
    <row r="175" spans="1:37" ht="18.75">
      <c r="A175" s="4106" t="s">
        <v>656</v>
      </c>
      <c r="B175" s="4269">
        <f t="shared" si="267"/>
        <v>11.538</v>
      </c>
      <c r="C175" s="4269">
        <f t="shared" si="267"/>
        <v>0</v>
      </c>
      <c r="D175" s="4269">
        <f t="shared" si="267"/>
        <v>0</v>
      </c>
      <c r="E175" s="4269">
        <f t="shared" si="267"/>
        <v>0</v>
      </c>
      <c r="F175" s="4269">
        <f>SUM(C175:E175)</f>
        <v>0</v>
      </c>
      <c r="G175" s="4269">
        <f t="shared" si="269"/>
        <v>11.033999999999999</v>
      </c>
      <c r="H175" s="4269">
        <f t="shared" si="269"/>
        <v>0</v>
      </c>
      <c r="I175" s="4269">
        <f t="shared" si="269"/>
        <v>0</v>
      </c>
      <c r="J175" s="4269">
        <f t="shared" si="269"/>
        <v>0</v>
      </c>
      <c r="K175" s="4269">
        <f>SUM(H175:J175)</f>
        <v>0</v>
      </c>
      <c r="L175" s="4270">
        <f t="shared" si="271"/>
        <v>11.538</v>
      </c>
      <c r="M175" s="4270">
        <f>SUM(F175+K175)</f>
        <v>0</v>
      </c>
      <c r="N175" s="4270">
        <f t="shared" si="237"/>
        <v>-11.538</v>
      </c>
      <c r="O175" s="4269">
        <f t="shared" si="273"/>
        <v>10.898999999999999</v>
      </c>
      <c r="P175" s="4269">
        <f t="shared" si="273"/>
        <v>0</v>
      </c>
      <c r="Q175" s="4269">
        <f t="shared" si="273"/>
        <v>0</v>
      </c>
      <c r="R175" s="4269">
        <f t="shared" si="273"/>
        <v>0</v>
      </c>
      <c r="S175" s="4269">
        <f>SUM(P175:R175)</f>
        <v>0</v>
      </c>
      <c r="T175" s="4270">
        <f t="shared" si="275"/>
        <v>33.470999999999997</v>
      </c>
      <c r="U175" s="4270">
        <f>SUM(M175+S175)</f>
        <v>0</v>
      </c>
      <c r="V175" s="4270">
        <f t="shared" si="234"/>
        <v>-33.470999999999997</v>
      </c>
      <c r="W175" s="4269">
        <f t="shared" si="277"/>
        <v>11.528999999999998</v>
      </c>
      <c r="X175" s="4269">
        <f t="shared" si="277"/>
        <v>0</v>
      </c>
      <c r="Y175" s="4269">
        <f t="shared" si="277"/>
        <v>0</v>
      </c>
      <c r="Z175" s="4269">
        <f t="shared" si="277"/>
        <v>0</v>
      </c>
      <c r="AA175" s="4269">
        <f>SUM(X175:Z175)</f>
        <v>0</v>
      </c>
      <c r="AB175" s="4270">
        <f t="shared" si="279"/>
        <v>45</v>
      </c>
      <c r="AC175" s="4270">
        <f>SUM(U175+AA175)</f>
        <v>0</v>
      </c>
      <c r="AD175" s="4270">
        <f t="shared" si="235"/>
        <v>-45</v>
      </c>
      <c r="AE175" s="4093"/>
      <c r="AF175" s="4093"/>
      <c r="AG175" s="4093"/>
      <c r="AH175" s="4093"/>
      <c r="AI175" s="4093"/>
      <c r="AJ175" s="4093"/>
      <c r="AK175" s="4093"/>
    </row>
    <row r="176" spans="1:37" ht="18" customHeight="1">
      <c r="A176" s="4096" t="s">
        <v>1878</v>
      </c>
      <c r="B176" s="4110"/>
      <c r="C176" s="4110"/>
      <c r="D176" s="4110"/>
      <c r="E176" s="4110"/>
      <c r="F176" s="4110"/>
      <c r="G176" s="4110"/>
      <c r="H176" s="4110"/>
      <c r="I176" s="4110"/>
      <c r="J176" s="4110"/>
      <c r="K176" s="4110"/>
      <c r="L176" s="4110"/>
      <c r="M176" s="4110"/>
      <c r="N176" s="4110"/>
      <c r="O176" s="4110"/>
      <c r="P176" s="4110"/>
      <c r="Q176" s="4110"/>
      <c r="R176" s="4110"/>
      <c r="S176" s="4110"/>
      <c r="T176" s="4110"/>
      <c r="U176" s="4110"/>
      <c r="V176" s="4110"/>
      <c r="W176" s="4110"/>
      <c r="X176" s="4110"/>
      <c r="Y176" s="4110"/>
      <c r="Z176" s="4110"/>
      <c r="AA176" s="4110"/>
      <c r="AB176" s="4110"/>
      <c r="AC176" s="4110"/>
      <c r="AD176" s="4111"/>
      <c r="AE176" s="4093"/>
      <c r="AF176" s="4093"/>
      <c r="AG176" s="4093"/>
      <c r="AH176" s="4093"/>
      <c r="AI176" s="4093"/>
      <c r="AJ176" s="4093"/>
      <c r="AK176" s="4093"/>
    </row>
    <row r="177" spans="1:37" ht="18" customHeight="1">
      <c r="A177" s="4340" t="s">
        <v>546</v>
      </c>
      <c r="B177" s="4338" t="s">
        <v>1869</v>
      </c>
      <c r="C177" s="4338"/>
      <c r="D177" s="4338"/>
      <c r="E177" s="4338"/>
      <c r="F177" s="4338"/>
      <c r="G177" s="4338" t="s">
        <v>1870</v>
      </c>
      <c r="H177" s="4338"/>
      <c r="I177" s="4338"/>
      <c r="J177" s="4338"/>
      <c r="K177" s="4338"/>
      <c r="L177" s="4342" t="s">
        <v>1871</v>
      </c>
      <c r="M177" s="4342"/>
      <c r="N177" s="4342"/>
      <c r="O177" s="4338" t="s">
        <v>1872</v>
      </c>
      <c r="P177" s="4338"/>
      <c r="Q177" s="4338"/>
      <c r="R177" s="4338"/>
      <c r="S177" s="4338"/>
      <c r="T177" s="4336" t="s">
        <v>1873</v>
      </c>
      <c r="U177" s="4336"/>
      <c r="V177" s="4336"/>
      <c r="W177" s="4338" t="s">
        <v>1874</v>
      </c>
      <c r="X177" s="4338"/>
      <c r="Y177" s="4338"/>
      <c r="Z177" s="4338"/>
      <c r="AA177" s="4338"/>
      <c r="AB177" s="4336" t="s">
        <v>887</v>
      </c>
      <c r="AC177" s="4336"/>
      <c r="AD177" s="4336"/>
      <c r="AE177" s="4093"/>
      <c r="AF177" s="4093"/>
      <c r="AG177" s="4093"/>
      <c r="AH177" s="4093"/>
      <c r="AI177" s="4093"/>
      <c r="AJ177" s="4093"/>
      <c r="AK177" s="4093"/>
    </row>
    <row r="178" spans="1:37" ht="12.75" customHeight="1">
      <c r="A178" s="4341"/>
      <c r="B178" s="4337" t="s">
        <v>1875</v>
      </c>
      <c r="C178" s="4338" t="s">
        <v>587</v>
      </c>
      <c r="D178" s="4338" t="s">
        <v>588</v>
      </c>
      <c r="E178" s="4338" t="s">
        <v>589</v>
      </c>
      <c r="F178" s="4337" t="s">
        <v>1876</v>
      </c>
      <c r="G178" s="4337" t="s">
        <v>1875</v>
      </c>
      <c r="H178" s="4338" t="s">
        <v>1563</v>
      </c>
      <c r="I178" s="4338" t="s">
        <v>591</v>
      </c>
      <c r="J178" s="4338" t="s">
        <v>592</v>
      </c>
      <c r="K178" s="4337" t="s">
        <v>1876</v>
      </c>
      <c r="L178" s="4339" t="s">
        <v>1875</v>
      </c>
      <c r="M178" s="4339" t="s">
        <v>1876</v>
      </c>
      <c r="N178" s="4336" t="s">
        <v>1877</v>
      </c>
      <c r="O178" s="4337" t="s">
        <v>1875</v>
      </c>
      <c r="P178" s="4338" t="s">
        <v>593</v>
      </c>
      <c r="Q178" s="4338" t="s">
        <v>594</v>
      </c>
      <c r="R178" s="4338" t="s">
        <v>595</v>
      </c>
      <c r="S178" s="4337" t="s">
        <v>1876</v>
      </c>
      <c r="T178" s="4339" t="s">
        <v>1875</v>
      </c>
      <c r="U178" s="4339" t="s">
        <v>1876</v>
      </c>
      <c r="V178" s="4336" t="s">
        <v>1877</v>
      </c>
      <c r="W178" s="4337" t="s">
        <v>1875</v>
      </c>
      <c r="X178" s="4338" t="s">
        <v>596</v>
      </c>
      <c r="Y178" s="4338" t="s">
        <v>597</v>
      </c>
      <c r="Z178" s="4338" t="s">
        <v>598</v>
      </c>
      <c r="AA178" s="4337" t="s">
        <v>1876</v>
      </c>
      <c r="AB178" s="4339" t="s">
        <v>1875</v>
      </c>
      <c r="AC178" s="4339" t="s">
        <v>1876</v>
      </c>
      <c r="AD178" s="4336" t="s">
        <v>1877</v>
      </c>
      <c r="AE178" s="4093"/>
      <c r="AF178" s="4093"/>
      <c r="AG178" s="4093"/>
      <c r="AH178" s="4093"/>
      <c r="AI178" s="4093"/>
      <c r="AJ178" s="4093"/>
      <c r="AK178" s="4093"/>
    </row>
    <row r="179" spans="1:37" ht="12.75" customHeight="1">
      <c r="A179" s="4341"/>
      <c r="B179" s="4337"/>
      <c r="C179" s="4338"/>
      <c r="D179" s="4338"/>
      <c r="E179" s="4338"/>
      <c r="F179" s="4337"/>
      <c r="G179" s="4337"/>
      <c r="H179" s="4338"/>
      <c r="I179" s="4338"/>
      <c r="J179" s="4338"/>
      <c r="K179" s="4337"/>
      <c r="L179" s="4339"/>
      <c r="M179" s="4339"/>
      <c r="N179" s="4336"/>
      <c r="O179" s="4337"/>
      <c r="P179" s="4338"/>
      <c r="Q179" s="4338"/>
      <c r="R179" s="4338"/>
      <c r="S179" s="4337"/>
      <c r="T179" s="4339"/>
      <c r="U179" s="4339"/>
      <c r="V179" s="4336"/>
      <c r="W179" s="4337"/>
      <c r="X179" s="4338"/>
      <c r="Y179" s="4338"/>
      <c r="Z179" s="4338"/>
      <c r="AA179" s="4337"/>
      <c r="AB179" s="4339"/>
      <c r="AC179" s="4339"/>
      <c r="AD179" s="4336"/>
      <c r="AE179" s="4093"/>
      <c r="AF179" s="4093"/>
      <c r="AG179" s="4093"/>
      <c r="AH179" s="4093"/>
      <c r="AI179" s="4093"/>
      <c r="AJ179" s="4093"/>
      <c r="AK179" s="4093"/>
    </row>
    <row r="180" spans="1:37" ht="18.75">
      <c r="A180" s="4114" t="s">
        <v>1</v>
      </c>
      <c r="B180" s="4276">
        <f>SUM(B26+B50)</f>
        <v>2178.6821524877969</v>
      </c>
      <c r="C180" s="4276">
        <f t="shared" ref="C180:K180" si="282">SUM(C26+C50)</f>
        <v>906.26</v>
      </c>
      <c r="D180" s="4276">
        <f t="shared" si="282"/>
        <v>770.47</v>
      </c>
      <c r="E180" s="4276">
        <f t="shared" si="282"/>
        <v>878.01</v>
      </c>
      <c r="F180" s="4276">
        <f t="shared" si="282"/>
        <v>2554.7399999999998</v>
      </c>
      <c r="G180" s="4276">
        <f>SUM(G26+G50)</f>
        <v>2093.9337251599904</v>
      </c>
      <c r="H180" s="4276">
        <f t="shared" si="282"/>
        <v>916.38</v>
      </c>
      <c r="I180" s="4276">
        <f t="shared" si="282"/>
        <v>1012.93</v>
      </c>
      <c r="J180" s="4276">
        <f t="shared" si="282"/>
        <v>800.26</v>
      </c>
      <c r="K180" s="4276">
        <f t="shared" si="282"/>
        <v>2729.57</v>
      </c>
      <c r="L180" s="4277">
        <f>SUM(L26+L50)</f>
        <v>4272.6158776477869</v>
      </c>
      <c r="M180" s="4277">
        <f t="shared" ref="M180" si="283">SUM(M26+M50)</f>
        <v>5284.31</v>
      </c>
      <c r="N180" s="4122">
        <f t="shared" ref="N180:N216" si="284">SUM(M180-L180)</f>
        <v>1011.6941223522135</v>
      </c>
      <c r="O180" s="4276">
        <f>SUM(O26+O50)</f>
        <v>2188.6487333883315</v>
      </c>
      <c r="P180" s="4276">
        <f t="shared" ref="P180:S180" si="285">SUM(P26+P50)</f>
        <v>928.74</v>
      </c>
      <c r="Q180" s="4276">
        <f t="shared" si="285"/>
        <v>954.06999999999994</v>
      </c>
      <c r="R180" s="4276">
        <f t="shared" si="285"/>
        <v>931.78000000000009</v>
      </c>
      <c r="S180" s="4276">
        <f t="shared" si="285"/>
        <v>2814.59</v>
      </c>
      <c r="T180" s="4277">
        <f>SUM(T26+T50)</f>
        <v>6465.4505760917154</v>
      </c>
      <c r="U180" s="4277">
        <f t="shared" ref="U180" si="286">SUM(U26+U50)</f>
        <v>8098.9</v>
      </c>
      <c r="V180" s="4122">
        <f t="shared" ref="V180:V216" si="287">SUM(U180-T180)</f>
        <v>1633.4494239082842</v>
      </c>
      <c r="W180" s="4276">
        <f>SUM(W26+W50)</f>
        <v>2338.0953891975323</v>
      </c>
      <c r="X180" s="4276">
        <f t="shared" ref="X180:AA180" si="288">SUM(X26+X50)</f>
        <v>0</v>
      </c>
      <c r="Y180" s="4276">
        <f t="shared" si="288"/>
        <v>0</v>
      </c>
      <c r="Z180" s="4276">
        <f t="shared" si="288"/>
        <v>0</v>
      </c>
      <c r="AA180" s="4276">
        <f t="shared" si="288"/>
        <v>0</v>
      </c>
      <c r="AB180" s="4277">
        <f>SUM(AB26+AB50)</f>
        <v>8799.36</v>
      </c>
      <c r="AC180" s="4277">
        <f t="shared" ref="AC180" si="289">SUM(AC26+AC50)</f>
        <v>8098.9</v>
      </c>
      <c r="AD180" s="4122">
        <f t="shared" ref="AD180:AD216" si="290">SUM(AC180-AB180)</f>
        <v>-700.46000000000095</v>
      </c>
      <c r="AE180" s="4093"/>
      <c r="AF180" s="4093"/>
      <c r="AG180" s="4093"/>
      <c r="AH180" s="4093"/>
      <c r="AI180" s="4093"/>
      <c r="AJ180" s="4093"/>
      <c r="AK180" s="4093"/>
    </row>
    <row r="181" spans="1:37" ht="18.75">
      <c r="A181" s="4114" t="s">
        <v>2</v>
      </c>
      <c r="B181" s="4276">
        <f>SUM(B27+B52+B87+B110)</f>
        <v>2074.17</v>
      </c>
      <c r="C181" s="4276">
        <f t="shared" ref="C181:K182" si="291">SUM(C27+C52+C87+C110)</f>
        <v>748.98</v>
      </c>
      <c r="D181" s="4276">
        <f t="shared" si="291"/>
        <v>748.98</v>
      </c>
      <c r="E181" s="4276">
        <f t="shared" si="291"/>
        <v>748.81</v>
      </c>
      <c r="F181" s="4276">
        <f t="shared" si="291"/>
        <v>2246.77</v>
      </c>
      <c r="G181" s="4276">
        <f>SUM(G27+G52+G87+G110)</f>
        <v>2074.17</v>
      </c>
      <c r="H181" s="4276">
        <f t="shared" si="291"/>
        <v>747.8</v>
      </c>
      <c r="I181" s="4276">
        <f t="shared" si="291"/>
        <v>825.21</v>
      </c>
      <c r="J181" s="4276">
        <f t="shared" si="291"/>
        <v>923.7</v>
      </c>
      <c r="K181" s="4276">
        <f t="shared" si="291"/>
        <v>2496.71</v>
      </c>
      <c r="L181" s="4277">
        <f>SUM(L27+L52+L87+L110)</f>
        <v>4148.34</v>
      </c>
      <c r="M181" s="4277">
        <f t="shared" ref="M181:M182" si="292">SUM(M27+M52+M87+M110)</f>
        <v>4743.4799999999996</v>
      </c>
      <c r="N181" s="4122">
        <f t="shared" si="284"/>
        <v>595.13999999999942</v>
      </c>
      <c r="O181" s="4276">
        <f>SUM(O27+O52+O87+O110)</f>
        <v>2074.17</v>
      </c>
      <c r="P181" s="4276">
        <f t="shared" ref="P181:S182" si="293">SUM(P27+P52+P87+P110)</f>
        <v>923.54</v>
      </c>
      <c r="Q181" s="4276">
        <f t="shared" si="293"/>
        <v>901.34000000000015</v>
      </c>
      <c r="R181" s="4276">
        <f t="shared" si="293"/>
        <v>903.3900000000001</v>
      </c>
      <c r="S181" s="4276">
        <f t="shared" si="293"/>
        <v>2728.27</v>
      </c>
      <c r="T181" s="4277">
        <f>SUM(T27+T52+T87+T110)</f>
        <v>6222.51</v>
      </c>
      <c r="U181" s="4277">
        <f t="shared" ref="U181:U182" si="294">SUM(U27+U52+U87+U110)</f>
        <v>7471.75</v>
      </c>
      <c r="V181" s="4122">
        <f t="shared" si="287"/>
        <v>1249.2399999999998</v>
      </c>
      <c r="W181" s="4276">
        <f>SUM(W27+W52+W87+W110)</f>
        <v>2074.17</v>
      </c>
      <c r="X181" s="4276">
        <f t="shared" ref="X181:AA182" si="295">SUM(X27+X52+X87+X110)</f>
        <v>0</v>
      </c>
      <c r="Y181" s="4276">
        <f t="shared" si="295"/>
        <v>0</v>
      </c>
      <c r="Z181" s="4276">
        <f t="shared" si="295"/>
        <v>0</v>
      </c>
      <c r="AA181" s="4276">
        <f t="shared" si="295"/>
        <v>0</v>
      </c>
      <c r="AB181" s="4277">
        <f>SUM(AB27+AB52+AB87+AB110)</f>
        <v>8296.68</v>
      </c>
      <c r="AC181" s="4277">
        <f t="shared" ref="AC181:AC182" si="296">SUM(AC27+AC52+AC87+AC110)</f>
        <v>7471.75</v>
      </c>
      <c r="AD181" s="4122">
        <f t="shared" si="290"/>
        <v>-824.93000000000029</v>
      </c>
      <c r="AE181" s="4093"/>
      <c r="AF181" s="4093"/>
      <c r="AG181" s="4093"/>
      <c r="AH181" s="4093"/>
      <c r="AI181" s="4093"/>
      <c r="AJ181" s="4093"/>
      <c r="AK181" s="4093"/>
    </row>
    <row r="182" spans="1:37" ht="18.75">
      <c r="A182" s="4114" t="s">
        <v>219</v>
      </c>
      <c r="B182" s="4276">
        <f>SUM(B28+B53+B88+B111)</f>
        <v>0</v>
      </c>
      <c r="C182" s="4276">
        <f t="shared" si="291"/>
        <v>0</v>
      </c>
      <c r="D182" s="4276">
        <f t="shared" si="291"/>
        <v>0</v>
      </c>
      <c r="E182" s="4276">
        <f t="shared" si="291"/>
        <v>0</v>
      </c>
      <c r="F182" s="4276">
        <f t="shared" si="291"/>
        <v>0</v>
      </c>
      <c r="G182" s="4276">
        <f>SUM(G28+G53+G88+G111)</f>
        <v>0</v>
      </c>
      <c r="H182" s="4276">
        <f t="shared" si="291"/>
        <v>0</v>
      </c>
      <c r="I182" s="4276">
        <f t="shared" si="291"/>
        <v>0</v>
      </c>
      <c r="J182" s="4276">
        <f t="shared" si="291"/>
        <v>0</v>
      </c>
      <c r="K182" s="4276">
        <f t="shared" si="291"/>
        <v>0</v>
      </c>
      <c r="L182" s="4277">
        <f>SUM(L28+L53+L88+L111)</f>
        <v>0</v>
      </c>
      <c r="M182" s="4277">
        <f t="shared" si="292"/>
        <v>0</v>
      </c>
      <c r="N182" s="4122">
        <f t="shared" si="284"/>
        <v>0</v>
      </c>
      <c r="O182" s="4276">
        <f>SUM(O28+O53+O88+O111)</f>
        <v>0</v>
      </c>
      <c r="P182" s="4276">
        <f t="shared" si="293"/>
        <v>0</v>
      </c>
      <c r="Q182" s="4276">
        <f t="shared" si="293"/>
        <v>0</v>
      </c>
      <c r="R182" s="4276">
        <f t="shared" si="293"/>
        <v>0</v>
      </c>
      <c r="S182" s="4276">
        <f t="shared" si="293"/>
        <v>0</v>
      </c>
      <c r="T182" s="4277">
        <f>SUM(T28+T53+T88+T111)</f>
        <v>0</v>
      </c>
      <c r="U182" s="4277">
        <f t="shared" si="294"/>
        <v>0</v>
      </c>
      <c r="V182" s="4122">
        <f t="shared" si="287"/>
        <v>0</v>
      </c>
      <c r="W182" s="4276">
        <f>SUM(W28+W53+W88+W111)</f>
        <v>0</v>
      </c>
      <c r="X182" s="4276">
        <f t="shared" si="295"/>
        <v>0</v>
      </c>
      <c r="Y182" s="4276">
        <f t="shared" si="295"/>
        <v>0</v>
      </c>
      <c r="Z182" s="4276">
        <f t="shared" si="295"/>
        <v>0</v>
      </c>
      <c r="AA182" s="4276">
        <f t="shared" si="295"/>
        <v>0</v>
      </c>
      <c r="AB182" s="4277">
        <f>SUM(AB28+AB53+AB88+AB111)</f>
        <v>0</v>
      </c>
      <c r="AC182" s="4277">
        <f t="shared" si="296"/>
        <v>0</v>
      </c>
      <c r="AD182" s="4122">
        <f t="shared" si="290"/>
        <v>0</v>
      </c>
      <c r="AE182" s="4093"/>
      <c r="AF182" s="4093"/>
      <c r="AG182" s="4093"/>
      <c r="AH182" s="4093"/>
      <c r="AI182" s="4093"/>
      <c r="AJ182" s="4093"/>
      <c r="AK182" s="4093"/>
    </row>
    <row r="183" spans="1:37" ht="18.75">
      <c r="A183" s="4114" t="s">
        <v>3</v>
      </c>
      <c r="B183" s="4276">
        <f>SUM(B29+B54+B86+B112)</f>
        <v>132.67933074419489</v>
      </c>
      <c r="C183" s="4276">
        <f t="shared" ref="C183:K183" si="297">SUM(C29+C54+C86+C112)</f>
        <v>163.24</v>
      </c>
      <c r="D183" s="4276">
        <f t="shared" si="297"/>
        <v>146.70999999999998</v>
      </c>
      <c r="E183" s="4276">
        <f t="shared" si="297"/>
        <v>100.52</v>
      </c>
      <c r="F183" s="4276">
        <f t="shared" si="297"/>
        <v>410.47</v>
      </c>
      <c r="G183" s="4276">
        <f>SUM(G29+G54+G86+G112)</f>
        <v>132.67933074419489</v>
      </c>
      <c r="H183" s="4276">
        <f t="shared" si="297"/>
        <v>2242.0300000000002</v>
      </c>
      <c r="I183" s="4276">
        <f t="shared" si="297"/>
        <v>153.35999999999999</v>
      </c>
      <c r="J183" s="4276">
        <f t="shared" si="297"/>
        <v>400.28999999999996</v>
      </c>
      <c r="K183" s="4276">
        <f t="shared" si="297"/>
        <v>2795.68</v>
      </c>
      <c r="L183" s="4277">
        <f>SUM(L29+L54+L86+L112)</f>
        <v>265.35866148838977</v>
      </c>
      <c r="M183" s="4277">
        <f t="shared" ref="M183" si="298">SUM(M29+M54+M86+M112)</f>
        <v>3206.15</v>
      </c>
      <c r="N183" s="4122">
        <f t="shared" si="284"/>
        <v>2940.7913385116103</v>
      </c>
      <c r="O183" s="4276">
        <f>SUM(O29+O54+O86+O112)</f>
        <v>132.67933074419489</v>
      </c>
      <c r="P183" s="4276">
        <f t="shared" ref="P183:S183" si="299">SUM(P29+P54+P86+P112)</f>
        <v>200.88</v>
      </c>
      <c r="Q183" s="4276">
        <f t="shared" si="299"/>
        <v>472.29</v>
      </c>
      <c r="R183" s="4276">
        <f t="shared" si="299"/>
        <v>579.78</v>
      </c>
      <c r="S183" s="4276">
        <f t="shared" si="299"/>
        <v>1252.9499999999998</v>
      </c>
      <c r="T183" s="4277">
        <f>SUM(T29+T54+T86+T112)</f>
        <v>398.03799223258471</v>
      </c>
      <c r="U183" s="4277">
        <f t="shared" ref="U183" si="300">SUM(U29+U54+U86+U112)</f>
        <v>4459.1000000000004</v>
      </c>
      <c r="V183" s="4122">
        <f t="shared" si="287"/>
        <v>4061.0620077674157</v>
      </c>
      <c r="W183" s="4276">
        <f>SUM(W29+W54+W86+W112)</f>
        <v>132.67933074419489</v>
      </c>
      <c r="X183" s="4276">
        <f t="shared" ref="X183:AA183" si="301">SUM(X29+X54+X86+X112)</f>
        <v>0</v>
      </c>
      <c r="Y183" s="4276">
        <f t="shared" si="301"/>
        <v>0</v>
      </c>
      <c r="Z183" s="4276">
        <f t="shared" si="301"/>
        <v>0</v>
      </c>
      <c r="AA183" s="4276">
        <f t="shared" si="301"/>
        <v>0</v>
      </c>
      <c r="AB183" s="4277">
        <f>SUM(AB29+AB54+AB86+AB112)</f>
        <v>530.71732297677954</v>
      </c>
      <c r="AC183" s="4277">
        <f t="shared" ref="AC183" si="302">SUM(AC29+AC54+AC86+AC112)</f>
        <v>4459.1000000000004</v>
      </c>
      <c r="AD183" s="4122">
        <f t="shared" si="290"/>
        <v>3928.3826770232208</v>
      </c>
      <c r="AE183" s="4093"/>
      <c r="AF183" s="4093"/>
      <c r="AG183" s="4093"/>
      <c r="AH183" s="4093"/>
      <c r="AI183" s="4093"/>
      <c r="AJ183" s="4093"/>
      <c r="AK183" s="4093"/>
    </row>
    <row r="184" spans="1:37" ht="18.75">
      <c r="A184" s="4114" t="s">
        <v>8</v>
      </c>
      <c r="B184" s="4276">
        <f>SUM(B51)</f>
        <v>1851.6449689860901</v>
      </c>
      <c r="C184" s="4276">
        <f t="shared" ref="C184:K184" si="303">SUM(C51)</f>
        <v>286.25</v>
      </c>
      <c r="D184" s="4276">
        <f t="shared" si="303"/>
        <v>147.15</v>
      </c>
      <c r="E184" s="4276">
        <f t="shared" si="303"/>
        <v>132.66</v>
      </c>
      <c r="F184" s="4276">
        <f t="shared" si="303"/>
        <v>566.05999999999995</v>
      </c>
      <c r="G184" s="4276">
        <f>SUM(G51)</f>
        <v>1851.6449689860901</v>
      </c>
      <c r="H184" s="4276">
        <f t="shared" si="303"/>
        <v>962.24</v>
      </c>
      <c r="I184" s="4276">
        <f t="shared" si="303"/>
        <v>2063.1</v>
      </c>
      <c r="J184" s="4276">
        <f t="shared" si="303"/>
        <v>977.27</v>
      </c>
      <c r="K184" s="4276">
        <f t="shared" si="303"/>
        <v>4002.61</v>
      </c>
      <c r="L184" s="4277">
        <f>SUM(L51)</f>
        <v>3703.2899379721803</v>
      </c>
      <c r="M184" s="4277">
        <f t="shared" ref="M184" si="304">SUM(M51)</f>
        <v>4568.67</v>
      </c>
      <c r="N184" s="4122">
        <f t="shared" si="284"/>
        <v>865.3800620278198</v>
      </c>
      <c r="O184" s="4276">
        <f>SUM(O51)</f>
        <v>1851.6449689860901</v>
      </c>
      <c r="P184" s="4276">
        <f t="shared" ref="P184:S184" si="305">SUM(P51)</f>
        <v>1348.43</v>
      </c>
      <c r="Q184" s="4276">
        <f t="shared" si="305"/>
        <v>1801.3</v>
      </c>
      <c r="R184" s="4276">
        <f t="shared" si="305"/>
        <v>2369.5300000000002</v>
      </c>
      <c r="S184" s="4276">
        <f t="shared" si="305"/>
        <v>5519.26</v>
      </c>
      <c r="T184" s="4277">
        <f>SUM(T51)</f>
        <v>5554.9349069582704</v>
      </c>
      <c r="U184" s="4277">
        <f t="shared" ref="U184" si="306">SUM(U51)</f>
        <v>10087.93</v>
      </c>
      <c r="V184" s="4122">
        <f t="shared" si="287"/>
        <v>4532.9950930417299</v>
      </c>
      <c r="W184" s="4276">
        <f>SUM(W51)</f>
        <v>1851.6449689860901</v>
      </c>
      <c r="X184" s="4276">
        <f t="shared" ref="X184:AA184" si="307">SUM(X51)</f>
        <v>0</v>
      </c>
      <c r="Y184" s="4276">
        <f t="shared" si="307"/>
        <v>0</v>
      </c>
      <c r="Z184" s="4276">
        <f t="shared" si="307"/>
        <v>0</v>
      </c>
      <c r="AA184" s="4276">
        <f t="shared" si="307"/>
        <v>0</v>
      </c>
      <c r="AB184" s="4277">
        <f>SUM(AB51)</f>
        <v>7406.5798759443596</v>
      </c>
      <c r="AC184" s="4277">
        <f t="shared" ref="AC184" si="308">SUM(AC51)</f>
        <v>10087.93</v>
      </c>
      <c r="AD184" s="4122">
        <f t="shared" si="290"/>
        <v>2681.3501240556407</v>
      </c>
      <c r="AE184" s="4093"/>
      <c r="AF184" s="4093"/>
      <c r="AG184" s="4093"/>
      <c r="AH184" s="4093"/>
      <c r="AI184" s="4093"/>
      <c r="AJ184" s="4093"/>
      <c r="AK184" s="4093"/>
    </row>
    <row r="185" spans="1:37" ht="18.75">
      <c r="A185" s="4114" t="s">
        <v>4</v>
      </c>
      <c r="B185" s="4276">
        <f>SUM(B30+B55+B89+B113)</f>
        <v>12213.207390071777</v>
      </c>
      <c r="C185" s="4276">
        <f t="shared" ref="C185:K186" si="309">SUM(C30+C55+C89+C113)</f>
        <v>3291.94</v>
      </c>
      <c r="D185" s="4276">
        <f t="shared" si="309"/>
        <v>3314.02</v>
      </c>
      <c r="E185" s="4276">
        <f t="shared" si="309"/>
        <v>3777.0499999999997</v>
      </c>
      <c r="F185" s="4276">
        <f t="shared" si="309"/>
        <v>10383.009999999998</v>
      </c>
      <c r="G185" s="4276">
        <f>SUM(G30+G55+G89+G113)</f>
        <v>12213.207390071777</v>
      </c>
      <c r="H185" s="4276">
        <f t="shared" si="309"/>
        <v>3662.3799999999997</v>
      </c>
      <c r="I185" s="4276">
        <f t="shared" si="309"/>
        <v>4002.68</v>
      </c>
      <c r="J185" s="4276">
        <f t="shared" si="309"/>
        <v>3998.6299999999997</v>
      </c>
      <c r="K185" s="4276">
        <f t="shared" si="309"/>
        <v>11663.69</v>
      </c>
      <c r="L185" s="4277">
        <f>SUM(L30+L55+L89+L113)</f>
        <v>24426.414780143554</v>
      </c>
      <c r="M185" s="4277">
        <f t="shared" ref="M185:M186" si="310">SUM(M30+M55+M89+M113)</f>
        <v>22046.699999999997</v>
      </c>
      <c r="N185" s="4122">
        <f t="shared" si="284"/>
        <v>-2379.7147801435567</v>
      </c>
      <c r="O185" s="4276">
        <f>SUM(O30+O55+O89+O113)</f>
        <v>12949.663795693103</v>
      </c>
      <c r="P185" s="4276">
        <f t="shared" ref="P185:S186" si="311">SUM(P30+P55+P89+P113)</f>
        <v>3620.3599999999997</v>
      </c>
      <c r="Q185" s="4276">
        <f t="shared" si="311"/>
        <v>3781.48</v>
      </c>
      <c r="R185" s="4276">
        <f t="shared" si="311"/>
        <v>3475.6899999999996</v>
      </c>
      <c r="S185" s="4276">
        <f t="shared" si="311"/>
        <v>10877.529999999999</v>
      </c>
      <c r="T185" s="4277">
        <f>SUM(T30+T55+T89+T113)</f>
        <v>37376.078575836662</v>
      </c>
      <c r="U185" s="4277">
        <f t="shared" ref="U185:U186" si="312">SUM(U30+U55+U89+U113)</f>
        <v>32924.229999999996</v>
      </c>
      <c r="V185" s="4122">
        <f t="shared" si="287"/>
        <v>-4451.848575836666</v>
      </c>
      <c r="W185" s="4276">
        <f>SUM(W30+W55+W89+W113)</f>
        <v>12949.663795693103</v>
      </c>
      <c r="X185" s="4276">
        <f t="shared" ref="X185:AA186" si="313">SUM(X30+X55+X89+X113)</f>
        <v>0</v>
      </c>
      <c r="Y185" s="4276">
        <f t="shared" si="313"/>
        <v>0</v>
      </c>
      <c r="Z185" s="4276">
        <f t="shared" si="313"/>
        <v>0</v>
      </c>
      <c r="AA185" s="4276">
        <f t="shared" si="313"/>
        <v>0</v>
      </c>
      <c r="AB185" s="4277">
        <f>SUM(AB30+AB55+AB89+AB113)</f>
        <v>50325.742371529755</v>
      </c>
      <c r="AC185" s="4277">
        <f t="shared" ref="AC185:AC186" si="314">SUM(AC30+AC55+AC89+AC113)</f>
        <v>32924.229999999996</v>
      </c>
      <c r="AD185" s="4122">
        <f t="shared" si="290"/>
        <v>-17401.51237152976</v>
      </c>
      <c r="AE185" s="4093"/>
      <c r="AF185" s="4093"/>
      <c r="AG185" s="4093"/>
      <c r="AH185" s="4093"/>
      <c r="AI185" s="4093"/>
      <c r="AJ185" s="4093"/>
      <c r="AK185" s="4093"/>
    </row>
    <row r="186" spans="1:37" ht="18.75">
      <c r="A186" s="4114" t="s">
        <v>5</v>
      </c>
      <c r="B186" s="4276">
        <f>SUM(B31+B56+B90+B114)</f>
        <v>3658.2032592018068</v>
      </c>
      <c r="C186" s="4276">
        <f t="shared" si="309"/>
        <v>991.65</v>
      </c>
      <c r="D186" s="4276">
        <f t="shared" si="309"/>
        <v>994.56999999999994</v>
      </c>
      <c r="E186" s="4276">
        <f t="shared" si="309"/>
        <v>1122.23</v>
      </c>
      <c r="F186" s="4276">
        <f t="shared" si="309"/>
        <v>3108.45</v>
      </c>
      <c r="G186" s="4276">
        <f>SUM(G31+G56+G90+G114)</f>
        <v>3658.2032592018068</v>
      </c>
      <c r="H186" s="4276">
        <f t="shared" si="309"/>
        <v>1103.9000000000001</v>
      </c>
      <c r="I186" s="4276">
        <f t="shared" si="309"/>
        <v>1212.8</v>
      </c>
      <c r="J186" s="4276">
        <f t="shared" si="309"/>
        <v>1215.74</v>
      </c>
      <c r="K186" s="4276">
        <f t="shared" si="309"/>
        <v>3532.4400000000005</v>
      </c>
      <c r="L186" s="4277">
        <f>SUM(L31+L56+L90+L114)</f>
        <v>7316.4065184036135</v>
      </c>
      <c r="M186" s="4277">
        <f t="shared" si="310"/>
        <v>6640.8899999999994</v>
      </c>
      <c r="N186" s="4122">
        <f t="shared" si="284"/>
        <v>-675.5165184036141</v>
      </c>
      <c r="O186" s="4276">
        <f>SUM(O31+O56+O90+O114)</f>
        <v>3878.7929157316744</v>
      </c>
      <c r="P186" s="4276">
        <f t="shared" si="311"/>
        <v>1081.3800000000001</v>
      </c>
      <c r="Q186" s="4276">
        <f t="shared" si="311"/>
        <v>1141.58</v>
      </c>
      <c r="R186" s="4276">
        <f t="shared" si="311"/>
        <v>1079.9100000000001</v>
      </c>
      <c r="S186" s="4276">
        <f t="shared" si="311"/>
        <v>3302.87</v>
      </c>
      <c r="T186" s="4277">
        <f>SUM(T31+T56+T90+T114)</f>
        <v>11195.199434135287</v>
      </c>
      <c r="U186" s="4277">
        <f t="shared" si="312"/>
        <v>9943.76</v>
      </c>
      <c r="V186" s="4122">
        <f t="shared" si="287"/>
        <v>-1251.4394341352872</v>
      </c>
      <c r="W186" s="4276">
        <f>SUM(W31+W56+W90+W114)</f>
        <v>3878.7929157316744</v>
      </c>
      <c r="X186" s="4276">
        <f t="shared" si="313"/>
        <v>0</v>
      </c>
      <c r="Y186" s="4276">
        <f t="shared" si="313"/>
        <v>0</v>
      </c>
      <c r="Z186" s="4276">
        <f t="shared" si="313"/>
        <v>0</v>
      </c>
      <c r="AA186" s="4276">
        <f t="shared" si="313"/>
        <v>0</v>
      </c>
      <c r="AB186" s="4277">
        <f>SUM(AB31+AB56+AB90+AB114)</f>
        <v>15074.000484730654</v>
      </c>
      <c r="AC186" s="4277">
        <f t="shared" si="314"/>
        <v>9943.76</v>
      </c>
      <c r="AD186" s="4122">
        <f t="shared" si="290"/>
        <v>-5130.2404847306534</v>
      </c>
      <c r="AE186" s="4093"/>
      <c r="AF186" s="4093"/>
      <c r="AG186" s="4093"/>
      <c r="AH186" s="4093"/>
      <c r="AI186" s="4093"/>
      <c r="AJ186" s="4093"/>
      <c r="AK186" s="4093"/>
    </row>
    <row r="187" spans="1:37" ht="18.75">
      <c r="A187" s="4115" t="s">
        <v>322</v>
      </c>
      <c r="B187" s="4129">
        <f>SUM(B186/B185)</f>
        <v>0.29952846474838313</v>
      </c>
      <c r="C187" s="4129">
        <f t="shared" ref="C187:AC187" si="315">SUM(C186/C185)</f>
        <v>0.30123574548746329</v>
      </c>
      <c r="D187" s="4129">
        <f t="shared" si="315"/>
        <v>0.30010983639205557</v>
      </c>
      <c r="E187" s="4129">
        <f t="shared" si="315"/>
        <v>0.29711812128512993</v>
      </c>
      <c r="F187" s="4129">
        <f t="shared" si="315"/>
        <v>0.29937850392130994</v>
      </c>
      <c r="G187" s="4129">
        <f>SUM(G186/G185)</f>
        <v>0.29952846474838313</v>
      </c>
      <c r="H187" s="4129">
        <f t="shared" si="315"/>
        <v>0.30141601909141058</v>
      </c>
      <c r="I187" s="4129">
        <f t="shared" si="315"/>
        <v>0.30299699201534974</v>
      </c>
      <c r="J187" s="4129">
        <f t="shared" si="315"/>
        <v>0.30403913340319061</v>
      </c>
      <c r="K187" s="4129">
        <f t="shared" si="315"/>
        <v>0.30285784344405592</v>
      </c>
      <c r="L187" s="4130">
        <f>SUM(L186/L185)</f>
        <v>0.29952846474838313</v>
      </c>
      <c r="M187" s="4130">
        <f t="shared" si="315"/>
        <v>0.30121923008885687</v>
      </c>
      <c r="N187" s="4108">
        <f t="shared" si="284"/>
        <v>1.6907653404737433E-3</v>
      </c>
      <c r="O187" s="4129">
        <f>SUM(O186/O185)</f>
        <v>0.29952846474838307</v>
      </c>
      <c r="P187" s="4129">
        <f t="shared" si="315"/>
        <v>0.29869405252516329</v>
      </c>
      <c r="Q187" s="4129">
        <f t="shared" si="315"/>
        <v>0.3018870918264806</v>
      </c>
      <c r="R187" s="4129">
        <f t="shared" si="315"/>
        <v>0.31070377392690379</v>
      </c>
      <c r="S187" s="4129">
        <f t="shared" si="315"/>
        <v>0.30364154362249518</v>
      </c>
      <c r="T187" s="4130">
        <f>SUM(T186/T185)</f>
        <v>0.29952846474838307</v>
      </c>
      <c r="U187" s="4130">
        <f t="shared" si="315"/>
        <v>0.30201951571836311</v>
      </c>
      <c r="V187" s="4108">
        <f t="shared" si="287"/>
        <v>2.4910509699800354E-3</v>
      </c>
      <c r="W187" s="4129">
        <f>SUM(W186/W185)</f>
        <v>0.29952846474838307</v>
      </c>
      <c r="X187" s="4129" t="e">
        <f t="shared" si="315"/>
        <v>#DIV/0!</v>
      </c>
      <c r="Y187" s="4129" t="e">
        <f t="shared" si="315"/>
        <v>#DIV/0!</v>
      </c>
      <c r="Z187" s="4129" t="e">
        <f t="shared" si="315"/>
        <v>#DIV/0!</v>
      </c>
      <c r="AA187" s="4129" t="e">
        <f t="shared" si="315"/>
        <v>#DIV/0!</v>
      </c>
      <c r="AB187" s="4130">
        <f>SUM(AB186/AB185)</f>
        <v>0.29952862639256977</v>
      </c>
      <c r="AC187" s="4130">
        <f t="shared" si="315"/>
        <v>0.30201951571836311</v>
      </c>
      <c r="AD187" s="4108">
        <f t="shared" si="290"/>
        <v>2.4908893257933329E-3</v>
      </c>
      <c r="AE187" s="4093"/>
      <c r="AF187" s="4093"/>
      <c r="AG187" s="4093"/>
      <c r="AH187" s="4093"/>
      <c r="AI187" s="4093"/>
      <c r="AJ187" s="4093"/>
      <c r="AK187" s="4093"/>
    </row>
    <row r="188" spans="1:37" ht="18.75">
      <c r="A188" s="4114" t="s">
        <v>1765</v>
      </c>
      <c r="B188" s="4276">
        <f>SUM(B33+B58+B92+B116)</f>
        <v>5632.5718398210283</v>
      </c>
      <c r="C188" s="4276">
        <f t="shared" ref="C188:F190" si="316">SUM(C33+C58+C92+C116)</f>
        <v>2392.38</v>
      </c>
      <c r="D188" s="4276">
        <f t="shared" si="316"/>
        <v>1828.22</v>
      </c>
      <c r="E188" s="4276">
        <f t="shared" si="316"/>
        <v>1683.0900000000001</v>
      </c>
      <c r="F188" s="4276">
        <f t="shared" si="316"/>
        <v>5903.69</v>
      </c>
      <c r="G188" s="4276">
        <f>SUM(G33+G58+G92+G116)</f>
        <v>4342.7383703191754</v>
      </c>
      <c r="H188" s="4276">
        <f t="shared" ref="H188:K190" si="317">SUM(H33+H58+H92+H116)</f>
        <v>1656.22</v>
      </c>
      <c r="I188" s="4276">
        <f t="shared" si="317"/>
        <v>1743.9099999999999</v>
      </c>
      <c r="J188" s="4276">
        <f t="shared" si="317"/>
        <v>1076.5600000000002</v>
      </c>
      <c r="K188" s="4276">
        <f t="shared" si="317"/>
        <v>4476.6900000000005</v>
      </c>
      <c r="L188" s="4277">
        <f>SUM(L33+L58+L92+L116)</f>
        <v>9975.3102101402037</v>
      </c>
      <c r="M188" s="4277">
        <f t="shared" ref="M188:M190" si="318">SUM(M33+M58+M92+M116)</f>
        <v>10380.379999999999</v>
      </c>
      <c r="N188" s="4122">
        <f t="shared" si="284"/>
        <v>405.06978985979549</v>
      </c>
      <c r="O188" s="4276">
        <f>SUM(O33+O58+O92+O116)</f>
        <v>4196.0637141638435</v>
      </c>
      <c r="P188" s="4276">
        <f t="shared" ref="P188:S190" si="319">SUM(P33+P58+P92+P116)</f>
        <v>1194.3900000000001</v>
      </c>
      <c r="Q188" s="4276">
        <f t="shared" si="319"/>
        <v>1393.37</v>
      </c>
      <c r="R188" s="4276">
        <f t="shared" si="319"/>
        <v>1628.0899999999997</v>
      </c>
      <c r="S188" s="4276">
        <f t="shared" si="319"/>
        <v>4215.8500000000004</v>
      </c>
      <c r="T188" s="4277">
        <f>SUM(T33+T58+T92+T116)</f>
        <v>14171.373924304047</v>
      </c>
      <c r="U188" s="4277">
        <f t="shared" ref="U188:U190" si="320">SUM(U33+U58+U92+U116)</f>
        <v>14596.23</v>
      </c>
      <c r="V188" s="4122">
        <f t="shared" si="287"/>
        <v>424.85607569595231</v>
      </c>
      <c r="W188" s="4276">
        <f>SUM(W33+W58+W92+W116)</f>
        <v>5580.6768896421818</v>
      </c>
      <c r="X188" s="4276">
        <f t="shared" ref="X188:AA190" si="321">SUM(X33+X58+X92+X116)</f>
        <v>0</v>
      </c>
      <c r="Y188" s="4276">
        <f t="shared" si="321"/>
        <v>0</v>
      </c>
      <c r="Z188" s="4276">
        <f t="shared" si="321"/>
        <v>0</v>
      </c>
      <c r="AA188" s="4276">
        <f t="shared" si="321"/>
        <v>0</v>
      </c>
      <c r="AB188" s="4277">
        <f>SUM(AB33+AB58+AB92+AB116)</f>
        <v>19752.050813946229</v>
      </c>
      <c r="AC188" s="4277">
        <f t="shared" ref="AC188:AC190" si="322">SUM(AC33+AC58+AC92+AC116)</f>
        <v>14596.23</v>
      </c>
      <c r="AD188" s="4122">
        <f t="shared" si="290"/>
        <v>-5155.8208139462295</v>
      </c>
      <c r="AE188" s="4093"/>
      <c r="AF188" s="4093"/>
      <c r="AG188" s="4093"/>
      <c r="AH188" s="4093"/>
      <c r="AI188" s="4093"/>
      <c r="AJ188" s="4093"/>
      <c r="AK188" s="4093"/>
    </row>
    <row r="189" spans="1:37" ht="18.75">
      <c r="A189" s="4115" t="s">
        <v>1766</v>
      </c>
      <c r="B189" s="4278">
        <f>SUM(B34+B59+B93+B117)</f>
        <v>1866.9758679897293</v>
      </c>
      <c r="C189" s="4278">
        <f t="shared" si="316"/>
        <v>718.24</v>
      </c>
      <c r="D189" s="4278">
        <f t="shared" si="316"/>
        <v>467.44</v>
      </c>
      <c r="E189" s="4278">
        <f t="shared" si="316"/>
        <v>375.23000000000008</v>
      </c>
      <c r="F189" s="4278">
        <f t="shared" si="316"/>
        <v>1560.9099999999999</v>
      </c>
      <c r="G189" s="4278">
        <f>SUM(G34+G59+G93+G117)</f>
        <v>1866.9758679897293</v>
      </c>
      <c r="H189" s="4278">
        <f t="shared" si="317"/>
        <v>383.89</v>
      </c>
      <c r="I189" s="4278">
        <f t="shared" si="317"/>
        <v>541.89</v>
      </c>
      <c r="J189" s="4278">
        <f t="shared" si="317"/>
        <v>455.82</v>
      </c>
      <c r="K189" s="4278">
        <f t="shared" si="317"/>
        <v>1381.6000000000001</v>
      </c>
      <c r="L189" s="4279">
        <f>SUM(L34+L59+L93+L117)</f>
        <v>3733.9517359794586</v>
      </c>
      <c r="M189" s="4279">
        <f t="shared" si="318"/>
        <v>2942.51</v>
      </c>
      <c r="N189" s="4270">
        <f t="shared" si="284"/>
        <v>-791.44173597945837</v>
      </c>
      <c r="O189" s="4278">
        <f>SUM(O34+O59+O93+O117)</f>
        <v>1985.9659332322503</v>
      </c>
      <c r="P189" s="4278">
        <f t="shared" si="319"/>
        <v>460.62</v>
      </c>
      <c r="Q189" s="4278">
        <f>SUM(Q34+Q59+Q93+Q117)</f>
        <v>630.38</v>
      </c>
      <c r="R189" s="4278">
        <f t="shared" si="319"/>
        <v>642.69000000000005</v>
      </c>
      <c r="S189" s="4278">
        <f t="shared" si="319"/>
        <v>1733.6900000000003</v>
      </c>
      <c r="T189" s="4279">
        <f>SUM(T34+T59+T93+T117)</f>
        <v>5719.9176692117089</v>
      </c>
      <c r="U189" s="4279">
        <f t="shared" si="320"/>
        <v>4676.2</v>
      </c>
      <c r="V189" s="4270">
        <f t="shared" si="287"/>
        <v>-1043.7176692117091</v>
      </c>
      <c r="W189" s="4278">
        <f>SUM(W34+W59+W93+W117)</f>
        <v>1985.9659332322503</v>
      </c>
      <c r="X189" s="4278">
        <f t="shared" si="321"/>
        <v>0</v>
      </c>
      <c r="Y189" s="4278">
        <f t="shared" si="321"/>
        <v>0</v>
      </c>
      <c r="Z189" s="4278">
        <f t="shared" si="321"/>
        <v>0</v>
      </c>
      <c r="AA189" s="4278">
        <f t="shared" si="321"/>
        <v>0</v>
      </c>
      <c r="AB189" s="4279">
        <f>SUM(AB34+AB59+AB93+AB117)</f>
        <v>7705.8836024439597</v>
      </c>
      <c r="AC189" s="4279">
        <f t="shared" si="322"/>
        <v>4676.2</v>
      </c>
      <c r="AD189" s="4270">
        <f t="shared" si="290"/>
        <v>-3029.6836024439599</v>
      </c>
      <c r="AE189" s="4093"/>
      <c r="AF189" s="4093"/>
      <c r="AG189" s="4093"/>
      <c r="AH189" s="4093"/>
      <c r="AI189" s="4093"/>
      <c r="AJ189" s="4093"/>
      <c r="AK189" s="4093"/>
    </row>
    <row r="190" spans="1:37" ht="18.75">
      <c r="A190" s="4115" t="s">
        <v>1767</v>
      </c>
      <c r="B190" s="4278">
        <f>SUM(B35+B60+B94+B118)</f>
        <v>561.39943160940163</v>
      </c>
      <c r="C190" s="4278">
        <f t="shared" si="316"/>
        <v>200.93</v>
      </c>
      <c r="D190" s="4278">
        <f t="shared" si="316"/>
        <v>141.16</v>
      </c>
      <c r="E190" s="4278">
        <f t="shared" si="316"/>
        <v>100.82000000000001</v>
      </c>
      <c r="F190" s="4278">
        <f t="shared" si="316"/>
        <v>442.91</v>
      </c>
      <c r="G190" s="4278">
        <f>SUM(G35+G60+G94+G118)</f>
        <v>561.39943160940163</v>
      </c>
      <c r="H190" s="4278">
        <f t="shared" si="317"/>
        <v>111.99000000000001</v>
      </c>
      <c r="I190" s="4278">
        <f t="shared" si="317"/>
        <v>151.26</v>
      </c>
      <c r="J190" s="4278">
        <f t="shared" si="317"/>
        <v>137.66000000000003</v>
      </c>
      <c r="K190" s="4278">
        <f t="shared" si="317"/>
        <v>400.91</v>
      </c>
      <c r="L190" s="4279">
        <f>SUM(L35+L60+L94+L118)</f>
        <v>1122.7988632188033</v>
      </c>
      <c r="M190" s="4279">
        <f t="shared" si="318"/>
        <v>843.81999999999994</v>
      </c>
      <c r="N190" s="4270">
        <f t="shared" si="284"/>
        <v>-278.97886321880333</v>
      </c>
      <c r="O190" s="4278">
        <f>SUM(O35+O60+O94+O118)</f>
        <v>597.17930989627257</v>
      </c>
      <c r="P190" s="4278">
        <f t="shared" si="319"/>
        <v>139.1</v>
      </c>
      <c r="Q190" s="4278">
        <f>SUM(Q35+Q60+Q94+Q118)</f>
        <v>201.42999999999998</v>
      </c>
      <c r="R190" s="4278">
        <f t="shared" si="319"/>
        <v>194.08999999999997</v>
      </c>
      <c r="S190" s="4278">
        <f t="shared" si="319"/>
        <v>534.62</v>
      </c>
      <c r="T190" s="4279">
        <f>SUM(T35+T60+T94+T118)</f>
        <v>1719.9781731150756</v>
      </c>
      <c r="U190" s="4279">
        <f t="shared" si="320"/>
        <v>1378.44</v>
      </c>
      <c r="V190" s="4270">
        <f t="shared" si="287"/>
        <v>-341.53817311507555</v>
      </c>
      <c r="W190" s="4278">
        <f>SUM(W35+W60+W94+W118)</f>
        <v>597.17930989627257</v>
      </c>
      <c r="X190" s="4278">
        <f t="shared" si="321"/>
        <v>0</v>
      </c>
      <c r="Y190" s="4278">
        <f t="shared" si="321"/>
        <v>0</v>
      </c>
      <c r="Z190" s="4278">
        <f t="shared" si="321"/>
        <v>0</v>
      </c>
      <c r="AA190" s="4278">
        <f t="shared" si="321"/>
        <v>0</v>
      </c>
      <c r="AB190" s="4279">
        <f>SUM(AB35+AB60+AB94+AB118)</f>
        <v>2317.1574830113486</v>
      </c>
      <c r="AC190" s="4279">
        <f t="shared" si="322"/>
        <v>1378.44</v>
      </c>
      <c r="AD190" s="4270">
        <f t="shared" si="290"/>
        <v>-938.71748301134858</v>
      </c>
      <c r="AE190" s="4093"/>
      <c r="AF190" s="4093"/>
      <c r="AG190" s="4093"/>
      <c r="AH190" s="4093"/>
      <c r="AI190" s="4093"/>
      <c r="AJ190" s="4093"/>
      <c r="AK190" s="4093"/>
    </row>
    <row r="191" spans="1:37" ht="18.75">
      <c r="A191" s="4115" t="s">
        <v>31</v>
      </c>
      <c r="B191" s="4278">
        <f>SUM(B96)</f>
        <v>511.37207629499153</v>
      </c>
      <c r="C191" s="4278">
        <f t="shared" ref="C191:F191" si="323">SUM(C96)</f>
        <v>135.53</v>
      </c>
      <c r="D191" s="4278">
        <f t="shared" si="323"/>
        <v>175.2</v>
      </c>
      <c r="E191" s="4278">
        <f t="shared" si="323"/>
        <v>145.05000000000001</v>
      </c>
      <c r="F191" s="4278">
        <f t="shared" si="323"/>
        <v>455.78000000000003</v>
      </c>
      <c r="G191" s="4278">
        <f>SUM(G96)</f>
        <v>511.37207629499153</v>
      </c>
      <c r="H191" s="4278">
        <f t="shared" ref="H191:K191" si="324">SUM(H96)</f>
        <v>163.84</v>
      </c>
      <c r="I191" s="4278">
        <f t="shared" si="324"/>
        <v>136.81</v>
      </c>
      <c r="J191" s="4278">
        <f t="shared" si="324"/>
        <v>131.74</v>
      </c>
      <c r="K191" s="4278">
        <f t="shared" si="324"/>
        <v>432.39</v>
      </c>
      <c r="L191" s="4279">
        <f>SUM(L96)</f>
        <v>1022.7441525899831</v>
      </c>
      <c r="M191" s="4279">
        <f t="shared" ref="M191" si="325">SUM(M96)</f>
        <v>888.17000000000007</v>
      </c>
      <c r="N191" s="4270">
        <f t="shared" si="284"/>
        <v>-134.57415258998299</v>
      </c>
      <c r="O191" s="4278">
        <f>SUM(O96)</f>
        <v>511.37207629499153</v>
      </c>
      <c r="P191" s="4278">
        <f t="shared" ref="P191:S191" si="326">SUM(P96)</f>
        <v>124.55</v>
      </c>
      <c r="Q191" s="4278">
        <f t="shared" si="326"/>
        <v>151.10000000000002</v>
      </c>
      <c r="R191" s="4278">
        <f t="shared" si="326"/>
        <v>131.97</v>
      </c>
      <c r="S191" s="4278">
        <f t="shared" si="326"/>
        <v>407.62</v>
      </c>
      <c r="T191" s="4279">
        <f>SUM(T96)</f>
        <v>1534.1162288849746</v>
      </c>
      <c r="U191" s="4279">
        <f t="shared" ref="U191" si="327">SUM(U96)</f>
        <v>1295.79</v>
      </c>
      <c r="V191" s="4270">
        <f t="shared" si="287"/>
        <v>-238.32622888497463</v>
      </c>
      <c r="W191" s="4278">
        <f>SUM(W96)</f>
        <v>511.37207629499153</v>
      </c>
      <c r="X191" s="4278">
        <f t="shared" ref="X191:AA191" si="328">SUM(X96)</f>
        <v>0</v>
      </c>
      <c r="Y191" s="4278">
        <f t="shared" si="328"/>
        <v>0</v>
      </c>
      <c r="Z191" s="4278">
        <f t="shared" si="328"/>
        <v>0</v>
      </c>
      <c r="AA191" s="4278">
        <f t="shared" si="328"/>
        <v>0</v>
      </c>
      <c r="AB191" s="4279">
        <f>SUM(AB96)</f>
        <v>2045.4883051799661</v>
      </c>
      <c r="AC191" s="4279">
        <f t="shared" ref="AC191" si="329">SUM(AC96)</f>
        <v>1295.79</v>
      </c>
      <c r="AD191" s="4270">
        <f t="shared" si="290"/>
        <v>-749.69830517996616</v>
      </c>
      <c r="AE191" s="4093"/>
      <c r="AF191" s="4093"/>
      <c r="AG191" s="4093"/>
      <c r="AH191" s="4093"/>
      <c r="AI191" s="4093"/>
      <c r="AJ191" s="4093"/>
      <c r="AK191" s="4093"/>
    </row>
    <row r="192" spans="1:37" ht="18.75">
      <c r="A192" s="4115" t="s">
        <v>300</v>
      </c>
      <c r="B192" s="4278">
        <f>SUM(B188-(B189+B190+B191))</f>
        <v>2692.824463926906</v>
      </c>
      <c r="C192" s="4278">
        <f t="shared" ref="C192:F192" si="330">SUM(C188-(C189+C190+C191))</f>
        <v>1337.68</v>
      </c>
      <c r="D192" s="4278">
        <f t="shared" si="330"/>
        <v>1044.42</v>
      </c>
      <c r="E192" s="4278">
        <f t="shared" si="330"/>
        <v>1061.99</v>
      </c>
      <c r="F192" s="4278">
        <f t="shared" si="330"/>
        <v>3444.0899999999997</v>
      </c>
      <c r="G192" s="4278">
        <f>SUM(G188-(G189+G190+G191))</f>
        <v>1402.990994425053</v>
      </c>
      <c r="H192" s="4278">
        <f t="shared" ref="H192:M192" si="331">SUM(H188-(H189+H190+H191))</f>
        <v>996.5</v>
      </c>
      <c r="I192" s="4278">
        <f t="shared" si="331"/>
        <v>913.94999999999982</v>
      </c>
      <c r="J192" s="4278">
        <f t="shared" si="331"/>
        <v>351.34000000000015</v>
      </c>
      <c r="K192" s="4278">
        <f t="shared" si="331"/>
        <v>2261.7900000000004</v>
      </c>
      <c r="L192" s="4279">
        <f>SUM(L188-(L189+L190+L191))</f>
        <v>4095.815458351959</v>
      </c>
      <c r="M192" s="4279">
        <f t="shared" si="331"/>
        <v>5705.8799999999992</v>
      </c>
      <c r="N192" s="4270">
        <f t="shared" si="284"/>
        <v>1610.0645416480402</v>
      </c>
      <c r="O192" s="4278">
        <f>SUM(O188-(O189+O190+O191))</f>
        <v>1101.5463947403291</v>
      </c>
      <c r="P192" s="4278">
        <f t="shared" ref="P192:S192" si="332">SUM(P188-(P189+P190+P191))</f>
        <v>470.12000000000012</v>
      </c>
      <c r="Q192" s="4278">
        <f t="shared" si="332"/>
        <v>410.45999999999992</v>
      </c>
      <c r="R192" s="4278">
        <f t="shared" si="332"/>
        <v>659.33999999999969</v>
      </c>
      <c r="S192" s="4278">
        <f t="shared" si="332"/>
        <v>1539.92</v>
      </c>
      <c r="T192" s="4279">
        <f>SUM(T188-(T189+T190+T191))</f>
        <v>5197.3618530922868</v>
      </c>
      <c r="U192" s="4279">
        <f t="shared" ref="U192" si="333">SUM(U188-(U189+U190+U191))</f>
        <v>7245.8</v>
      </c>
      <c r="V192" s="4270">
        <f t="shared" si="287"/>
        <v>2048.4381469077134</v>
      </c>
      <c r="W192" s="4278">
        <f>SUM(W188-(W189+W190+W191))</f>
        <v>2486.1595702186673</v>
      </c>
      <c r="X192" s="4278">
        <f t="shared" ref="X192:AA192" si="334">SUM(X188-(X189+X190+X191))</f>
        <v>0</v>
      </c>
      <c r="Y192" s="4278">
        <f t="shared" si="334"/>
        <v>0</v>
      </c>
      <c r="Z192" s="4278">
        <f t="shared" si="334"/>
        <v>0</v>
      </c>
      <c r="AA192" s="4278">
        <f t="shared" si="334"/>
        <v>0</v>
      </c>
      <c r="AB192" s="4279">
        <f>SUM(AB188-(AB189+AB190+AB191))</f>
        <v>7683.5214233109546</v>
      </c>
      <c r="AC192" s="4279">
        <f t="shared" ref="AC192" si="335">SUM(AC188-(AC189+AC190+AC191))</f>
        <v>7245.8</v>
      </c>
      <c r="AD192" s="4270">
        <f t="shared" si="290"/>
        <v>-437.72142331095438</v>
      </c>
      <c r="AE192" s="4093"/>
      <c r="AF192" s="4093"/>
      <c r="AG192" s="4093"/>
      <c r="AH192" s="4093"/>
      <c r="AI192" s="4093"/>
      <c r="AJ192" s="4093"/>
      <c r="AK192" s="4093"/>
    </row>
    <row r="193" spans="1:37" ht="18.75">
      <c r="A193" s="4114" t="s">
        <v>1744</v>
      </c>
      <c r="B193" s="4276">
        <f>SUM(B130)</f>
        <v>905.47599999999989</v>
      </c>
      <c r="C193" s="4276">
        <f t="shared" ref="C193:F193" si="336">SUM(C130)</f>
        <v>0</v>
      </c>
      <c r="D193" s="4276">
        <f t="shared" si="336"/>
        <v>0</v>
      </c>
      <c r="E193" s="4276">
        <f t="shared" si="336"/>
        <v>522.91999999999996</v>
      </c>
      <c r="F193" s="4276">
        <f t="shared" si="336"/>
        <v>522.91999999999996</v>
      </c>
      <c r="G193" s="4276">
        <f>SUM(G130)</f>
        <v>905.47599999999989</v>
      </c>
      <c r="H193" s="4276">
        <f t="shared" ref="H193:K193" si="337">SUM(H130)</f>
        <v>0</v>
      </c>
      <c r="I193" s="4276">
        <f t="shared" si="337"/>
        <v>0</v>
      </c>
      <c r="J193" s="4276">
        <f t="shared" si="337"/>
        <v>522.91999999999996</v>
      </c>
      <c r="K193" s="4276">
        <f t="shared" si="337"/>
        <v>522.91999999999996</v>
      </c>
      <c r="L193" s="4277">
        <f>SUM(L130)</f>
        <v>1810.9519999999998</v>
      </c>
      <c r="M193" s="4277">
        <f t="shared" ref="M193" si="338">SUM(M130)</f>
        <v>1045.8399999999999</v>
      </c>
      <c r="N193" s="4122">
        <f t="shared" si="284"/>
        <v>-765.11199999999985</v>
      </c>
      <c r="O193" s="4276">
        <f>SUM(O130)</f>
        <v>905.47599999999989</v>
      </c>
      <c r="P193" s="4276">
        <f t="shared" ref="P193:S193" si="339">SUM(P130)</f>
        <v>0</v>
      </c>
      <c r="Q193" s="4276">
        <f t="shared" si="339"/>
        <v>0</v>
      </c>
      <c r="R193" s="4276">
        <f t="shared" si="339"/>
        <v>522.91999999999996</v>
      </c>
      <c r="S193" s="4276">
        <f t="shared" si="339"/>
        <v>522.91999999999996</v>
      </c>
      <c r="T193" s="4277">
        <f>SUM(T130)</f>
        <v>2716.4279999999999</v>
      </c>
      <c r="U193" s="4277">
        <f t="shared" ref="U193" si="340">SUM(U130)</f>
        <v>1568.76</v>
      </c>
      <c r="V193" s="4122">
        <f t="shared" si="287"/>
        <v>-1147.6679999999999</v>
      </c>
      <c r="W193" s="4276">
        <f>SUM(W130)</f>
        <v>905.47599999999989</v>
      </c>
      <c r="X193" s="4276">
        <f t="shared" ref="X193:AA193" si="341">SUM(X130)</f>
        <v>0</v>
      </c>
      <c r="Y193" s="4276">
        <f t="shared" si="341"/>
        <v>0</v>
      </c>
      <c r="Z193" s="4276">
        <f t="shared" si="341"/>
        <v>0</v>
      </c>
      <c r="AA193" s="4276">
        <f t="shared" si="341"/>
        <v>0</v>
      </c>
      <c r="AB193" s="4277">
        <f>SUM(AB130)</f>
        <v>3621.9039999999995</v>
      </c>
      <c r="AC193" s="4277">
        <f t="shared" ref="AC193" si="342">SUM(AC130)</f>
        <v>1568.76</v>
      </c>
      <c r="AD193" s="4122">
        <f t="shared" si="290"/>
        <v>-2053.1439999999993</v>
      </c>
      <c r="AE193" s="4093"/>
      <c r="AF193" s="4093"/>
      <c r="AG193" s="4093"/>
      <c r="AH193" s="4093"/>
      <c r="AI193" s="4093"/>
      <c r="AJ193" s="4093"/>
      <c r="AK193" s="4093"/>
    </row>
    <row r="194" spans="1:37" ht="18.75">
      <c r="A194" s="4115" t="s">
        <v>1718</v>
      </c>
      <c r="B194" s="4278">
        <f t="shared" ref="B194:M203" si="343">SUM(B131)</f>
        <v>339.3775</v>
      </c>
      <c r="C194" s="4278">
        <f t="shared" si="343"/>
        <v>0</v>
      </c>
      <c r="D194" s="4278">
        <f t="shared" si="343"/>
        <v>0</v>
      </c>
      <c r="E194" s="4278">
        <f t="shared" si="343"/>
        <v>501.14</v>
      </c>
      <c r="F194" s="4278">
        <f t="shared" si="343"/>
        <v>501.14</v>
      </c>
      <c r="G194" s="4278">
        <f t="shared" si="343"/>
        <v>339.3775</v>
      </c>
      <c r="H194" s="4278">
        <f t="shared" si="343"/>
        <v>0</v>
      </c>
      <c r="I194" s="4278">
        <f t="shared" si="343"/>
        <v>0</v>
      </c>
      <c r="J194" s="4278">
        <f t="shared" si="343"/>
        <v>501.14</v>
      </c>
      <c r="K194" s="4278">
        <f t="shared" si="343"/>
        <v>501.14</v>
      </c>
      <c r="L194" s="4279">
        <f t="shared" si="343"/>
        <v>678.755</v>
      </c>
      <c r="M194" s="4279">
        <f t="shared" si="343"/>
        <v>1002.28</v>
      </c>
      <c r="N194" s="4270">
        <f t="shared" si="284"/>
        <v>323.52499999999998</v>
      </c>
      <c r="O194" s="4278">
        <f t="shared" ref="O194:U203" si="344">SUM(O131)</f>
        <v>339.3775</v>
      </c>
      <c r="P194" s="4278">
        <f t="shared" si="344"/>
        <v>0</v>
      </c>
      <c r="Q194" s="4278">
        <f t="shared" si="344"/>
        <v>0</v>
      </c>
      <c r="R194" s="4278">
        <f t="shared" si="344"/>
        <v>501.14</v>
      </c>
      <c r="S194" s="4278">
        <f t="shared" si="344"/>
        <v>501.14</v>
      </c>
      <c r="T194" s="4279">
        <f t="shared" si="344"/>
        <v>1018.1324999999999</v>
      </c>
      <c r="U194" s="4279">
        <f t="shared" si="344"/>
        <v>1503.42</v>
      </c>
      <c r="V194" s="4270">
        <f t="shared" si="287"/>
        <v>485.28750000000014</v>
      </c>
      <c r="W194" s="4278">
        <f t="shared" ref="W194:AC203" si="345">SUM(W131)</f>
        <v>339.3775</v>
      </c>
      <c r="X194" s="4278">
        <f t="shared" si="345"/>
        <v>0</v>
      </c>
      <c r="Y194" s="4278">
        <f t="shared" si="345"/>
        <v>0</v>
      </c>
      <c r="Z194" s="4278">
        <f t="shared" si="345"/>
        <v>0</v>
      </c>
      <c r="AA194" s="4278">
        <f t="shared" si="345"/>
        <v>0</v>
      </c>
      <c r="AB194" s="4279">
        <f t="shared" si="345"/>
        <v>1357.51</v>
      </c>
      <c r="AC194" s="4279">
        <f t="shared" si="345"/>
        <v>1503.42</v>
      </c>
      <c r="AD194" s="4270">
        <f t="shared" si="290"/>
        <v>145.91000000000008</v>
      </c>
      <c r="AE194" s="4093"/>
      <c r="AF194" s="4093"/>
      <c r="AG194" s="4093"/>
      <c r="AH194" s="4093"/>
      <c r="AI194" s="4093"/>
      <c r="AJ194" s="4093"/>
      <c r="AK194" s="4093"/>
    </row>
    <row r="195" spans="1:37" ht="18.75">
      <c r="A195" s="4115" t="s">
        <v>543</v>
      </c>
      <c r="B195" s="4278">
        <f t="shared" si="343"/>
        <v>22.2925</v>
      </c>
      <c r="C195" s="4278">
        <f t="shared" si="343"/>
        <v>0</v>
      </c>
      <c r="D195" s="4278">
        <f t="shared" si="343"/>
        <v>0</v>
      </c>
      <c r="E195" s="4278">
        <f t="shared" si="343"/>
        <v>21.78</v>
      </c>
      <c r="F195" s="4278">
        <f t="shared" si="343"/>
        <v>21.78</v>
      </c>
      <c r="G195" s="4278">
        <f t="shared" si="343"/>
        <v>22.2925</v>
      </c>
      <c r="H195" s="4278">
        <f t="shared" si="343"/>
        <v>0</v>
      </c>
      <c r="I195" s="4278">
        <f t="shared" si="343"/>
        <v>0</v>
      </c>
      <c r="J195" s="4278">
        <f t="shared" si="343"/>
        <v>21.78</v>
      </c>
      <c r="K195" s="4278">
        <f t="shared" si="343"/>
        <v>21.78</v>
      </c>
      <c r="L195" s="4279">
        <f t="shared" si="343"/>
        <v>44.585000000000001</v>
      </c>
      <c r="M195" s="4279">
        <f t="shared" si="343"/>
        <v>43.56</v>
      </c>
      <c r="N195" s="4270">
        <f t="shared" si="284"/>
        <v>-1.0249999999999986</v>
      </c>
      <c r="O195" s="4278">
        <f t="shared" si="344"/>
        <v>22.2925</v>
      </c>
      <c r="P195" s="4278">
        <f t="shared" si="344"/>
        <v>0</v>
      </c>
      <c r="Q195" s="4278">
        <f t="shared" si="344"/>
        <v>0</v>
      </c>
      <c r="R195" s="4278">
        <f t="shared" si="344"/>
        <v>21.78</v>
      </c>
      <c r="S195" s="4278">
        <f t="shared" si="344"/>
        <v>21.78</v>
      </c>
      <c r="T195" s="4279">
        <f t="shared" si="344"/>
        <v>66.877499999999998</v>
      </c>
      <c r="U195" s="4279">
        <f t="shared" si="344"/>
        <v>65.34</v>
      </c>
      <c r="V195" s="4270">
        <f t="shared" si="287"/>
        <v>-1.5374999999999943</v>
      </c>
      <c r="W195" s="4278">
        <f t="shared" si="345"/>
        <v>22.2925</v>
      </c>
      <c r="X195" s="4278">
        <f t="shared" si="345"/>
        <v>0</v>
      </c>
      <c r="Y195" s="4278">
        <f t="shared" si="345"/>
        <v>0</v>
      </c>
      <c r="Z195" s="4278">
        <f t="shared" si="345"/>
        <v>0</v>
      </c>
      <c r="AA195" s="4278">
        <f t="shared" si="345"/>
        <v>0</v>
      </c>
      <c r="AB195" s="4279">
        <f t="shared" si="345"/>
        <v>89.17</v>
      </c>
      <c r="AC195" s="4279">
        <f t="shared" si="345"/>
        <v>65.34</v>
      </c>
      <c r="AD195" s="4270">
        <f t="shared" si="290"/>
        <v>-23.83</v>
      </c>
      <c r="AE195" s="4093"/>
      <c r="AF195" s="4093"/>
      <c r="AG195" s="4093"/>
      <c r="AH195" s="4093"/>
      <c r="AI195" s="4093"/>
      <c r="AJ195" s="4093"/>
      <c r="AK195" s="4093"/>
    </row>
    <row r="196" spans="1:37" ht="18.75">
      <c r="A196" s="4115" t="s">
        <v>544</v>
      </c>
      <c r="B196" s="4278">
        <f t="shared" si="343"/>
        <v>0</v>
      </c>
      <c r="C196" s="4278">
        <f t="shared" si="343"/>
        <v>0</v>
      </c>
      <c r="D196" s="4278">
        <f t="shared" si="343"/>
        <v>0</v>
      </c>
      <c r="E196" s="4278">
        <f t="shared" si="343"/>
        <v>0</v>
      </c>
      <c r="F196" s="4278">
        <f t="shared" si="343"/>
        <v>0</v>
      </c>
      <c r="G196" s="4278">
        <f t="shared" si="343"/>
        <v>0</v>
      </c>
      <c r="H196" s="4278">
        <f t="shared" si="343"/>
        <v>0</v>
      </c>
      <c r="I196" s="4278">
        <f t="shared" si="343"/>
        <v>0</v>
      </c>
      <c r="J196" s="4278">
        <f t="shared" si="343"/>
        <v>0</v>
      </c>
      <c r="K196" s="4278">
        <f t="shared" si="343"/>
        <v>0</v>
      </c>
      <c r="L196" s="4279">
        <f t="shared" si="343"/>
        <v>0</v>
      </c>
      <c r="M196" s="4279">
        <f t="shared" si="343"/>
        <v>0</v>
      </c>
      <c r="N196" s="4270">
        <f t="shared" si="284"/>
        <v>0</v>
      </c>
      <c r="O196" s="4278">
        <f t="shared" si="344"/>
        <v>0</v>
      </c>
      <c r="P196" s="4278">
        <f t="shared" si="344"/>
        <v>0</v>
      </c>
      <c r="Q196" s="4278">
        <f t="shared" si="344"/>
        <v>0</v>
      </c>
      <c r="R196" s="4278">
        <f t="shared" si="344"/>
        <v>0</v>
      </c>
      <c r="S196" s="4278">
        <f t="shared" si="344"/>
        <v>0</v>
      </c>
      <c r="T196" s="4279">
        <f t="shared" si="344"/>
        <v>0</v>
      </c>
      <c r="U196" s="4279">
        <f t="shared" si="344"/>
        <v>0</v>
      </c>
      <c r="V196" s="4270">
        <f t="shared" si="287"/>
        <v>0</v>
      </c>
      <c r="W196" s="4278">
        <f t="shared" si="345"/>
        <v>0</v>
      </c>
      <c r="X196" s="4278">
        <f t="shared" si="345"/>
        <v>0</v>
      </c>
      <c r="Y196" s="4278">
        <f t="shared" si="345"/>
        <v>0</v>
      </c>
      <c r="Z196" s="4278">
        <f t="shared" si="345"/>
        <v>0</v>
      </c>
      <c r="AA196" s="4278">
        <f t="shared" si="345"/>
        <v>0</v>
      </c>
      <c r="AB196" s="4279">
        <f t="shared" si="345"/>
        <v>0</v>
      </c>
      <c r="AC196" s="4279">
        <f t="shared" si="345"/>
        <v>0</v>
      </c>
      <c r="AD196" s="4270">
        <f t="shared" si="290"/>
        <v>0</v>
      </c>
      <c r="AE196" s="4093"/>
      <c r="AF196" s="4093"/>
      <c r="AG196" s="4093"/>
      <c r="AH196" s="4093"/>
      <c r="AI196" s="4093"/>
      <c r="AJ196" s="4093"/>
      <c r="AK196" s="4093"/>
    </row>
    <row r="197" spans="1:37" ht="18.75">
      <c r="A197" s="4115" t="s">
        <v>545</v>
      </c>
      <c r="B197" s="4278">
        <f t="shared" si="343"/>
        <v>543.80599999999993</v>
      </c>
      <c r="C197" s="4278">
        <f t="shared" si="343"/>
        <v>0</v>
      </c>
      <c r="D197" s="4278">
        <f t="shared" si="343"/>
        <v>0</v>
      </c>
      <c r="E197" s="4278">
        <f t="shared" si="343"/>
        <v>0</v>
      </c>
      <c r="F197" s="4278">
        <f t="shared" si="343"/>
        <v>0</v>
      </c>
      <c r="G197" s="4278">
        <f t="shared" si="343"/>
        <v>543.80599999999993</v>
      </c>
      <c r="H197" s="4278">
        <f t="shared" si="343"/>
        <v>0</v>
      </c>
      <c r="I197" s="4278">
        <f t="shared" si="343"/>
        <v>0</v>
      </c>
      <c r="J197" s="4278">
        <f t="shared" si="343"/>
        <v>0</v>
      </c>
      <c r="K197" s="4278">
        <f t="shared" si="343"/>
        <v>0</v>
      </c>
      <c r="L197" s="4279">
        <f t="shared" si="343"/>
        <v>1087.6119999999999</v>
      </c>
      <c r="M197" s="4279">
        <f t="shared" si="343"/>
        <v>0</v>
      </c>
      <c r="N197" s="4270">
        <f t="shared" si="284"/>
        <v>-1087.6119999999999</v>
      </c>
      <c r="O197" s="4278">
        <f t="shared" si="344"/>
        <v>543.80599999999993</v>
      </c>
      <c r="P197" s="4278">
        <f t="shared" si="344"/>
        <v>0</v>
      </c>
      <c r="Q197" s="4278">
        <f t="shared" si="344"/>
        <v>0</v>
      </c>
      <c r="R197" s="4278">
        <f t="shared" si="344"/>
        <v>0</v>
      </c>
      <c r="S197" s="4278">
        <f t="shared" si="344"/>
        <v>0</v>
      </c>
      <c r="T197" s="4279">
        <f t="shared" si="344"/>
        <v>1631.4179999999997</v>
      </c>
      <c r="U197" s="4279">
        <f t="shared" si="344"/>
        <v>0</v>
      </c>
      <c r="V197" s="4270">
        <f t="shared" si="287"/>
        <v>-1631.4179999999997</v>
      </c>
      <c r="W197" s="4278">
        <f t="shared" si="345"/>
        <v>543.80599999999993</v>
      </c>
      <c r="X197" s="4278">
        <f t="shared" si="345"/>
        <v>0</v>
      </c>
      <c r="Y197" s="4278">
        <f t="shared" si="345"/>
        <v>0</v>
      </c>
      <c r="Z197" s="4278">
        <f t="shared" si="345"/>
        <v>0</v>
      </c>
      <c r="AA197" s="4278">
        <f t="shared" si="345"/>
        <v>0</v>
      </c>
      <c r="AB197" s="4279">
        <f t="shared" si="345"/>
        <v>2175.2239999999997</v>
      </c>
      <c r="AC197" s="4279">
        <f t="shared" si="345"/>
        <v>0</v>
      </c>
      <c r="AD197" s="4270">
        <f t="shared" si="290"/>
        <v>-2175.2239999999997</v>
      </c>
      <c r="AE197" s="4093"/>
      <c r="AF197" s="4093"/>
      <c r="AG197" s="4093"/>
      <c r="AH197" s="4093"/>
      <c r="AI197" s="4093"/>
      <c r="AJ197" s="4093"/>
      <c r="AK197" s="4093"/>
    </row>
    <row r="198" spans="1:37" ht="18.75">
      <c r="A198" s="4114" t="s">
        <v>1768</v>
      </c>
      <c r="B198" s="4276">
        <f>SUM(B135)</f>
        <v>2532.214942142054</v>
      </c>
      <c r="C198" s="4276">
        <f t="shared" si="343"/>
        <v>1041.58</v>
      </c>
      <c r="D198" s="4276">
        <f t="shared" si="343"/>
        <v>1143.79</v>
      </c>
      <c r="E198" s="4276">
        <f t="shared" si="343"/>
        <v>1059.8</v>
      </c>
      <c r="F198" s="4276">
        <f t="shared" si="343"/>
        <v>3245.1700000000005</v>
      </c>
      <c r="G198" s="4276">
        <f>SUM(G135)</f>
        <v>2532.214942142054</v>
      </c>
      <c r="H198" s="4276">
        <f t="shared" si="343"/>
        <v>1047.5900000000001</v>
      </c>
      <c r="I198" s="4276">
        <f t="shared" si="343"/>
        <v>1160.6599999999999</v>
      </c>
      <c r="J198" s="4276">
        <f t="shared" si="343"/>
        <v>1288.3</v>
      </c>
      <c r="K198" s="4276">
        <f t="shared" si="343"/>
        <v>3496.5499999999993</v>
      </c>
      <c r="L198" s="4277">
        <f>SUM(L135)</f>
        <v>5064.4298842841081</v>
      </c>
      <c r="M198" s="4277">
        <f t="shared" si="343"/>
        <v>6741.72</v>
      </c>
      <c r="N198" s="4122">
        <f t="shared" si="284"/>
        <v>1677.2901157158922</v>
      </c>
      <c r="O198" s="4276">
        <f>SUM(O135)</f>
        <v>2670.5699318136303</v>
      </c>
      <c r="P198" s="4276">
        <f t="shared" si="344"/>
        <v>1093.54</v>
      </c>
      <c r="Q198" s="4276">
        <f t="shared" si="344"/>
        <v>1207.29</v>
      </c>
      <c r="R198" s="4276">
        <f t="shared" si="344"/>
        <v>1229.0800000000002</v>
      </c>
      <c r="S198" s="4276">
        <f t="shared" si="344"/>
        <v>3529.91</v>
      </c>
      <c r="T198" s="4277">
        <f>SUM(T135)</f>
        <v>7734.9998160977384</v>
      </c>
      <c r="U198" s="4277">
        <f t="shared" si="344"/>
        <v>10271.629999999999</v>
      </c>
      <c r="V198" s="4122">
        <f t="shared" si="287"/>
        <v>2536.6301839022608</v>
      </c>
      <c r="W198" s="4276">
        <f>SUM(W135)</f>
        <v>2670.5699318136303</v>
      </c>
      <c r="X198" s="4276">
        <f t="shared" si="345"/>
        <v>0</v>
      </c>
      <c r="Y198" s="4276">
        <f t="shared" si="345"/>
        <v>0</v>
      </c>
      <c r="Z198" s="4276">
        <f t="shared" si="345"/>
        <v>0</v>
      </c>
      <c r="AA198" s="4276">
        <f t="shared" si="345"/>
        <v>0</v>
      </c>
      <c r="AB198" s="4277">
        <f>SUM(AB135)</f>
        <v>10405.569747911368</v>
      </c>
      <c r="AC198" s="4277">
        <f t="shared" si="345"/>
        <v>10271.629999999999</v>
      </c>
      <c r="AD198" s="4122">
        <f t="shared" si="290"/>
        <v>-133.93974791136861</v>
      </c>
      <c r="AE198" s="4093"/>
      <c r="AF198" s="4093"/>
      <c r="AG198" s="4093"/>
      <c r="AH198" s="4093"/>
      <c r="AI198" s="4093"/>
      <c r="AJ198" s="4093"/>
      <c r="AK198" s="4093"/>
    </row>
    <row r="199" spans="1:37" ht="18.75">
      <c r="A199" s="4123" t="s">
        <v>1747</v>
      </c>
      <c r="B199" s="4278">
        <f>SUM(B136)</f>
        <v>1792.7740236362665</v>
      </c>
      <c r="C199" s="4278">
        <f t="shared" si="343"/>
        <v>700.88</v>
      </c>
      <c r="D199" s="4278">
        <f t="shared" si="343"/>
        <v>770.7</v>
      </c>
      <c r="E199" s="4278">
        <f t="shared" si="343"/>
        <v>704.82</v>
      </c>
      <c r="F199" s="4278">
        <f t="shared" si="343"/>
        <v>2176.4</v>
      </c>
      <c r="G199" s="4278">
        <f>SUM(G136)</f>
        <v>1792.7740236362665</v>
      </c>
      <c r="H199" s="4278">
        <f t="shared" si="343"/>
        <v>680.34</v>
      </c>
      <c r="I199" s="4278">
        <f t="shared" si="343"/>
        <v>805.05</v>
      </c>
      <c r="J199" s="4278">
        <f t="shared" si="343"/>
        <v>878.38</v>
      </c>
      <c r="K199" s="4278">
        <f t="shared" si="343"/>
        <v>2363.77</v>
      </c>
      <c r="L199" s="4279">
        <f>SUM(L136)</f>
        <v>3585.548047272533</v>
      </c>
      <c r="M199" s="4279">
        <f>SUM(M136)</f>
        <v>4540.17</v>
      </c>
      <c r="N199" s="4270">
        <f t="shared" si="284"/>
        <v>954.62195272746703</v>
      </c>
      <c r="O199" s="4278">
        <f>SUM(O136)</f>
        <v>1900.8782972615336</v>
      </c>
      <c r="P199" s="4278">
        <f t="shared" si="344"/>
        <v>707.71</v>
      </c>
      <c r="Q199" s="4278">
        <f t="shared" si="344"/>
        <v>781.88</v>
      </c>
      <c r="R199" s="4278">
        <f t="shared" si="344"/>
        <v>730.95</v>
      </c>
      <c r="S199" s="4278">
        <f t="shared" si="344"/>
        <v>2220.54</v>
      </c>
      <c r="T199" s="4279">
        <f>SUM(T136)</f>
        <v>5486.4263445340666</v>
      </c>
      <c r="U199" s="4279">
        <f>SUM(U136)</f>
        <v>6760.71</v>
      </c>
      <c r="V199" s="4270">
        <f t="shared" si="287"/>
        <v>1274.2836554659334</v>
      </c>
      <c r="W199" s="4278">
        <f>SUM(W136)</f>
        <v>1900.8782972615336</v>
      </c>
      <c r="X199" s="4278">
        <f t="shared" si="345"/>
        <v>0</v>
      </c>
      <c r="Y199" s="4278">
        <f t="shared" si="345"/>
        <v>0</v>
      </c>
      <c r="Z199" s="4278">
        <f t="shared" si="345"/>
        <v>0</v>
      </c>
      <c r="AA199" s="4278">
        <f t="shared" si="345"/>
        <v>0</v>
      </c>
      <c r="AB199" s="4279">
        <f>SUM(AB136)</f>
        <v>7387.3046417956002</v>
      </c>
      <c r="AC199" s="4279">
        <f>SUM(AC136)</f>
        <v>6760.71</v>
      </c>
      <c r="AD199" s="4270">
        <f t="shared" si="290"/>
        <v>-626.59464179560018</v>
      </c>
      <c r="AE199" s="4093"/>
      <c r="AF199" s="4093"/>
      <c r="AG199" s="4093"/>
      <c r="AH199" s="4093"/>
      <c r="AI199" s="4093"/>
      <c r="AJ199" s="4093"/>
      <c r="AK199" s="4093"/>
    </row>
    <row r="200" spans="1:37" ht="18.75">
      <c r="A200" s="4123" t="s">
        <v>1748</v>
      </c>
      <c r="B200" s="4278">
        <f>SUM(B137)</f>
        <v>501.67024952420161</v>
      </c>
      <c r="C200" s="4278">
        <f t="shared" si="343"/>
        <v>211.04</v>
      </c>
      <c r="D200" s="4278">
        <f t="shared" si="343"/>
        <v>231.23</v>
      </c>
      <c r="E200" s="4278">
        <f t="shared" si="343"/>
        <v>212.18</v>
      </c>
      <c r="F200" s="4278">
        <f t="shared" si="343"/>
        <v>654.45000000000005</v>
      </c>
      <c r="G200" s="4278">
        <f>SUM(G137)</f>
        <v>501.67024952420161</v>
      </c>
      <c r="H200" s="4278">
        <f t="shared" si="343"/>
        <v>205.46</v>
      </c>
      <c r="I200" s="4278">
        <f t="shared" si="343"/>
        <v>243.06</v>
      </c>
      <c r="J200" s="4278">
        <f t="shared" si="343"/>
        <v>262.07</v>
      </c>
      <c r="K200" s="4278">
        <f t="shared" si="343"/>
        <v>710.58999999999992</v>
      </c>
      <c r="L200" s="4279">
        <f>SUM(L137)</f>
        <v>1003.3404990484032</v>
      </c>
      <c r="M200" s="4279">
        <f>SUM(M137)</f>
        <v>1365.04</v>
      </c>
      <c r="N200" s="4270">
        <f t="shared" si="284"/>
        <v>361.69950095159675</v>
      </c>
      <c r="O200" s="4278">
        <f>SUM(O137)</f>
        <v>531.92096557051082</v>
      </c>
      <c r="P200" s="4278">
        <f t="shared" si="344"/>
        <v>210.87</v>
      </c>
      <c r="Q200" s="4278">
        <f t="shared" si="344"/>
        <v>228.78</v>
      </c>
      <c r="R200" s="4278">
        <f t="shared" si="344"/>
        <v>235.34</v>
      </c>
      <c r="S200" s="4278">
        <f t="shared" si="344"/>
        <v>674.99</v>
      </c>
      <c r="T200" s="4279">
        <f>SUM(T137)</f>
        <v>1535.261464618914</v>
      </c>
      <c r="U200" s="4279">
        <f>SUM(U137)</f>
        <v>2040.03</v>
      </c>
      <c r="V200" s="4270">
        <f t="shared" si="287"/>
        <v>504.76853538108594</v>
      </c>
      <c r="W200" s="4278">
        <f>SUM(W137)</f>
        <v>531.92096557051082</v>
      </c>
      <c r="X200" s="4278">
        <f t="shared" si="345"/>
        <v>0</v>
      </c>
      <c r="Y200" s="4278">
        <f t="shared" si="345"/>
        <v>0</v>
      </c>
      <c r="Z200" s="4278">
        <f t="shared" si="345"/>
        <v>0</v>
      </c>
      <c r="AA200" s="4278">
        <f t="shared" si="345"/>
        <v>0</v>
      </c>
      <c r="AB200" s="4279">
        <f>SUM(AB137)</f>
        <v>2067.1824301894248</v>
      </c>
      <c r="AC200" s="4279">
        <f>SUM(AC137)</f>
        <v>2040.03</v>
      </c>
      <c r="AD200" s="4270">
        <f t="shared" si="290"/>
        <v>-27.152430189424877</v>
      </c>
      <c r="AE200" s="4093"/>
      <c r="AF200" s="4093"/>
      <c r="AG200" s="4093"/>
      <c r="AH200" s="4093"/>
      <c r="AI200" s="4093"/>
      <c r="AJ200" s="4093"/>
      <c r="AK200" s="4093"/>
    </row>
    <row r="201" spans="1:37" ht="18.75">
      <c r="A201" s="4125" t="s">
        <v>285</v>
      </c>
      <c r="B201" s="4278"/>
      <c r="C201" s="4278">
        <f t="shared" si="343"/>
        <v>0.02</v>
      </c>
      <c r="D201" s="4278">
        <f t="shared" si="343"/>
        <v>0.02</v>
      </c>
      <c r="E201" s="4278">
        <f t="shared" si="343"/>
        <v>0.02</v>
      </c>
      <c r="F201" s="4278">
        <f t="shared" si="343"/>
        <v>0.06</v>
      </c>
      <c r="G201" s="4278"/>
      <c r="H201" s="4278">
        <f t="shared" si="343"/>
        <v>0.02</v>
      </c>
      <c r="I201" s="4278">
        <f t="shared" si="343"/>
        <v>0.02</v>
      </c>
      <c r="J201" s="4278">
        <f t="shared" si="343"/>
        <v>0.02</v>
      </c>
      <c r="K201" s="4278">
        <f t="shared" si="343"/>
        <v>0.06</v>
      </c>
      <c r="L201" s="4279"/>
      <c r="M201" s="4279">
        <f t="shared" ref="M201:M203" si="346">SUM(M138)</f>
        <v>0.12</v>
      </c>
      <c r="N201" s="4270"/>
      <c r="O201" s="4278"/>
      <c r="P201" s="4278">
        <f t="shared" si="344"/>
        <v>0.56000000000000005</v>
      </c>
      <c r="Q201" s="4278">
        <f t="shared" si="344"/>
        <v>0.02</v>
      </c>
      <c r="R201" s="4278">
        <f t="shared" si="344"/>
        <v>0.01</v>
      </c>
      <c r="S201" s="4278">
        <f t="shared" si="344"/>
        <v>0.59000000000000008</v>
      </c>
      <c r="T201" s="4279"/>
      <c r="U201" s="4279">
        <f t="shared" ref="U201:U203" si="347">SUM(U138)</f>
        <v>0.71000000000000008</v>
      </c>
      <c r="V201" s="4270"/>
      <c r="W201" s="4278"/>
      <c r="X201" s="4278">
        <f t="shared" si="345"/>
        <v>0</v>
      </c>
      <c r="Y201" s="4278">
        <f t="shared" si="345"/>
        <v>0</v>
      </c>
      <c r="Z201" s="4278">
        <f t="shared" si="345"/>
        <v>0</v>
      </c>
      <c r="AA201" s="4278">
        <f t="shared" si="345"/>
        <v>0</v>
      </c>
      <c r="AB201" s="4279"/>
      <c r="AC201" s="4279">
        <f t="shared" ref="AC201:AC203" si="348">SUM(AC138)</f>
        <v>0.71000000000000008</v>
      </c>
      <c r="AD201" s="4270"/>
      <c r="AE201" s="4093"/>
      <c r="AF201" s="4093"/>
      <c r="AG201" s="4093"/>
      <c r="AH201" s="4093"/>
      <c r="AI201" s="4093"/>
      <c r="AJ201" s="4093"/>
      <c r="AK201" s="4093"/>
    </row>
    <row r="202" spans="1:37" ht="18.75">
      <c r="A202" s="4125" t="s">
        <v>1882</v>
      </c>
      <c r="B202" s="4278"/>
      <c r="C202" s="4278">
        <f t="shared" si="343"/>
        <v>9.94</v>
      </c>
      <c r="D202" s="4278">
        <f t="shared" si="343"/>
        <v>9.26</v>
      </c>
      <c r="E202" s="4278">
        <f t="shared" si="343"/>
        <v>7.9</v>
      </c>
      <c r="F202" s="4278">
        <f t="shared" si="343"/>
        <v>27.1</v>
      </c>
      <c r="G202" s="4278"/>
      <c r="H202" s="4278">
        <f t="shared" si="343"/>
        <v>6.21</v>
      </c>
      <c r="I202" s="4278">
        <f t="shared" si="343"/>
        <v>4.74</v>
      </c>
      <c r="J202" s="4278">
        <f t="shared" si="343"/>
        <v>0</v>
      </c>
      <c r="K202" s="4278">
        <f t="shared" si="343"/>
        <v>10.95</v>
      </c>
      <c r="L202" s="4279"/>
      <c r="M202" s="4279">
        <f t="shared" si="346"/>
        <v>38.049999999999997</v>
      </c>
      <c r="N202" s="4270"/>
      <c r="O202" s="4278"/>
      <c r="P202" s="4278">
        <f t="shared" si="344"/>
        <v>0</v>
      </c>
      <c r="Q202" s="4278">
        <f t="shared" si="344"/>
        <v>0</v>
      </c>
      <c r="R202" s="4278">
        <f t="shared" si="344"/>
        <v>2.14</v>
      </c>
      <c r="S202" s="4278">
        <f t="shared" si="344"/>
        <v>2.14</v>
      </c>
      <c r="T202" s="4279"/>
      <c r="U202" s="4279">
        <f t="shared" si="347"/>
        <v>40.19</v>
      </c>
      <c r="V202" s="4270"/>
      <c r="W202" s="4278"/>
      <c r="X202" s="4278">
        <f t="shared" si="345"/>
        <v>0</v>
      </c>
      <c r="Y202" s="4278">
        <f t="shared" si="345"/>
        <v>0</v>
      </c>
      <c r="Z202" s="4278">
        <f t="shared" si="345"/>
        <v>0</v>
      </c>
      <c r="AA202" s="4278">
        <f t="shared" si="345"/>
        <v>0</v>
      </c>
      <c r="AB202" s="4279"/>
      <c r="AC202" s="4279">
        <f t="shared" si="348"/>
        <v>40.19</v>
      </c>
      <c r="AD202" s="4270"/>
      <c r="AE202" s="4093"/>
      <c r="AF202" s="4093"/>
      <c r="AG202" s="4093"/>
      <c r="AH202" s="4093"/>
      <c r="AI202" s="4093"/>
      <c r="AJ202" s="4093"/>
      <c r="AK202" s="4093"/>
    </row>
    <row r="203" spans="1:37" ht="18.75">
      <c r="A203" s="4125" t="s">
        <v>286</v>
      </c>
      <c r="B203" s="4278"/>
      <c r="C203" s="4278">
        <f t="shared" si="343"/>
        <v>6.13</v>
      </c>
      <c r="D203" s="4278">
        <f t="shared" si="343"/>
        <v>6.49</v>
      </c>
      <c r="E203" s="4278">
        <f t="shared" si="343"/>
        <v>6.18</v>
      </c>
      <c r="F203" s="4278">
        <f t="shared" si="343"/>
        <v>18.8</v>
      </c>
      <c r="G203" s="4278"/>
      <c r="H203" s="4278">
        <f t="shared" si="343"/>
        <v>6.37</v>
      </c>
      <c r="I203" s="4278">
        <f t="shared" si="343"/>
        <v>6.6</v>
      </c>
      <c r="J203" s="4278">
        <f t="shared" si="343"/>
        <v>6.48</v>
      </c>
      <c r="K203" s="4278">
        <f t="shared" si="343"/>
        <v>19.45</v>
      </c>
      <c r="L203" s="4279"/>
      <c r="M203" s="4279">
        <f t="shared" si="346"/>
        <v>38.25</v>
      </c>
      <c r="N203" s="4270"/>
      <c r="O203" s="4278"/>
      <c r="P203" s="4278">
        <f t="shared" si="344"/>
        <v>6.37</v>
      </c>
      <c r="Q203" s="4278">
        <f t="shared" si="344"/>
        <v>6.16</v>
      </c>
      <c r="R203" s="4278">
        <f t="shared" si="344"/>
        <v>6.49</v>
      </c>
      <c r="S203" s="4278">
        <f t="shared" si="344"/>
        <v>19.020000000000003</v>
      </c>
      <c r="T203" s="4279"/>
      <c r="U203" s="4279">
        <f t="shared" si="347"/>
        <v>57.27</v>
      </c>
      <c r="V203" s="4270"/>
      <c r="W203" s="4278"/>
      <c r="X203" s="4278">
        <f t="shared" si="345"/>
        <v>0</v>
      </c>
      <c r="Y203" s="4278">
        <f t="shared" si="345"/>
        <v>0</v>
      </c>
      <c r="Z203" s="4278">
        <f t="shared" si="345"/>
        <v>0</v>
      </c>
      <c r="AA203" s="4278">
        <f t="shared" si="345"/>
        <v>0</v>
      </c>
      <c r="AB203" s="4279"/>
      <c r="AC203" s="4279">
        <f t="shared" si="348"/>
        <v>57.27</v>
      </c>
      <c r="AD203" s="4270"/>
      <c r="AE203" s="4093"/>
      <c r="AF203" s="4093"/>
      <c r="AG203" s="4093"/>
      <c r="AH203" s="4093"/>
      <c r="AI203" s="4093"/>
      <c r="AJ203" s="4093"/>
      <c r="AK203" s="4093"/>
    </row>
    <row r="204" spans="1:37" ht="18.75">
      <c r="A204" s="4115" t="s">
        <v>1749</v>
      </c>
      <c r="B204" s="4278">
        <f t="shared" ref="B204:M204" si="349">SUM(B141)</f>
        <v>237.77066898158569</v>
      </c>
      <c r="C204" s="4278">
        <f t="shared" si="349"/>
        <v>113.57</v>
      </c>
      <c r="D204" s="4278">
        <f t="shared" si="349"/>
        <v>126.09</v>
      </c>
      <c r="E204" s="4278">
        <f t="shared" si="349"/>
        <v>128.69999999999999</v>
      </c>
      <c r="F204" s="4278">
        <f t="shared" si="349"/>
        <v>368.36</v>
      </c>
      <c r="G204" s="4278">
        <f t="shared" si="349"/>
        <v>237.77066898158569</v>
      </c>
      <c r="H204" s="4278">
        <f t="shared" si="349"/>
        <v>149.19</v>
      </c>
      <c r="I204" s="4278">
        <f t="shared" si="349"/>
        <v>101.19</v>
      </c>
      <c r="J204" s="4278">
        <f t="shared" si="349"/>
        <v>141.35</v>
      </c>
      <c r="K204" s="4278">
        <f t="shared" si="349"/>
        <v>391.73</v>
      </c>
      <c r="L204" s="4279">
        <f t="shared" si="349"/>
        <v>475.54133796317137</v>
      </c>
      <c r="M204" s="4279">
        <f t="shared" si="349"/>
        <v>760.09</v>
      </c>
      <c r="N204" s="4270">
        <f t="shared" si="284"/>
        <v>284.54866203682866</v>
      </c>
      <c r="O204" s="4278">
        <f t="shared" ref="O204:U206" si="350">SUM(O141)</f>
        <v>237.77066898158569</v>
      </c>
      <c r="P204" s="4278">
        <f t="shared" si="350"/>
        <v>168.03</v>
      </c>
      <c r="Q204" s="4278">
        <f t="shared" si="350"/>
        <v>190.45</v>
      </c>
      <c r="R204" s="4278">
        <f t="shared" si="350"/>
        <v>254.15</v>
      </c>
      <c r="S204" s="4278">
        <f t="shared" si="350"/>
        <v>612.63</v>
      </c>
      <c r="T204" s="4279">
        <f t="shared" si="350"/>
        <v>713.31200694475706</v>
      </c>
      <c r="U204" s="4279">
        <f t="shared" si="350"/>
        <v>1372.72</v>
      </c>
      <c r="V204" s="4270">
        <f t="shared" si="287"/>
        <v>659.40799305524297</v>
      </c>
      <c r="W204" s="4278">
        <f t="shared" ref="W204:AC206" si="351">SUM(W141)</f>
        <v>237.77066898158569</v>
      </c>
      <c r="X204" s="4278">
        <f t="shared" si="351"/>
        <v>0</v>
      </c>
      <c r="Y204" s="4278">
        <f t="shared" si="351"/>
        <v>0</v>
      </c>
      <c r="Z204" s="4278">
        <f t="shared" si="351"/>
        <v>0</v>
      </c>
      <c r="AA204" s="4278">
        <f t="shared" si="351"/>
        <v>0</v>
      </c>
      <c r="AB204" s="4279">
        <f t="shared" si="351"/>
        <v>951.08267592634274</v>
      </c>
      <c r="AC204" s="4279">
        <f t="shared" si="351"/>
        <v>1372.72</v>
      </c>
      <c r="AD204" s="4270">
        <f t="shared" si="290"/>
        <v>421.63732407365728</v>
      </c>
      <c r="AE204" s="4093"/>
      <c r="AF204" s="4093"/>
      <c r="AG204" s="4093"/>
      <c r="AH204" s="4093"/>
      <c r="AI204" s="4093"/>
      <c r="AJ204" s="4093"/>
      <c r="AK204" s="4093"/>
    </row>
    <row r="205" spans="1:37" ht="18.75">
      <c r="A205" s="4102" t="s">
        <v>1750</v>
      </c>
      <c r="B205" s="4276">
        <f t="shared" ref="B205:M205" si="352">SUM(B142)</f>
        <v>563.59500000000003</v>
      </c>
      <c r="C205" s="4276">
        <f t="shared" si="352"/>
        <v>0</v>
      </c>
      <c r="D205" s="4276">
        <f t="shared" si="352"/>
        <v>0</v>
      </c>
      <c r="E205" s="4276">
        <f t="shared" si="352"/>
        <v>0</v>
      </c>
      <c r="F205" s="4276">
        <f t="shared" si="352"/>
        <v>0</v>
      </c>
      <c r="G205" s="4276">
        <f t="shared" si="352"/>
        <v>563.59500000000003</v>
      </c>
      <c r="H205" s="4276">
        <f t="shared" si="352"/>
        <v>0</v>
      </c>
      <c r="I205" s="4276">
        <f t="shared" si="352"/>
        <v>0</v>
      </c>
      <c r="J205" s="4276">
        <f t="shared" si="352"/>
        <v>0</v>
      </c>
      <c r="K205" s="4276">
        <f t="shared" si="352"/>
        <v>0</v>
      </c>
      <c r="L205" s="4277">
        <f t="shared" si="352"/>
        <v>1127.19</v>
      </c>
      <c r="M205" s="4277">
        <f t="shared" si="352"/>
        <v>0</v>
      </c>
      <c r="N205" s="4122">
        <f t="shared" si="284"/>
        <v>-1127.19</v>
      </c>
      <c r="O205" s="4276">
        <f t="shared" si="350"/>
        <v>563.59500000000003</v>
      </c>
      <c r="P205" s="4276">
        <f t="shared" si="350"/>
        <v>0</v>
      </c>
      <c r="Q205" s="4276">
        <f t="shared" si="350"/>
        <v>0</v>
      </c>
      <c r="R205" s="4276">
        <f t="shared" si="350"/>
        <v>0</v>
      </c>
      <c r="S205" s="4276">
        <f t="shared" si="350"/>
        <v>0</v>
      </c>
      <c r="T205" s="4277">
        <f t="shared" si="350"/>
        <v>1690.7850000000001</v>
      </c>
      <c r="U205" s="4277">
        <f t="shared" si="350"/>
        <v>0</v>
      </c>
      <c r="V205" s="4122">
        <f t="shared" si="287"/>
        <v>-1690.7850000000001</v>
      </c>
      <c r="W205" s="4276">
        <f>SUM(W142)</f>
        <v>563.59500000000003</v>
      </c>
      <c r="X205" s="4276">
        <f t="shared" si="351"/>
        <v>0</v>
      </c>
      <c r="Y205" s="4276">
        <f t="shared" si="351"/>
        <v>0</v>
      </c>
      <c r="Z205" s="4276">
        <f t="shared" si="351"/>
        <v>0</v>
      </c>
      <c r="AA205" s="4276">
        <f t="shared" si="351"/>
        <v>0</v>
      </c>
      <c r="AB205" s="4277">
        <f>SUM(AB142)</f>
        <v>2254.38</v>
      </c>
      <c r="AC205" s="4277">
        <f t="shared" si="351"/>
        <v>0</v>
      </c>
      <c r="AD205" s="4122">
        <f t="shared" si="290"/>
        <v>-2254.38</v>
      </c>
      <c r="AE205" s="4093"/>
      <c r="AF205" s="4093"/>
      <c r="AG205" s="4093"/>
      <c r="AH205" s="4093"/>
      <c r="AI205" s="4093"/>
      <c r="AJ205" s="4093"/>
      <c r="AK205" s="4093"/>
    </row>
    <row r="206" spans="1:37" ht="18.75">
      <c r="A206" s="4106" t="s">
        <v>286</v>
      </c>
      <c r="B206" s="4278">
        <f t="shared" ref="B206:M206" si="353">SUM(B143)</f>
        <v>186.58750000000001</v>
      </c>
      <c r="C206" s="4278">
        <f t="shared" si="353"/>
        <v>0</v>
      </c>
      <c r="D206" s="4278">
        <f t="shared" si="353"/>
        <v>0</v>
      </c>
      <c r="E206" s="4278">
        <f t="shared" si="353"/>
        <v>0</v>
      </c>
      <c r="F206" s="4278">
        <f t="shared" si="353"/>
        <v>0</v>
      </c>
      <c r="G206" s="4278">
        <f t="shared" si="353"/>
        <v>186.58750000000001</v>
      </c>
      <c r="H206" s="4278">
        <f t="shared" si="353"/>
        <v>0</v>
      </c>
      <c r="I206" s="4278">
        <f t="shared" si="353"/>
        <v>0</v>
      </c>
      <c r="J206" s="4278">
        <f t="shared" si="353"/>
        <v>0</v>
      </c>
      <c r="K206" s="4278">
        <f t="shared" si="353"/>
        <v>0</v>
      </c>
      <c r="L206" s="4279">
        <f t="shared" si="353"/>
        <v>373.17500000000001</v>
      </c>
      <c r="M206" s="4279">
        <f t="shared" si="353"/>
        <v>0</v>
      </c>
      <c r="N206" s="4270">
        <f t="shared" si="284"/>
        <v>-373.17500000000001</v>
      </c>
      <c r="O206" s="4278">
        <f t="shared" si="350"/>
        <v>186.58750000000001</v>
      </c>
      <c r="P206" s="4278">
        <f t="shared" si="350"/>
        <v>0</v>
      </c>
      <c r="Q206" s="4278">
        <f t="shared" si="350"/>
        <v>0</v>
      </c>
      <c r="R206" s="4278">
        <f t="shared" si="350"/>
        <v>0</v>
      </c>
      <c r="S206" s="4278">
        <f t="shared" si="350"/>
        <v>0</v>
      </c>
      <c r="T206" s="4279">
        <f t="shared" si="350"/>
        <v>559.76250000000005</v>
      </c>
      <c r="U206" s="4279">
        <f t="shared" si="350"/>
        <v>0</v>
      </c>
      <c r="V206" s="4270">
        <f t="shared" si="287"/>
        <v>-559.76250000000005</v>
      </c>
      <c r="W206" s="4278">
        <f>SUM(W143)</f>
        <v>186.58750000000001</v>
      </c>
      <c r="X206" s="4278">
        <f t="shared" si="351"/>
        <v>0</v>
      </c>
      <c r="Y206" s="4278">
        <f t="shared" si="351"/>
        <v>0</v>
      </c>
      <c r="Z206" s="4278">
        <f t="shared" si="351"/>
        <v>0</v>
      </c>
      <c r="AA206" s="4278">
        <f t="shared" si="351"/>
        <v>0</v>
      </c>
      <c r="AB206" s="4279">
        <f>SUM(AB143)</f>
        <v>746.35</v>
      </c>
      <c r="AC206" s="4279">
        <f t="shared" si="351"/>
        <v>0</v>
      </c>
      <c r="AD206" s="4270">
        <f t="shared" si="290"/>
        <v>-746.35</v>
      </c>
      <c r="AE206" s="4093"/>
      <c r="AF206" s="4093"/>
      <c r="AG206" s="4093"/>
      <c r="AH206" s="4093"/>
      <c r="AI206" s="4093"/>
      <c r="AJ206" s="4093"/>
      <c r="AK206" s="4093"/>
    </row>
    <row r="207" spans="1:37" ht="18.75">
      <c r="A207" s="4106" t="s">
        <v>289</v>
      </c>
      <c r="B207" s="4278">
        <f>SUM(B144)</f>
        <v>301.5625</v>
      </c>
      <c r="C207" s="4278">
        <f t="shared" ref="C207:M208" si="354">SUM(C144)</f>
        <v>0</v>
      </c>
      <c r="D207" s="4278">
        <f t="shared" si="354"/>
        <v>0</v>
      </c>
      <c r="E207" s="4278">
        <f t="shared" si="354"/>
        <v>0</v>
      </c>
      <c r="F207" s="4278">
        <f t="shared" si="354"/>
        <v>0</v>
      </c>
      <c r="G207" s="4278">
        <f t="shared" si="354"/>
        <v>301.5625</v>
      </c>
      <c r="H207" s="4278">
        <f t="shared" si="354"/>
        <v>0</v>
      </c>
      <c r="I207" s="4278">
        <f t="shared" si="354"/>
        <v>0</v>
      </c>
      <c r="J207" s="4278">
        <f t="shared" si="354"/>
        <v>0</v>
      </c>
      <c r="K207" s="4278">
        <f t="shared" si="354"/>
        <v>0</v>
      </c>
      <c r="L207" s="4279">
        <f t="shared" si="354"/>
        <v>603.125</v>
      </c>
      <c r="M207" s="4279">
        <f t="shared" si="354"/>
        <v>0</v>
      </c>
      <c r="N207" s="4270">
        <f t="shared" ref="N207:N208" si="355">SUM(M207-L207)</f>
        <v>-603.125</v>
      </c>
      <c r="O207" s="4278">
        <f t="shared" ref="O207:U207" si="356">SUM(O144)</f>
        <v>301.5625</v>
      </c>
      <c r="P207" s="4278">
        <f t="shared" si="356"/>
        <v>0</v>
      </c>
      <c r="Q207" s="4278">
        <f t="shared" si="356"/>
        <v>0</v>
      </c>
      <c r="R207" s="4278">
        <f t="shared" si="356"/>
        <v>0</v>
      </c>
      <c r="S207" s="4278">
        <f t="shared" si="356"/>
        <v>0</v>
      </c>
      <c r="T207" s="4279">
        <f t="shared" si="356"/>
        <v>904.6875</v>
      </c>
      <c r="U207" s="4279">
        <f t="shared" si="356"/>
        <v>0</v>
      </c>
      <c r="V207" s="4270">
        <f t="shared" ref="V207:V208" si="357">SUM(U207-T207)</f>
        <v>-904.6875</v>
      </c>
      <c r="W207" s="4278">
        <f t="shared" ref="W207:AC207" si="358">SUM(W144)</f>
        <v>301.5625</v>
      </c>
      <c r="X207" s="4278">
        <f t="shared" si="358"/>
        <v>0</v>
      </c>
      <c r="Y207" s="4278">
        <f t="shared" si="358"/>
        <v>0</v>
      </c>
      <c r="Z207" s="4278">
        <f t="shared" si="358"/>
        <v>0</v>
      </c>
      <c r="AA207" s="4278">
        <f t="shared" si="358"/>
        <v>0</v>
      </c>
      <c r="AB207" s="4279">
        <f t="shared" si="358"/>
        <v>1206.25</v>
      </c>
      <c r="AC207" s="4279">
        <f t="shared" si="358"/>
        <v>0</v>
      </c>
      <c r="AD207" s="4270">
        <f t="shared" ref="AD207:AD208" si="359">SUM(AC207-AB207)</f>
        <v>-1206.25</v>
      </c>
      <c r="AE207" s="4093"/>
      <c r="AF207" s="4093"/>
      <c r="AG207" s="4093"/>
      <c r="AH207" s="4093"/>
      <c r="AI207" s="4093"/>
      <c r="AJ207" s="4093"/>
      <c r="AK207" s="4093"/>
    </row>
    <row r="208" spans="1:37" ht="18.75">
      <c r="A208" s="4106" t="s">
        <v>1745</v>
      </c>
      <c r="B208" s="4278">
        <f>SUM(B145)</f>
        <v>75.444999999999993</v>
      </c>
      <c r="C208" s="4278">
        <f t="shared" si="354"/>
        <v>0</v>
      </c>
      <c r="D208" s="4278">
        <f t="shared" si="354"/>
        <v>0</v>
      </c>
      <c r="E208" s="4278">
        <f t="shared" si="354"/>
        <v>0</v>
      </c>
      <c r="F208" s="4278">
        <f t="shared" si="354"/>
        <v>0</v>
      </c>
      <c r="G208" s="4278">
        <f t="shared" si="354"/>
        <v>75.444999999999993</v>
      </c>
      <c r="H208" s="4278">
        <f t="shared" si="354"/>
        <v>0</v>
      </c>
      <c r="I208" s="4278">
        <f t="shared" si="354"/>
        <v>0</v>
      </c>
      <c r="J208" s="4278">
        <f t="shared" si="354"/>
        <v>0</v>
      </c>
      <c r="K208" s="4278">
        <f t="shared" si="354"/>
        <v>0</v>
      </c>
      <c r="L208" s="4279">
        <f t="shared" si="354"/>
        <v>150.88999999999999</v>
      </c>
      <c r="M208" s="4279">
        <f t="shared" si="354"/>
        <v>0</v>
      </c>
      <c r="N208" s="4270">
        <f t="shared" si="355"/>
        <v>-150.88999999999999</v>
      </c>
      <c r="O208" s="4278">
        <f t="shared" ref="O208:U208" si="360">SUM(O145)</f>
        <v>75.444999999999993</v>
      </c>
      <c r="P208" s="4278">
        <f t="shared" si="360"/>
        <v>0</v>
      </c>
      <c r="Q208" s="4278">
        <f t="shared" si="360"/>
        <v>0</v>
      </c>
      <c r="R208" s="4278">
        <f t="shared" si="360"/>
        <v>0</v>
      </c>
      <c r="S208" s="4278">
        <f t="shared" si="360"/>
        <v>0</v>
      </c>
      <c r="T208" s="4279">
        <f t="shared" si="360"/>
        <v>226.33499999999998</v>
      </c>
      <c r="U208" s="4279">
        <f t="shared" si="360"/>
        <v>0</v>
      </c>
      <c r="V208" s="4270">
        <f t="shared" si="357"/>
        <v>-226.33499999999998</v>
      </c>
      <c r="W208" s="4278">
        <f t="shared" ref="W208:AC208" si="361">SUM(W145)</f>
        <v>75.444999999999993</v>
      </c>
      <c r="X208" s="4278">
        <f t="shared" si="361"/>
        <v>0</v>
      </c>
      <c r="Y208" s="4278">
        <f t="shared" si="361"/>
        <v>0</v>
      </c>
      <c r="Z208" s="4278">
        <f t="shared" si="361"/>
        <v>0</v>
      </c>
      <c r="AA208" s="4278">
        <f t="shared" si="361"/>
        <v>0</v>
      </c>
      <c r="AB208" s="4279">
        <f t="shared" si="361"/>
        <v>301.77999999999997</v>
      </c>
      <c r="AC208" s="4279">
        <f t="shared" si="361"/>
        <v>0</v>
      </c>
      <c r="AD208" s="4270">
        <f t="shared" si="359"/>
        <v>-301.77999999999997</v>
      </c>
      <c r="AE208" s="4093"/>
      <c r="AF208" s="4093"/>
      <c r="AG208" s="4093"/>
      <c r="AH208" s="4093"/>
      <c r="AI208" s="4093"/>
      <c r="AJ208" s="4093"/>
      <c r="AK208" s="4093"/>
    </row>
    <row r="209" spans="1:37" ht="18.75">
      <c r="A209" s="4102" t="s">
        <v>1751</v>
      </c>
      <c r="B209" s="4276">
        <f>SUM(B146)</f>
        <v>99.32</v>
      </c>
      <c r="C209" s="4276">
        <f t="shared" ref="C209:Q209" si="362">SUM(C146)</f>
        <v>0</v>
      </c>
      <c r="D209" s="4276">
        <f t="shared" si="362"/>
        <v>0</v>
      </c>
      <c r="E209" s="4276">
        <f t="shared" si="362"/>
        <v>0</v>
      </c>
      <c r="F209" s="4276">
        <f t="shared" si="362"/>
        <v>0</v>
      </c>
      <c r="G209" s="4276">
        <f t="shared" si="362"/>
        <v>99.32</v>
      </c>
      <c r="H209" s="4276">
        <f t="shared" si="362"/>
        <v>0</v>
      </c>
      <c r="I209" s="4276">
        <f t="shared" si="362"/>
        <v>0</v>
      </c>
      <c r="J209" s="4276">
        <f t="shared" si="362"/>
        <v>0</v>
      </c>
      <c r="K209" s="4276">
        <f t="shared" si="362"/>
        <v>0</v>
      </c>
      <c r="L209" s="4277">
        <f t="shared" si="362"/>
        <v>198.64</v>
      </c>
      <c r="M209" s="4277">
        <f t="shared" si="362"/>
        <v>0</v>
      </c>
      <c r="N209" s="4270">
        <f t="shared" si="284"/>
        <v>-198.64</v>
      </c>
      <c r="O209" s="4276">
        <f t="shared" si="362"/>
        <v>99.32</v>
      </c>
      <c r="P209" s="4276">
        <f t="shared" si="362"/>
        <v>0</v>
      </c>
      <c r="Q209" s="4276">
        <f t="shared" si="362"/>
        <v>0</v>
      </c>
      <c r="R209" s="4276">
        <f t="shared" ref="R209:AC209" si="363">SUM(R146)</f>
        <v>0</v>
      </c>
      <c r="S209" s="4276">
        <f t="shared" si="363"/>
        <v>0</v>
      </c>
      <c r="T209" s="4277">
        <f t="shared" si="363"/>
        <v>297.95999999999998</v>
      </c>
      <c r="U209" s="4277">
        <f t="shared" si="363"/>
        <v>0</v>
      </c>
      <c r="V209" s="4270">
        <f t="shared" si="287"/>
        <v>-297.95999999999998</v>
      </c>
      <c r="W209" s="4276">
        <f t="shared" si="363"/>
        <v>99.32</v>
      </c>
      <c r="X209" s="4276">
        <f t="shared" si="363"/>
        <v>0</v>
      </c>
      <c r="Y209" s="4276">
        <f t="shared" si="363"/>
        <v>0</v>
      </c>
      <c r="Z209" s="4276">
        <f t="shared" si="363"/>
        <v>0</v>
      </c>
      <c r="AA209" s="4276">
        <f t="shared" si="363"/>
        <v>0</v>
      </c>
      <c r="AB209" s="4277">
        <f t="shared" si="363"/>
        <v>397.28</v>
      </c>
      <c r="AC209" s="4277">
        <f t="shared" si="363"/>
        <v>0</v>
      </c>
      <c r="AD209" s="4270">
        <f t="shared" si="290"/>
        <v>-397.28</v>
      </c>
      <c r="AE209" s="4093"/>
      <c r="AF209" s="4093"/>
      <c r="AG209" s="4093"/>
      <c r="AH209" s="4093"/>
      <c r="AI209" s="4093"/>
      <c r="AJ209" s="4093"/>
      <c r="AK209" s="4093"/>
    </row>
    <row r="210" spans="1:37" ht="18.75">
      <c r="A210" s="4116" t="s">
        <v>12</v>
      </c>
      <c r="B210" s="4274">
        <f>SUM(B180+B181+B182+B183+B184+B185+B186+B188+B193+B198+B205+B209)</f>
        <v>31841.764883454747</v>
      </c>
      <c r="C210" s="4274">
        <f t="shared" ref="C210:M210" si="364">SUM(C180+C181+C182+C183+C184+C185+C186+C188+C193+C198+C205+C209)</f>
        <v>9822.2800000000007</v>
      </c>
      <c r="D210" s="4274">
        <f t="shared" si="364"/>
        <v>9093.91</v>
      </c>
      <c r="E210" s="4274">
        <f t="shared" si="364"/>
        <v>10025.089999999998</v>
      </c>
      <c r="F210" s="4274">
        <f t="shared" si="364"/>
        <v>28941.279999999999</v>
      </c>
      <c r="G210" s="4274">
        <f t="shared" si="364"/>
        <v>30467.182986625088</v>
      </c>
      <c r="H210" s="4274">
        <f t="shared" si="364"/>
        <v>12338.539999999999</v>
      </c>
      <c r="I210" s="4274">
        <f t="shared" si="364"/>
        <v>12174.649999999998</v>
      </c>
      <c r="J210" s="4274">
        <f t="shared" si="364"/>
        <v>11203.669999999998</v>
      </c>
      <c r="K210" s="4274">
        <f t="shared" si="364"/>
        <v>35716.86</v>
      </c>
      <c r="L210" s="4275">
        <f t="shared" si="364"/>
        <v>62308.947870079835</v>
      </c>
      <c r="M210" s="4275">
        <f t="shared" si="364"/>
        <v>64658.139999999992</v>
      </c>
      <c r="N210" s="4118">
        <f t="shared" si="284"/>
        <v>2349.1921299201567</v>
      </c>
      <c r="O210" s="4274">
        <f t="shared" ref="O210:U210" si="365">SUM(O180+O181+O182+O183+O184+O185+O186+O188+O193+O198+O205+O209)</f>
        <v>31510.624390520868</v>
      </c>
      <c r="P210" s="4274">
        <f t="shared" si="365"/>
        <v>10391.259999999998</v>
      </c>
      <c r="Q210" s="4274">
        <f t="shared" si="365"/>
        <v>11652.720000000001</v>
      </c>
      <c r="R210" s="4274">
        <f t="shared" si="365"/>
        <v>12720.169999999998</v>
      </c>
      <c r="S210" s="4274">
        <f t="shared" si="365"/>
        <v>34764.149999999994</v>
      </c>
      <c r="T210" s="4275">
        <f t="shared" si="365"/>
        <v>93823.758225656318</v>
      </c>
      <c r="U210" s="4275">
        <f t="shared" si="365"/>
        <v>99422.29</v>
      </c>
      <c r="V210" s="4118">
        <f t="shared" si="287"/>
        <v>5598.5317743436754</v>
      </c>
      <c r="W210" s="4274">
        <f t="shared" ref="W210:AC210" si="366">SUM(W180+W181+W182+W183+W184+W185+W186+W188+W193+W198+W205+W209)</f>
        <v>33044.684221808406</v>
      </c>
      <c r="X210" s="4274">
        <f t="shared" si="366"/>
        <v>0</v>
      </c>
      <c r="Y210" s="4274">
        <f t="shared" si="366"/>
        <v>0</v>
      </c>
      <c r="Z210" s="4274">
        <f t="shared" si="366"/>
        <v>0</v>
      </c>
      <c r="AA210" s="4274">
        <f t="shared" si="366"/>
        <v>0</v>
      </c>
      <c r="AB210" s="4275">
        <f t="shared" si="366"/>
        <v>126864.26461703915</v>
      </c>
      <c r="AC210" s="4275">
        <f t="shared" si="366"/>
        <v>99422.29</v>
      </c>
      <c r="AD210" s="4118">
        <f t="shared" si="290"/>
        <v>-27441.974617039159</v>
      </c>
      <c r="AE210" s="4093"/>
      <c r="AF210" s="4093"/>
      <c r="AG210" s="4093"/>
      <c r="AH210" s="4093"/>
      <c r="AI210" s="4093"/>
      <c r="AJ210" s="4093"/>
      <c r="AK210" s="4093"/>
    </row>
    <row r="211" spans="1:37" ht="18.75">
      <c r="A211" s="4116" t="s">
        <v>13</v>
      </c>
      <c r="B211" s="4274">
        <f>SUM(B169)</f>
        <v>969.05283660000009</v>
      </c>
      <c r="C211" s="4274">
        <f t="shared" ref="C211:F211" si="367">SUM(C169)</f>
        <v>297.70999999999998</v>
      </c>
      <c r="D211" s="4274">
        <f t="shared" si="367"/>
        <v>313.73999999999995</v>
      </c>
      <c r="E211" s="4274">
        <f t="shared" si="367"/>
        <v>300.90999999999997</v>
      </c>
      <c r="F211" s="4274">
        <f t="shared" si="367"/>
        <v>912.3599999999999</v>
      </c>
      <c r="G211" s="4274">
        <f>SUM(G169)</f>
        <v>934.82215469999994</v>
      </c>
      <c r="H211" s="4274">
        <f t="shared" ref="H211:K211" si="368">SUM(H169)</f>
        <v>332.07</v>
      </c>
      <c r="I211" s="4274">
        <f t="shared" si="368"/>
        <v>308.57000000000005</v>
      </c>
      <c r="J211" s="4274">
        <f t="shared" si="368"/>
        <v>299.16000000000003</v>
      </c>
      <c r="K211" s="4274">
        <f t="shared" si="368"/>
        <v>939.8</v>
      </c>
      <c r="L211" s="4275">
        <f>SUM(L169)</f>
        <v>969.05283660000009</v>
      </c>
      <c r="M211" s="4275">
        <f t="shared" ref="M211" si="369">SUM(M169)</f>
        <v>1852.1599999999996</v>
      </c>
      <c r="N211" s="4118">
        <f t="shared" si="284"/>
        <v>883.10716339999954</v>
      </c>
      <c r="O211" s="4274">
        <f>SUM(O169)</f>
        <v>915.52058549999992</v>
      </c>
      <c r="P211" s="4274">
        <f t="shared" ref="P211:S211" si="370">SUM(P169)</f>
        <v>265.63</v>
      </c>
      <c r="Q211" s="4274">
        <f t="shared" si="370"/>
        <v>278.93665000000004</v>
      </c>
      <c r="R211" s="4274">
        <f t="shared" si="370"/>
        <v>311.65000000000003</v>
      </c>
      <c r="S211" s="4274">
        <f t="shared" si="370"/>
        <v>856.21664999999985</v>
      </c>
      <c r="T211" s="4275">
        <f>SUM(T169)</f>
        <v>2819.3955768000001</v>
      </c>
      <c r="U211" s="4275">
        <f t="shared" ref="U211" si="371">SUM(U169)</f>
        <v>2708.3766499999997</v>
      </c>
      <c r="V211" s="4118">
        <f t="shared" si="287"/>
        <v>-111.01892680000037</v>
      </c>
      <c r="W211" s="4274">
        <f>SUM(W169)</f>
        <v>971.95342320000009</v>
      </c>
      <c r="X211" s="4274">
        <f t="shared" ref="X211:AA211" si="372">SUM(X169)</f>
        <v>0</v>
      </c>
      <c r="Y211" s="4274">
        <f t="shared" si="372"/>
        <v>0</v>
      </c>
      <c r="Z211" s="4274">
        <f t="shared" si="372"/>
        <v>0</v>
      </c>
      <c r="AA211" s="4274">
        <f t="shared" si="372"/>
        <v>0</v>
      </c>
      <c r="AB211" s="4275">
        <f>SUM(AB169)</f>
        <v>3791.3490000000002</v>
      </c>
      <c r="AC211" s="4275">
        <f t="shared" ref="AC211" si="373">SUM(AC169)</f>
        <v>2708.3766499999997</v>
      </c>
      <c r="AD211" s="4118">
        <f t="shared" si="290"/>
        <v>-1082.9723500000005</v>
      </c>
      <c r="AE211" s="4093"/>
      <c r="AF211" s="4093"/>
      <c r="AG211" s="4093"/>
      <c r="AH211" s="4093"/>
      <c r="AI211" s="4093"/>
      <c r="AJ211" s="4093"/>
      <c r="AK211" s="4093"/>
    </row>
    <row r="212" spans="1:37" ht="18.75">
      <c r="A212" s="4116" t="s">
        <v>14</v>
      </c>
      <c r="B212" s="4274">
        <f>SUM(B210/B211)</f>
        <v>32.85864679492002</v>
      </c>
      <c r="C212" s="4274">
        <f t="shared" ref="C212:F212" si="374">SUM(C210/C211)</f>
        <v>32.992778206979949</v>
      </c>
      <c r="D212" s="4274">
        <f t="shared" si="374"/>
        <v>28.985497545738514</v>
      </c>
      <c r="E212" s="4274">
        <f t="shared" si="374"/>
        <v>33.315908411152833</v>
      </c>
      <c r="F212" s="4274">
        <f t="shared" si="374"/>
        <v>31.721338068306373</v>
      </c>
      <c r="G212" s="4274">
        <f>SUM(G210/G211)</f>
        <v>32.591421623295304</v>
      </c>
      <c r="H212" s="4274">
        <f t="shared" ref="H212:M212" si="375">SUM(H210/H211)</f>
        <v>37.156442918661725</v>
      </c>
      <c r="I212" s="4274">
        <f t="shared" si="375"/>
        <v>39.455066921606104</v>
      </c>
      <c r="J212" s="4274">
        <f t="shared" si="375"/>
        <v>37.450427864687782</v>
      </c>
      <c r="K212" s="4274">
        <f t="shared" si="375"/>
        <v>38.004745690572463</v>
      </c>
      <c r="L212" s="4275">
        <f>SUM(L210/L211)</f>
        <v>64.298813766126315</v>
      </c>
      <c r="M212" s="4275">
        <f t="shared" si="375"/>
        <v>34.909586644782308</v>
      </c>
      <c r="N212" s="4118">
        <f t="shared" si="284"/>
        <v>-29.389227121344007</v>
      </c>
      <c r="O212" s="4274">
        <f>SUM(O210/O211)</f>
        <v>34.418258736707422</v>
      </c>
      <c r="P212" s="4274">
        <f t="shared" ref="P212:S212" si="376">SUM(P210/P211)</f>
        <v>39.119301283740533</v>
      </c>
      <c r="Q212" s="4274">
        <f t="shared" si="376"/>
        <v>41.775507090946995</v>
      </c>
      <c r="R212" s="4274">
        <f t="shared" si="376"/>
        <v>40.815562329536327</v>
      </c>
      <c r="S212" s="4274">
        <f t="shared" si="376"/>
        <v>40.602048558621235</v>
      </c>
      <c r="T212" s="4275">
        <f>SUM(T210/T211)</f>
        <v>33.277968865988584</v>
      </c>
      <c r="U212" s="4275">
        <f t="shared" ref="U212" si="377">SUM(U210/U211)</f>
        <v>36.709181494383365</v>
      </c>
      <c r="V212" s="4118">
        <f t="shared" si="287"/>
        <v>3.4312126283947819</v>
      </c>
      <c r="W212" s="4274">
        <f>SUM(W210/W211)</f>
        <v>33.998217849795836</v>
      </c>
      <c r="X212" s="4274" t="e">
        <f t="shared" ref="X212:AA212" si="378">SUM(X210/X211)</f>
        <v>#DIV/0!</v>
      </c>
      <c r="Y212" s="4274" t="e">
        <f t="shared" si="378"/>
        <v>#DIV/0!</v>
      </c>
      <c r="Z212" s="4274" t="e">
        <f t="shared" si="378"/>
        <v>#DIV/0!</v>
      </c>
      <c r="AA212" s="4274" t="e">
        <f t="shared" si="378"/>
        <v>#DIV/0!</v>
      </c>
      <c r="AB212" s="4275">
        <f>SUM(AB210/AB211)</f>
        <v>33.461510564455857</v>
      </c>
      <c r="AC212" s="4275">
        <f t="shared" ref="AC212" si="379">SUM(AC210/AC211)</f>
        <v>36.709181494383365</v>
      </c>
      <c r="AD212" s="4118">
        <f t="shared" si="290"/>
        <v>3.2476709299275086</v>
      </c>
      <c r="AE212" s="4093"/>
      <c r="AF212" s="4093"/>
      <c r="AG212" s="4093"/>
      <c r="AH212" s="4093"/>
      <c r="AI212" s="4093"/>
      <c r="AJ212" s="4093"/>
      <c r="AK212" s="4093"/>
    </row>
    <row r="213" spans="1:37" ht="18.75">
      <c r="A213" s="4126" t="s">
        <v>1883</v>
      </c>
      <c r="B213" s="4117">
        <f>SUM(B214:B215)</f>
        <v>0</v>
      </c>
      <c r="C213" s="4117">
        <f t="shared" ref="C213:F213" si="380">SUM(C214:C215)</f>
        <v>0</v>
      </c>
      <c r="D213" s="4117">
        <f t="shared" si="380"/>
        <v>0</v>
      </c>
      <c r="E213" s="4117">
        <f t="shared" si="380"/>
        <v>0</v>
      </c>
      <c r="F213" s="4117">
        <f t="shared" si="380"/>
        <v>0</v>
      </c>
      <c r="G213" s="4117">
        <f>SUM(G214:G215)</f>
        <v>0</v>
      </c>
      <c r="H213" s="4117">
        <f t="shared" ref="H213:M213" si="381">SUM(H214:H215)</f>
        <v>0</v>
      </c>
      <c r="I213" s="4117">
        <f t="shared" si="381"/>
        <v>0</v>
      </c>
      <c r="J213" s="4117">
        <f t="shared" si="381"/>
        <v>0</v>
      </c>
      <c r="K213" s="4117">
        <f t="shared" si="381"/>
        <v>0</v>
      </c>
      <c r="L213" s="4118">
        <f>SUM(L214:L215)</f>
        <v>0</v>
      </c>
      <c r="M213" s="4118">
        <f t="shared" si="381"/>
        <v>0</v>
      </c>
      <c r="N213" s="4118">
        <f t="shared" si="284"/>
        <v>0</v>
      </c>
      <c r="O213" s="4117">
        <f>SUM(O214:O215)</f>
        <v>0</v>
      </c>
      <c r="P213" s="4117">
        <f t="shared" ref="P213:S213" si="382">SUM(P214:P215)</f>
        <v>0</v>
      </c>
      <c r="Q213" s="4117">
        <f t="shared" si="382"/>
        <v>0</v>
      </c>
      <c r="R213" s="4117">
        <f t="shared" si="382"/>
        <v>0</v>
      </c>
      <c r="S213" s="4117">
        <f t="shared" si="382"/>
        <v>0</v>
      </c>
      <c r="T213" s="4118">
        <f>SUM(T214:T215)</f>
        <v>0</v>
      </c>
      <c r="U213" s="4118">
        <f t="shared" ref="U213" si="383">SUM(U214:U215)</f>
        <v>0</v>
      </c>
      <c r="V213" s="4118">
        <f t="shared" si="287"/>
        <v>0</v>
      </c>
      <c r="W213" s="4117">
        <f>SUM(W214:W215)</f>
        <v>0</v>
      </c>
      <c r="X213" s="4117">
        <f t="shared" ref="X213:AA213" si="384">SUM(X214:X215)</f>
        <v>0</v>
      </c>
      <c r="Y213" s="4117">
        <f t="shared" si="384"/>
        <v>0</v>
      </c>
      <c r="Z213" s="4117">
        <f t="shared" si="384"/>
        <v>0</v>
      </c>
      <c r="AA213" s="4117">
        <f t="shared" si="384"/>
        <v>0</v>
      </c>
      <c r="AB213" s="4118">
        <f>SUM(AB214:AB215)</f>
        <v>0</v>
      </c>
      <c r="AC213" s="4118">
        <f t="shared" ref="AC213" si="385">SUM(AC214:AC215)</f>
        <v>0</v>
      </c>
      <c r="AD213" s="4118">
        <f t="shared" si="290"/>
        <v>0</v>
      </c>
      <c r="AE213" s="4093"/>
      <c r="AF213" s="4093"/>
      <c r="AG213" s="4093"/>
      <c r="AH213" s="4093"/>
      <c r="AI213" s="4093"/>
      <c r="AJ213" s="4093"/>
      <c r="AK213" s="4093"/>
    </row>
    <row r="214" spans="1:37" ht="18.75">
      <c r="A214" s="4115" t="s">
        <v>1888</v>
      </c>
      <c r="B214" s="4269">
        <f>SUM(B151)</f>
        <v>0</v>
      </c>
      <c r="C214" s="4269">
        <f t="shared" ref="C214:AD215" si="386">SUM(C151)</f>
        <v>0</v>
      </c>
      <c r="D214" s="4269">
        <f t="shared" si="386"/>
        <v>0</v>
      </c>
      <c r="E214" s="4269">
        <f t="shared" si="386"/>
        <v>0</v>
      </c>
      <c r="F214" s="4269">
        <f t="shared" si="386"/>
        <v>0</v>
      </c>
      <c r="G214" s="4269">
        <f t="shared" si="386"/>
        <v>0</v>
      </c>
      <c r="H214" s="4269">
        <f t="shared" si="386"/>
        <v>0</v>
      </c>
      <c r="I214" s="4269">
        <f t="shared" si="386"/>
        <v>0</v>
      </c>
      <c r="J214" s="4269">
        <f t="shared" si="386"/>
        <v>0</v>
      </c>
      <c r="K214" s="4269">
        <f t="shared" si="386"/>
        <v>0</v>
      </c>
      <c r="L214" s="4270">
        <f t="shared" si="386"/>
        <v>0</v>
      </c>
      <c r="M214" s="4270">
        <f t="shared" si="386"/>
        <v>0</v>
      </c>
      <c r="N214" s="4270">
        <f t="shared" si="386"/>
        <v>0</v>
      </c>
      <c r="O214" s="4269">
        <f t="shared" si="386"/>
        <v>0</v>
      </c>
      <c r="P214" s="4269">
        <f t="shared" si="386"/>
        <v>0</v>
      </c>
      <c r="Q214" s="4269">
        <f t="shared" si="386"/>
        <v>0</v>
      </c>
      <c r="R214" s="4269">
        <f t="shared" si="386"/>
        <v>0</v>
      </c>
      <c r="S214" s="4269">
        <f t="shared" si="386"/>
        <v>0</v>
      </c>
      <c r="T214" s="4270">
        <f t="shared" si="386"/>
        <v>0</v>
      </c>
      <c r="U214" s="4270">
        <f t="shared" si="386"/>
        <v>0</v>
      </c>
      <c r="V214" s="4270">
        <f t="shared" si="386"/>
        <v>0</v>
      </c>
      <c r="W214" s="4269">
        <f t="shared" si="386"/>
        <v>0</v>
      </c>
      <c r="X214" s="4269">
        <f t="shared" si="386"/>
        <v>0</v>
      </c>
      <c r="Y214" s="4269">
        <f t="shared" si="386"/>
        <v>0</v>
      </c>
      <c r="Z214" s="4269">
        <f t="shared" si="386"/>
        <v>0</v>
      </c>
      <c r="AA214" s="4269">
        <f t="shared" si="386"/>
        <v>0</v>
      </c>
      <c r="AB214" s="4270">
        <f t="shared" si="386"/>
        <v>0</v>
      </c>
      <c r="AC214" s="4270">
        <f t="shared" si="386"/>
        <v>0</v>
      </c>
      <c r="AD214" s="4270">
        <f t="shared" si="386"/>
        <v>0</v>
      </c>
      <c r="AE214" s="4093"/>
      <c r="AF214" s="4093"/>
      <c r="AG214" s="4093"/>
      <c r="AH214" s="4093"/>
      <c r="AI214" s="4093"/>
      <c r="AJ214" s="4093"/>
      <c r="AK214" s="4093"/>
    </row>
    <row r="215" spans="1:37" ht="18.75">
      <c r="A215" s="4115" t="s">
        <v>1885</v>
      </c>
      <c r="B215" s="4269">
        <f>SUM(B152)</f>
        <v>0</v>
      </c>
      <c r="C215" s="4269">
        <f t="shared" si="386"/>
        <v>0</v>
      </c>
      <c r="D215" s="4269">
        <f t="shared" si="386"/>
        <v>0</v>
      </c>
      <c r="E215" s="4269">
        <f t="shared" si="386"/>
        <v>0</v>
      </c>
      <c r="F215" s="4269">
        <f t="shared" si="386"/>
        <v>0</v>
      </c>
      <c r="G215" s="4269">
        <f t="shared" si="386"/>
        <v>0</v>
      </c>
      <c r="H215" s="4269">
        <f t="shared" si="386"/>
        <v>0</v>
      </c>
      <c r="I215" s="4269">
        <f t="shared" si="386"/>
        <v>0</v>
      </c>
      <c r="J215" s="4269">
        <f t="shared" si="386"/>
        <v>0</v>
      </c>
      <c r="K215" s="4269">
        <f t="shared" si="386"/>
        <v>0</v>
      </c>
      <c r="L215" s="4270">
        <f t="shared" si="386"/>
        <v>0</v>
      </c>
      <c r="M215" s="4270">
        <f t="shared" si="386"/>
        <v>0</v>
      </c>
      <c r="N215" s="4270">
        <f t="shared" si="386"/>
        <v>0</v>
      </c>
      <c r="O215" s="4269">
        <f t="shared" si="386"/>
        <v>0</v>
      </c>
      <c r="P215" s="4269">
        <f t="shared" si="386"/>
        <v>0</v>
      </c>
      <c r="Q215" s="4269">
        <f t="shared" si="386"/>
        <v>0</v>
      </c>
      <c r="R215" s="4269">
        <f t="shared" si="386"/>
        <v>0</v>
      </c>
      <c r="S215" s="4269">
        <f t="shared" si="386"/>
        <v>0</v>
      </c>
      <c r="T215" s="4270">
        <f t="shared" si="386"/>
        <v>0</v>
      </c>
      <c r="U215" s="4270">
        <f t="shared" si="386"/>
        <v>0</v>
      </c>
      <c r="V215" s="4270">
        <f t="shared" si="386"/>
        <v>0</v>
      </c>
      <c r="W215" s="4269">
        <f t="shared" si="386"/>
        <v>0</v>
      </c>
      <c r="X215" s="4269">
        <f t="shared" si="386"/>
        <v>0</v>
      </c>
      <c r="Y215" s="4269">
        <f t="shared" si="386"/>
        <v>0</v>
      </c>
      <c r="Z215" s="4269">
        <f t="shared" si="386"/>
        <v>0</v>
      </c>
      <c r="AA215" s="4269">
        <f t="shared" si="386"/>
        <v>0</v>
      </c>
      <c r="AB215" s="4270">
        <f t="shared" si="386"/>
        <v>0</v>
      </c>
      <c r="AC215" s="4270">
        <f t="shared" si="386"/>
        <v>0</v>
      </c>
      <c r="AD215" s="4270">
        <f t="shared" si="386"/>
        <v>0</v>
      </c>
      <c r="AE215" s="4093"/>
      <c r="AF215" s="4093"/>
      <c r="AG215" s="4093"/>
      <c r="AH215" s="4093"/>
      <c r="AI215" s="4093"/>
      <c r="AJ215" s="4093"/>
      <c r="AK215" s="4093"/>
    </row>
    <row r="216" spans="1:37" ht="18.75">
      <c r="A216" s="4126" t="s">
        <v>1886</v>
      </c>
      <c r="B216" s="4274">
        <f>SUM(B210+B213)</f>
        <v>31841.764883454747</v>
      </c>
      <c r="C216" s="4274">
        <f t="shared" ref="C216:F216" si="387">SUM(C210+C213)</f>
        <v>9822.2800000000007</v>
      </c>
      <c r="D216" s="4274">
        <f t="shared" si="387"/>
        <v>9093.91</v>
      </c>
      <c r="E216" s="4274">
        <f t="shared" si="387"/>
        <v>10025.089999999998</v>
      </c>
      <c r="F216" s="4274">
        <f t="shared" si="387"/>
        <v>28941.279999999999</v>
      </c>
      <c r="G216" s="4274">
        <f>SUM(G210+G213)</f>
        <v>30467.182986625088</v>
      </c>
      <c r="H216" s="4274">
        <f t="shared" ref="H216:K216" si="388">SUM(H210+H213)</f>
        <v>12338.539999999999</v>
      </c>
      <c r="I216" s="4274">
        <f t="shared" si="388"/>
        <v>12174.649999999998</v>
      </c>
      <c r="J216" s="4274">
        <f t="shared" si="388"/>
        <v>11203.669999999998</v>
      </c>
      <c r="K216" s="4274">
        <f t="shared" si="388"/>
        <v>35716.86</v>
      </c>
      <c r="L216" s="4275">
        <f>SUM(L210+L213)</f>
        <v>62308.947870079835</v>
      </c>
      <c r="M216" s="4275">
        <f t="shared" ref="M216" si="389">SUM(M210+M213)</f>
        <v>64658.139999999992</v>
      </c>
      <c r="N216" s="4118">
        <f t="shared" si="284"/>
        <v>2349.1921299201567</v>
      </c>
      <c r="O216" s="4274">
        <f>SUM(O210+O213)</f>
        <v>31510.624390520868</v>
      </c>
      <c r="P216" s="4274">
        <f t="shared" ref="P216:S216" si="390">SUM(P210+P213)</f>
        <v>10391.259999999998</v>
      </c>
      <c r="Q216" s="4274">
        <f t="shared" si="390"/>
        <v>11652.720000000001</v>
      </c>
      <c r="R216" s="4274">
        <f t="shared" si="390"/>
        <v>12720.169999999998</v>
      </c>
      <c r="S216" s="4274">
        <f t="shared" si="390"/>
        <v>34764.149999999994</v>
      </c>
      <c r="T216" s="4275">
        <f>SUM(T210+T213)</f>
        <v>93823.758225656318</v>
      </c>
      <c r="U216" s="4275">
        <f t="shared" ref="U216" si="391">SUM(U210+U213)</f>
        <v>99422.29</v>
      </c>
      <c r="V216" s="4118">
        <f t="shared" si="287"/>
        <v>5598.5317743436754</v>
      </c>
      <c r="W216" s="4274">
        <f>SUM(W210+W213)</f>
        <v>33044.684221808406</v>
      </c>
      <c r="X216" s="4274">
        <f t="shared" ref="X216:AA216" si="392">SUM(X210+X213)</f>
        <v>0</v>
      </c>
      <c r="Y216" s="4274">
        <f t="shared" si="392"/>
        <v>0</v>
      </c>
      <c r="Z216" s="4274">
        <f t="shared" si="392"/>
        <v>0</v>
      </c>
      <c r="AA216" s="4274">
        <f t="shared" si="392"/>
        <v>0</v>
      </c>
      <c r="AB216" s="4275">
        <f>SUM(AB210+AB213)</f>
        <v>126864.26461703915</v>
      </c>
      <c r="AC216" s="4275">
        <f t="shared" ref="AC216" si="393">SUM(AC210+AC213)</f>
        <v>99422.29</v>
      </c>
      <c r="AD216" s="4118">
        <f t="shared" si="290"/>
        <v>-27441.974617039159</v>
      </c>
      <c r="AE216" s="4093"/>
      <c r="AF216" s="4093"/>
      <c r="AG216" s="4093"/>
      <c r="AH216" s="4093"/>
      <c r="AI216" s="4093"/>
      <c r="AJ216" s="4093"/>
      <c r="AK216" s="4093"/>
    </row>
    <row r="217" spans="1:37" ht="18.75">
      <c r="A217" s="4093"/>
      <c r="B217" s="4131"/>
      <c r="C217" s="4131"/>
      <c r="D217" s="4131"/>
      <c r="E217" s="4131"/>
      <c r="F217" s="4131"/>
      <c r="G217" s="4131"/>
      <c r="H217" s="4131"/>
      <c r="I217" s="4131"/>
      <c r="J217" s="4131"/>
      <c r="K217" s="4131"/>
      <c r="L217" s="4131"/>
      <c r="M217" s="4131"/>
      <c r="N217" s="4131"/>
      <c r="O217" s="4131"/>
      <c r="P217" s="4131"/>
      <c r="Q217" s="4131"/>
      <c r="R217" s="4131"/>
      <c r="S217" s="4131"/>
      <c r="T217" s="4131"/>
      <c r="U217" s="4131"/>
      <c r="V217" s="4131"/>
      <c r="W217" s="4131"/>
      <c r="X217" s="4131"/>
      <c r="Y217" s="4131"/>
      <c r="Z217" s="4131"/>
      <c r="AA217" s="4131"/>
      <c r="AB217" s="4131"/>
      <c r="AC217" s="4131"/>
      <c r="AD217" s="4131"/>
      <c r="AE217" s="4093"/>
      <c r="AF217" s="4093"/>
      <c r="AG217" s="4093"/>
      <c r="AH217" s="4093"/>
      <c r="AI217" s="4093"/>
      <c r="AJ217" s="4093"/>
      <c r="AK217" s="4093"/>
    </row>
    <row r="218" spans="1:37" ht="20.25">
      <c r="A218" s="4088" t="s">
        <v>1919</v>
      </c>
      <c r="B218" s="4093"/>
      <c r="C218" s="4093"/>
      <c r="D218" s="4093"/>
      <c r="E218" s="4093"/>
      <c r="F218" s="4093"/>
      <c r="G218" s="4093"/>
      <c r="H218" s="4093"/>
      <c r="I218" s="4093"/>
      <c r="J218" s="4093"/>
      <c r="K218" s="4093"/>
      <c r="L218" s="4093"/>
      <c r="M218" s="4093"/>
      <c r="N218" s="4093"/>
      <c r="O218" s="4093"/>
      <c r="P218" s="4093"/>
      <c r="Q218" s="4093"/>
      <c r="R218" s="4093"/>
      <c r="S218" s="4093"/>
      <c r="T218" s="4093"/>
      <c r="U218" s="4093"/>
      <c r="V218" s="4093"/>
      <c r="W218" s="4093"/>
      <c r="X218" s="4093"/>
      <c r="Y218" s="4093"/>
      <c r="Z218" s="4093"/>
      <c r="AA218" s="4093"/>
      <c r="AB218" s="4093"/>
      <c r="AC218" s="4093"/>
      <c r="AD218" s="4093"/>
      <c r="AE218" s="4093"/>
      <c r="AF218" s="4093"/>
      <c r="AG218" s="4093"/>
      <c r="AH218" s="4093"/>
      <c r="AI218" s="4093"/>
      <c r="AJ218" s="4093"/>
      <c r="AK218" s="4093"/>
    </row>
    <row r="219" spans="1:37" ht="20.25">
      <c r="A219" s="4094"/>
      <c r="B219" s="4093"/>
      <c r="C219" s="4093"/>
      <c r="D219" s="4093"/>
      <c r="E219" s="4093"/>
      <c r="F219" s="4093"/>
      <c r="G219" s="4093"/>
      <c r="H219" s="4093"/>
      <c r="I219" s="4093"/>
      <c r="J219" s="4093"/>
      <c r="K219" s="4093"/>
      <c r="L219" s="4093"/>
      <c r="M219" s="4093"/>
      <c r="N219" s="4093"/>
      <c r="O219" s="4093"/>
      <c r="P219" s="4093"/>
      <c r="Q219" s="4093"/>
      <c r="R219" s="4093"/>
      <c r="S219" s="4093"/>
      <c r="T219" s="4093"/>
      <c r="U219" s="4093"/>
      <c r="V219" s="4093"/>
      <c r="W219" s="4093"/>
      <c r="X219" s="4093"/>
      <c r="Y219" s="4093"/>
      <c r="Z219" s="4093"/>
      <c r="AA219" s="4093"/>
      <c r="AB219" s="4093"/>
      <c r="AC219" s="4093"/>
      <c r="AD219" s="4093"/>
      <c r="AE219" s="4093"/>
      <c r="AF219" s="4093"/>
      <c r="AG219" s="4093"/>
      <c r="AH219" s="4093"/>
      <c r="AI219" s="4093"/>
      <c r="AJ219" s="4093"/>
      <c r="AK219" s="4093"/>
    </row>
    <row r="220" spans="1:37" ht="18.75">
      <c r="A220" s="4337" t="s">
        <v>546</v>
      </c>
      <c r="B220" s="4338" t="s">
        <v>1869</v>
      </c>
      <c r="C220" s="4338"/>
      <c r="D220" s="4338"/>
      <c r="E220" s="4338"/>
      <c r="F220" s="4338"/>
      <c r="G220" s="4338" t="s">
        <v>1870</v>
      </c>
      <c r="H220" s="4338"/>
      <c r="I220" s="4338"/>
      <c r="J220" s="4338"/>
      <c r="K220" s="4338"/>
      <c r="L220" s="4336" t="s">
        <v>1871</v>
      </c>
      <c r="M220" s="4336"/>
      <c r="N220" s="4336"/>
      <c r="O220" s="4338" t="s">
        <v>1872</v>
      </c>
      <c r="P220" s="4338"/>
      <c r="Q220" s="4338"/>
      <c r="R220" s="4338"/>
      <c r="S220" s="4338"/>
      <c r="T220" s="4336" t="s">
        <v>1873</v>
      </c>
      <c r="U220" s="4336"/>
      <c r="V220" s="4336"/>
      <c r="W220" s="4338" t="s">
        <v>1874</v>
      </c>
      <c r="X220" s="4338"/>
      <c r="Y220" s="4338"/>
      <c r="Z220" s="4338"/>
      <c r="AA220" s="4338"/>
      <c r="AB220" s="4336" t="s">
        <v>887</v>
      </c>
      <c r="AC220" s="4336"/>
      <c r="AD220" s="4336"/>
      <c r="AE220" s="4093"/>
      <c r="AF220" s="4093"/>
      <c r="AG220" s="4093"/>
      <c r="AH220" s="4093"/>
      <c r="AI220" s="4093"/>
      <c r="AJ220" s="4093"/>
      <c r="AK220" s="4093"/>
    </row>
    <row r="221" spans="1:37" ht="12.75" customHeight="1">
      <c r="A221" s="4343"/>
      <c r="B221" s="4337" t="s">
        <v>1875</v>
      </c>
      <c r="C221" s="4338" t="s">
        <v>587</v>
      </c>
      <c r="D221" s="4338" t="s">
        <v>588</v>
      </c>
      <c r="E221" s="4338" t="s">
        <v>589</v>
      </c>
      <c r="F221" s="4337" t="s">
        <v>1876</v>
      </c>
      <c r="G221" s="4337" t="s">
        <v>1875</v>
      </c>
      <c r="H221" s="4338" t="s">
        <v>1563</v>
      </c>
      <c r="I221" s="4338" t="s">
        <v>591</v>
      </c>
      <c r="J221" s="4338" t="s">
        <v>592</v>
      </c>
      <c r="K221" s="4337" t="s">
        <v>1876</v>
      </c>
      <c r="L221" s="4339" t="s">
        <v>1875</v>
      </c>
      <c r="M221" s="4339" t="s">
        <v>1876</v>
      </c>
      <c r="N221" s="4336" t="s">
        <v>1877</v>
      </c>
      <c r="O221" s="4337" t="s">
        <v>1875</v>
      </c>
      <c r="P221" s="4338" t="s">
        <v>593</v>
      </c>
      <c r="Q221" s="4338" t="s">
        <v>594</v>
      </c>
      <c r="R221" s="4338" t="s">
        <v>595</v>
      </c>
      <c r="S221" s="4337" t="s">
        <v>1876</v>
      </c>
      <c r="T221" s="4339" t="s">
        <v>1875</v>
      </c>
      <c r="U221" s="4339" t="s">
        <v>1876</v>
      </c>
      <c r="V221" s="4336" t="s">
        <v>1877</v>
      </c>
      <c r="W221" s="4337" t="s">
        <v>1875</v>
      </c>
      <c r="X221" s="4338" t="s">
        <v>596</v>
      </c>
      <c r="Y221" s="4338" t="s">
        <v>597</v>
      </c>
      <c r="Z221" s="4338" t="s">
        <v>598</v>
      </c>
      <c r="AA221" s="4337" t="s">
        <v>1876</v>
      </c>
      <c r="AB221" s="4339" t="s">
        <v>1875</v>
      </c>
      <c r="AC221" s="4339" t="s">
        <v>1876</v>
      </c>
      <c r="AD221" s="4336" t="s">
        <v>1877</v>
      </c>
      <c r="AE221" s="4093"/>
      <c r="AF221" s="4093"/>
      <c r="AG221" s="4093"/>
      <c r="AH221" s="4093"/>
      <c r="AI221" s="4093"/>
      <c r="AJ221" s="4093"/>
      <c r="AK221" s="4093"/>
    </row>
    <row r="222" spans="1:37" ht="12.75" customHeight="1">
      <c r="A222" s="4343"/>
      <c r="B222" s="4337"/>
      <c r="C222" s="4338"/>
      <c r="D222" s="4338"/>
      <c r="E222" s="4338"/>
      <c r="F222" s="4337"/>
      <c r="G222" s="4337"/>
      <c r="H222" s="4338"/>
      <c r="I222" s="4338"/>
      <c r="J222" s="4338"/>
      <c r="K222" s="4337"/>
      <c r="L222" s="4339"/>
      <c r="M222" s="4339"/>
      <c r="N222" s="4336"/>
      <c r="O222" s="4337"/>
      <c r="P222" s="4338"/>
      <c r="Q222" s="4338"/>
      <c r="R222" s="4338"/>
      <c r="S222" s="4337"/>
      <c r="T222" s="4339"/>
      <c r="U222" s="4339"/>
      <c r="V222" s="4336"/>
      <c r="W222" s="4337"/>
      <c r="X222" s="4338"/>
      <c r="Y222" s="4338"/>
      <c r="Z222" s="4338"/>
      <c r="AA222" s="4337"/>
      <c r="AB222" s="4339"/>
      <c r="AC222" s="4339"/>
      <c r="AD222" s="4336"/>
      <c r="AE222" s="4093"/>
      <c r="AF222" s="4093"/>
      <c r="AG222" s="4093"/>
      <c r="AH222" s="4093"/>
      <c r="AI222" s="4093"/>
      <c r="AJ222" s="4093"/>
      <c r="AK222" s="4093"/>
    </row>
    <row r="223" spans="1:37" ht="18.75">
      <c r="A223" s="4119" t="s">
        <v>72</v>
      </c>
      <c r="B223" s="4276">
        <f>SUM(B34+B59+B93+B117)</f>
        <v>1866.9758679897293</v>
      </c>
      <c r="C223" s="4276">
        <f t="shared" ref="C223:M224" si="394">SUM(C34+C59+C93+C117)</f>
        <v>718.24</v>
      </c>
      <c r="D223" s="4276">
        <f t="shared" si="394"/>
        <v>467.44</v>
      </c>
      <c r="E223" s="4276">
        <f t="shared" si="394"/>
        <v>375.23000000000008</v>
      </c>
      <c r="F223" s="4276">
        <f t="shared" si="394"/>
        <v>1560.9099999999999</v>
      </c>
      <c r="G223" s="4276">
        <f t="shared" si="394"/>
        <v>1866.9758679897293</v>
      </c>
      <c r="H223" s="4276">
        <f t="shared" si="394"/>
        <v>383.89</v>
      </c>
      <c r="I223" s="4276">
        <f t="shared" si="394"/>
        <v>541.89</v>
      </c>
      <c r="J223" s="4276">
        <f t="shared" si="394"/>
        <v>455.82</v>
      </c>
      <c r="K223" s="4276">
        <f t="shared" si="394"/>
        <v>1381.6000000000001</v>
      </c>
      <c r="L223" s="4277">
        <f t="shared" si="394"/>
        <v>3733.9517359794586</v>
      </c>
      <c r="M223" s="4277">
        <f t="shared" si="394"/>
        <v>2942.51</v>
      </c>
      <c r="N223" s="4122">
        <f t="shared" ref="N223:N254" si="395">SUM(M223-L223)</f>
        <v>-791.44173597945837</v>
      </c>
      <c r="O223" s="4276">
        <f t="shared" ref="O223:U224" si="396">SUM(O34+O59+O93+O117)</f>
        <v>1985.9659332322503</v>
      </c>
      <c r="P223" s="4276">
        <f t="shared" si="396"/>
        <v>460.62</v>
      </c>
      <c r="Q223" s="4276">
        <f>SUM(Q34+Q59+Q93+Q117)</f>
        <v>630.38</v>
      </c>
      <c r="R223" s="4276">
        <f t="shared" si="396"/>
        <v>642.69000000000005</v>
      </c>
      <c r="S223" s="4276">
        <f t="shared" si="396"/>
        <v>1733.6900000000003</v>
      </c>
      <c r="T223" s="4277">
        <f t="shared" si="396"/>
        <v>5719.9176692117089</v>
      </c>
      <c r="U223" s="4277">
        <f t="shared" si="396"/>
        <v>4676.2</v>
      </c>
      <c r="V223" s="4122">
        <f t="shared" ref="V223:V254" si="397">SUM(U223-T223)</f>
        <v>-1043.7176692117091</v>
      </c>
      <c r="W223" s="4276">
        <f t="shared" ref="W223:AC224" si="398">SUM(W34+W59+W93+W117)</f>
        <v>1985.9659332322503</v>
      </c>
      <c r="X223" s="4276">
        <f t="shared" si="398"/>
        <v>0</v>
      </c>
      <c r="Y223" s="4276">
        <f t="shared" si="398"/>
        <v>0</v>
      </c>
      <c r="Z223" s="4276">
        <f t="shared" si="398"/>
        <v>0</v>
      </c>
      <c r="AA223" s="4276">
        <f t="shared" si="398"/>
        <v>0</v>
      </c>
      <c r="AB223" s="4277">
        <f t="shared" si="398"/>
        <v>7705.8836024439597</v>
      </c>
      <c r="AC223" s="4277">
        <f t="shared" si="398"/>
        <v>4676.2</v>
      </c>
      <c r="AD223" s="4122">
        <f t="shared" ref="AD223:AD254" si="399">SUM(AC223-AB223)</f>
        <v>-3029.6836024439599</v>
      </c>
      <c r="AE223" s="4093"/>
      <c r="AF223" s="4093"/>
      <c r="AG223" s="4093"/>
      <c r="AH223" s="4093"/>
      <c r="AI223" s="4093"/>
      <c r="AJ223" s="4093"/>
      <c r="AK223" s="4093"/>
    </row>
    <row r="224" spans="1:37" ht="18.75">
      <c r="A224" s="4119" t="s">
        <v>121</v>
      </c>
      <c r="B224" s="4276">
        <f>SUM(B35+B60+B94+B118)</f>
        <v>561.39943160940163</v>
      </c>
      <c r="C224" s="4276">
        <f t="shared" si="394"/>
        <v>200.93</v>
      </c>
      <c r="D224" s="4276">
        <f t="shared" si="394"/>
        <v>141.16</v>
      </c>
      <c r="E224" s="4276">
        <f t="shared" si="394"/>
        <v>100.82000000000001</v>
      </c>
      <c r="F224" s="4276">
        <f t="shared" si="394"/>
        <v>442.91</v>
      </c>
      <c r="G224" s="4276">
        <f t="shared" si="394"/>
        <v>561.39943160940163</v>
      </c>
      <c r="H224" s="4276">
        <f t="shared" si="394"/>
        <v>111.99000000000001</v>
      </c>
      <c r="I224" s="4276">
        <f t="shared" si="394"/>
        <v>151.26</v>
      </c>
      <c r="J224" s="4276">
        <f t="shared" si="394"/>
        <v>137.66000000000003</v>
      </c>
      <c r="K224" s="4276">
        <f t="shared" si="394"/>
        <v>400.91</v>
      </c>
      <c r="L224" s="4277">
        <f t="shared" si="394"/>
        <v>1122.7988632188033</v>
      </c>
      <c r="M224" s="4277">
        <f t="shared" si="394"/>
        <v>843.81999999999994</v>
      </c>
      <c r="N224" s="4122">
        <f t="shared" si="395"/>
        <v>-278.97886321880333</v>
      </c>
      <c r="O224" s="4276">
        <f t="shared" si="396"/>
        <v>597.17930989627257</v>
      </c>
      <c r="P224" s="4276">
        <f t="shared" si="396"/>
        <v>139.1</v>
      </c>
      <c r="Q224" s="4276">
        <f>SUM(Q35+Q60+Q94+Q118)</f>
        <v>201.42999999999998</v>
      </c>
      <c r="R224" s="4276">
        <f t="shared" si="396"/>
        <v>194.08999999999997</v>
      </c>
      <c r="S224" s="4276">
        <f t="shared" si="396"/>
        <v>534.62</v>
      </c>
      <c r="T224" s="4277">
        <f t="shared" si="396"/>
        <v>1719.9781731150756</v>
      </c>
      <c r="U224" s="4277">
        <f t="shared" si="396"/>
        <v>1378.44</v>
      </c>
      <c r="V224" s="4122">
        <f t="shared" si="397"/>
        <v>-341.53817311507555</v>
      </c>
      <c r="W224" s="4276">
        <f t="shared" si="398"/>
        <v>597.17930989627257</v>
      </c>
      <c r="X224" s="4276">
        <f t="shared" si="398"/>
        <v>0</v>
      </c>
      <c r="Y224" s="4276">
        <f t="shared" si="398"/>
        <v>0</v>
      </c>
      <c r="Z224" s="4276">
        <f t="shared" si="398"/>
        <v>0</v>
      </c>
      <c r="AA224" s="4276">
        <f t="shared" si="398"/>
        <v>0</v>
      </c>
      <c r="AB224" s="4277">
        <f t="shared" si="398"/>
        <v>2317.1574830113486</v>
      </c>
      <c r="AC224" s="4277">
        <f t="shared" si="398"/>
        <v>1378.44</v>
      </c>
      <c r="AD224" s="4122">
        <f t="shared" si="399"/>
        <v>-938.71748301134858</v>
      </c>
      <c r="AE224" s="4093"/>
      <c r="AF224" s="4093"/>
      <c r="AG224" s="4093"/>
      <c r="AH224" s="4093"/>
      <c r="AI224" s="4093"/>
      <c r="AJ224" s="4093"/>
      <c r="AK224" s="4093"/>
    </row>
    <row r="225" spans="1:37" ht="18.75">
      <c r="A225" s="4119" t="s">
        <v>1556</v>
      </c>
      <c r="B225" s="4276">
        <f>SUM(B36)</f>
        <v>124.59694464992177</v>
      </c>
      <c r="C225" s="4276">
        <f t="shared" ref="C225:M225" si="400">SUM(C36)</f>
        <v>88</v>
      </c>
      <c r="D225" s="4276">
        <f t="shared" si="400"/>
        <v>88</v>
      </c>
      <c r="E225" s="4276">
        <f t="shared" si="400"/>
        <v>88</v>
      </c>
      <c r="F225" s="4276">
        <f t="shared" si="400"/>
        <v>264</v>
      </c>
      <c r="G225" s="4276">
        <f t="shared" si="400"/>
        <v>124.59694464992177</v>
      </c>
      <c r="H225" s="4276">
        <f t="shared" si="400"/>
        <v>88</v>
      </c>
      <c r="I225" s="4276">
        <f t="shared" si="400"/>
        <v>88</v>
      </c>
      <c r="J225" s="4276">
        <f t="shared" si="400"/>
        <v>88</v>
      </c>
      <c r="K225" s="4276">
        <f t="shared" si="400"/>
        <v>264</v>
      </c>
      <c r="L225" s="4277">
        <f t="shared" si="400"/>
        <v>249.19388929984353</v>
      </c>
      <c r="M225" s="4277">
        <f t="shared" si="400"/>
        <v>528</v>
      </c>
      <c r="N225" s="4122">
        <f t="shared" si="395"/>
        <v>278.80611070015647</v>
      </c>
      <c r="O225" s="4276">
        <f t="shared" ref="O225:U225" si="401">SUM(O36)</f>
        <v>124.59694464992177</v>
      </c>
      <c r="P225" s="4276">
        <f t="shared" si="401"/>
        <v>88</v>
      </c>
      <c r="Q225" s="4276">
        <f t="shared" si="401"/>
        <v>89.52</v>
      </c>
      <c r="R225" s="4276">
        <f t="shared" si="401"/>
        <v>81</v>
      </c>
      <c r="S225" s="4276">
        <f t="shared" si="401"/>
        <v>258.52</v>
      </c>
      <c r="T225" s="4277">
        <f t="shared" si="401"/>
        <v>373.79083394976533</v>
      </c>
      <c r="U225" s="4277">
        <f t="shared" si="401"/>
        <v>786.52</v>
      </c>
      <c r="V225" s="4122">
        <f t="shared" si="397"/>
        <v>412.72916605023465</v>
      </c>
      <c r="W225" s="4276">
        <f t="shared" ref="W225:AC225" si="402">SUM(W36)</f>
        <v>124.59694464992177</v>
      </c>
      <c r="X225" s="4276">
        <f t="shared" si="402"/>
        <v>0</v>
      </c>
      <c r="Y225" s="4276">
        <f t="shared" si="402"/>
        <v>0</v>
      </c>
      <c r="Z225" s="4276">
        <f t="shared" si="402"/>
        <v>0</v>
      </c>
      <c r="AA225" s="4276">
        <f t="shared" si="402"/>
        <v>0</v>
      </c>
      <c r="AB225" s="4277">
        <f t="shared" si="402"/>
        <v>498.38777859968707</v>
      </c>
      <c r="AC225" s="4277">
        <f t="shared" si="402"/>
        <v>786.52</v>
      </c>
      <c r="AD225" s="4122">
        <f t="shared" si="399"/>
        <v>288.13222140031291</v>
      </c>
      <c r="AE225" s="4093"/>
      <c r="AF225" s="4093"/>
      <c r="AG225" s="4093"/>
      <c r="AH225" s="4093"/>
      <c r="AI225" s="4093"/>
      <c r="AJ225" s="4093"/>
      <c r="AK225" s="4093"/>
    </row>
    <row r="226" spans="1:37" ht="18.75">
      <c r="A226" s="4119" t="s">
        <v>52</v>
      </c>
      <c r="B226" s="4276">
        <f>SUM(B37+B61+B95+B119)</f>
        <v>34.57797329974359</v>
      </c>
      <c r="C226" s="4276">
        <f t="shared" ref="C226:M226" si="403">SUM(C37+C61+C95+C119)</f>
        <v>12.739999999999998</v>
      </c>
      <c r="D226" s="4276">
        <f t="shared" si="403"/>
        <v>9.17</v>
      </c>
      <c r="E226" s="4276">
        <f t="shared" si="403"/>
        <v>10.120000000000001</v>
      </c>
      <c r="F226" s="4276">
        <f t="shared" si="403"/>
        <v>32.03</v>
      </c>
      <c r="G226" s="4276">
        <f t="shared" si="403"/>
        <v>34.57797329974359</v>
      </c>
      <c r="H226" s="4276">
        <f t="shared" si="403"/>
        <v>10.290000000000001</v>
      </c>
      <c r="I226" s="4276">
        <f t="shared" si="403"/>
        <v>6.8999999999999995</v>
      </c>
      <c r="J226" s="4276">
        <f t="shared" si="403"/>
        <v>13.24</v>
      </c>
      <c r="K226" s="4276">
        <f t="shared" si="403"/>
        <v>30.43</v>
      </c>
      <c r="L226" s="4277">
        <f t="shared" si="403"/>
        <v>69.15594659948718</v>
      </c>
      <c r="M226" s="4277">
        <f t="shared" si="403"/>
        <v>62.46</v>
      </c>
      <c r="N226" s="4122">
        <f t="shared" si="395"/>
        <v>-6.6959465994871792</v>
      </c>
      <c r="O226" s="4276">
        <f t="shared" ref="O226:U226" si="404">SUM(O37+O61+O95+O119)</f>
        <v>34.57797329974359</v>
      </c>
      <c r="P226" s="4276">
        <f t="shared" si="404"/>
        <v>6.81</v>
      </c>
      <c r="Q226" s="4276">
        <f t="shared" si="404"/>
        <v>13.499999999999998</v>
      </c>
      <c r="R226" s="4276">
        <f t="shared" si="404"/>
        <v>10.18</v>
      </c>
      <c r="S226" s="4276">
        <f t="shared" si="404"/>
        <v>30.490000000000002</v>
      </c>
      <c r="T226" s="4277">
        <f t="shared" si="404"/>
        <v>103.73391989923077</v>
      </c>
      <c r="U226" s="4277">
        <f t="shared" si="404"/>
        <v>92.949999999999989</v>
      </c>
      <c r="V226" s="4122">
        <f t="shared" si="397"/>
        <v>-10.783919899230781</v>
      </c>
      <c r="W226" s="4276">
        <f t="shared" ref="W226:AC226" si="405">SUM(W37+W61+W95+W119)</f>
        <v>34.57797329974359</v>
      </c>
      <c r="X226" s="4276">
        <f t="shared" si="405"/>
        <v>0</v>
      </c>
      <c r="Y226" s="4276">
        <f t="shared" si="405"/>
        <v>0</v>
      </c>
      <c r="Z226" s="4276">
        <f t="shared" si="405"/>
        <v>0</v>
      </c>
      <c r="AA226" s="4276">
        <f t="shared" si="405"/>
        <v>0</v>
      </c>
      <c r="AB226" s="4277">
        <f t="shared" si="405"/>
        <v>138.31189319897436</v>
      </c>
      <c r="AC226" s="4277">
        <f t="shared" si="405"/>
        <v>92.949999999999989</v>
      </c>
      <c r="AD226" s="4122">
        <f t="shared" si="399"/>
        <v>-45.361893198974371</v>
      </c>
      <c r="AE226" s="4093"/>
      <c r="AF226" s="4093"/>
      <c r="AG226" s="4093"/>
      <c r="AH226" s="4093"/>
      <c r="AI226" s="4093"/>
      <c r="AJ226" s="4093"/>
      <c r="AK226" s="4093"/>
    </row>
    <row r="227" spans="1:37" ht="18.75">
      <c r="A227" s="4119" t="s">
        <v>1557</v>
      </c>
      <c r="B227" s="4276">
        <f>SUM(B38+B62)</f>
        <v>17.241150125610677</v>
      </c>
      <c r="C227" s="4276">
        <f t="shared" ref="C227:M227" si="406">SUM(C38+C62)</f>
        <v>2.0299999999999998</v>
      </c>
      <c r="D227" s="4276">
        <f t="shared" si="406"/>
        <v>2.0299999999999998</v>
      </c>
      <c r="E227" s="4276">
        <f t="shared" si="406"/>
        <v>2.0299999999999998</v>
      </c>
      <c r="F227" s="4276">
        <f t="shared" si="406"/>
        <v>6.09</v>
      </c>
      <c r="G227" s="4276">
        <f t="shared" si="406"/>
        <v>17.241150125610677</v>
      </c>
      <c r="H227" s="4276">
        <f t="shared" si="406"/>
        <v>2.0299999999999998</v>
      </c>
      <c r="I227" s="4276">
        <f t="shared" si="406"/>
        <v>1.95</v>
      </c>
      <c r="J227" s="4276">
        <f t="shared" si="406"/>
        <v>1.55</v>
      </c>
      <c r="K227" s="4276">
        <f t="shared" si="406"/>
        <v>5.5299999999999994</v>
      </c>
      <c r="L227" s="4277">
        <f t="shared" si="406"/>
        <v>34.482300251221353</v>
      </c>
      <c r="M227" s="4277">
        <f t="shared" si="406"/>
        <v>11.62</v>
      </c>
      <c r="N227" s="4122">
        <f t="shared" si="395"/>
        <v>-22.862300251221356</v>
      </c>
      <c r="O227" s="4276">
        <f t="shared" ref="O227:U227" si="407">SUM(O38+O62)</f>
        <v>17.241150125610677</v>
      </c>
      <c r="P227" s="4276">
        <f t="shared" si="407"/>
        <v>1.55</v>
      </c>
      <c r="Q227" s="4276">
        <f t="shared" si="407"/>
        <v>1.55</v>
      </c>
      <c r="R227" s="4276">
        <f t="shared" si="407"/>
        <v>1.55</v>
      </c>
      <c r="S227" s="4276">
        <f t="shared" si="407"/>
        <v>4.6500000000000004</v>
      </c>
      <c r="T227" s="4277">
        <f t="shared" si="407"/>
        <v>51.723450376832034</v>
      </c>
      <c r="U227" s="4277">
        <f t="shared" si="407"/>
        <v>16.27</v>
      </c>
      <c r="V227" s="4122">
        <f t="shared" si="397"/>
        <v>-35.453450376832038</v>
      </c>
      <c r="W227" s="4276">
        <f t="shared" ref="W227:AC227" si="408">SUM(W38+W62)</f>
        <v>17.241150125610677</v>
      </c>
      <c r="X227" s="4276">
        <f t="shared" si="408"/>
        <v>0</v>
      </c>
      <c r="Y227" s="4276">
        <f t="shared" si="408"/>
        <v>0</v>
      </c>
      <c r="Z227" s="4276">
        <f t="shared" si="408"/>
        <v>0</v>
      </c>
      <c r="AA227" s="4276">
        <f t="shared" si="408"/>
        <v>0</v>
      </c>
      <c r="AB227" s="4277">
        <f t="shared" si="408"/>
        <v>68.964600502442707</v>
      </c>
      <c r="AC227" s="4277">
        <f t="shared" si="408"/>
        <v>16.27</v>
      </c>
      <c r="AD227" s="4122">
        <f t="shared" si="399"/>
        <v>-52.694600502442711</v>
      </c>
      <c r="AE227" s="4093"/>
      <c r="AF227" s="4093"/>
      <c r="AG227" s="4093"/>
      <c r="AH227" s="4093"/>
      <c r="AI227" s="4093"/>
      <c r="AJ227" s="4093"/>
      <c r="AK227" s="4093"/>
    </row>
    <row r="228" spans="1:37" ht="18.75">
      <c r="A228" s="4119" t="s">
        <v>606</v>
      </c>
      <c r="B228" s="4276">
        <f>SUM(B39+B63+B97+B120)</f>
        <v>283.55180920447492</v>
      </c>
      <c r="C228" s="4276">
        <f t="shared" ref="C228:M228" si="409">SUM(C39+C63+C97+C120)</f>
        <v>34.989999999999995</v>
      </c>
      <c r="D228" s="4276">
        <f t="shared" si="409"/>
        <v>47.77</v>
      </c>
      <c r="E228" s="4276">
        <f t="shared" si="409"/>
        <v>61.349999999999994</v>
      </c>
      <c r="F228" s="4276">
        <f t="shared" si="409"/>
        <v>144.10999999999999</v>
      </c>
      <c r="G228" s="4276">
        <f t="shared" si="409"/>
        <v>283.55180920447492</v>
      </c>
      <c r="H228" s="4276">
        <f t="shared" si="409"/>
        <v>35.97</v>
      </c>
      <c r="I228" s="4276">
        <f t="shared" si="409"/>
        <v>143.29000000000002</v>
      </c>
      <c r="J228" s="4276">
        <f t="shared" si="409"/>
        <v>46.410000000000004</v>
      </c>
      <c r="K228" s="4276">
        <f t="shared" si="409"/>
        <v>225.67000000000002</v>
      </c>
      <c r="L228" s="4277">
        <f t="shared" si="409"/>
        <v>567.10361840894984</v>
      </c>
      <c r="M228" s="4277">
        <f t="shared" si="409"/>
        <v>369.78</v>
      </c>
      <c r="N228" s="4122">
        <f t="shared" si="395"/>
        <v>-197.32361840894987</v>
      </c>
      <c r="O228" s="4276">
        <f t="shared" ref="O228:U228" si="410">SUM(O39+O63+O97+O120)</f>
        <v>283.55180920447492</v>
      </c>
      <c r="P228" s="4276">
        <f t="shared" si="410"/>
        <v>48.050000000000004</v>
      </c>
      <c r="Q228" s="4276">
        <f t="shared" si="410"/>
        <v>43.95</v>
      </c>
      <c r="R228" s="4276">
        <f t="shared" si="410"/>
        <v>205.34</v>
      </c>
      <c r="S228" s="4276">
        <f t="shared" si="410"/>
        <v>297.34000000000003</v>
      </c>
      <c r="T228" s="4277">
        <f t="shared" si="410"/>
        <v>850.65542761342465</v>
      </c>
      <c r="U228" s="4277">
        <f t="shared" si="410"/>
        <v>667.12</v>
      </c>
      <c r="V228" s="4122">
        <f t="shared" si="397"/>
        <v>-183.53542761342464</v>
      </c>
      <c r="W228" s="4276">
        <f t="shared" ref="W228:AC228" si="411">SUM(W39+W63+W97+W120)</f>
        <v>283.55180920447492</v>
      </c>
      <c r="X228" s="4276">
        <f t="shared" si="411"/>
        <v>0</v>
      </c>
      <c r="Y228" s="4276">
        <f t="shared" si="411"/>
        <v>0</v>
      </c>
      <c r="Z228" s="4276">
        <f t="shared" si="411"/>
        <v>0</v>
      </c>
      <c r="AA228" s="4276">
        <f t="shared" si="411"/>
        <v>0</v>
      </c>
      <c r="AB228" s="4277">
        <f t="shared" si="411"/>
        <v>1134.2072368178995</v>
      </c>
      <c r="AC228" s="4277">
        <f t="shared" si="411"/>
        <v>667.12</v>
      </c>
      <c r="AD228" s="4122">
        <f t="shared" si="399"/>
        <v>-467.08723681789945</v>
      </c>
      <c r="AE228" s="4093"/>
      <c r="AF228" s="4093"/>
      <c r="AG228" s="4093"/>
      <c r="AH228" s="4093"/>
      <c r="AI228" s="4093"/>
      <c r="AJ228" s="4093"/>
      <c r="AK228" s="4093"/>
    </row>
    <row r="229" spans="1:37" ht="18.75">
      <c r="A229" s="4119" t="s">
        <v>1560</v>
      </c>
      <c r="B229" s="4276">
        <f>SUM(B72)</f>
        <v>33.327786161645449</v>
      </c>
      <c r="C229" s="4276">
        <f t="shared" ref="C229:M229" si="412">SUM(C72)</f>
        <v>0</v>
      </c>
      <c r="D229" s="4276">
        <f t="shared" si="412"/>
        <v>0</v>
      </c>
      <c r="E229" s="4276">
        <f t="shared" si="412"/>
        <v>0</v>
      </c>
      <c r="F229" s="4276">
        <f t="shared" si="412"/>
        <v>0</v>
      </c>
      <c r="G229" s="4276">
        <f t="shared" si="412"/>
        <v>33.327786161645449</v>
      </c>
      <c r="H229" s="4276">
        <f t="shared" si="412"/>
        <v>0</v>
      </c>
      <c r="I229" s="4276">
        <f t="shared" si="412"/>
        <v>0</v>
      </c>
      <c r="J229" s="4276">
        <f t="shared" si="412"/>
        <v>0</v>
      </c>
      <c r="K229" s="4276">
        <f t="shared" si="412"/>
        <v>0</v>
      </c>
      <c r="L229" s="4277">
        <f t="shared" si="412"/>
        <v>66.655572323290897</v>
      </c>
      <c r="M229" s="4277">
        <f t="shared" si="412"/>
        <v>0</v>
      </c>
      <c r="N229" s="4122">
        <f t="shared" si="395"/>
        <v>-66.655572323290897</v>
      </c>
      <c r="O229" s="4276">
        <f t="shared" ref="O229:U229" si="413">SUM(O72)</f>
        <v>33.327786161645449</v>
      </c>
      <c r="P229" s="4276">
        <f t="shared" si="413"/>
        <v>0</v>
      </c>
      <c r="Q229" s="4276">
        <f t="shared" si="413"/>
        <v>0</v>
      </c>
      <c r="R229" s="4276">
        <f t="shared" si="413"/>
        <v>0</v>
      </c>
      <c r="S229" s="4276">
        <f t="shared" si="413"/>
        <v>0</v>
      </c>
      <c r="T229" s="4277">
        <f t="shared" si="413"/>
        <v>99.983358484936346</v>
      </c>
      <c r="U229" s="4277">
        <f t="shared" si="413"/>
        <v>0</v>
      </c>
      <c r="V229" s="4122">
        <f t="shared" si="397"/>
        <v>-99.983358484936346</v>
      </c>
      <c r="W229" s="4276">
        <f t="shared" ref="W229:AC229" si="414">SUM(W72)</f>
        <v>33.327786161645449</v>
      </c>
      <c r="X229" s="4276">
        <f t="shared" si="414"/>
        <v>0</v>
      </c>
      <c r="Y229" s="4276">
        <f t="shared" si="414"/>
        <v>0</v>
      </c>
      <c r="Z229" s="4276">
        <f t="shared" si="414"/>
        <v>0</v>
      </c>
      <c r="AA229" s="4276">
        <f t="shared" si="414"/>
        <v>0</v>
      </c>
      <c r="AB229" s="4277">
        <f t="shared" si="414"/>
        <v>133.31114464658179</v>
      </c>
      <c r="AC229" s="4277">
        <f t="shared" si="414"/>
        <v>0</v>
      </c>
      <c r="AD229" s="4122">
        <f t="shared" si="399"/>
        <v>-133.31114464658179</v>
      </c>
      <c r="AE229" s="4093"/>
      <c r="AF229" s="4093"/>
      <c r="AG229" s="4093"/>
      <c r="AH229" s="4093"/>
      <c r="AI229" s="4093"/>
      <c r="AJ229" s="4093"/>
      <c r="AK229" s="4093"/>
    </row>
    <row r="230" spans="1:37" ht="18.75">
      <c r="A230" s="4119" t="s">
        <v>98</v>
      </c>
      <c r="B230" s="4276">
        <f>SUM(B40+B66)</f>
        <v>59.905076104291219</v>
      </c>
      <c r="C230" s="4276">
        <f t="shared" ref="C230:M230" si="415">SUM(C40+C66)</f>
        <v>0</v>
      </c>
      <c r="D230" s="4276">
        <f t="shared" si="415"/>
        <v>0</v>
      </c>
      <c r="E230" s="4276">
        <f t="shared" si="415"/>
        <v>14.16</v>
      </c>
      <c r="F230" s="4276">
        <f t="shared" si="415"/>
        <v>14.16</v>
      </c>
      <c r="G230" s="4276">
        <f t="shared" si="415"/>
        <v>59.905076104291219</v>
      </c>
      <c r="H230" s="4276">
        <f t="shared" si="415"/>
        <v>0</v>
      </c>
      <c r="I230" s="4276">
        <f t="shared" si="415"/>
        <v>0</v>
      </c>
      <c r="J230" s="4276">
        <f t="shared" si="415"/>
        <v>14.16</v>
      </c>
      <c r="K230" s="4276">
        <f t="shared" si="415"/>
        <v>14.16</v>
      </c>
      <c r="L230" s="4277">
        <f t="shared" si="415"/>
        <v>119.81015220858244</v>
      </c>
      <c r="M230" s="4277">
        <f t="shared" si="415"/>
        <v>28.32</v>
      </c>
      <c r="N230" s="4122">
        <f t="shared" si="395"/>
        <v>-91.49015220858243</v>
      </c>
      <c r="O230" s="4276">
        <f t="shared" ref="O230:U230" si="416">SUM(O40+O66)</f>
        <v>59.905076104291219</v>
      </c>
      <c r="P230" s="4276">
        <f t="shared" si="416"/>
        <v>0</v>
      </c>
      <c r="Q230" s="4276">
        <f t="shared" si="416"/>
        <v>0</v>
      </c>
      <c r="R230" s="4276">
        <f t="shared" si="416"/>
        <v>14.17</v>
      </c>
      <c r="S230" s="4276">
        <f t="shared" si="416"/>
        <v>14.17</v>
      </c>
      <c r="T230" s="4277">
        <f t="shared" si="416"/>
        <v>179.71522831287365</v>
      </c>
      <c r="U230" s="4277">
        <f t="shared" si="416"/>
        <v>42.489999999999995</v>
      </c>
      <c r="V230" s="4122">
        <f t="shared" si="397"/>
        <v>-137.22522831287364</v>
      </c>
      <c r="W230" s="4276">
        <f t="shared" ref="W230:AC230" si="417">SUM(W40+W66)</f>
        <v>59.905076104291219</v>
      </c>
      <c r="X230" s="4276">
        <f t="shared" si="417"/>
        <v>0</v>
      </c>
      <c r="Y230" s="4276">
        <f t="shared" si="417"/>
        <v>0</v>
      </c>
      <c r="Z230" s="4276">
        <f t="shared" si="417"/>
        <v>0</v>
      </c>
      <c r="AA230" s="4276">
        <f t="shared" si="417"/>
        <v>0</v>
      </c>
      <c r="AB230" s="4277">
        <f t="shared" si="417"/>
        <v>239.6203044171649</v>
      </c>
      <c r="AC230" s="4277">
        <f t="shared" si="417"/>
        <v>42.489999999999995</v>
      </c>
      <c r="AD230" s="4122">
        <f t="shared" si="399"/>
        <v>-197.13030441716489</v>
      </c>
      <c r="AE230" s="4093"/>
      <c r="AF230" s="4093"/>
      <c r="AG230" s="4093"/>
      <c r="AH230" s="4093"/>
      <c r="AI230" s="4093"/>
      <c r="AJ230" s="4093"/>
      <c r="AK230" s="4093"/>
    </row>
    <row r="231" spans="1:37" ht="18.75">
      <c r="A231" s="4119" t="s">
        <v>608</v>
      </c>
      <c r="B231" s="4276">
        <f>SUM(B65)</f>
        <v>22.912852986131249</v>
      </c>
      <c r="C231" s="4276">
        <f t="shared" ref="C231:M231" si="418">SUM(C65)</f>
        <v>6.93</v>
      </c>
      <c r="D231" s="4276">
        <f t="shared" si="418"/>
        <v>6.93</v>
      </c>
      <c r="E231" s="4276">
        <f t="shared" si="418"/>
        <v>6.93</v>
      </c>
      <c r="F231" s="4276">
        <f t="shared" si="418"/>
        <v>20.79</v>
      </c>
      <c r="G231" s="4276">
        <f t="shared" si="418"/>
        <v>22.912852986131249</v>
      </c>
      <c r="H231" s="4276">
        <f t="shared" si="418"/>
        <v>6.93</v>
      </c>
      <c r="I231" s="4276">
        <f t="shared" si="418"/>
        <v>6.93</v>
      </c>
      <c r="J231" s="4276">
        <f t="shared" si="418"/>
        <v>6.93</v>
      </c>
      <c r="K231" s="4276">
        <f t="shared" si="418"/>
        <v>20.79</v>
      </c>
      <c r="L231" s="4277">
        <f t="shared" si="418"/>
        <v>45.825705972262497</v>
      </c>
      <c r="M231" s="4277">
        <f t="shared" si="418"/>
        <v>41.58</v>
      </c>
      <c r="N231" s="4122">
        <f t="shared" si="395"/>
        <v>-4.245705972262499</v>
      </c>
      <c r="O231" s="4276">
        <f t="shared" ref="O231:U231" si="419">SUM(O65)</f>
        <v>22.912852986131249</v>
      </c>
      <c r="P231" s="4276">
        <f t="shared" si="419"/>
        <v>6.93</v>
      </c>
      <c r="Q231" s="4276">
        <f t="shared" si="419"/>
        <v>6.93</v>
      </c>
      <c r="R231" s="4276">
        <f t="shared" si="419"/>
        <v>6.93</v>
      </c>
      <c r="S231" s="4276">
        <f t="shared" si="419"/>
        <v>20.79</v>
      </c>
      <c r="T231" s="4277">
        <f t="shared" si="419"/>
        <v>68.738558958393753</v>
      </c>
      <c r="U231" s="4277">
        <f t="shared" si="419"/>
        <v>62.37</v>
      </c>
      <c r="V231" s="4122">
        <f t="shared" si="397"/>
        <v>-6.3685589583937556</v>
      </c>
      <c r="W231" s="4276">
        <f t="shared" ref="W231:AC231" si="420">SUM(W65)</f>
        <v>22.912852986131249</v>
      </c>
      <c r="X231" s="4276">
        <f t="shared" si="420"/>
        <v>0</v>
      </c>
      <c r="Y231" s="4276">
        <f t="shared" si="420"/>
        <v>0</v>
      </c>
      <c r="Z231" s="4276">
        <f t="shared" si="420"/>
        <v>0</v>
      </c>
      <c r="AA231" s="4276">
        <f t="shared" si="420"/>
        <v>0</v>
      </c>
      <c r="AB231" s="4277">
        <f t="shared" si="420"/>
        <v>91.651411944524995</v>
      </c>
      <c r="AC231" s="4277">
        <f t="shared" si="420"/>
        <v>62.37</v>
      </c>
      <c r="AD231" s="4122">
        <f t="shared" si="399"/>
        <v>-29.281411944524997</v>
      </c>
      <c r="AE231" s="4093"/>
      <c r="AF231" s="4093"/>
      <c r="AG231" s="4093"/>
      <c r="AH231" s="4093"/>
      <c r="AI231" s="4093"/>
      <c r="AJ231" s="4093"/>
      <c r="AK231" s="4093"/>
    </row>
    <row r="232" spans="1:37" ht="18.75">
      <c r="A232" s="4119" t="s">
        <v>1558</v>
      </c>
      <c r="B232" s="4276">
        <f>SUM(B64)</f>
        <v>6.2489599053085216</v>
      </c>
      <c r="C232" s="4276">
        <f t="shared" ref="C232:M232" si="421">SUM(C64)</f>
        <v>0</v>
      </c>
      <c r="D232" s="4276">
        <f t="shared" si="421"/>
        <v>0</v>
      </c>
      <c r="E232" s="4276">
        <f t="shared" si="421"/>
        <v>0</v>
      </c>
      <c r="F232" s="4276">
        <f t="shared" si="421"/>
        <v>0</v>
      </c>
      <c r="G232" s="4276">
        <f t="shared" si="421"/>
        <v>6.2489599053085216</v>
      </c>
      <c r="H232" s="4276">
        <f t="shared" si="421"/>
        <v>0</v>
      </c>
      <c r="I232" s="4276">
        <f t="shared" si="421"/>
        <v>0</v>
      </c>
      <c r="J232" s="4276">
        <f t="shared" si="421"/>
        <v>0</v>
      </c>
      <c r="K232" s="4276">
        <f t="shared" si="421"/>
        <v>0</v>
      </c>
      <c r="L232" s="4277">
        <f t="shared" si="421"/>
        <v>12.497919810617043</v>
      </c>
      <c r="M232" s="4277">
        <f t="shared" si="421"/>
        <v>0</v>
      </c>
      <c r="N232" s="4122">
        <f t="shared" si="395"/>
        <v>-12.497919810617043</v>
      </c>
      <c r="O232" s="4276">
        <f t="shared" ref="O232:U232" si="422">SUM(O64)</f>
        <v>6.2489599053085216</v>
      </c>
      <c r="P232" s="4276">
        <f t="shared" si="422"/>
        <v>0</v>
      </c>
      <c r="Q232" s="4276">
        <f t="shared" si="422"/>
        <v>0</v>
      </c>
      <c r="R232" s="4276">
        <f t="shared" si="422"/>
        <v>0</v>
      </c>
      <c r="S232" s="4276">
        <f t="shared" si="422"/>
        <v>0</v>
      </c>
      <c r="T232" s="4277">
        <f t="shared" si="422"/>
        <v>18.746879715925566</v>
      </c>
      <c r="U232" s="4277">
        <f t="shared" si="422"/>
        <v>0</v>
      </c>
      <c r="V232" s="4122">
        <f t="shared" si="397"/>
        <v>-18.746879715925566</v>
      </c>
      <c r="W232" s="4276">
        <f t="shared" ref="W232:AC232" si="423">SUM(W64)</f>
        <v>6.2489599053085216</v>
      </c>
      <c r="X232" s="4276">
        <f t="shared" si="423"/>
        <v>0</v>
      </c>
      <c r="Y232" s="4276">
        <f t="shared" si="423"/>
        <v>0</v>
      </c>
      <c r="Z232" s="4276">
        <f t="shared" si="423"/>
        <v>0</v>
      </c>
      <c r="AA232" s="4276">
        <f t="shared" si="423"/>
        <v>0</v>
      </c>
      <c r="AB232" s="4277">
        <f t="shared" si="423"/>
        <v>24.995839621234087</v>
      </c>
      <c r="AC232" s="4277">
        <f t="shared" si="423"/>
        <v>0</v>
      </c>
      <c r="AD232" s="4122">
        <f t="shared" si="399"/>
        <v>-24.995839621234087</v>
      </c>
      <c r="AE232" s="4093"/>
      <c r="AF232" s="4093"/>
      <c r="AG232" s="4093"/>
      <c r="AH232" s="4093"/>
      <c r="AI232" s="4093"/>
      <c r="AJ232" s="4093"/>
      <c r="AK232" s="4093"/>
    </row>
    <row r="233" spans="1:37" ht="18.75">
      <c r="A233" s="4119" t="s">
        <v>32</v>
      </c>
      <c r="B233" s="4276">
        <f>SUM(B74+B102+B122)</f>
        <v>8.7019786940994361</v>
      </c>
      <c r="C233" s="4276">
        <f t="shared" ref="C233:M233" si="424">SUM(C74+C102+C122)</f>
        <v>0</v>
      </c>
      <c r="D233" s="4276">
        <f t="shared" si="424"/>
        <v>0</v>
      </c>
      <c r="E233" s="4276">
        <f t="shared" si="424"/>
        <v>39.299999999999997</v>
      </c>
      <c r="F233" s="4276">
        <f t="shared" si="424"/>
        <v>39.299999999999997</v>
      </c>
      <c r="G233" s="4276">
        <f t="shared" si="424"/>
        <v>8.7019786940994361</v>
      </c>
      <c r="H233" s="4276">
        <f t="shared" si="424"/>
        <v>0</v>
      </c>
      <c r="I233" s="4276">
        <f t="shared" si="424"/>
        <v>8</v>
      </c>
      <c r="J233" s="4276">
        <f t="shared" si="424"/>
        <v>12.7</v>
      </c>
      <c r="K233" s="4276">
        <f t="shared" si="424"/>
        <v>20.7</v>
      </c>
      <c r="L233" s="4277">
        <f t="shared" si="424"/>
        <v>17.403957388198872</v>
      </c>
      <c r="M233" s="4277">
        <f t="shared" si="424"/>
        <v>60</v>
      </c>
      <c r="N233" s="4122">
        <f t="shared" si="395"/>
        <v>42.596042611801124</v>
      </c>
      <c r="O233" s="4276">
        <f t="shared" ref="O233:U233" si="425">SUM(O74+O102+O122)</f>
        <v>8.7019786940994361</v>
      </c>
      <c r="P233" s="4276">
        <f t="shared" si="425"/>
        <v>0</v>
      </c>
      <c r="Q233" s="4276">
        <f t="shared" si="425"/>
        <v>0</v>
      </c>
      <c r="R233" s="4276">
        <f t="shared" si="425"/>
        <v>14.4</v>
      </c>
      <c r="S233" s="4276">
        <f t="shared" si="425"/>
        <v>14.4</v>
      </c>
      <c r="T233" s="4277">
        <f t="shared" si="425"/>
        <v>26.105936082298314</v>
      </c>
      <c r="U233" s="4277">
        <f t="shared" si="425"/>
        <v>74.400000000000006</v>
      </c>
      <c r="V233" s="4122">
        <f t="shared" si="397"/>
        <v>48.294063917701692</v>
      </c>
      <c r="W233" s="4276">
        <f t="shared" ref="W233:AC233" si="426">SUM(W74+W102+W122)</f>
        <v>8.7019786940994361</v>
      </c>
      <c r="X233" s="4276">
        <f t="shared" si="426"/>
        <v>0</v>
      </c>
      <c r="Y233" s="4276">
        <f t="shared" si="426"/>
        <v>0</v>
      </c>
      <c r="Z233" s="4276">
        <f t="shared" si="426"/>
        <v>0</v>
      </c>
      <c r="AA233" s="4276">
        <f t="shared" si="426"/>
        <v>0</v>
      </c>
      <c r="AB233" s="4277">
        <f t="shared" si="426"/>
        <v>34.807914776397745</v>
      </c>
      <c r="AC233" s="4277">
        <f t="shared" si="426"/>
        <v>74.400000000000006</v>
      </c>
      <c r="AD233" s="4122">
        <f t="shared" si="399"/>
        <v>39.592085223602261</v>
      </c>
      <c r="AE233" s="4093"/>
      <c r="AF233" s="4093"/>
      <c r="AG233" s="4093"/>
      <c r="AH233" s="4093"/>
      <c r="AI233" s="4093"/>
      <c r="AJ233" s="4093"/>
      <c r="AK233" s="4093"/>
    </row>
    <row r="234" spans="1:37" ht="18.75">
      <c r="A234" s="4119" t="s">
        <v>604</v>
      </c>
      <c r="B234" s="4276">
        <f>SUM(B96)</f>
        <v>511.37207629499153</v>
      </c>
      <c r="C234" s="4276">
        <f t="shared" ref="C234:M234" si="427">SUM(C96)</f>
        <v>135.53</v>
      </c>
      <c r="D234" s="4276">
        <f t="shared" si="427"/>
        <v>175.2</v>
      </c>
      <c r="E234" s="4276">
        <f t="shared" si="427"/>
        <v>145.05000000000001</v>
      </c>
      <c r="F234" s="4276">
        <f t="shared" si="427"/>
        <v>455.78000000000003</v>
      </c>
      <c r="G234" s="4276">
        <f t="shared" si="427"/>
        <v>511.37207629499153</v>
      </c>
      <c r="H234" s="4276">
        <f t="shared" si="427"/>
        <v>163.84</v>
      </c>
      <c r="I234" s="4276">
        <f t="shared" si="427"/>
        <v>136.81</v>
      </c>
      <c r="J234" s="4276">
        <f t="shared" si="427"/>
        <v>131.74</v>
      </c>
      <c r="K234" s="4276">
        <f t="shared" si="427"/>
        <v>432.39</v>
      </c>
      <c r="L234" s="4277">
        <f t="shared" si="427"/>
        <v>1022.7441525899831</v>
      </c>
      <c r="M234" s="4277">
        <f t="shared" si="427"/>
        <v>888.17000000000007</v>
      </c>
      <c r="N234" s="4122">
        <f t="shared" si="395"/>
        <v>-134.57415258998299</v>
      </c>
      <c r="O234" s="4276">
        <f t="shared" ref="O234:U234" si="428">SUM(O96)</f>
        <v>511.37207629499153</v>
      </c>
      <c r="P234" s="4276">
        <f t="shared" si="428"/>
        <v>124.55</v>
      </c>
      <c r="Q234" s="4276">
        <f t="shared" si="428"/>
        <v>151.10000000000002</v>
      </c>
      <c r="R234" s="4276">
        <f t="shared" si="428"/>
        <v>131.97</v>
      </c>
      <c r="S234" s="4276">
        <f t="shared" si="428"/>
        <v>407.62</v>
      </c>
      <c r="T234" s="4277">
        <f t="shared" si="428"/>
        <v>1534.1162288849746</v>
      </c>
      <c r="U234" s="4277">
        <f t="shared" si="428"/>
        <v>1295.79</v>
      </c>
      <c r="V234" s="4122">
        <f t="shared" si="397"/>
        <v>-238.32622888497463</v>
      </c>
      <c r="W234" s="4276">
        <f t="shared" ref="W234:AC234" si="429">SUM(W96)</f>
        <v>511.37207629499153</v>
      </c>
      <c r="X234" s="4276">
        <f t="shared" si="429"/>
        <v>0</v>
      </c>
      <c r="Y234" s="4276">
        <f t="shared" si="429"/>
        <v>0</v>
      </c>
      <c r="Z234" s="4276">
        <f t="shared" si="429"/>
        <v>0</v>
      </c>
      <c r="AA234" s="4276">
        <f t="shared" si="429"/>
        <v>0</v>
      </c>
      <c r="AB234" s="4277">
        <f t="shared" si="429"/>
        <v>2045.4883051799661</v>
      </c>
      <c r="AC234" s="4277">
        <f t="shared" si="429"/>
        <v>1295.79</v>
      </c>
      <c r="AD234" s="4122">
        <f t="shared" si="399"/>
        <v>-749.69830517996616</v>
      </c>
      <c r="AE234" s="4093"/>
      <c r="AF234" s="4093"/>
      <c r="AG234" s="4093"/>
      <c r="AH234" s="4093"/>
      <c r="AI234" s="4093"/>
      <c r="AJ234" s="4093"/>
      <c r="AK234" s="4093"/>
    </row>
    <row r="235" spans="1:37" ht="18.75">
      <c r="A235" s="4119" t="s">
        <v>1889</v>
      </c>
      <c r="B235" s="4276">
        <f>SUM(B98)</f>
        <v>18.690330143812403</v>
      </c>
      <c r="C235" s="4276">
        <f t="shared" ref="C235:M236" si="430">SUM(C98)</f>
        <v>10.34</v>
      </c>
      <c r="D235" s="4276">
        <f t="shared" si="430"/>
        <v>10.34</v>
      </c>
      <c r="E235" s="4276">
        <f t="shared" si="430"/>
        <v>10.31</v>
      </c>
      <c r="F235" s="4276">
        <f t="shared" si="430"/>
        <v>30.990000000000002</v>
      </c>
      <c r="G235" s="4276">
        <f t="shared" si="430"/>
        <v>18.690330143812403</v>
      </c>
      <c r="H235" s="4276">
        <f t="shared" si="430"/>
        <v>10.3</v>
      </c>
      <c r="I235" s="4276">
        <f t="shared" si="430"/>
        <v>10.3</v>
      </c>
      <c r="J235" s="4276">
        <f t="shared" si="430"/>
        <v>10.3</v>
      </c>
      <c r="K235" s="4276">
        <f t="shared" si="430"/>
        <v>30.900000000000002</v>
      </c>
      <c r="L235" s="4277">
        <f t="shared" si="430"/>
        <v>37.380660287624806</v>
      </c>
      <c r="M235" s="4277">
        <f t="shared" si="430"/>
        <v>61.89</v>
      </c>
      <c r="N235" s="4122">
        <f t="shared" si="395"/>
        <v>24.509339712375194</v>
      </c>
      <c r="O235" s="4276">
        <f t="shared" ref="O235:U236" si="431">SUM(O98)</f>
        <v>18.690330143812403</v>
      </c>
      <c r="P235" s="4276">
        <f t="shared" si="431"/>
        <v>10.3</v>
      </c>
      <c r="Q235" s="4276">
        <f t="shared" si="431"/>
        <v>10.3</v>
      </c>
      <c r="R235" s="4276">
        <f t="shared" si="431"/>
        <v>10.3</v>
      </c>
      <c r="S235" s="4276">
        <f t="shared" si="431"/>
        <v>30.900000000000002</v>
      </c>
      <c r="T235" s="4277">
        <f t="shared" si="431"/>
        <v>56.07099043143721</v>
      </c>
      <c r="U235" s="4277">
        <f t="shared" si="431"/>
        <v>92.79</v>
      </c>
      <c r="V235" s="4122">
        <f t="shared" si="397"/>
        <v>36.719009568562797</v>
      </c>
      <c r="W235" s="4276">
        <f t="shared" ref="W235:AC236" si="432">SUM(W98)</f>
        <v>18.690330143812403</v>
      </c>
      <c r="X235" s="4276">
        <f t="shared" si="432"/>
        <v>0</v>
      </c>
      <c r="Y235" s="4276">
        <f t="shared" si="432"/>
        <v>0</v>
      </c>
      <c r="Z235" s="4276">
        <f t="shared" si="432"/>
        <v>0</v>
      </c>
      <c r="AA235" s="4276">
        <f t="shared" si="432"/>
        <v>0</v>
      </c>
      <c r="AB235" s="4277">
        <f t="shared" si="432"/>
        <v>74.761320575249613</v>
      </c>
      <c r="AC235" s="4277">
        <f t="shared" si="432"/>
        <v>92.79</v>
      </c>
      <c r="AD235" s="4122">
        <f t="shared" si="399"/>
        <v>18.028679424750393</v>
      </c>
      <c r="AE235" s="4093"/>
      <c r="AF235" s="4093"/>
      <c r="AG235" s="4093"/>
      <c r="AH235" s="4093"/>
      <c r="AI235" s="4093"/>
      <c r="AJ235" s="4093"/>
      <c r="AK235" s="4093"/>
    </row>
    <row r="236" spans="1:37" ht="18.75">
      <c r="A236" s="4119" t="s">
        <v>615</v>
      </c>
      <c r="B236" s="4276">
        <f>SUM(B99)</f>
        <v>3.3665812060283216</v>
      </c>
      <c r="C236" s="4276">
        <f t="shared" si="430"/>
        <v>0</v>
      </c>
      <c r="D236" s="4276">
        <f t="shared" si="430"/>
        <v>0.64</v>
      </c>
      <c r="E236" s="4276">
        <f t="shared" si="430"/>
        <v>1.26</v>
      </c>
      <c r="F236" s="4276">
        <f t="shared" si="430"/>
        <v>1.9</v>
      </c>
      <c r="G236" s="4276">
        <f t="shared" si="430"/>
        <v>3.3665812060283216</v>
      </c>
      <c r="H236" s="4276">
        <f t="shared" si="430"/>
        <v>0</v>
      </c>
      <c r="I236" s="4276">
        <f t="shared" si="430"/>
        <v>0</v>
      </c>
      <c r="J236" s="4276">
        <f t="shared" si="430"/>
        <v>1.26</v>
      </c>
      <c r="K236" s="4276">
        <f t="shared" si="430"/>
        <v>1.26</v>
      </c>
      <c r="L236" s="4277">
        <f t="shared" si="430"/>
        <v>6.7331624120566431</v>
      </c>
      <c r="M236" s="4277">
        <f t="shared" si="430"/>
        <v>3.16</v>
      </c>
      <c r="N236" s="4122">
        <f t="shared" si="395"/>
        <v>-3.573162412056643</v>
      </c>
      <c r="O236" s="4276">
        <f t="shared" si="431"/>
        <v>3.3665812060283216</v>
      </c>
      <c r="P236" s="4276">
        <f t="shared" si="431"/>
        <v>4.38</v>
      </c>
      <c r="Q236" s="4276">
        <f t="shared" si="431"/>
        <v>2.52</v>
      </c>
      <c r="R236" s="4276">
        <f t="shared" si="431"/>
        <v>3.78</v>
      </c>
      <c r="S236" s="4276">
        <f t="shared" si="431"/>
        <v>10.68</v>
      </c>
      <c r="T236" s="4277">
        <f t="shared" si="431"/>
        <v>10.099743618084965</v>
      </c>
      <c r="U236" s="4277">
        <f t="shared" si="431"/>
        <v>13.84</v>
      </c>
      <c r="V236" s="4122">
        <f t="shared" si="397"/>
        <v>3.7402563819150352</v>
      </c>
      <c r="W236" s="4276">
        <f t="shared" si="432"/>
        <v>3.3665812060283216</v>
      </c>
      <c r="X236" s="4276">
        <f t="shared" si="432"/>
        <v>0</v>
      </c>
      <c r="Y236" s="4276">
        <f t="shared" si="432"/>
        <v>0</v>
      </c>
      <c r="Z236" s="4276">
        <f t="shared" si="432"/>
        <v>0</v>
      </c>
      <c r="AA236" s="4276">
        <f t="shared" si="432"/>
        <v>0</v>
      </c>
      <c r="AB236" s="4277">
        <f t="shared" si="432"/>
        <v>13.466324824113284</v>
      </c>
      <c r="AC236" s="4277">
        <f t="shared" si="432"/>
        <v>13.84</v>
      </c>
      <c r="AD236" s="4122">
        <f t="shared" si="399"/>
        <v>0.37367517588671539</v>
      </c>
      <c r="AE236" s="4093"/>
      <c r="AF236" s="4093"/>
      <c r="AG236" s="4093"/>
      <c r="AH236" s="4093"/>
      <c r="AI236" s="4093"/>
      <c r="AJ236" s="4093"/>
      <c r="AK236" s="4093"/>
    </row>
    <row r="237" spans="1:37" ht="18.75">
      <c r="A237" s="4119" t="s">
        <v>41</v>
      </c>
      <c r="B237" s="4276">
        <f>SUM(B100+B129)</f>
        <v>0</v>
      </c>
      <c r="C237" s="4276">
        <f t="shared" ref="C237:AC237" si="433">SUM(C100+C129)</f>
        <v>0</v>
      </c>
      <c r="D237" s="4276">
        <f t="shared" si="433"/>
        <v>0</v>
      </c>
      <c r="E237" s="4276">
        <f t="shared" si="433"/>
        <v>0</v>
      </c>
      <c r="F237" s="4276">
        <f t="shared" si="433"/>
        <v>0</v>
      </c>
      <c r="G237" s="4276">
        <f t="shared" si="433"/>
        <v>0</v>
      </c>
      <c r="H237" s="4276">
        <f t="shared" si="433"/>
        <v>0</v>
      </c>
      <c r="I237" s="4276">
        <f t="shared" si="433"/>
        <v>0</v>
      </c>
      <c r="J237" s="4276">
        <f t="shared" si="433"/>
        <v>0</v>
      </c>
      <c r="K237" s="4276">
        <f t="shared" si="433"/>
        <v>0</v>
      </c>
      <c r="L237" s="4277">
        <f t="shared" si="433"/>
        <v>0</v>
      </c>
      <c r="M237" s="4277">
        <f t="shared" si="433"/>
        <v>0</v>
      </c>
      <c r="N237" s="4122">
        <f t="shared" si="395"/>
        <v>0</v>
      </c>
      <c r="O237" s="4276">
        <f t="shared" si="433"/>
        <v>0</v>
      </c>
      <c r="P237" s="4276">
        <f t="shared" si="433"/>
        <v>0</v>
      </c>
      <c r="Q237" s="4276">
        <f t="shared" si="433"/>
        <v>0</v>
      </c>
      <c r="R237" s="4276">
        <f t="shared" si="433"/>
        <v>0</v>
      </c>
      <c r="S237" s="4276">
        <f t="shared" si="433"/>
        <v>0</v>
      </c>
      <c r="T237" s="4277">
        <f t="shared" si="433"/>
        <v>0</v>
      </c>
      <c r="U237" s="4277">
        <f t="shared" si="433"/>
        <v>0</v>
      </c>
      <c r="V237" s="4122">
        <f t="shared" si="397"/>
        <v>0</v>
      </c>
      <c r="W237" s="4276">
        <f t="shared" si="433"/>
        <v>0</v>
      </c>
      <c r="X237" s="4276">
        <f t="shared" si="433"/>
        <v>0</v>
      </c>
      <c r="Y237" s="4276">
        <f t="shared" si="433"/>
        <v>0</v>
      </c>
      <c r="Z237" s="4276">
        <f t="shared" si="433"/>
        <v>0</v>
      </c>
      <c r="AA237" s="4276">
        <f t="shared" si="433"/>
        <v>0</v>
      </c>
      <c r="AB237" s="4277">
        <f t="shared" si="433"/>
        <v>0</v>
      </c>
      <c r="AC237" s="4277">
        <f t="shared" si="433"/>
        <v>0</v>
      </c>
      <c r="AD237" s="4122">
        <f t="shared" si="399"/>
        <v>0</v>
      </c>
      <c r="AE237" s="4093"/>
      <c r="AF237" s="4093"/>
      <c r="AG237" s="4093"/>
      <c r="AH237" s="4093"/>
      <c r="AI237" s="4093"/>
      <c r="AJ237" s="4093"/>
      <c r="AK237" s="4093"/>
    </row>
    <row r="238" spans="1:37" ht="18.75">
      <c r="A238" s="4119" t="s">
        <v>38</v>
      </c>
      <c r="B238" s="4276">
        <f>SUM(B41+B73+B101+B121)</f>
        <v>13.539413128168464</v>
      </c>
      <c r="C238" s="4276">
        <f t="shared" ref="C238:M238" si="434">SUM(C41+C73+C101+C121)</f>
        <v>4.4000000000000004</v>
      </c>
      <c r="D238" s="4276">
        <f t="shared" si="434"/>
        <v>10.199999999999999</v>
      </c>
      <c r="E238" s="4276">
        <f t="shared" si="434"/>
        <v>26</v>
      </c>
      <c r="F238" s="4276">
        <f t="shared" si="434"/>
        <v>40.6</v>
      </c>
      <c r="G238" s="4276">
        <f t="shared" si="434"/>
        <v>13.539413128168464</v>
      </c>
      <c r="H238" s="4276">
        <f t="shared" si="434"/>
        <v>0</v>
      </c>
      <c r="I238" s="4276">
        <f t="shared" si="434"/>
        <v>0</v>
      </c>
      <c r="J238" s="4276">
        <f t="shared" si="434"/>
        <v>0</v>
      </c>
      <c r="K238" s="4276">
        <f t="shared" si="434"/>
        <v>0</v>
      </c>
      <c r="L238" s="4277">
        <f t="shared" si="434"/>
        <v>27.078826256336928</v>
      </c>
      <c r="M238" s="4277">
        <f t="shared" si="434"/>
        <v>40.6</v>
      </c>
      <c r="N238" s="4122">
        <f t="shared" si="395"/>
        <v>13.521173743663073</v>
      </c>
      <c r="O238" s="4276">
        <f t="shared" ref="O238:U238" si="435">SUM(O41+O73+O101+O121)</f>
        <v>13.539413128168464</v>
      </c>
      <c r="P238" s="4276">
        <f t="shared" si="435"/>
        <v>18</v>
      </c>
      <c r="Q238" s="4276">
        <f t="shared" si="435"/>
        <v>0</v>
      </c>
      <c r="R238" s="4276">
        <f t="shared" si="435"/>
        <v>0</v>
      </c>
      <c r="S238" s="4276">
        <f t="shared" si="435"/>
        <v>18</v>
      </c>
      <c r="T238" s="4277">
        <f t="shared" si="435"/>
        <v>40.618239384505394</v>
      </c>
      <c r="U238" s="4277">
        <f t="shared" si="435"/>
        <v>58.6</v>
      </c>
      <c r="V238" s="4122">
        <f t="shared" si="397"/>
        <v>17.981760615494608</v>
      </c>
      <c r="W238" s="4276">
        <f t="shared" ref="W238:AC238" si="436">SUM(W41+W73+W101+W121)</f>
        <v>13.539413128168464</v>
      </c>
      <c r="X238" s="4276">
        <f t="shared" si="436"/>
        <v>0</v>
      </c>
      <c r="Y238" s="4276">
        <f t="shared" si="436"/>
        <v>0</v>
      </c>
      <c r="Z238" s="4276">
        <f t="shared" si="436"/>
        <v>0</v>
      </c>
      <c r="AA238" s="4276">
        <f t="shared" si="436"/>
        <v>0</v>
      </c>
      <c r="AB238" s="4277">
        <f t="shared" si="436"/>
        <v>54.157652512673856</v>
      </c>
      <c r="AC238" s="4277">
        <f t="shared" si="436"/>
        <v>58.6</v>
      </c>
      <c r="AD238" s="4122">
        <f t="shared" si="399"/>
        <v>4.4423474873261455</v>
      </c>
      <c r="AE238" s="4093"/>
      <c r="AF238" s="4093"/>
      <c r="AG238" s="4093"/>
      <c r="AH238" s="4093"/>
      <c r="AI238" s="4093"/>
      <c r="AJ238" s="4093"/>
      <c r="AK238" s="4093"/>
    </row>
    <row r="239" spans="1:37" ht="18.75">
      <c r="A239" s="4119" t="s">
        <v>1890</v>
      </c>
      <c r="B239" s="4276">
        <f>SUM(B67)</f>
        <v>14.320533116332033</v>
      </c>
      <c r="C239" s="4276">
        <f t="shared" ref="C239:M243" si="437">SUM(C67)</f>
        <v>6.77</v>
      </c>
      <c r="D239" s="4276">
        <f t="shared" si="437"/>
        <v>0</v>
      </c>
      <c r="E239" s="4276">
        <f t="shared" si="437"/>
        <v>8.69</v>
      </c>
      <c r="F239" s="4276">
        <f t="shared" si="437"/>
        <v>15.459999999999999</v>
      </c>
      <c r="G239" s="4276">
        <f t="shared" si="437"/>
        <v>14.320533116332033</v>
      </c>
      <c r="H239" s="4276">
        <f t="shared" si="437"/>
        <v>8.4600000000000009</v>
      </c>
      <c r="I239" s="4276">
        <f t="shared" si="437"/>
        <v>15.399999999999999</v>
      </c>
      <c r="J239" s="4276">
        <f t="shared" si="437"/>
        <v>1.1000000000000001</v>
      </c>
      <c r="K239" s="4276">
        <f t="shared" si="437"/>
        <v>24.96</v>
      </c>
      <c r="L239" s="4277">
        <f t="shared" si="437"/>
        <v>28.641066232664066</v>
      </c>
      <c r="M239" s="4277">
        <f t="shared" si="437"/>
        <v>40.42</v>
      </c>
      <c r="N239" s="4122">
        <f t="shared" si="395"/>
        <v>11.778933767335936</v>
      </c>
      <c r="O239" s="4276">
        <f t="shared" ref="O239:U243" si="438">SUM(O67)</f>
        <v>14.320533116332033</v>
      </c>
      <c r="P239" s="4276">
        <f t="shared" si="438"/>
        <v>6.77</v>
      </c>
      <c r="Q239" s="4276">
        <f t="shared" si="438"/>
        <v>2.08</v>
      </c>
      <c r="R239" s="4276">
        <f t="shared" si="438"/>
        <v>10.59</v>
      </c>
      <c r="S239" s="4276">
        <f t="shared" si="438"/>
        <v>19.439999999999998</v>
      </c>
      <c r="T239" s="4277">
        <f t="shared" si="438"/>
        <v>42.961599348996103</v>
      </c>
      <c r="U239" s="4277">
        <f t="shared" si="438"/>
        <v>59.86</v>
      </c>
      <c r="V239" s="4122">
        <f t="shared" si="397"/>
        <v>16.898400651003897</v>
      </c>
      <c r="W239" s="4276">
        <f t="shared" ref="W239:AC243" si="439">SUM(W67)</f>
        <v>14.320533116332033</v>
      </c>
      <c r="X239" s="4276">
        <f t="shared" si="439"/>
        <v>0</v>
      </c>
      <c r="Y239" s="4276">
        <f t="shared" si="439"/>
        <v>0</v>
      </c>
      <c r="Z239" s="4276">
        <f t="shared" si="439"/>
        <v>0</v>
      </c>
      <c r="AA239" s="4276">
        <f t="shared" si="439"/>
        <v>0</v>
      </c>
      <c r="AB239" s="4277">
        <f t="shared" si="439"/>
        <v>57.282132465328125</v>
      </c>
      <c r="AC239" s="4277">
        <f t="shared" si="439"/>
        <v>59.86</v>
      </c>
      <c r="AD239" s="4122">
        <f t="shared" si="399"/>
        <v>2.5778675346718742</v>
      </c>
      <c r="AE239" s="4093"/>
      <c r="AF239" s="4093"/>
      <c r="AG239" s="4093"/>
      <c r="AH239" s="4093"/>
      <c r="AI239" s="4093"/>
      <c r="AJ239" s="4093"/>
      <c r="AK239" s="4093"/>
    </row>
    <row r="240" spans="1:37" ht="18.75">
      <c r="A240" s="4119" t="s">
        <v>1891</v>
      </c>
      <c r="B240" s="4276">
        <f>SUM(B68)</f>
        <v>12.237546481229185</v>
      </c>
      <c r="C240" s="4276">
        <f t="shared" si="437"/>
        <v>3.33</v>
      </c>
      <c r="D240" s="4276">
        <f t="shared" si="437"/>
        <v>3.33</v>
      </c>
      <c r="E240" s="4276">
        <f t="shared" si="437"/>
        <v>3.33</v>
      </c>
      <c r="F240" s="4276">
        <f t="shared" si="437"/>
        <v>9.99</v>
      </c>
      <c r="G240" s="4276">
        <f t="shared" si="437"/>
        <v>12.237546481229185</v>
      </c>
      <c r="H240" s="4276">
        <f t="shared" si="437"/>
        <v>3.33</v>
      </c>
      <c r="I240" s="4276">
        <f t="shared" si="437"/>
        <v>3.33</v>
      </c>
      <c r="J240" s="4276">
        <f t="shared" si="437"/>
        <v>3.35</v>
      </c>
      <c r="K240" s="4276">
        <f t="shared" si="437"/>
        <v>10.01</v>
      </c>
      <c r="L240" s="4277">
        <f t="shared" si="437"/>
        <v>24.475092962458369</v>
      </c>
      <c r="M240" s="4277">
        <f t="shared" si="437"/>
        <v>20</v>
      </c>
      <c r="N240" s="4122">
        <f t="shared" si="395"/>
        <v>-4.4750929624583691</v>
      </c>
      <c r="O240" s="4276">
        <f t="shared" si="438"/>
        <v>12.237546481229185</v>
      </c>
      <c r="P240" s="4276">
        <f t="shared" si="438"/>
        <v>3.33</v>
      </c>
      <c r="Q240" s="4276">
        <f t="shared" si="438"/>
        <v>3.33</v>
      </c>
      <c r="R240" s="4276">
        <f t="shared" si="438"/>
        <v>3.34</v>
      </c>
      <c r="S240" s="4276">
        <f t="shared" si="438"/>
        <v>10</v>
      </c>
      <c r="T240" s="4277">
        <f t="shared" si="438"/>
        <v>36.71263944368755</v>
      </c>
      <c r="U240" s="4277">
        <f t="shared" si="438"/>
        <v>30</v>
      </c>
      <c r="V240" s="4122">
        <f t="shared" si="397"/>
        <v>-6.7126394436875501</v>
      </c>
      <c r="W240" s="4276">
        <f t="shared" si="439"/>
        <v>12.237546481229185</v>
      </c>
      <c r="X240" s="4276">
        <f t="shared" si="439"/>
        <v>0</v>
      </c>
      <c r="Y240" s="4276">
        <f t="shared" si="439"/>
        <v>0</v>
      </c>
      <c r="Z240" s="4276">
        <f t="shared" si="439"/>
        <v>0</v>
      </c>
      <c r="AA240" s="4276">
        <f t="shared" si="439"/>
        <v>0</v>
      </c>
      <c r="AB240" s="4277">
        <f t="shared" si="439"/>
        <v>48.950185924916745</v>
      </c>
      <c r="AC240" s="4277">
        <f t="shared" si="439"/>
        <v>30</v>
      </c>
      <c r="AD240" s="4122">
        <f t="shared" si="399"/>
        <v>-18.950185924916745</v>
      </c>
      <c r="AE240" s="4093"/>
      <c r="AF240" s="4093"/>
      <c r="AG240" s="4093"/>
      <c r="AH240" s="4093"/>
      <c r="AI240" s="4093"/>
      <c r="AJ240" s="4093"/>
      <c r="AK240" s="4093"/>
    </row>
    <row r="241" spans="1:37" ht="18.75">
      <c r="A241" s="4119" t="s">
        <v>1892</v>
      </c>
      <c r="B241" s="4276">
        <f>SUM(B69)</f>
        <v>23.954346303682666</v>
      </c>
      <c r="C241" s="4276">
        <f t="shared" si="437"/>
        <v>1.42</v>
      </c>
      <c r="D241" s="4276">
        <f t="shared" si="437"/>
        <v>1.4</v>
      </c>
      <c r="E241" s="4276">
        <f t="shared" si="437"/>
        <v>6.87</v>
      </c>
      <c r="F241" s="4276">
        <f t="shared" si="437"/>
        <v>9.69</v>
      </c>
      <c r="G241" s="4276">
        <f t="shared" si="437"/>
        <v>23.954346303682666</v>
      </c>
      <c r="H241" s="4276">
        <f t="shared" si="437"/>
        <v>8.7899999999999991</v>
      </c>
      <c r="I241" s="4276">
        <f t="shared" si="437"/>
        <v>4.2</v>
      </c>
      <c r="J241" s="4276">
        <f t="shared" si="437"/>
        <v>2.97</v>
      </c>
      <c r="K241" s="4276">
        <f t="shared" si="437"/>
        <v>15.959999999999999</v>
      </c>
      <c r="L241" s="4277">
        <f t="shared" si="437"/>
        <v>47.908692607365332</v>
      </c>
      <c r="M241" s="4277">
        <f t="shared" si="437"/>
        <v>25.65</v>
      </c>
      <c r="N241" s="4122">
        <f t="shared" si="395"/>
        <v>-22.258692607365333</v>
      </c>
      <c r="O241" s="4276">
        <f t="shared" si="438"/>
        <v>23.954346303682666</v>
      </c>
      <c r="P241" s="4276">
        <f t="shared" si="438"/>
        <v>3.79</v>
      </c>
      <c r="Q241" s="4276">
        <f t="shared" si="438"/>
        <v>0.35</v>
      </c>
      <c r="R241" s="4276">
        <f t="shared" si="438"/>
        <v>0.35</v>
      </c>
      <c r="S241" s="4276">
        <f t="shared" si="438"/>
        <v>4.4899999999999993</v>
      </c>
      <c r="T241" s="4277">
        <f t="shared" si="438"/>
        <v>71.863038911047994</v>
      </c>
      <c r="U241" s="4277">
        <f t="shared" si="438"/>
        <v>30.139999999999997</v>
      </c>
      <c r="V241" s="4122">
        <f t="shared" si="397"/>
        <v>-41.723038911047993</v>
      </c>
      <c r="W241" s="4276">
        <f t="shared" si="439"/>
        <v>23.954346303682666</v>
      </c>
      <c r="X241" s="4276">
        <f t="shared" si="439"/>
        <v>0</v>
      </c>
      <c r="Y241" s="4276">
        <f t="shared" si="439"/>
        <v>0</v>
      </c>
      <c r="Z241" s="4276">
        <f t="shared" si="439"/>
        <v>0</v>
      </c>
      <c r="AA241" s="4276">
        <f t="shared" si="439"/>
        <v>0</v>
      </c>
      <c r="AB241" s="4277">
        <f t="shared" si="439"/>
        <v>95.817385214730663</v>
      </c>
      <c r="AC241" s="4277">
        <f t="shared" si="439"/>
        <v>30.139999999999997</v>
      </c>
      <c r="AD241" s="4122">
        <f t="shared" si="399"/>
        <v>-65.677385214730663</v>
      </c>
      <c r="AE241" s="4093"/>
      <c r="AF241" s="4093"/>
      <c r="AG241" s="4093"/>
      <c r="AH241" s="4093"/>
      <c r="AI241" s="4093"/>
      <c r="AJ241" s="4093"/>
      <c r="AK241" s="4093"/>
    </row>
    <row r="242" spans="1:37" ht="18.75">
      <c r="A242" s="4119" t="s">
        <v>637</v>
      </c>
      <c r="B242" s="4276">
        <f>SUM(B70)</f>
        <v>0</v>
      </c>
      <c r="C242" s="4276">
        <f t="shared" si="437"/>
        <v>49.78</v>
      </c>
      <c r="D242" s="4276">
        <f t="shared" si="437"/>
        <v>48.32</v>
      </c>
      <c r="E242" s="4276">
        <f t="shared" si="437"/>
        <v>51.84</v>
      </c>
      <c r="F242" s="4276">
        <f t="shared" si="437"/>
        <v>149.94</v>
      </c>
      <c r="G242" s="4276">
        <f t="shared" si="437"/>
        <v>0</v>
      </c>
      <c r="H242" s="4276">
        <f t="shared" si="437"/>
        <v>47.33</v>
      </c>
      <c r="I242" s="4276">
        <f t="shared" si="437"/>
        <v>49.25</v>
      </c>
      <c r="J242" s="4276">
        <f t="shared" si="437"/>
        <v>46.52</v>
      </c>
      <c r="K242" s="4276">
        <f t="shared" si="437"/>
        <v>143.1</v>
      </c>
      <c r="L242" s="4277">
        <f t="shared" si="437"/>
        <v>0</v>
      </c>
      <c r="M242" s="4277">
        <f t="shared" si="437"/>
        <v>293.03999999999996</v>
      </c>
      <c r="N242" s="4122">
        <f t="shared" si="395"/>
        <v>293.03999999999996</v>
      </c>
      <c r="O242" s="4276">
        <f t="shared" si="438"/>
        <v>0</v>
      </c>
      <c r="P242" s="4276">
        <f t="shared" si="438"/>
        <v>46.24</v>
      </c>
      <c r="Q242" s="4276">
        <f t="shared" si="438"/>
        <v>43.97</v>
      </c>
      <c r="R242" s="4276">
        <f t="shared" si="438"/>
        <v>45.57</v>
      </c>
      <c r="S242" s="4276">
        <f t="shared" si="438"/>
        <v>135.78</v>
      </c>
      <c r="T242" s="4277">
        <f t="shared" si="438"/>
        <v>0</v>
      </c>
      <c r="U242" s="4277">
        <f t="shared" si="438"/>
        <v>428.81999999999994</v>
      </c>
      <c r="V242" s="4122">
        <f t="shared" si="397"/>
        <v>428.81999999999994</v>
      </c>
      <c r="W242" s="4276">
        <f t="shared" si="439"/>
        <v>0</v>
      </c>
      <c r="X242" s="4276">
        <f t="shared" si="439"/>
        <v>0</v>
      </c>
      <c r="Y242" s="4276">
        <f t="shared" si="439"/>
        <v>0</v>
      </c>
      <c r="Z242" s="4276">
        <f t="shared" si="439"/>
        <v>0</v>
      </c>
      <c r="AA242" s="4276">
        <f t="shared" si="439"/>
        <v>0</v>
      </c>
      <c r="AB242" s="4277">
        <f t="shared" si="439"/>
        <v>0</v>
      </c>
      <c r="AC242" s="4277">
        <f t="shared" si="439"/>
        <v>428.81999999999994</v>
      </c>
      <c r="AD242" s="4122">
        <f t="shared" si="399"/>
        <v>428.81999999999994</v>
      </c>
      <c r="AE242" s="4093"/>
      <c r="AF242" s="4093"/>
      <c r="AG242" s="4093"/>
      <c r="AH242" s="4093"/>
      <c r="AI242" s="4093"/>
      <c r="AJ242" s="4093"/>
      <c r="AK242" s="4093"/>
    </row>
    <row r="243" spans="1:37" ht="18.75">
      <c r="A243" s="4119" t="s">
        <v>613</v>
      </c>
      <c r="B243" s="4276">
        <f>SUM(B71)</f>
        <v>0</v>
      </c>
      <c r="C243" s="4276">
        <f t="shared" si="437"/>
        <v>25.3</v>
      </c>
      <c r="D243" s="4276">
        <f t="shared" si="437"/>
        <v>25.69</v>
      </c>
      <c r="E243" s="4276">
        <f t="shared" si="437"/>
        <v>19.88</v>
      </c>
      <c r="F243" s="4276">
        <f t="shared" si="437"/>
        <v>70.87</v>
      </c>
      <c r="G243" s="4276">
        <f t="shared" si="437"/>
        <v>0</v>
      </c>
      <c r="H243" s="4276">
        <f t="shared" si="437"/>
        <v>32.64</v>
      </c>
      <c r="I243" s="4276">
        <f t="shared" si="437"/>
        <v>26.01</v>
      </c>
      <c r="J243" s="4276">
        <f t="shared" si="437"/>
        <v>26.58</v>
      </c>
      <c r="K243" s="4276">
        <f t="shared" si="437"/>
        <v>85.23</v>
      </c>
      <c r="L243" s="4277">
        <f t="shared" si="437"/>
        <v>0</v>
      </c>
      <c r="M243" s="4277">
        <f t="shared" si="437"/>
        <v>156.10000000000002</v>
      </c>
      <c r="N243" s="4122">
        <f t="shared" si="395"/>
        <v>156.10000000000002</v>
      </c>
      <c r="O243" s="4276">
        <f t="shared" si="438"/>
        <v>0</v>
      </c>
      <c r="P243" s="4276">
        <f t="shared" si="438"/>
        <v>26.33</v>
      </c>
      <c r="Q243" s="4276">
        <f t="shared" si="438"/>
        <v>26.4</v>
      </c>
      <c r="R243" s="4276">
        <f t="shared" si="438"/>
        <v>29.73</v>
      </c>
      <c r="S243" s="4276">
        <f t="shared" si="438"/>
        <v>82.46</v>
      </c>
      <c r="T243" s="4277">
        <f t="shared" si="438"/>
        <v>0</v>
      </c>
      <c r="U243" s="4277">
        <f t="shared" si="438"/>
        <v>238.56</v>
      </c>
      <c r="V243" s="4122">
        <f t="shared" si="397"/>
        <v>238.56</v>
      </c>
      <c r="W243" s="4276">
        <f t="shared" si="439"/>
        <v>0</v>
      </c>
      <c r="X243" s="4276">
        <f t="shared" si="439"/>
        <v>0</v>
      </c>
      <c r="Y243" s="4276">
        <f t="shared" si="439"/>
        <v>0</v>
      </c>
      <c r="Z243" s="4276">
        <f t="shared" si="439"/>
        <v>0</v>
      </c>
      <c r="AA243" s="4276">
        <f t="shared" si="439"/>
        <v>0</v>
      </c>
      <c r="AB243" s="4277">
        <f t="shared" si="439"/>
        <v>0</v>
      </c>
      <c r="AC243" s="4277">
        <f t="shared" si="439"/>
        <v>238.56</v>
      </c>
      <c r="AD243" s="4122">
        <f t="shared" si="399"/>
        <v>238.56</v>
      </c>
      <c r="AE243" s="4093"/>
      <c r="AF243" s="4093"/>
      <c r="AG243" s="4093"/>
      <c r="AH243" s="4093"/>
      <c r="AI243" s="4093"/>
      <c r="AJ243" s="4093"/>
      <c r="AK243" s="4093"/>
    </row>
    <row r="244" spans="1:37" ht="18.75">
      <c r="A244" s="4126" t="s">
        <v>607</v>
      </c>
      <c r="B244" s="4274">
        <f>SUM(B245:B248)</f>
        <v>1915.2389584378213</v>
      </c>
      <c r="C244" s="4274">
        <f t="shared" ref="C244:M244" si="440">SUM(C245:C248)</f>
        <v>1091.6500000000001</v>
      </c>
      <c r="D244" s="4274">
        <f t="shared" si="440"/>
        <v>743.05</v>
      </c>
      <c r="E244" s="4274">
        <f t="shared" si="440"/>
        <v>685.19</v>
      </c>
      <c r="F244" s="4274">
        <f t="shared" si="440"/>
        <v>2519.89</v>
      </c>
      <c r="G244" s="4274">
        <f t="shared" si="440"/>
        <v>610.66667625088212</v>
      </c>
      <c r="H244" s="4274">
        <f t="shared" si="440"/>
        <v>735.45</v>
      </c>
      <c r="I244" s="4274">
        <f t="shared" si="440"/>
        <v>529.88</v>
      </c>
      <c r="J244" s="4274">
        <f t="shared" si="440"/>
        <v>19.599999999999998</v>
      </c>
      <c r="K244" s="4274">
        <f t="shared" si="440"/>
        <v>1284.9299999999998</v>
      </c>
      <c r="L244" s="4275">
        <f t="shared" si="440"/>
        <v>2525.9056346887032</v>
      </c>
      <c r="M244" s="4275">
        <f t="shared" si="440"/>
        <v>3804.8199999999997</v>
      </c>
      <c r="N244" s="4122">
        <f t="shared" si="395"/>
        <v>1278.9143653112965</v>
      </c>
      <c r="O244" s="4274">
        <f t="shared" ref="O244:U244" si="441">SUM(O245:O248)</f>
        <v>298.92110418405366</v>
      </c>
      <c r="P244" s="4274">
        <f t="shared" si="441"/>
        <v>99.220000000000013</v>
      </c>
      <c r="Q244" s="4274">
        <f t="shared" si="441"/>
        <v>42.099999999999994</v>
      </c>
      <c r="R244" s="4274">
        <f t="shared" si="441"/>
        <v>109.66</v>
      </c>
      <c r="S244" s="4274">
        <f t="shared" si="441"/>
        <v>250.97999999999996</v>
      </c>
      <c r="T244" s="4275">
        <f t="shared" si="441"/>
        <v>2824.8267388727572</v>
      </c>
      <c r="U244" s="4275">
        <f t="shared" si="441"/>
        <v>4055.8</v>
      </c>
      <c r="V244" s="4122">
        <f t="shared" si="397"/>
        <v>1230.9732611272429</v>
      </c>
      <c r="W244" s="4274">
        <f t="shared" ref="W244:AC244" si="442">SUM(W245:W248)</f>
        <v>1708.5740647295827</v>
      </c>
      <c r="X244" s="4274">
        <f t="shared" si="442"/>
        <v>0</v>
      </c>
      <c r="Y244" s="4274">
        <f t="shared" si="442"/>
        <v>0</v>
      </c>
      <c r="Z244" s="4274">
        <f t="shared" si="442"/>
        <v>0</v>
      </c>
      <c r="AA244" s="4274">
        <f t="shared" si="442"/>
        <v>0</v>
      </c>
      <c r="AB244" s="4275">
        <f t="shared" si="442"/>
        <v>4533.4008036023397</v>
      </c>
      <c r="AC244" s="4275">
        <f t="shared" si="442"/>
        <v>4055.8</v>
      </c>
      <c r="AD244" s="4122">
        <f t="shared" si="399"/>
        <v>-477.60080360233951</v>
      </c>
      <c r="AE244" s="4093"/>
      <c r="AF244" s="4093"/>
      <c r="AG244" s="4093"/>
      <c r="AH244" s="4093"/>
      <c r="AI244" s="4093"/>
      <c r="AJ244" s="4093"/>
      <c r="AK244" s="4093"/>
    </row>
    <row r="245" spans="1:37" ht="18.75">
      <c r="A245" s="4123" t="s">
        <v>563</v>
      </c>
      <c r="B245" s="4276">
        <f>SUM(B76)</f>
        <v>1783.5449556923149</v>
      </c>
      <c r="C245" s="4276">
        <f t="shared" ref="C245:M245" si="443">SUM(C76)</f>
        <v>980.71</v>
      </c>
      <c r="D245" s="4276">
        <f t="shared" si="443"/>
        <v>737.52</v>
      </c>
      <c r="E245" s="4276">
        <f t="shared" si="443"/>
        <v>619.26</v>
      </c>
      <c r="F245" s="4276">
        <f t="shared" si="443"/>
        <v>2337.4899999999998</v>
      </c>
      <c r="G245" s="4276">
        <f t="shared" si="443"/>
        <v>478.9726735053755</v>
      </c>
      <c r="H245" s="4276">
        <f t="shared" si="443"/>
        <v>562.08000000000004</v>
      </c>
      <c r="I245" s="4276">
        <f t="shared" si="443"/>
        <v>493.18</v>
      </c>
      <c r="J245" s="4276">
        <f t="shared" si="443"/>
        <v>0</v>
      </c>
      <c r="K245" s="4276">
        <f t="shared" si="443"/>
        <v>1055.26</v>
      </c>
      <c r="L245" s="4277">
        <f t="shared" si="443"/>
        <v>2262.5176291976904</v>
      </c>
      <c r="M245" s="4277">
        <f t="shared" si="443"/>
        <v>3392.75</v>
      </c>
      <c r="N245" s="4122">
        <f t="shared" si="395"/>
        <v>1130.2323708023096</v>
      </c>
      <c r="O245" s="4276">
        <f t="shared" ref="O245:U245" si="444">SUM(O76)</f>
        <v>167.22710143854709</v>
      </c>
      <c r="P245" s="4276">
        <f t="shared" si="444"/>
        <v>0</v>
      </c>
      <c r="Q245" s="4276">
        <f t="shared" si="444"/>
        <v>0</v>
      </c>
      <c r="R245" s="4276">
        <f t="shared" si="444"/>
        <v>64.239999999999995</v>
      </c>
      <c r="S245" s="4276">
        <f t="shared" si="444"/>
        <v>64.239999999999995</v>
      </c>
      <c r="T245" s="4277">
        <f t="shared" si="444"/>
        <v>2429.7447306362374</v>
      </c>
      <c r="U245" s="4277">
        <f t="shared" si="444"/>
        <v>3456.99</v>
      </c>
      <c r="V245" s="4122">
        <f t="shared" si="397"/>
        <v>1027.2452693637624</v>
      </c>
      <c r="W245" s="4276">
        <f t="shared" ref="W245:AC245" si="445">SUM(W76)</f>
        <v>1576.8800619840763</v>
      </c>
      <c r="X245" s="4276">
        <f t="shared" si="445"/>
        <v>0</v>
      </c>
      <c r="Y245" s="4276">
        <f t="shared" si="445"/>
        <v>0</v>
      </c>
      <c r="Z245" s="4276">
        <f t="shared" si="445"/>
        <v>0</v>
      </c>
      <c r="AA245" s="4276">
        <f t="shared" si="445"/>
        <v>0</v>
      </c>
      <c r="AB245" s="4277">
        <f t="shared" si="445"/>
        <v>4006.6247926203137</v>
      </c>
      <c r="AC245" s="4277">
        <f t="shared" si="445"/>
        <v>3456.99</v>
      </c>
      <c r="AD245" s="4122">
        <f t="shared" si="399"/>
        <v>-549.63479262031387</v>
      </c>
      <c r="AE245" s="4093"/>
      <c r="AF245" s="4093"/>
      <c r="AG245" s="4093"/>
      <c r="AH245" s="4093"/>
      <c r="AI245" s="4093"/>
      <c r="AJ245" s="4093"/>
      <c r="AK245" s="4093"/>
    </row>
    <row r="246" spans="1:37" ht="18.75">
      <c r="A246" s="4123" t="s">
        <v>565</v>
      </c>
      <c r="B246" s="4276">
        <f>SUM(B43+B77+B104+B124)</f>
        <v>117.12877806466176</v>
      </c>
      <c r="C246" s="4276">
        <f t="shared" ref="C246:M246" si="446">SUM(C43+C77+C104+C124)</f>
        <v>108.39999999999999</v>
      </c>
      <c r="D246" s="4276">
        <f t="shared" si="446"/>
        <v>4.8000000000000007</v>
      </c>
      <c r="E246" s="4276">
        <f t="shared" si="446"/>
        <v>63.95</v>
      </c>
      <c r="F246" s="4276">
        <f t="shared" si="446"/>
        <v>177.15</v>
      </c>
      <c r="G246" s="4276">
        <f t="shared" si="446"/>
        <v>117.12877806466176</v>
      </c>
      <c r="H246" s="4276">
        <f t="shared" si="446"/>
        <v>173.36999999999998</v>
      </c>
      <c r="I246" s="4276">
        <f t="shared" si="446"/>
        <v>31.53</v>
      </c>
      <c r="J246" s="4276">
        <f t="shared" si="446"/>
        <v>16.939999999999998</v>
      </c>
      <c r="K246" s="4276">
        <f t="shared" si="446"/>
        <v>221.83999999999997</v>
      </c>
      <c r="L246" s="4277">
        <f t="shared" si="446"/>
        <v>234.25755612932352</v>
      </c>
      <c r="M246" s="4277">
        <f t="shared" si="446"/>
        <v>398.99</v>
      </c>
      <c r="N246" s="4122">
        <f t="shared" si="395"/>
        <v>164.73244387067649</v>
      </c>
      <c r="O246" s="4276">
        <f t="shared" ref="O246:U246" si="447">SUM(O43+O77+O104+O124)</f>
        <v>117.12877806466176</v>
      </c>
      <c r="P246" s="4276">
        <f t="shared" si="447"/>
        <v>96.43</v>
      </c>
      <c r="Q246" s="4276">
        <f t="shared" si="447"/>
        <v>39.44</v>
      </c>
      <c r="R246" s="4276">
        <f t="shared" si="447"/>
        <v>41.36</v>
      </c>
      <c r="S246" s="4276">
        <f t="shared" si="447"/>
        <v>177.23</v>
      </c>
      <c r="T246" s="4277">
        <f t="shared" si="447"/>
        <v>351.38633419398531</v>
      </c>
      <c r="U246" s="4277">
        <f t="shared" si="447"/>
        <v>576.22</v>
      </c>
      <c r="V246" s="4122">
        <f t="shared" si="397"/>
        <v>224.83366580601472</v>
      </c>
      <c r="W246" s="4276">
        <f t="shared" ref="W246:AC246" si="448">SUM(W43+W77+W104+W124)</f>
        <v>117.12877806466176</v>
      </c>
      <c r="X246" s="4276">
        <f t="shared" si="448"/>
        <v>0</v>
      </c>
      <c r="Y246" s="4276">
        <f t="shared" si="448"/>
        <v>0</v>
      </c>
      <c r="Z246" s="4276">
        <f t="shared" si="448"/>
        <v>0</v>
      </c>
      <c r="AA246" s="4276">
        <f t="shared" si="448"/>
        <v>0</v>
      </c>
      <c r="AB246" s="4277">
        <f t="shared" si="448"/>
        <v>468.51511225864698</v>
      </c>
      <c r="AC246" s="4277">
        <f t="shared" si="448"/>
        <v>576.22</v>
      </c>
      <c r="AD246" s="4122">
        <f t="shared" si="399"/>
        <v>107.70488774135305</v>
      </c>
      <c r="AE246" s="4093"/>
      <c r="AF246" s="4093"/>
      <c r="AG246" s="4093"/>
      <c r="AH246" s="4093"/>
      <c r="AI246" s="4093"/>
      <c r="AJ246" s="4093"/>
      <c r="AK246" s="4093"/>
    </row>
    <row r="247" spans="1:37" ht="18.75">
      <c r="A247" s="4123" t="s">
        <v>564</v>
      </c>
      <c r="B247" s="4276">
        <f>SUM(B44+B78)</f>
        <v>5.7282132465328122</v>
      </c>
      <c r="C247" s="4276">
        <f t="shared" ref="C247:M248" si="449">SUM(C44+C78)</f>
        <v>0</v>
      </c>
      <c r="D247" s="4276">
        <f t="shared" si="449"/>
        <v>0</v>
      </c>
      <c r="E247" s="4276">
        <f t="shared" si="449"/>
        <v>0</v>
      </c>
      <c r="F247" s="4276">
        <f t="shared" si="449"/>
        <v>0</v>
      </c>
      <c r="G247" s="4276">
        <f t="shared" si="449"/>
        <v>5.7282132465328122</v>
      </c>
      <c r="H247" s="4276">
        <f t="shared" si="449"/>
        <v>0</v>
      </c>
      <c r="I247" s="4276">
        <f t="shared" si="449"/>
        <v>0</v>
      </c>
      <c r="J247" s="4276">
        <f t="shared" si="449"/>
        <v>0</v>
      </c>
      <c r="K247" s="4276">
        <f t="shared" si="449"/>
        <v>0</v>
      </c>
      <c r="L247" s="4277">
        <f t="shared" si="449"/>
        <v>11.456426493065624</v>
      </c>
      <c r="M247" s="4277">
        <f t="shared" si="449"/>
        <v>0</v>
      </c>
      <c r="N247" s="4122">
        <f t="shared" si="395"/>
        <v>-11.456426493065624</v>
      </c>
      <c r="O247" s="4276">
        <f t="shared" ref="O247:U248" si="450">SUM(O44+O78)</f>
        <v>5.7282132465328122</v>
      </c>
      <c r="P247" s="4276">
        <f t="shared" si="450"/>
        <v>0</v>
      </c>
      <c r="Q247" s="4276">
        <f t="shared" si="450"/>
        <v>0</v>
      </c>
      <c r="R247" s="4276">
        <f t="shared" si="450"/>
        <v>0</v>
      </c>
      <c r="S247" s="4276">
        <f t="shared" si="450"/>
        <v>0</v>
      </c>
      <c r="T247" s="4277">
        <f t="shared" si="450"/>
        <v>17.184639739598438</v>
      </c>
      <c r="U247" s="4277">
        <f t="shared" si="450"/>
        <v>0</v>
      </c>
      <c r="V247" s="4122">
        <f t="shared" si="397"/>
        <v>-17.184639739598438</v>
      </c>
      <c r="W247" s="4276">
        <f t="shared" ref="W247:AC248" si="451">SUM(W44+W78)</f>
        <v>5.7282132465328122</v>
      </c>
      <c r="X247" s="4276">
        <f t="shared" si="451"/>
        <v>0</v>
      </c>
      <c r="Y247" s="4276">
        <f t="shared" si="451"/>
        <v>0</v>
      </c>
      <c r="Z247" s="4276">
        <f t="shared" si="451"/>
        <v>0</v>
      </c>
      <c r="AA247" s="4276">
        <f t="shared" si="451"/>
        <v>0</v>
      </c>
      <c r="AB247" s="4277">
        <f t="shared" si="451"/>
        <v>22.912852986131249</v>
      </c>
      <c r="AC247" s="4277">
        <f t="shared" si="451"/>
        <v>0</v>
      </c>
      <c r="AD247" s="4122">
        <f t="shared" si="399"/>
        <v>-22.912852986131249</v>
      </c>
      <c r="AE247" s="4093"/>
      <c r="AF247" s="4093"/>
      <c r="AG247" s="4093"/>
      <c r="AH247" s="4093"/>
      <c r="AI247" s="4093"/>
      <c r="AJ247" s="4093"/>
      <c r="AK247" s="4093"/>
    </row>
    <row r="248" spans="1:37" ht="18.75">
      <c r="A248" s="4123" t="s">
        <v>1924</v>
      </c>
      <c r="B248" s="4276">
        <f>SUM(B45+B79)</f>
        <v>8.837011434312025</v>
      </c>
      <c r="C248" s="4276">
        <f t="shared" si="449"/>
        <v>2.54</v>
      </c>
      <c r="D248" s="4276">
        <f t="shared" si="449"/>
        <v>0.73</v>
      </c>
      <c r="E248" s="4276">
        <f t="shared" si="449"/>
        <v>1.98</v>
      </c>
      <c r="F248" s="4276">
        <f t="shared" si="449"/>
        <v>5.2499999999999991</v>
      </c>
      <c r="G248" s="4276">
        <f t="shared" si="449"/>
        <v>8.837011434312025</v>
      </c>
      <c r="H248" s="4276">
        <f t="shared" si="449"/>
        <v>0</v>
      </c>
      <c r="I248" s="4276">
        <f t="shared" si="449"/>
        <v>5.17</v>
      </c>
      <c r="J248" s="4276">
        <f t="shared" si="449"/>
        <v>2.66</v>
      </c>
      <c r="K248" s="4276">
        <f t="shared" si="449"/>
        <v>7.83</v>
      </c>
      <c r="L248" s="4277">
        <f t="shared" si="449"/>
        <v>17.67402286862405</v>
      </c>
      <c r="M248" s="4277">
        <f t="shared" si="449"/>
        <v>13.08</v>
      </c>
      <c r="N248" s="4122">
        <f t="shared" si="395"/>
        <v>-4.5940228686240498</v>
      </c>
      <c r="O248" s="4276">
        <f t="shared" si="450"/>
        <v>8.837011434312025</v>
      </c>
      <c r="P248" s="4276">
        <f t="shared" si="450"/>
        <v>2.79</v>
      </c>
      <c r="Q248" s="4276">
        <f t="shared" si="450"/>
        <v>2.66</v>
      </c>
      <c r="R248" s="4276">
        <f t="shared" si="450"/>
        <v>4.0599999999999996</v>
      </c>
      <c r="S248" s="4276">
        <f t="shared" si="450"/>
        <v>9.51</v>
      </c>
      <c r="T248" s="4277">
        <f t="shared" si="450"/>
        <v>26.511034302936075</v>
      </c>
      <c r="U248" s="4277">
        <f t="shared" si="450"/>
        <v>22.59</v>
      </c>
      <c r="V248" s="4122">
        <f t="shared" si="397"/>
        <v>-3.921034302936075</v>
      </c>
      <c r="W248" s="4276">
        <f t="shared" si="451"/>
        <v>8.837011434312025</v>
      </c>
      <c r="X248" s="4276">
        <f t="shared" si="451"/>
        <v>0</v>
      </c>
      <c r="Y248" s="4276">
        <f t="shared" si="451"/>
        <v>0</v>
      </c>
      <c r="Z248" s="4276">
        <f t="shared" si="451"/>
        <v>0</v>
      </c>
      <c r="AA248" s="4276">
        <f t="shared" si="451"/>
        <v>0</v>
      </c>
      <c r="AB248" s="4277">
        <f t="shared" si="451"/>
        <v>35.3480457372481</v>
      </c>
      <c r="AC248" s="4277">
        <f t="shared" si="451"/>
        <v>22.59</v>
      </c>
      <c r="AD248" s="4122">
        <f t="shared" si="399"/>
        <v>-12.7580457372481</v>
      </c>
      <c r="AE248" s="4093"/>
      <c r="AF248" s="4093"/>
      <c r="AG248" s="4093"/>
      <c r="AH248" s="4093"/>
      <c r="AI248" s="4093"/>
      <c r="AJ248" s="4093"/>
      <c r="AK248" s="4093"/>
    </row>
    <row r="249" spans="1:37" ht="18.75">
      <c r="A249" s="4126" t="s">
        <v>610</v>
      </c>
      <c r="B249" s="4274">
        <f>SUM(B250:B253)</f>
        <v>100.4122239786039</v>
      </c>
      <c r="C249" s="4274">
        <f t="shared" ref="C249:M249" si="452">SUM(C250:C253)</f>
        <v>0</v>
      </c>
      <c r="D249" s="4274">
        <f t="shared" si="452"/>
        <v>47.55</v>
      </c>
      <c r="E249" s="4274">
        <f t="shared" si="452"/>
        <v>26.729999999999997</v>
      </c>
      <c r="F249" s="4274">
        <f t="shared" si="452"/>
        <v>74.28</v>
      </c>
      <c r="G249" s="4274">
        <f t="shared" si="452"/>
        <v>115.15103666369043</v>
      </c>
      <c r="H249" s="4274">
        <f t="shared" si="452"/>
        <v>6.9799999999999995</v>
      </c>
      <c r="I249" s="4274">
        <f t="shared" si="452"/>
        <v>20.509999999999998</v>
      </c>
      <c r="J249" s="4274">
        <f t="shared" si="452"/>
        <v>56.67</v>
      </c>
      <c r="K249" s="4274">
        <f t="shared" si="452"/>
        <v>84.160000000000025</v>
      </c>
      <c r="L249" s="4275">
        <f t="shared" si="452"/>
        <v>215.56326064229432</v>
      </c>
      <c r="M249" s="4275">
        <f t="shared" si="452"/>
        <v>158.44000000000003</v>
      </c>
      <c r="N249" s="4122">
        <f t="shared" si="395"/>
        <v>-57.123260642294298</v>
      </c>
      <c r="O249" s="4274">
        <f t="shared" ref="O249:U249" si="453">SUM(O250:O253)</f>
        <v>125.45200904579485</v>
      </c>
      <c r="P249" s="4274">
        <f t="shared" si="453"/>
        <v>100.42</v>
      </c>
      <c r="Q249" s="4274">
        <f t="shared" si="453"/>
        <v>123.96</v>
      </c>
      <c r="R249" s="4274">
        <f t="shared" si="453"/>
        <v>112.45</v>
      </c>
      <c r="S249" s="4274">
        <f t="shared" si="453"/>
        <v>336.8300000000001</v>
      </c>
      <c r="T249" s="4275">
        <f t="shared" si="453"/>
        <v>341.01526968808918</v>
      </c>
      <c r="U249" s="4275">
        <f t="shared" si="453"/>
        <v>495.27000000000004</v>
      </c>
      <c r="V249" s="4122">
        <f t="shared" si="397"/>
        <v>154.25473031191086</v>
      </c>
      <c r="W249" s="4274">
        <f t="shared" ref="W249:AC249" si="454">SUM(W250:W253)</f>
        <v>100.4122239786039</v>
      </c>
      <c r="X249" s="4274">
        <f t="shared" si="454"/>
        <v>0</v>
      </c>
      <c r="Y249" s="4274">
        <f t="shared" si="454"/>
        <v>0</v>
      </c>
      <c r="Z249" s="4274">
        <f t="shared" si="454"/>
        <v>0</v>
      </c>
      <c r="AA249" s="4274">
        <f t="shared" si="454"/>
        <v>0</v>
      </c>
      <c r="AB249" s="4275">
        <f t="shared" si="454"/>
        <v>441.42749366669307</v>
      </c>
      <c r="AC249" s="4275">
        <f t="shared" si="454"/>
        <v>495.27000000000004</v>
      </c>
      <c r="AD249" s="4122">
        <f t="shared" si="399"/>
        <v>53.842506333306972</v>
      </c>
      <c r="AE249" s="4093"/>
      <c r="AF249" s="4093"/>
      <c r="AG249" s="4093"/>
      <c r="AH249" s="4093"/>
      <c r="AI249" s="4093"/>
      <c r="AJ249" s="4093"/>
      <c r="AK249" s="4093"/>
    </row>
    <row r="250" spans="1:37" ht="18.75">
      <c r="A250" s="4123" t="s">
        <v>552</v>
      </c>
      <c r="B250" s="4276">
        <f>SUM(B47+B81+B106+B126)</f>
        <v>71.037837842625791</v>
      </c>
      <c r="C250" s="4276">
        <f t="shared" ref="C250:M250" si="455">SUM(C47+C81+C106+C126)</f>
        <v>0</v>
      </c>
      <c r="D250" s="4276">
        <f t="shared" si="455"/>
        <v>42.24</v>
      </c>
      <c r="E250" s="4276">
        <f t="shared" si="455"/>
        <v>0</v>
      </c>
      <c r="F250" s="4276">
        <f t="shared" si="455"/>
        <v>42.24</v>
      </c>
      <c r="G250" s="4276">
        <f t="shared" si="455"/>
        <v>85.77665052771232</v>
      </c>
      <c r="H250" s="4276">
        <f t="shared" si="455"/>
        <v>0</v>
      </c>
      <c r="I250" s="4276">
        <f t="shared" si="455"/>
        <v>0</v>
      </c>
      <c r="J250" s="4276">
        <f t="shared" si="455"/>
        <v>0</v>
      </c>
      <c r="K250" s="4276">
        <f t="shared" si="455"/>
        <v>0</v>
      </c>
      <c r="L250" s="4277">
        <f t="shared" si="455"/>
        <v>156.8144883703381</v>
      </c>
      <c r="M250" s="4277">
        <f t="shared" si="455"/>
        <v>42.24</v>
      </c>
      <c r="N250" s="4122">
        <f t="shared" si="395"/>
        <v>-114.57448837033809</v>
      </c>
      <c r="O250" s="4276">
        <f t="shared" ref="O250:U250" si="456">SUM(O47+O81+O106+O126)</f>
        <v>96.077622909816739</v>
      </c>
      <c r="P250" s="4276">
        <f t="shared" si="456"/>
        <v>86.12</v>
      </c>
      <c r="Q250" s="4276">
        <f t="shared" si="456"/>
        <v>108.72999999999999</v>
      </c>
      <c r="R250" s="4276">
        <f t="shared" si="456"/>
        <v>103.12</v>
      </c>
      <c r="S250" s="4276">
        <f t="shared" si="456"/>
        <v>297.97000000000003</v>
      </c>
      <c r="T250" s="4277">
        <f t="shared" si="456"/>
        <v>252.89211128015484</v>
      </c>
      <c r="U250" s="4277">
        <f t="shared" si="456"/>
        <v>340.21000000000004</v>
      </c>
      <c r="V250" s="4122">
        <f t="shared" si="397"/>
        <v>87.3178887198452</v>
      </c>
      <c r="W250" s="4276">
        <f t="shared" ref="W250:AC250" si="457">SUM(W47+W81+W106+W126)</f>
        <v>71.037837842625791</v>
      </c>
      <c r="X250" s="4276">
        <f t="shared" si="457"/>
        <v>0</v>
      </c>
      <c r="Y250" s="4276">
        <f t="shared" si="457"/>
        <v>0</v>
      </c>
      <c r="Z250" s="4276">
        <f t="shared" si="457"/>
        <v>0</v>
      </c>
      <c r="AA250" s="4276">
        <f t="shared" si="457"/>
        <v>0</v>
      </c>
      <c r="AB250" s="4277">
        <f t="shared" si="457"/>
        <v>323.92994912278061</v>
      </c>
      <c r="AC250" s="4277">
        <f t="shared" si="457"/>
        <v>340.21000000000004</v>
      </c>
      <c r="AD250" s="4122">
        <f t="shared" si="399"/>
        <v>16.280050877219423</v>
      </c>
      <c r="AE250" s="4093"/>
      <c r="AF250" s="4093"/>
      <c r="AG250" s="4093"/>
      <c r="AH250" s="4093"/>
      <c r="AI250" s="4093"/>
      <c r="AJ250" s="4093"/>
      <c r="AK250" s="4093"/>
    </row>
    <row r="251" spans="1:37" ht="18.75">
      <c r="A251" s="4123" t="s">
        <v>560</v>
      </c>
      <c r="B251" s="4276">
        <f>SUM(B83+B107)</f>
        <v>13.992112573349175</v>
      </c>
      <c r="C251" s="4276">
        <f t="shared" ref="C251:M251" si="458">SUM(C83+C107)</f>
        <v>0</v>
      </c>
      <c r="D251" s="4276">
        <f t="shared" si="458"/>
        <v>4.55</v>
      </c>
      <c r="E251" s="4276">
        <f t="shared" si="458"/>
        <v>26.729999999999997</v>
      </c>
      <c r="F251" s="4276">
        <f t="shared" si="458"/>
        <v>31.279999999999998</v>
      </c>
      <c r="G251" s="4276">
        <f t="shared" si="458"/>
        <v>13.992112573349175</v>
      </c>
      <c r="H251" s="4276">
        <f t="shared" si="458"/>
        <v>6.22</v>
      </c>
      <c r="I251" s="4276">
        <f t="shared" si="458"/>
        <v>17.939999999999998</v>
      </c>
      <c r="J251" s="4276">
        <f t="shared" si="458"/>
        <v>42.67</v>
      </c>
      <c r="K251" s="4276">
        <f t="shared" si="458"/>
        <v>66.830000000000013</v>
      </c>
      <c r="L251" s="4277">
        <f t="shared" si="458"/>
        <v>27.98422514669835</v>
      </c>
      <c r="M251" s="4277">
        <f t="shared" si="458"/>
        <v>98.110000000000014</v>
      </c>
      <c r="N251" s="4122">
        <f t="shared" si="395"/>
        <v>70.125774853301664</v>
      </c>
      <c r="O251" s="4276">
        <f t="shared" ref="O251:U251" si="459">SUM(O83+O107)</f>
        <v>13.992112573349175</v>
      </c>
      <c r="P251" s="4276">
        <f t="shared" si="459"/>
        <v>7.92</v>
      </c>
      <c r="Q251" s="4276">
        <f t="shared" si="459"/>
        <v>9.8800000000000008</v>
      </c>
      <c r="R251" s="4276">
        <f t="shared" si="459"/>
        <v>8.61</v>
      </c>
      <c r="S251" s="4276">
        <f t="shared" si="459"/>
        <v>26.41</v>
      </c>
      <c r="T251" s="4277">
        <f t="shared" si="459"/>
        <v>41.976337720047525</v>
      </c>
      <c r="U251" s="4277">
        <f t="shared" si="459"/>
        <v>124.52000000000001</v>
      </c>
      <c r="V251" s="4122">
        <f t="shared" si="397"/>
        <v>82.543662279952486</v>
      </c>
      <c r="W251" s="4276">
        <f t="shared" ref="W251:AC251" si="460">SUM(W83+W107)</f>
        <v>13.992112573349175</v>
      </c>
      <c r="X251" s="4276">
        <f t="shared" si="460"/>
        <v>0</v>
      </c>
      <c r="Y251" s="4276">
        <f t="shared" si="460"/>
        <v>0</v>
      </c>
      <c r="Z251" s="4276">
        <f t="shared" si="460"/>
        <v>0</v>
      </c>
      <c r="AA251" s="4276">
        <f t="shared" si="460"/>
        <v>0</v>
      </c>
      <c r="AB251" s="4277">
        <f t="shared" si="460"/>
        <v>55.9684502933967</v>
      </c>
      <c r="AC251" s="4277">
        <f t="shared" si="460"/>
        <v>124.52000000000001</v>
      </c>
      <c r="AD251" s="4122">
        <f t="shared" si="399"/>
        <v>68.551549706603311</v>
      </c>
      <c r="AE251" s="4093"/>
      <c r="AF251" s="4093"/>
      <c r="AG251" s="4093"/>
      <c r="AH251" s="4093"/>
      <c r="AI251" s="4093"/>
      <c r="AJ251" s="4093"/>
      <c r="AK251" s="4093"/>
    </row>
    <row r="252" spans="1:37" ht="18.75">
      <c r="A252" s="4123" t="s">
        <v>644</v>
      </c>
      <c r="B252" s="4276">
        <f>SUM(B48+B82+B127)</f>
        <v>13.559660256913952</v>
      </c>
      <c r="C252" s="4276">
        <f t="shared" ref="C252:M252" si="461">SUM(C48+C82+C127)</f>
        <v>0</v>
      </c>
      <c r="D252" s="4276">
        <f t="shared" si="461"/>
        <v>0.76</v>
      </c>
      <c r="E252" s="4276">
        <f t="shared" si="461"/>
        <v>0</v>
      </c>
      <c r="F252" s="4276">
        <f t="shared" si="461"/>
        <v>0.76</v>
      </c>
      <c r="G252" s="4276">
        <f t="shared" si="461"/>
        <v>13.559660256913952</v>
      </c>
      <c r="H252" s="4276">
        <f t="shared" si="461"/>
        <v>0.76</v>
      </c>
      <c r="I252" s="4276">
        <f t="shared" si="461"/>
        <v>1.67</v>
      </c>
      <c r="J252" s="4276">
        <f t="shared" si="461"/>
        <v>14</v>
      </c>
      <c r="K252" s="4276">
        <f t="shared" si="461"/>
        <v>16.43</v>
      </c>
      <c r="L252" s="4277">
        <f t="shared" si="461"/>
        <v>27.119320513827905</v>
      </c>
      <c r="M252" s="4277">
        <f t="shared" si="461"/>
        <v>17.189999999999998</v>
      </c>
      <c r="N252" s="4122">
        <f t="shared" si="395"/>
        <v>-9.929320513827907</v>
      </c>
      <c r="O252" s="4276">
        <f t="shared" ref="O252:U252" si="462">SUM(O48+O82+O127)</f>
        <v>13.559660256913952</v>
      </c>
      <c r="P252" s="4276">
        <f t="shared" si="462"/>
        <v>6.38</v>
      </c>
      <c r="Q252" s="4276">
        <f t="shared" si="462"/>
        <v>5.2</v>
      </c>
      <c r="R252" s="4276">
        <f t="shared" si="462"/>
        <v>0.52</v>
      </c>
      <c r="S252" s="4276">
        <f t="shared" si="462"/>
        <v>12.1</v>
      </c>
      <c r="T252" s="4277">
        <f t="shared" si="462"/>
        <v>40.678980770741859</v>
      </c>
      <c r="U252" s="4277">
        <f t="shared" si="462"/>
        <v>29.29</v>
      </c>
      <c r="V252" s="4122">
        <f t="shared" si="397"/>
        <v>-11.38898077074186</v>
      </c>
      <c r="W252" s="4276">
        <f t="shared" ref="W252:AC252" si="463">SUM(W48+W82+W127)</f>
        <v>13.559660256913952</v>
      </c>
      <c r="X252" s="4276">
        <f t="shared" si="463"/>
        <v>0</v>
      </c>
      <c r="Y252" s="4276">
        <f t="shared" si="463"/>
        <v>0</v>
      </c>
      <c r="Z252" s="4276">
        <f t="shared" si="463"/>
        <v>0</v>
      </c>
      <c r="AA252" s="4276">
        <f t="shared" si="463"/>
        <v>0</v>
      </c>
      <c r="AB252" s="4277">
        <f t="shared" si="463"/>
        <v>54.23864102765581</v>
      </c>
      <c r="AC252" s="4277">
        <f t="shared" si="463"/>
        <v>29.29</v>
      </c>
      <c r="AD252" s="4122">
        <f t="shared" si="399"/>
        <v>-24.94864102765581</v>
      </c>
      <c r="AE252" s="4093"/>
      <c r="AF252" s="4093"/>
      <c r="AG252" s="4093"/>
      <c r="AH252" s="4093"/>
      <c r="AI252" s="4093"/>
      <c r="AJ252" s="4093"/>
      <c r="AK252" s="4093"/>
    </row>
    <row r="253" spans="1:37" ht="18.75">
      <c r="A253" s="4123" t="s">
        <v>614</v>
      </c>
      <c r="B253" s="4276">
        <f>SUM(B84+B108+B128)</f>
        <v>1.8226133057149858</v>
      </c>
      <c r="C253" s="4276">
        <f t="shared" ref="C253:M253" si="464">SUM(C84+C108+C128)</f>
        <v>0</v>
      </c>
      <c r="D253" s="4276">
        <f t="shared" si="464"/>
        <v>0</v>
      </c>
      <c r="E253" s="4276">
        <f t="shared" si="464"/>
        <v>0</v>
      </c>
      <c r="F253" s="4276">
        <f t="shared" si="464"/>
        <v>0</v>
      </c>
      <c r="G253" s="4276">
        <f t="shared" si="464"/>
        <v>1.8226133057149858</v>
      </c>
      <c r="H253" s="4276">
        <f t="shared" si="464"/>
        <v>0</v>
      </c>
      <c r="I253" s="4276">
        <f t="shared" si="464"/>
        <v>0.9</v>
      </c>
      <c r="J253" s="4276">
        <f t="shared" si="464"/>
        <v>0</v>
      </c>
      <c r="K253" s="4276">
        <f t="shared" si="464"/>
        <v>0.9</v>
      </c>
      <c r="L253" s="4277">
        <f t="shared" si="464"/>
        <v>3.6452266114299716</v>
      </c>
      <c r="M253" s="4277">
        <f t="shared" si="464"/>
        <v>0.9</v>
      </c>
      <c r="N253" s="4122">
        <f t="shared" si="395"/>
        <v>-2.7452266114299717</v>
      </c>
      <c r="O253" s="4276">
        <f t="shared" ref="O253:U253" si="465">SUM(O84+O108+O128)</f>
        <v>1.8226133057149858</v>
      </c>
      <c r="P253" s="4276">
        <f t="shared" si="465"/>
        <v>0</v>
      </c>
      <c r="Q253" s="4276">
        <f t="shared" si="465"/>
        <v>0.15</v>
      </c>
      <c r="R253" s="4276">
        <f t="shared" si="465"/>
        <v>0.2</v>
      </c>
      <c r="S253" s="4276">
        <f t="shared" si="465"/>
        <v>0.35</v>
      </c>
      <c r="T253" s="4277">
        <f t="shared" si="465"/>
        <v>5.467839917144957</v>
      </c>
      <c r="U253" s="4277">
        <f t="shared" si="465"/>
        <v>1.25</v>
      </c>
      <c r="V253" s="4122">
        <f t="shared" si="397"/>
        <v>-4.217839917144957</v>
      </c>
      <c r="W253" s="4276">
        <f t="shared" ref="W253:AC253" si="466">SUM(W84+W108+W128)</f>
        <v>1.8226133057149858</v>
      </c>
      <c r="X253" s="4276">
        <f t="shared" si="466"/>
        <v>0</v>
      </c>
      <c r="Y253" s="4276">
        <f t="shared" si="466"/>
        <v>0</v>
      </c>
      <c r="Z253" s="4276">
        <f t="shared" si="466"/>
        <v>0</v>
      </c>
      <c r="AA253" s="4276">
        <f t="shared" si="466"/>
        <v>0</v>
      </c>
      <c r="AB253" s="4277">
        <f t="shared" si="466"/>
        <v>7.2904532228599432</v>
      </c>
      <c r="AC253" s="4277">
        <f t="shared" si="466"/>
        <v>1.25</v>
      </c>
      <c r="AD253" s="4122">
        <f t="shared" si="399"/>
        <v>-6.0404532228599432</v>
      </c>
      <c r="AE253" s="4093"/>
      <c r="AF253" s="4093"/>
      <c r="AG253" s="4093"/>
      <c r="AH253" s="4093"/>
      <c r="AI253" s="4093"/>
      <c r="AJ253" s="4093"/>
      <c r="AK253" s="4093"/>
    </row>
    <row r="254" spans="1:37" ht="18.75">
      <c r="A254" s="4126" t="s">
        <v>293</v>
      </c>
      <c r="B254" s="4274">
        <f>SUM(B223:B244)+B249</f>
        <v>5632.5718398210274</v>
      </c>
      <c r="C254" s="4274">
        <f t="shared" ref="C254:M254" si="467">SUM(C223:C244)+C249</f>
        <v>2392.38</v>
      </c>
      <c r="D254" s="4274">
        <f t="shared" si="467"/>
        <v>1828.2199999999998</v>
      </c>
      <c r="E254" s="4274">
        <f t="shared" si="467"/>
        <v>1683.0900000000001</v>
      </c>
      <c r="F254" s="4274">
        <f t="shared" si="467"/>
        <v>5903.69</v>
      </c>
      <c r="G254" s="4274">
        <f t="shared" si="467"/>
        <v>4342.7383703191754</v>
      </c>
      <c r="H254" s="4274">
        <f t="shared" si="467"/>
        <v>1656.22</v>
      </c>
      <c r="I254" s="4274">
        <f t="shared" si="467"/>
        <v>1743.91</v>
      </c>
      <c r="J254" s="4274">
        <f t="shared" si="467"/>
        <v>1076.56</v>
      </c>
      <c r="K254" s="4274">
        <f t="shared" si="467"/>
        <v>4476.6900000000005</v>
      </c>
      <c r="L254" s="4275">
        <f t="shared" si="467"/>
        <v>9975.3102101402037</v>
      </c>
      <c r="M254" s="4275">
        <f t="shared" si="467"/>
        <v>10380.379999999999</v>
      </c>
      <c r="N254" s="4122">
        <f t="shared" si="395"/>
        <v>405.06978985979549</v>
      </c>
      <c r="O254" s="4274">
        <f t="shared" ref="O254:U254" si="468">SUM(O223:O244)+O249</f>
        <v>4196.0637141638426</v>
      </c>
      <c r="P254" s="4274">
        <f t="shared" si="468"/>
        <v>1194.3899999999999</v>
      </c>
      <c r="Q254" s="4274">
        <f t="shared" si="468"/>
        <v>1393.3699999999997</v>
      </c>
      <c r="R254" s="4274">
        <f t="shared" si="468"/>
        <v>1628.09</v>
      </c>
      <c r="S254" s="4274">
        <f t="shared" si="468"/>
        <v>4215.8500000000004</v>
      </c>
      <c r="T254" s="4275">
        <f t="shared" si="468"/>
        <v>14171.373924304045</v>
      </c>
      <c r="U254" s="4275">
        <f t="shared" si="468"/>
        <v>14596.23</v>
      </c>
      <c r="V254" s="4122">
        <f t="shared" si="397"/>
        <v>424.85607569595413</v>
      </c>
      <c r="W254" s="4274">
        <f t="shared" ref="W254:AC254" si="469">SUM(W223:W244)+W249</f>
        <v>5580.6768896421809</v>
      </c>
      <c r="X254" s="4274">
        <f t="shared" si="469"/>
        <v>0</v>
      </c>
      <c r="Y254" s="4274">
        <f t="shared" si="469"/>
        <v>0</v>
      </c>
      <c r="Z254" s="4274">
        <f t="shared" si="469"/>
        <v>0</v>
      </c>
      <c r="AA254" s="4274">
        <f t="shared" si="469"/>
        <v>0</v>
      </c>
      <c r="AB254" s="4275">
        <f t="shared" si="469"/>
        <v>19752.050813946225</v>
      </c>
      <c r="AC254" s="4275">
        <f t="shared" si="469"/>
        <v>14596.23</v>
      </c>
      <c r="AD254" s="4122">
        <f t="shared" si="399"/>
        <v>-5155.8208139462258</v>
      </c>
      <c r="AE254" s="4093"/>
      <c r="AF254" s="4093"/>
      <c r="AG254" s="4093"/>
      <c r="AH254" s="4093"/>
      <c r="AI254" s="4093"/>
      <c r="AJ254" s="4093"/>
      <c r="AK254" s="4093"/>
    </row>
    <row r="255" spans="1:37" ht="18.75">
      <c r="A255" s="4093"/>
      <c r="B255" s="4131"/>
      <c r="C255" s="4131"/>
      <c r="D255" s="4131"/>
      <c r="E255" s="4131"/>
      <c r="F255" s="4131"/>
      <c r="G255" s="4131"/>
      <c r="H255" s="4131"/>
      <c r="I255" s="4131"/>
      <c r="J255" s="4131"/>
      <c r="K255" s="4131"/>
      <c r="L255" s="4131"/>
      <c r="M255" s="4131"/>
      <c r="N255" s="4131"/>
      <c r="O255" s="4131"/>
      <c r="P255" s="4131"/>
      <c r="Q255" s="4131"/>
      <c r="R255" s="4131"/>
      <c r="S255" s="4131"/>
      <c r="T255" s="4131"/>
      <c r="U255" s="4131"/>
      <c r="V255" s="4093"/>
      <c r="W255" s="4093"/>
      <c r="X255" s="4093"/>
      <c r="Y255" s="4093"/>
      <c r="Z255" s="4093"/>
      <c r="AA255" s="4093"/>
      <c r="AB255" s="4093"/>
      <c r="AC255" s="4093"/>
      <c r="AD255" s="4093"/>
      <c r="AE255" s="4093"/>
      <c r="AF255" s="4093"/>
      <c r="AG255" s="4093"/>
      <c r="AH255" s="4093"/>
      <c r="AI255" s="4093"/>
      <c r="AJ255" s="4093"/>
      <c r="AK255" s="4093"/>
    </row>
    <row r="256" spans="1:37" ht="18.75">
      <c r="A256" s="4093"/>
      <c r="B256" s="4132"/>
      <c r="C256" s="4132"/>
      <c r="D256" s="4131"/>
      <c r="E256" s="4131"/>
      <c r="F256" s="4131"/>
      <c r="G256" s="4131"/>
      <c r="H256" s="4131"/>
      <c r="I256" s="4131"/>
      <c r="J256" s="4131"/>
      <c r="K256" s="4131"/>
      <c r="L256" s="4131"/>
      <c r="M256" s="4131"/>
      <c r="N256" s="4131"/>
      <c r="O256" s="4131"/>
      <c r="P256" s="4131"/>
      <c r="Q256" s="4131"/>
      <c r="R256" s="4131"/>
      <c r="S256" s="4131"/>
      <c r="T256" s="4131"/>
      <c r="U256" s="4131"/>
      <c r="V256" s="4093"/>
      <c r="W256" s="4093"/>
      <c r="X256" s="4093"/>
      <c r="Y256" s="4093"/>
      <c r="Z256" s="4093"/>
      <c r="AA256" s="4093"/>
      <c r="AB256" s="4093"/>
      <c r="AC256" s="4093"/>
      <c r="AD256" s="4093"/>
      <c r="AE256" s="4093"/>
      <c r="AF256" s="4093"/>
      <c r="AG256" s="4093"/>
      <c r="AH256" s="4093"/>
      <c r="AI256" s="4093"/>
      <c r="AJ256" s="4093"/>
      <c r="AK256" s="4093"/>
    </row>
    <row r="257" spans="1:37">
      <c r="A257" s="4093"/>
      <c r="B257" s="4093"/>
      <c r="C257" s="4093"/>
      <c r="D257" s="4093"/>
      <c r="E257" s="4093"/>
      <c r="F257" s="4093"/>
      <c r="G257" s="4093"/>
      <c r="H257" s="4093"/>
      <c r="I257" s="4093"/>
      <c r="J257" s="4093"/>
      <c r="K257" s="4093"/>
      <c r="L257" s="4093"/>
      <c r="M257" s="4093"/>
      <c r="N257" s="4093"/>
      <c r="O257" s="4093"/>
      <c r="P257" s="4093"/>
      <c r="Q257" s="4093"/>
      <c r="R257" s="4093"/>
      <c r="S257" s="4093"/>
      <c r="T257" s="4093"/>
      <c r="U257" s="4093"/>
      <c r="V257" s="4093"/>
      <c r="W257" s="4093"/>
      <c r="X257" s="4093"/>
      <c r="Y257" s="4093"/>
      <c r="Z257" s="4093"/>
      <c r="AA257" s="4093"/>
      <c r="AB257" s="4093"/>
      <c r="AC257" s="4093"/>
      <c r="AD257" s="4093"/>
      <c r="AE257" s="4093"/>
      <c r="AF257" s="4093"/>
      <c r="AG257" s="4093"/>
      <c r="AH257" s="4093"/>
      <c r="AI257" s="4093"/>
      <c r="AJ257" s="4093"/>
      <c r="AK257" s="4093"/>
    </row>
    <row r="258" spans="1:37">
      <c r="A258" s="4093"/>
      <c r="B258" s="4093"/>
      <c r="C258" s="4093"/>
      <c r="D258" s="4093"/>
      <c r="E258" s="4093"/>
      <c r="F258" s="4093"/>
      <c r="G258" s="4093"/>
      <c r="H258" s="4093"/>
      <c r="I258" s="4093"/>
      <c r="J258" s="4093"/>
      <c r="K258" s="4093"/>
      <c r="L258" s="4093"/>
      <c r="M258" s="4093"/>
      <c r="N258" s="4093"/>
      <c r="O258" s="4093"/>
      <c r="P258" s="4093"/>
      <c r="Q258" s="4093"/>
      <c r="R258" s="4093"/>
      <c r="S258" s="4093"/>
      <c r="T258" s="4093"/>
      <c r="U258" s="4093"/>
      <c r="V258" s="4093"/>
      <c r="W258" s="4093"/>
      <c r="X258" s="4093"/>
      <c r="Y258" s="4093"/>
      <c r="Z258" s="4093"/>
      <c r="AA258" s="4093"/>
      <c r="AB258" s="4093"/>
      <c r="AC258" s="4093"/>
      <c r="AD258" s="4093"/>
      <c r="AE258" s="4093"/>
      <c r="AF258" s="4093"/>
      <c r="AG258" s="4093"/>
      <c r="AH258" s="4093"/>
      <c r="AI258" s="4093"/>
      <c r="AJ258" s="4093"/>
      <c r="AK258" s="4093"/>
    </row>
    <row r="259" spans="1:37">
      <c r="A259" s="4093"/>
      <c r="B259" s="4093"/>
      <c r="C259" s="4093"/>
      <c r="D259" s="4093"/>
      <c r="E259" s="4093"/>
      <c r="F259" s="4093"/>
      <c r="G259" s="4093"/>
      <c r="H259" s="4093"/>
      <c r="I259" s="4093"/>
      <c r="J259" s="4093"/>
      <c r="K259" s="4093"/>
      <c r="L259" s="4093"/>
      <c r="M259" s="4093"/>
      <c r="N259" s="4093"/>
      <c r="O259" s="4093"/>
      <c r="P259" s="4093"/>
      <c r="Q259" s="4093"/>
      <c r="R259" s="4093"/>
      <c r="S259" s="4093"/>
      <c r="T259" s="4093"/>
      <c r="U259" s="4093"/>
      <c r="V259" s="4093"/>
      <c r="W259" s="4093"/>
      <c r="X259" s="4093"/>
      <c r="Y259" s="4093"/>
      <c r="Z259" s="4093"/>
      <c r="AA259" s="4093"/>
      <c r="AB259" s="4093"/>
      <c r="AC259" s="4093"/>
      <c r="AD259" s="4093"/>
      <c r="AE259" s="4093"/>
      <c r="AF259" s="4093"/>
      <c r="AG259" s="4093"/>
      <c r="AH259" s="4093"/>
      <c r="AI259" s="4093"/>
      <c r="AJ259" s="4093"/>
      <c r="AK259" s="4093"/>
    </row>
    <row r="260" spans="1:37">
      <c r="A260" s="4093"/>
      <c r="B260" s="4093"/>
      <c r="C260" s="4093"/>
      <c r="D260" s="4093"/>
      <c r="E260" s="4093"/>
      <c r="F260" s="4093"/>
      <c r="G260" s="4093"/>
      <c r="H260" s="4093"/>
      <c r="I260" s="4093"/>
      <c r="J260" s="4093"/>
      <c r="K260" s="4093"/>
      <c r="L260" s="4093"/>
      <c r="M260" s="4093"/>
      <c r="N260" s="4093"/>
      <c r="O260" s="4093"/>
      <c r="P260" s="4093"/>
      <c r="Q260" s="4093"/>
      <c r="R260" s="4093"/>
      <c r="S260" s="4093"/>
      <c r="T260" s="4093"/>
      <c r="U260" s="4093"/>
      <c r="V260" s="4093"/>
      <c r="W260" s="4093"/>
      <c r="X260" s="4093"/>
      <c r="Y260" s="4093"/>
      <c r="Z260" s="4093"/>
      <c r="AA260" s="4093"/>
      <c r="AB260" s="4093"/>
      <c r="AC260" s="4093"/>
      <c r="AD260" s="4093"/>
      <c r="AE260" s="4093"/>
      <c r="AF260" s="4093"/>
      <c r="AG260" s="4093"/>
      <c r="AH260" s="4093"/>
      <c r="AI260" s="4093"/>
      <c r="AJ260" s="4093"/>
      <c r="AK260" s="4093"/>
    </row>
    <row r="261" spans="1:37">
      <c r="A261" s="4093"/>
      <c r="B261" s="4093"/>
      <c r="C261" s="4093"/>
      <c r="D261" s="4093"/>
      <c r="E261" s="4093"/>
      <c r="F261" s="4093"/>
      <c r="G261" s="4093"/>
      <c r="H261" s="4093"/>
      <c r="I261" s="4093"/>
      <c r="J261" s="4093"/>
      <c r="K261" s="4093"/>
      <c r="L261" s="4093"/>
      <c r="M261" s="4093"/>
      <c r="N261" s="4093"/>
      <c r="O261" s="4093"/>
      <c r="P261" s="4093"/>
      <c r="Q261" s="4093"/>
      <c r="R261" s="4093"/>
      <c r="S261" s="4093"/>
      <c r="T261" s="4093"/>
      <c r="U261" s="4093"/>
      <c r="V261" s="4093"/>
      <c r="W261" s="4093"/>
      <c r="X261" s="4093"/>
      <c r="Y261" s="4093"/>
      <c r="Z261" s="4093"/>
      <c r="AA261" s="4093"/>
      <c r="AB261" s="4093"/>
      <c r="AC261" s="4093"/>
      <c r="AD261" s="4093"/>
      <c r="AE261" s="4093"/>
      <c r="AF261" s="4093"/>
      <c r="AG261" s="4093"/>
      <c r="AH261" s="4093"/>
      <c r="AI261" s="4093"/>
      <c r="AJ261" s="4093"/>
      <c r="AK261" s="4093"/>
    </row>
    <row r="262" spans="1:37">
      <c r="A262" s="4093"/>
      <c r="B262" s="4093"/>
      <c r="C262" s="4093"/>
      <c r="D262" s="4093"/>
      <c r="E262" s="4093"/>
      <c r="F262" s="4093"/>
      <c r="G262" s="4093"/>
      <c r="H262" s="4093"/>
      <c r="I262" s="4093"/>
      <c r="J262" s="4093"/>
      <c r="K262" s="4093"/>
      <c r="L262" s="4093"/>
      <c r="M262" s="4093"/>
      <c r="N262" s="4093"/>
      <c r="O262" s="4093"/>
      <c r="P262" s="4093"/>
      <c r="Q262" s="4093"/>
      <c r="R262" s="4093"/>
      <c r="S262" s="4093"/>
      <c r="T262" s="4093"/>
      <c r="U262" s="4093"/>
      <c r="V262" s="4093"/>
      <c r="W262" s="4093"/>
      <c r="X262" s="4093"/>
      <c r="Y262" s="4093"/>
      <c r="Z262" s="4093"/>
      <c r="AA262" s="4093"/>
      <c r="AB262" s="4093"/>
      <c r="AC262" s="4093"/>
      <c r="AD262" s="4093"/>
      <c r="AE262" s="4093"/>
      <c r="AF262" s="4093"/>
      <c r="AG262" s="4093"/>
      <c r="AH262" s="4093"/>
      <c r="AI262" s="4093"/>
      <c r="AJ262" s="4093"/>
      <c r="AK262" s="4093"/>
    </row>
    <row r="263" spans="1:37">
      <c r="A263" s="4093"/>
      <c r="B263" s="4093"/>
      <c r="C263" s="4093"/>
      <c r="D263" s="4093"/>
      <c r="E263" s="4093"/>
      <c r="F263" s="4093"/>
      <c r="G263" s="4093"/>
      <c r="H263" s="4093"/>
      <c r="I263" s="4093"/>
      <c r="J263" s="4093"/>
      <c r="K263" s="4093"/>
      <c r="L263" s="4093"/>
      <c r="M263" s="4093"/>
      <c r="N263" s="4093"/>
      <c r="O263" s="4093"/>
      <c r="P263" s="4093"/>
      <c r="Q263" s="4093"/>
      <c r="R263" s="4093"/>
      <c r="S263" s="4093"/>
      <c r="T263" s="4093"/>
      <c r="U263" s="4093"/>
      <c r="V263" s="4093"/>
      <c r="W263" s="4093"/>
      <c r="X263" s="4093"/>
      <c r="Y263" s="4093"/>
      <c r="Z263" s="4093"/>
      <c r="AA263" s="4093"/>
      <c r="AB263" s="4093"/>
      <c r="AC263" s="4093"/>
      <c r="AD263" s="4093"/>
      <c r="AE263" s="4093"/>
      <c r="AF263" s="4093"/>
      <c r="AG263" s="4093"/>
      <c r="AH263" s="4093"/>
      <c r="AI263" s="4093"/>
      <c r="AJ263" s="4093"/>
      <c r="AK263" s="4093"/>
    </row>
    <row r="264" spans="1:37">
      <c r="A264" s="4093"/>
      <c r="B264" s="4093"/>
      <c r="C264" s="4093"/>
      <c r="D264" s="4093"/>
      <c r="E264" s="4093"/>
      <c r="F264" s="4093"/>
      <c r="G264" s="4093"/>
      <c r="H264" s="4093"/>
      <c r="I264" s="4093"/>
      <c r="J264" s="4093"/>
      <c r="K264" s="4093"/>
      <c r="L264" s="4093"/>
      <c r="M264" s="4093"/>
      <c r="N264" s="4093"/>
      <c r="O264" s="4093"/>
      <c r="P264" s="4093"/>
      <c r="Q264" s="4093"/>
      <c r="R264" s="4093"/>
      <c r="S264" s="4093"/>
      <c r="T264" s="4093"/>
      <c r="U264" s="4093"/>
      <c r="V264" s="4093"/>
      <c r="W264" s="4093"/>
      <c r="X264" s="4093"/>
      <c r="Y264" s="4093"/>
      <c r="Z264" s="4093"/>
      <c r="AA264" s="4093"/>
      <c r="AB264" s="4093"/>
      <c r="AC264" s="4093"/>
      <c r="AD264" s="4093"/>
      <c r="AE264" s="4093"/>
      <c r="AF264" s="4093"/>
      <c r="AG264" s="4093"/>
      <c r="AH264" s="4093"/>
      <c r="AI264" s="4093"/>
      <c r="AJ264" s="4093"/>
      <c r="AK264" s="4093"/>
    </row>
    <row r="265" spans="1:37">
      <c r="A265" s="4093"/>
      <c r="B265" s="4093"/>
      <c r="C265" s="4093"/>
      <c r="D265" s="4093"/>
      <c r="E265" s="4093"/>
      <c r="F265" s="4093"/>
      <c r="G265" s="4093"/>
      <c r="H265" s="4093"/>
      <c r="I265" s="4093"/>
      <c r="J265" s="4093"/>
      <c r="K265" s="4093"/>
      <c r="L265" s="4093"/>
      <c r="M265" s="4093"/>
      <c r="N265" s="4093"/>
      <c r="O265" s="4093"/>
      <c r="P265" s="4093"/>
      <c r="Q265" s="4093"/>
      <c r="R265" s="4093"/>
      <c r="S265" s="4093"/>
      <c r="T265" s="4093"/>
      <c r="U265" s="4093"/>
      <c r="V265" s="4093"/>
      <c r="W265" s="4093"/>
      <c r="X265" s="4093"/>
      <c r="Y265" s="4093"/>
      <c r="Z265" s="4093"/>
      <c r="AA265" s="4093"/>
      <c r="AB265" s="4093"/>
      <c r="AC265" s="4093"/>
      <c r="AD265" s="4093"/>
      <c r="AE265" s="4093"/>
      <c r="AF265" s="4093"/>
      <c r="AG265" s="4093"/>
      <c r="AH265" s="4093"/>
      <c r="AI265" s="4093"/>
      <c r="AJ265" s="4093"/>
      <c r="AK265" s="4093"/>
    </row>
    <row r="266" spans="1:37">
      <c r="A266" s="4093"/>
      <c r="B266" s="4093"/>
      <c r="C266" s="4093"/>
      <c r="D266" s="4093"/>
      <c r="E266" s="4093"/>
      <c r="F266" s="4093"/>
      <c r="G266" s="4093"/>
      <c r="H266" s="4093"/>
      <c r="I266" s="4093"/>
      <c r="J266" s="4093"/>
      <c r="K266" s="4093"/>
      <c r="L266" s="4093"/>
      <c r="M266" s="4093"/>
      <c r="N266" s="4093"/>
      <c r="O266" s="4093"/>
      <c r="P266" s="4093"/>
      <c r="Q266" s="4093"/>
      <c r="R266" s="4093"/>
      <c r="S266" s="4093"/>
      <c r="T266" s="4093"/>
      <c r="U266" s="4093"/>
      <c r="V266" s="4093"/>
      <c r="W266" s="4093"/>
      <c r="X266" s="4093"/>
      <c r="Y266" s="4093"/>
      <c r="Z266" s="4093"/>
      <c r="AA266" s="4093"/>
      <c r="AB266" s="4093"/>
      <c r="AC266" s="4093"/>
      <c r="AD266" s="4093"/>
      <c r="AE266" s="4093"/>
      <c r="AF266" s="4093"/>
      <c r="AG266" s="4093"/>
      <c r="AH266" s="4093"/>
      <c r="AI266" s="4093"/>
      <c r="AJ266" s="4093"/>
      <c r="AK266" s="4093"/>
    </row>
    <row r="267" spans="1:37">
      <c r="A267" s="4093"/>
      <c r="B267" s="4093"/>
      <c r="C267" s="4093"/>
      <c r="D267" s="4093"/>
      <c r="E267" s="4093"/>
      <c r="F267" s="4093"/>
      <c r="G267" s="4093"/>
      <c r="H267" s="4093"/>
      <c r="I267" s="4093"/>
      <c r="J267" s="4093"/>
      <c r="K267" s="4093"/>
      <c r="L267" s="4093"/>
      <c r="M267" s="4093"/>
      <c r="N267" s="4093"/>
      <c r="O267" s="4093"/>
      <c r="P267" s="4093"/>
      <c r="Q267" s="4093"/>
      <c r="R267" s="4093"/>
      <c r="S267" s="4093"/>
      <c r="T267" s="4093"/>
      <c r="U267" s="4093"/>
      <c r="V267" s="4093"/>
      <c r="W267" s="4093"/>
      <c r="X267" s="4093"/>
      <c r="Y267" s="4093"/>
      <c r="Z267" s="4093"/>
      <c r="AA267" s="4093"/>
      <c r="AB267" s="4093"/>
      <c r="AC267" s="4093"/>
      <c r="AD267" s="4093"/>
      <c r="AE267" s="4093"/>
      <c r="AF267" s="4093"/>
      <c r="AG267" s="4093"/>
      <c r="AH267" s="4093"/>
      <c r="AI267" s="4093"/>
      <c r="AJ267" s="4093"/>
      <c r="AK267" s="4093"/>
    </row>
    <row r="268" spans="1:37">
      <c r="A268" s="4093"/>
      <c r="B268" s="4093"/>
      <c r="C268" s="4093"/>
      <c r="D268" s="4093"/>
      <c r="E268" s="4093"/>
      <c r="F268" s="4093"/>
      <c r="G268" s="4093"/>
      <c r="H268" s="4093"/>
      <c r="I268" s="4093"/>
      <c r="J268" s="4093"/>
      <c r="K268" s="4093"/>
      <c r="L268" s="4093"/>
      <c r="M268" s="4093"/>
      <c r="N268" s="4093"/>
      <c r="O268" s="4093"/>
      <c r="P268" s="4093"/>
      <c r="Q268" s="4093"/>
      <c r="R268" s="4093"/>
      <c r="S268" s="4093"/>
      <c r="T268" s="4093"/>
      <c r="U268" s="4093"/>
      <c r="V268" s="4093"/>
      <c r="W268" s="4093"/>
      <c r="X268" s="4093"/>
      <c r="Y268" s="4093"/>
      <c r="Z268" s="4093"/>
      <c r="AA268" s="4093"/>
      <c r="AB268" s="4093"/>
      <c r="AC268" s="4093"/>
      <c r="AD268" s="4093"/>
      <c r="AE268" s="4093"/>
      <c r="AF268" s="4093"/>
      <c r="AG268" s="4093"/>
      <c r="AH268" s="4093"/>
      <c r="AI268" s="4093"/>
      <c r="AJ268" s="4093"/>
      <c r="AK268" s="4093"/>
    </row>
    <row r="269" spans="1:37">
      <c r="A269" s="4093"/>
      <c r="B269" s="4093"/>
      <c r="C269" s="4093"/>
      <c r="D269" s="4093"/>
      <c r="E269" s="4093"/>
      <c r="F269" s="4093"/>
      <c r="G269" s="4093"/>
      <c r="H269" s="4093"/>
      <c r="I269" s="4093"/>
      <c r="J269" s="4093"/>
      <c r="K269" s="4093"/>
      <c r="L269" s="4093"/>
      <c r="M269" s="4093"/>
      <c r="N269" s="4093"/>
      <c r="O269" s="4093"/>
      <c r="P269" s="4093"/>
      <c r="Q269" s="4093"/>
      <c r="R269" s="4093"/>
      <c r="S269" s="4093"/>
      <c r="T269" s="4093"/>
      <c r="U269" s="4093"/>
      <c r="V269" s="4093"/>
      <c r="W269" s="4093"/>
      <c r="X269" s="4093"/>
      <c r="Y269" s="4093"/>
      <c r="Z269" s="4093"/>
      <c r="AA269" s="4093"/>
      <c r="AB269" s="4093"/>
      <c r="AC269" s="4093"/>
      <c r="AD269" s="4093"/>
      <c r="AE269" s="4093"/>
      <c r="AF269" s="4093"/>
      <c r="AG269" s="4093"/>
      <c r="AH269" s="4093"/>
      <c r="AI269" s="4093"/>
      <c r="AJ269" s="4093"/>
      <c r="AK269" s="4093"/>
    </row>
    <row r="270" spans="1:37">
      <c r="A270" s="4093"/>
      <c r="B270" s="4093"/>
      <c r="C270" s="4093"/>
      <c r="D270" s="4093"/>
      <c r="E270" s="4093"/>
      <c r="F270" s="4093"/>
      <c r="G270" s="4093"/>
      <c r="H270" s="4093"/>
      <c r="I270" s="4093"/>
      <c r="J270" s="4093"/>
      <c r="K270" s="4093"/>
      <c r="L270" s="4093"/>
      <c r="M270" s="4093"/>
      <c r="N270" s="4093"/>
      <c r="O270" s="4093"/>
      <c r="P270" s="4093"/>
      <c r="Q270" s="4093"/>
      <c r="R270" s="4093"/>
      <c r="S270" s="4093"/>
      <c r="T270" s="4093"/>
      <c r="U270" s="4093"/>
      <c r="V270" s="4093"/>
      <c r="W270" s="4093"/>
      <c r="X270" s="4093"/>
      <c r="Y270" s="4093"/>
      <c r="Z270" s="4093"/>
      <c r="AA270" s="4093"/>
      <c r="AB270" s="4093"/>
      <c r="AC270" s="4093"/>
      <c r="AD270" s="4093"/>
      <c r="AE270" s="4093"/>
      <c r="AF270" s="4093"/>
      <c r="AG270" s="4093"/>
      <c r="AH270" s="4093"/>
      <c r="AI270" s="4093"/>
      <c r="AJ270" s="4093"/>
      <c r="AK270" s="4093"/>
    </row>
    <row r="271" spans="1:37">
      <c r="A271" s="4093"/>
      <c r="B271" s="4093"/>
      <c r="C271" s="4093"/>
      <c r="D271" s="4093"/>
      <c r="E271" s="4093"/>
      <c r="F271" s="4093"/>
      <c r="G271" s="4093"/>
      <c r="H271" s="4093"/>
      <c r="I271" s="4093"/>
      <c r="J271" s="4093"/>
      <c r="K271" s="4093"/>
      <c r="L271" s="4093"/>
      <c r="M271" s="4093"/>
      <c r="N271" s="4093"/>
      <c r="O271" s="4093"/>
      <c r="P271" s="4093"/>
      <c r="Q271" s="4093"/>
      <c r="R271" s="4093"/>
      <c r="S271" s="4093"/>
      <c r="T271" s="4093"/>
      <c r="U271" s="4093"/>
      <c r="V271" s="4093"/>
      <c r="W271" s="4093"/>
      <c r="X271" s="4093"/>
      <c r="Y271" s="4093"/>
      <c r="Z271" s="4093"/>
      <c r="AA271" s="4093"/>
      <c r="AB271" s="4093"/>
      <c r="AC271" s="4093"/>
      <c r="AD271" s="4093"/>
      <c r="AE271" s="4093"/>
      <c r="AF271" s="4093"/>
      <c r="AG271" s="4093"/>
      <c r="AH271" s="4093"/>
      <c r="AI271" s="4093"/>
      <c r="AJ271" s="4093"/>
      <c r="AK271" s="4093"/>
    </row>
    <row r="272" spans="1:37">
      <c r="A272" s="4093"/>
      <c r="B272" s="4093"/>
      <c r="C272" s="4093"/>
      <c r="D272" s="4093"/>
      <c r="E272" s="4093"/>
      <c r="F272" s="4093"/>
      <c r="G272" s="4093"/>
      <c r="H272" s="4093"/>
      <c r="I272" s="4093"/>
      <c r="J272" s="4093"/>
      <c r="K272" s="4093"/>
      <c r="L272" s="4093"/>
      <c r="M272" s="4093"/>
      <c r="N272" s="4093"/>
      <c r="O272" s="4093"/>
      <c r="P272" s="4093"/>
      <c r="Q272" s="4093"/>
      <c r="R272" s="4093"/>
      <c r="S272" s="4093"/>
      <c r="T272" s="4093"/>
      <c r="U272" s="4093"/>
      <c r="V272" s="4093"/>
      <c r="W272" s="4093"/>
      <c r="X272" s="4093"/>
      <c r="Y272" s="4093"/>
      <c r="Z272" s="4093"/>
      <c r="AA272" s="4093"/>
      <c r="AB272" s="4093"/>
      <c r="AC272" s="4093"/>
      <c r="AD272" s="4093"/>
      <c r="AE272" s="4093"/>
      <c r="AF272" s="4093"/>
      <c r="AG272" s="4093"/>
      <c r="AH272" s="4093"/>
      <c r="AI272" s="4093"/>
      <c r="AJ272" s="4093"/>
      <c r="AK272" s="4093"/>
    </row>
    <row r="273" spans="1:37">
      <c r="A273" s="4093"/>
      <c r="B273" s="4093"/>
      <c r="C273" s="4093"/>
      <c r="D273" s="4093"/>
      <c r="E273" s="4093"/>
      <c r="F273" s="4093"/>
      <c r="G273" s="4093"/>
      <c r="H273" s="4093"/>
      <c r="I273" s="4093"/>
      <c r="J273" s="4093"/>
      <c r="K273" s="4093"/>
      <c r="L273" s="4093"/>
      <c r="M273" s="4093"/>
      <c r="N273" s="4093"/>
      <c r="O273" s="4093"/>
      <c r="P273" s="4093"/>
      <c r="Q273" s="4093"/>
      <c r="R273" s="4093"/>
      <c r="S273" s="4093"/>
      <c r="T273" s="4093"/>
      <c r="U273" s="4093"/>
      <c r="V273" s="4093"/>
      <c r="W273" s="4093"/>
      <c r="X273" s="4093"/>
      <c r="Y273" s="4093"/>
      <c r="Z273" s="4093"/>
      <c r="AA273" s="4093"/>
      <c r="AB273" s="4093"/>
      <c r="AC273" s="4093"/>
      <c r="AD273" s="4093"/>
      <c r="AE273" s="4093"/>
      <c r="AF273" s="4093"/>
      <c r="AG273" s="4093"/>
      <c r="AH273" s="4093"/>
      <c r="AI273" s="4093"/>
      <c r="AJ273" s="4093"/>
      <c r="AK273" s="4093"/>
    </row>
    <row r="274" spans="1:37">
      <c r="A274" s="4093"/>
      <c r="B274" s="4093"/>
      <c r="C274" s="4093"/>
      <c r="D274" s="4093"/>
      <c r="E274" s="4093"/>
      <c r="F274" s="4093"/>
      <c r="G274" s="4093"/>
      <c r="H274" s="4093"/>
      <c r="I274" s="4093"/>
      <c r="J274" s="4093"/>
      <c r="K274" s="4093"/>
      <c r="L274" s="4093"/>
      <c r="M274" s="4093"/>
      <c r="N274" s="4093"/>
      <c r="O274" s="4093"/>
      <c r="P274" s="4093"/>
      <c r="Q274" s="4093"/>
      <c r="R274" s="4093"/>
      <c r="S274" s="4093"/>
      <c r="T274" s="4093"/>
      <c r="U274" s="4093"/>
      <c r="V274" s="4093"/>
      <c r="W274" s="4093"/>
      <c r="X274" s="4093"/>
      <c r="Y274" s="4093"/>
      <c r="Z274" s="4093"/>
      <c r="AA274" s="4093"/>
      <c r="AB274" s="4093"/>
      <c r="AC274" s="4093"/>
      <c r="AD274" s="4093"/>
      <c r="AE274" s="4093"/>
      <c r="AF274" s="4093"/>
      <c r="AG274" s="4093"/>
      <c r="AH274" s="4093"/>
      <c r="AI274" s="4093"/>
      <c r="AJ274" s="4093"/>
      <c r="AK274" s="4093"/>
    </row>
    <row r="275" spans="1:37">
      <c r="A275" s="4093"/>
      <c r="B275" s="4093"/>
      <c r="C275" s="4093"/>
      <c r="D275" s="4093"/>
      <c r="E275" s="4093"/>
      <c r="F275" s="4093"/>
      <c r="G275" s="4093"/>
      <c r="H275" s="4093"/>
      <c r="I275" s="4093"/>
      <c r="J275" s="4093"/>
      <c r="K275" s="4093"/>
      <c r="L275" s="4093"/>
      <c r="M275" s="4093"/>
      <c r="N275" s="4093"/>
      <c r="O275" s="4093"/>
      <c r="P275" s="4093"/>
      <c r="Q275" s="4093"/>
      <c r="R275" s="4093"/>
      <c r="S275" s="4093"/>
      <c r="T275" s="4093"/>
      <c r="U275" s="4093"/>
      <c r="V275" s="4093"/>
      <c r="W275" s="4093"/>
      <c r="X275" s="4093"/>
      <c r="Y275" s="4093"/>
      <c r="Z275" s="4093"/>
      <c r="AA275" s="4093"/>
      <c r="AB275" s="4093"/>
      <c r="AC275" s="4093"/>
      <c r="AD275" s="4093"/>
      <c r="AE275" s="4093"/>
      <c r="AF275" s="4093"/>
      <c r="AG275" s="4093"/>
      <c r="AH275" s="4093"/>
      <c r="AI275" s="4093"/>
      <c r="AJ275" s="4093"/>
      <c r="AK275" s="4093"/>
    </row>
    <row r="276" spans="1:37">
      <c r="A276" s="4093"/>
      <c r="B276" s="4093"/>
      <c r="C276" s="4093"/>
      <c r="D276" s="4093"/>
      <c r="E276" s="4093"/>
      <c r="F276" s="4093"/>
      <c r="G276" s="4093"/>
      <c r="H276" s="4093"/>
      <c r="I276" s="4093"/>
      <c r="J276" s="4093"/>
      <c r="K276" s="4093"/>
      <c r="L276" s="4093"/>
      <c r="M276" s="4093"/>
      <c r="N276" s="4093"/>
      <c r="O276" s="4093"/>
      <c r="P276" s="4093"/>
      <c r="Q276" s="4093"/>
      <c r="R276" s="4093"/>
      <c r="S276" s="4093"/>
      <c r="T276" s="4093"/>
      <c r="U276" s="4093"/>
      <c r="V276" s="4093"/>
      <c r="W276" s="4093"/>
      <c r="X276" s="4093"/>
      <c r="Y276" s="4093"/>
      <c r="Z276" s="4093"/>
      <c r="AA276" s="4093"/>
      <c r="AB276" s="4093"/>
      <c r="AC276" s="4093"/>
      <c r="AD276" s="4093"/>
      <c r="AE276" s="4093"/>
      <c r="AF276" s="4093"/>
      <c r="AG276" s="4093"/>
      <c r="AH276" s="4093"/>
      <c r="AI276" s="4093"/>
      <c r="AJ276" s="4093"/>
      <c r="AK276" s="4093"/>
    </row>
    <row r="277" spans="1:37">
      <c r="A277" s="4093"/>
      <c r="B277" s="4093"/>
      <c r="C277" s="4093"/>
      <c r="D277" s="4093"/>
      <c r="E277" s="4093"/>
      <c r="F277" s="4093"/>
      <c r="G277" s="4093"/>
      <c r="H277" s="4093"/>
      <c r="I277" s="4093"/>
      <c r="J277" s="4093"/>
      <c r="K277" s="4093"/>
      <c r="L277" s="4093"/>
      <c r="M277" s="4093"/>
      <c r="N277" s="4093"/>
      <c r="O277" s="4093"/>
      <c r="P277" s="4093"/>
      <c r="Q277" s="4093"/>
      <c r="R277" s="4093"/>
      <c r="S277" s="4093"/>
      <c r="T277" s="4093"/>
      <c r="U277" s="4093"/>
      <c r="V277" s="4093"/>
      <c r="W277" s="4093"/>
      <c r="X277" s="4093"/>
      <c r="Y277" s="4093"/>
      <c r="Z277" s="4093"/>
      <c r="AA277" s="4093"/>
      <c r="AB277" s="4093"/>
      <c r="AC277" s="4093"/>
      <c r="AD277" s="4093"/>
      <c r="AE277" s="4093"/>
      <c r="AF277" s="4093"/>
      <c r="AG277" s="4093"/>
      <c r="AH277" s="4093"/>
      <c r="AI277" s="4093"/>
      <c r="AJ277" s="4093"/>
      <c r="AK277" s="4093"/>
    </row>
    <row r="278" spans="1:37">
      <c r="A278" s="4093"/>
      <c r="B278" s="4093"/>
      <c r="C278" s="4093"/>
      <c r="D278" s="4093"/>
      <c r="E278" s="4093"/>
      <c r="F278" s="4093"/>
      <c r="G278" s="4093"/>
      <c r="H278" s="4093"/>
      <c r="I278" s="4093"/>
      <c r="J278" s="4093"/>
      <c r="K278" s="4093"/>
      <c r="L278" s="4093"/>
      <c r="M278" s="4093"/>
      <c r="N278" s="4093"/>
      <c r="O278" s="4093"/>
      <c r="P278" s="4093"/>
      <c r="Q278" s="4093"/>
      <c r="R278" s="4093"/>
      <c r="S278" s="4093"/>
      <c r="T278" s="4093"/>
      <c r="U278" s="4093"/>
      <c r="V278" s="4093"/>
      <c r="W278" s="4093"/>
      <c r="X278" s="4093"/>
      <c r="Y278" s="4093"/>
      <c r="Z278" s="4093"/>
      <c r="AA278" s="4093"/>
      <c r="AB278" s="4093"/>
      <c r="AC278" s="4093"/>
      <c r="AD278" s="4093"/>
      <c r="AE278" s="4093"/>
      <c r="AF278" s="4093"/>
      <c r="AG278" s="4093"/>
      <c r="AH278" s="4093"/>
      <c r="AI278" s="4093"/>
      <c r="AJ278" s="4093"/>
      <c r="AK278" s="4093"/>
    </row>
    <row r="279" spans="1:37">
      <c r="A279" s="4093"/>
      <c r="B279" s="4093"/>
      <c r="C279" s="4093"/>
      <c r="D279" s="4093"/>
      <c r="E279" s="4093"/>
      <c r="F279" s="4093"/>
      <c r="G279" s="4093"/>
      <c r="H279" s="4093"/>
      <c r="I279" s="4093"/>
      <c r="J279" s="4093"/>
      <c r="K279" s="4093"/>
      <c r="L279" s="4093"/>
      <c r="M279" s="4093"/>
      <c r="N279" s="4093"/>
      <c r="O279" s="4093"/>
      <c r="P279" s="4093"/>
      <c r="Q279" s="4093"/>
      <c r="R279" s="4093"/>
      <c r="S279" s="4093"/>
      <c r="T279" s="4093"/>
      <c r="U279" s="4093"/>
      <c r="V279" s="4093"/>
      <c r="W279" s="4093"/>
      <c r="X279" s="4093"/>
      <c r="Y279" s="4093"/>
      <c r="Z279" s="4093"/>
      <c r="AA279" s="4093"/>
      <c r="AB279" s="4093"/>
      <c r="AC279" s="4093"/>
      <c r="AD279" s="4093"/>
      <c r="AE279" s="4093"/>
      <c r="AF279" s="4093"/>
      <c r="AG279" s="4093"/>
      <c r="AH279" s="4093"/>
      <c r="AI279" s="4093"/>
      <c r="AJ279" s="4093"/>
      <c r="AK279" s="4093"/>
    </row>
    <row r="280" spans="1:37">
      <c r="A280" s="4093"/>
      <c r="B280" s="4093"/>
      <c r="C280" s="4093"/>
      <c r="D280" s="4093"/>
      <c r="E280" s="4093"/>
      <c r="F280" s="4093"/>
      <c r="G280" s="4093"/>
      <c r="H280" s="4093"/>
      <c r="I280" s="4093"/>
      <c r="J280" s="4093"/>
      <c r="K280" s="4093"/>
      <c r="L280" s="4093"/>
      <c r="M280" s="4093"/>
      <c r="N280" s="4093"/>
      <c r="O280" s="4093"/>
      <c r="P280" s="4093"/>
      <c r="Q280" s="4093"/>
      <c r="R280" s="4093"/>
      <c r="S280" s="4093"/>
      <c r="T280" s="4093"/>
      <c r="U280" s="4093"/>
      <c r="V280" s="4093"/>
      <c r="W280" s="4093"/>
      <c r="X280" s="4093"/>
      <c r="Y280" s="4093"/>
      <c r="Z280" s="4093"/>
      <c r="AA280" s="4093"/>
      <c r="AB280" s="4093"/>
      <c r="AC280" s="4093"/>
      <c r="AD280" s="4093"/>
      <c r="AE280" s="4093"/>
      <c r="AF280" s="4093"/>
      <c r="AG280" s="4093"/>
      <c r="AH280" s="4093"/>
      <c r="AI280" s="4093"/>
      <c r="AJ280" s="4093"/>
      <c r="AK280" s="4093"/>
    </row>
    <row r="281" spans="1:37">
      <c r="A281" s="4093"/>
      <c r="B281" s="4093"/>
      <c r="C281" s="4093"/>
      <c r="D281" s="4093"/>
      <c r="E281" s="4093"/>
      <c r="F281" s="4093"/>
      <c r="G281" s="4093"/>
      <c r="H281" s="4093"/>
      <c r="I281" s="4093"/>
      <c r="J281" s="4093"/>
      <c r="K281" s="4093"/>
      <c r="L281" s="4093"/>
      <c r="M281" s="4093"/>
      <c r="N281" s="4093"/>
      <c r="O281" s="4093"/>
      <c r="P281" s="4093"/>
      <c r="Q281" s="4093"/>
      <c r="R281" s="4093"/>
      <c r="S281" s="4093"/>
      <c r="T281" s="4093"/>
      <c r="U281" s="4093"/>
      <c r="V281" s="4093"/>
      <c r="W281" s="4093"/>
      <c r="X281" s="4093"/>
      <c r="Y281" s="4093"/>
      <c r="Z281" s="4093"/>
      <c r="AA281" s="4093"/>
      <c r="AB281" s="4093"/>
      <c r="AC281" s="4093"/>
      <c r="AD281" s="4093"/>
      <c r="AE281" s="4093"/>
      <c r="AF281" s="4093"/>
      <c r="AG281" s="4093"/>
      <c r="AH281" s="4093"/>
      <c r="AI281" s="4093"/>
      <c r="AJ281" s="4093"/>
      <c r="AK281" s="4093"/>
    </row>
    <row r="282" spans="1:37">
      <c r="A282" s="4093"/>
      <c r="B282" s="4093"/>
      <c r="C282" s="4093"/>
      <c r="D282" s="4093"/>
      <c r="E282" s="4093"/>
      <c r="F282" s="4093"/>
      <c r="G282" s="4093"/>
      <c r="H282" s="4093"/>
      <c r="I282" s="4093"/>
      <c r="J282" s="4093"/>
      <c r="K282" s="4093"/>
      <c r="L282" s="4093"/>
      <c r="M282" s="4093"/>
      <c r="N282" s="4093"/>
      <c r="O282" s="4093"/>
      <c r="P282" s="4093"/>
      <c r="Q282" s="4093"/>
      <c r="R282" s="4093"/>
      <c r="S282" s="4093"/>
      <c r="T282" s="4093"/>
      <c r="U282" s="4093"/>
      <c r="V282" s="4093"/>
      <c r="W282" s="4093"/>
      <c r="X282" s="4093"/>
      <c r="Y282" s="4093"/>
      <c r="Z282" s="4093"/>
      <c r="AA282" s="4093"/>
      <c r="AB282" s="4093"/>
      <c r="AC282" s="4093"/>
      <c r="AD282" s="4093"/>
      <c r="AE282" s="4093"/>
      <c r="AF282" s="4093"/>
      <c r="AG282" s="4093"/>
      <c r="AH282" s="4093"/>
      <c r="AI282" s="4093"/>
      <c r="AJ282" s="4093"/>
      <c r="AK282" s="4093"/>
    </row>
    <row r="283" spans="1:37">
      <c r="A283" s="4093"/>
      <c r="B283" s="4093"/>
      <c r="C283" s="4093"/>
      <c r="D283" s="4093"/>
      <c r="E283" s="4093"/>
      <c r="F283" s="4093"/>
      <c r="G283" s="4093"/>
      <c r="H283" s="4093"/>
      <c r="I283" s="4093"/>
      <c r="J283" s="4093"/>
      <c r="K283" s="4093"/>
      <c r="L283" s="4093"/>
      <c r="M283" s="4093"/>
      <c r="N283" s="4093"/>
      <c r="O283" s="4093"/>
      <c r="P283" s="4093"/>
      <c r="Q283" s="4093"/>
      <c r="R283" s="4093"/>
      <c r="S283" s="4093"/>
      <c r="T283" s="4093"/>
      <c r="U283" s="4093"/>
      <c r="V283" s="4093"/>
      <c r="W283" s="4093"/>
      <c r="X283" s="4093"/>
      <c r="Y283" s="4093"/>
      <c r="Z283" s="4093"/>
      <c r="AA283" s="4093"/>
      <c r="AB283" s="4093"/>
      <c r="AC283" s="4093"/>
      <c r="AD283" s="4093"/>
      <c r="AE283" s="4093"/>
      <c r="AF283" s="4093"/>
      <c r="AG283" s="4093"/>
      <c r="AH283" s="4093"/>
      <c r="AI283" s="4093"/>
      <c r="AJ283" s="4093"/>
      <c r="AK283" s="4093"/>
    </row>
    <row r="284" spans="1:37">
      <c r="A284" s="4093"/>
      <c r="B284" s="4093"/>
      <c r="C284" s="4093"/>
      <c r="D284" s="4093"/>
      <c r="E284" s="4093"/>
      <c r="F284" s="4093"/>
      <c r="G284" s="4093"/>
      <c r="H284" s="4093"/>
      <c r="I284" s="4093"/>
      <c r="J284" s="4093"/>
      <c r="K284" s="4093"/>
      <c r="L284" s="4093"/>
      <c r="M284" s="4093"/>
      <c r="N284" s="4093"/>
      <c r="O284" s="4093"/>
      <c r="P284" s="4093"/>
      <c r="Q284" s="4093"/>
      <c r="R284" s="4093"/>
      <c r="S284" s="4093"/>
      <c r="T284" s="4093"/>
      <c r="U284" s="4093"/>
      <c r="V284" s="4093"/>
      <c r="W284" s="4093"/>
      <c r="X284" s="4093"/>
      <c r="Y284" s="4093"/>
      <c r="Z284" s="4093"/>
      <c r="AA284" s="4093"/>
      <c r="AB284" s="4093"/>
      <c r="AC284" s="4093"/>
      <c r="AD284" s="4093"/>
      <c r="AE284" s="4093"/>
      <c r="AF284" s="4093"/>
      <c r="AG284" s="4093"/>
      <c r="AH284" s="4093"/>
      <c r="AI284" s="4093"/>
      <c r="AJ284" s="4093"/>
      <c r="AK284" s="4093"/>
    </row>
    <row r="285" spans="1:37">
      <c r="A285" s="4093"/>
      <c r="B285" s="4093"/>
      <c r="C285" s="4093"/>
      <c r="D285" s="4093"/>
      <c r="E285" s="4093"/>
      <c r="F285" s="4093"/>
      <c r="G285" s="4093"/>
      <c r="H285" s="4093"/>
      <c r="I285" s="4093"/>
      <c r="J285" s="4093"/>
      <c r="K285" s="4093"/>
      <c r="L285" s="4093"/>
      <c r="M285" s="4093"/>
      <c r="N285" s="4093"/>
      <c r="O285" s="4093"/>
      <c r="P285" s="4093"/>
      <c r="Q285" s="4093"/>
      <c r="R285" s="4093"/>
      <c r="S285" s="4093"/>
      <c r="T285" s="4093"/>
      <c r="U285" s="4093"/>
      <c r="V285" s="4093"/>
      <c r="W285" s="4093"/>
      <c r="X285" s="4093"/>
      <c r="Y285" s="4093"/>
      <c r="Z285" s="4093"/>
      <c r="AA285" s="4093"/>
      <c r="AB285" s="4093"/>
      <c r="AC285" s="4093"/>
      <c r="AD285" s="4093"/>
      <c r="AE285" s="4093"/>
      <c r="AF285" s="4093"/>
      <c r="AG285" s="4093"/>
      <c r="AH285" s="4093"/>
      <c r="AI285" s="4093"/>
      <c r="AJ285" s="4093"/>
      <c r="AK285" s="4093"/>
    </row>
    <row r="286" spans="1:37">
      <c r="A286" s="4093"/>
      <c r="B286" s="4093"/>
      <c r="C286" s="4093"/>
      <c r="D286" s="4093"/>
      <c r="E286" s="4093"/>
      <c r="F286" s="4093"/>
      <c r="G286" s="4093"/>
      <c r="H286" s="4093"/>
      <c r="I286" s="4093"/>
      <c r="J286" s="4093"/>
      <c r="K286" s="4093"/>
      <c r="L286" s="4093"/>
      <c r="M286" s="4093"/>
      <c r="N286" s="4093"/>
      <c r="O286" s="4093"/>
      <c r="P286" s="4093"/>
      <c r="Q286" s="4093"/>
      <c r="R286" s="4093"/>
      <c r="S286" s="4093"/>
      <c r="T286" s="4093"/>
      <c r="U286" s="4093"/>
      <c r="V286" s="4093"/>
      <c r="W286" s="4093"/>
      <c r="X286" s="4093"/>
      <c r="Y286" s="4093"/>
      <c r="Z286" s="4093"/>
      <c r="AA286" s="4093"/>
      <c r="AB286" s="4093"/>
      <c r="AC286" s="4093"/>
      <c r="AD286" s="4093"/>
      <c r="AE286" s="4093"/>
      <c r="AF286" s="4093"/>
      <c r="AG286" s="4093"/>
      <c r="AH286" s="4093"/>
      <c r="AI286" s="4093"/>
      <c r="AJ286" s="4093"/>
      <c r="AK286" s="4093"/>
    </row>
    <row r="287" spans="1:37">
      <c r="A287" s="4093"/>
      <c r="B287" s="4093"/>
      <c r="C287" s="4093"/>
      <c r="D287" s="4093"/>
      <c r="E287" s="4093"/>
      <c r="F287" s="4093"/>
      <c r="G287" s="4093"/>
      <c r="H287" s="4093"/>
      <c r="I287" s="4093"/>
      <c r="J287" s="4093"/>
      <c r="K287" s="4093"/>
      <c r="L287" s="4093"/>
      <c r="M287" s="4093"/>
      <c r="N287" s="4093"/>
      <c r="O287" s="4093"/>
      <c r="P287" s="4093"/>
      <c r="Q287" s="4093"/>
      <c r="R287" s="4093"/>
      <c r="S287" s="4093"/>
      <c r="T287" s="4093"/>
      <c r="U287" s="4093"/>
      <c r="V287" s="4093"/>
      <c r="W287" s="4093"/>
      <c r="X287" s="4093"/>
      <c r="Y287" s="4093"/>
      <c r="Z287" s="4093"/>
      <c r="AA287" s="4093"/>
      <c r="AB287" s="4093"/>
      <c r="AC287" s="4093"/>
      <c r="AD287" s="4093"/>
      <c r="AE287" s="4093"/>
      <c r="AF287" s="4093"/>
      <c r="AG287" s="4093"/>
      <c r="AH287" s="4093"/>
      <c r="AI287" s="4093"/>
      <c r="AJ287" s="4093"/>
      <c r="AK287" s="4093"/>
    </row>
    <row r="288" spans="1:37">
      <c r="A288" s="4093"/>
      <c r="B288" s="4093"/>
      <c r="C288" s="4093"/>
      <c r="D288" s="4093"/>
      <c r="E288" s="4093"/>
      <c r="F288" s="4093"/>
      <c r="G288" s="4093"/>
      <c r="H288" s="4093"/>
      <c r="I288" s="4093"/>
      <c r="J288" s="4093"/>
      <c r="K288" s="4093"/>
      <c r="L288" s="4093"/>
      <c r="M288" s="4093"/>
      <c r="N288" s="4093"/>
      <c r="O288" s="4093"/>
      <c r="P288" s="4093"/>
      <c r="Q288" s="4093"/>
      <c r="R288" s="4093"/>
      <c r="S288" s="4093"/>
      <c r="T288" s="4093"/>
      <c r="U288" s="4093"/>
      <c r="V288" s="4093"/>
      <c r="W288" s="4093"/>
      <c r="X288" s="4093"/>
      <c r="Y288" s="4093"/>
      <c r="Z288" s="4093"/>
      <c r="AA288" s="4093"/>
      <c r="AB288" s="4093"/>
      <c r="AC288" s="4093"/>
      <c r="AD288" s="4093"/>
      <c r="AE288" s="4093"/>
      <c r="AF288" s="4093"/>
      <c r="AG288" s="4093"/>
      <c r="AH288" s="4093"/>
      <c r="AI288" s="4093"/>
      <c r="AJ288" s="4093"/>
      <c r="AK288" s="4093"/>
    </row>
    <row r="289" spans="1:37">
      <c r="A289" s="4093"/>
      <c r="B289" s="4093"/>
      <c r="C289" s="4093"/>
      <c r="D289" s="4093"/>
      <c r="E289" s="4093"/>
      <c r="F289" s="4093"/>
      <c r="G289" s="4093"/>
      <c r="H289" s="4093"/>
      <c r="I289" s="4093"/>
      <c r="J289" s="4093"/>
      <c r="K289" s="4093"/>
      <c r="L289" s="4093"/>
      <c r="M289" s="4093"/>
      <c r="N289" s="4093"/>
      <c r="O289" s="4093"/>
      <c r="P289" s="4093"/>
      <c r="Q289" s="4093"/>
      <c r="R289" s="4093"/>
      <c r="S289" s="4093"/>
      <c r="T289" s="4093"/>
      <c r="U289" s="4093"/>
      <c r="V289" s="4093"/>
      <c r="W289" s="4093"/>
      <c r="X289" s="4093"/>
      <c r="Y289" s="4093"/>
      <c r="Z289" s="4093"/>
      <c r="AA289" s="4093"/>
      <c r="AB289" s="4093"/>
      <c r="AC289" s="4093"/>
      <c r="AD289" s="4093"/>
      <c r="AE289" s="4093"/>
      <c r="AF289" s="4093"/>
      <c r="AG289" s="4093"/>
      <c r="AH289" s="4093"/>
      <c r="AI289" s="4093"/>
      <c r="AJ289" s="4093"/>
      <c r="AK289" s="4093"/>
    </row>
    <row r="290" spans="1:37">
      <c r="A290" s="4093"/>
      <c r="B290" s="4093"/>
      <c r="C290" s="4093"/>
      <c r="D290" s="4093"/>
      <c r="E290" s="4093"/>
      <c r="F290" s="4093"/>
      <c r="G290" s="4093"/>
      <c r="H290" s="4093"/>
      <c r="I290" s="4093"/>
      <c r="J290" s="4093"/>
      <c r="K290" s="4093"/>
      <c r="L290" s="4093"/>
      <c r="M290" s="4093"/>
      <c r="N290" s="4093"/>
      <c r="O290" s="4093"/>
      <c r="P290" s="4093"/>
      <c r="Q290" s="4093"/>
      <c r="R290" s="4093"/>
      <c r="S290" s="4093"/>
      <c r="T290" s="4093"/>
      <c r="U290" s="4093"/>
      <c r="V290" s="4093"/>
      <c r="W290" s="4093"/>
      <c r="X290" s="4093"/>
      <c r="Y290" s="4093"/>
      <c r="Z290" s="4093"/>
      <c r="AA290" s="4093"/>
      <c r="AB290" s="4093"/>
      <c r="AC290" s="4093"/>
      <c r="AD290" s="4093"/>
      <c r="AE290" s="4093"/>
      <c r="AF290" s="4093"/>
      <c r="AG290" s="4093"/>
      <c r="AH290" s="4093"/>
      <c r="AI290" s="4093"/>
      <c r="AJ290" s="4093"/>
      <c r="AK290" s="4093"/>
    </row>
    <row r="291" spans="1:37">
      <c r="A291" s="4093"/>
      <c r="B291" s="4093"/>
      <c r="C291" s="4093"/>
      <c r="D291" s="4093"/>
      <c r="E291" s="4093"/>
      <c r="F291" s="4093"/>
      <c r="G291" s="4093"/>
      <c r="H291" s="4093"/>
      <c r="I291" s="4093"/>
      <c r="J291" s="4093"/>
      <c r="K291" s="4093"/>
      <c r="L291" s="4093"/>
      <c r="M291" s="4093"/>
      <c r="N291" s="4093"/>
      <c r="O291" s="4093"/>
      <c r="P291" s="4093"/>
      <c r="Q291" s="4093"/>
      <c r="R291" s="4093"/>
      <c r="S291" s="4093"/>
      <c r="T291" s="4093"/>
      <c r="U291" s="4093"/>
      <c r="V291" s="4093"/>
      <c r="W291" s="4093"/>
      <c r="X291" s="4093"/>
      <c r="Y291" s="4093"/>
      <c r="Z291" s="4093"/>
      <c r="AA291" s="4093"/>
      <c r="AB291" s="4093"/>
      <c r="AC291" s="4093"/>
      <c r="AD291" s="4093"/>
      <c r="AE291" s="4093"/>
      <c r="AF291" s="4093"/>
      <c r="AG291" s="4093"/>
      <c r="AH291" s="4093"/>
      <c r="AI291" s="4093"/>
      <c r="AJ291" s="4093"/>
      <c r="AK291" s="4093"/>
    </row>
    <row r="292" spans="1:37">
      <c r="A292" s="4093"/>
      <c r="B292" s="4093"/>
      <c r="C292" s="4093"/>
      <c r="D292" s="4093"/>
      <c r="E292" s="4093"/>
      <c r="F292" s="4093"/>
      <c r="G292" s="4093"/>
      <c r="H292" s="4093"/>
      <c r="I292" s="4093"/>
      <c r="J292" s="4093"/>
      <c r="K292" s="4093"/>
      <c r="L292" s="4093"/>
      <c r="M292" s="4093"/>
      <c r="N292" s="4093"/>
      <c r="O292" s="4093"/>
      <c r="P292" s="4093"/>
      <c r="Q292" s="4093"/>
      <c r="R292" s="4093"/>
      <c r="S292" s="4093"/>
      <c r="T292" s="4093"/>
      <c r="U292" s="4093"/>
      <c r="V292" s="4093"/>
      <c r="W292" s="4093"/>
      <c r="X292" s="4093"/>
      <c r="Y292" s="4093"/>
      <c r="Z292" s="4093"/>
      <c r="AA292" s="4093"/>
      <c r="AB292" s="4093"/>
      <c r="AC292" s="4093"/>
      <c r="AD292" s="4093"/>
      <c r="AE292" s="4093"/>
      <c r="AF292" s="4093"/>
      <c r="AG292" s="4093"/>
      <c r="AH292" s="4093"/>
      <c r="AI292" s="4093"/>
      <c r="AJ292" s="4093"/>
      <c r="AK292" s="4093"/>
    </row>
    <row r="293" spans="1:37">
      <c r="A293" s="4093"/>
      <c r="B293" s="4093"/>
      <c r="C293" s="4093"/>
      <c r="D293" s="4093"/>
      <c r="E293" s="4093"/>
      <c r="F293" s="4093"/>
      <c r="G293" s="4093"/>
      <c r="H293" s="4093"/>
      <c r="I293" s="4093"/>
      <c r="J293" s="4093"/>
      <c r="K293" s="4093"/>
      <c r="L293" s="4093"/>
      <c r="M293" s="4093"/>
      <c r="N293" s="4093"/>
      <c r="O293" s="4093"/>
      <c r="P293" s="4093"/>
      <c r="Q293" s="4093"/>
      <c r="R293" s="4093"/>
      <c r="S293" s="4093"/>
      <c r="T293" s="4093"/>
      <c r="U293" s="4093"/>
      <c r="V293" s="4093"/>
      <c r="W293" s="4093"/>
      <c r="X293" s="4093"/>
      <c r="Y293" s="4093"/>
      <c r="Z293" s="4093"/>
      <c r="AA293" s="4093"/>
      <c r="AB293" s="4093"/>
      <c r="AC293" s="4093"/>
      <c r="AD293" s="4093"/>
      <c r="AE293" s="4093"/>
      <c r="AF293" s="4093"/>
      <c r="AG293" s="4093"/>
      <c r="AH293" s="4093"/>
      <c r="AI293" s="4093"/>
      <c r="AJ293" s="4093"/>
      <c r="AK293" s="4093"/>
    </row>
    <row r="294" spans="1:37">
      <c r="A294" s="4093"/>
      <c r="B294" s="4093"/>
      <c r="C294" s="4093"/>
      <c r="D294" s="4093"/>
      <c r="E294" s="4093"/>
      <c r="F294" s="4093"/>
      <c r="G294" s="4093"/>
      <c r="H294" s="4093"/>
      <c r="I294" s="4093"/>
      <c r="J294" s="4093"/>
      <c r="K294" s="4093"/>
      <c r="L294" s="4093"/>
      <c r="M294" s="4093"/>
      <c r="N294" s="4093"/>
      <c r="O294" s="4093"/>
      <c r="P294" s="4093"/>
      <c r="Q294" s="4093"/>
      <c r="R294" s="4093"/>
      <c r="S294" s="4093"/>
      <c r="T294" s="4093"/>
      <c r="U294" s="4093"/>
      <c r="V294" s="4093"/>
      <c r="W294" s="4093"/>
      <c r="X294" s="4093"/>
      <c r="Y294" s="4093"/>
      <c r="Z294" s="4093"/>
      <c r="AA294" s="4093"/>
      <c r="AB294" s="4093"/>
      <c r="AC294" s="4093"/>
      <c r="AD294" s="4093"/>
      <c r="AE294" s="4093"/>
      <c r="AF294" s="4093"/>
      <c r="AG294" s="4093"/>
      <c r="AH294" s="4093"/>
      <c r="AI294" s="4093"/>
      <c r="AJ294" s="4093"/>
      <c r="AK294" s="4093"/>
    </row>
    <row r="295" spans="1:37">
      <c r="A295" s="4093"/>
      <c r="B295" s="4093"/>
      <c r="C295" s="4093"/>
      <c r="D295" s="4093"/>
      <c r="E295" s="4093"/>
      <c r="F295" s="4093"/>
      <c r="G295" s="4093"/>
      <c r="H295" s="4093"/>
      <c r="I295" s="4093"/>
      <c r="J295" s="4093"/>
      <c r="K295" s="4093"/>
      <c r="L295" s="4093"/>
      <c r="M295" s="4093"/>
      <c r="N295" s="4093"/>
      <c r="O295" s="4093"/>
      <c r="P295" s="4093"/>
      <c r="Q295" s="4093"/>
      <c r="R295" s="4093"/>
      <c r="S295" s="4093"/>
      <c r="T295" s="4093"/>
      <c r="U295" s="4093"/>
      <c r="V295" s="4093"/>
      <c r="W295" s="4093"/>
      <c r="X295" s="4093"/>
      <c r="Y295" s="4093"/>
      <c r="Z295" s="4093"/>
      <c r="AA295" s="4093"/>
      <c r="AB295" s="4093"/>
      <c r="AC295" s="4093"/>
      <c r="AD295" s="4093"/>
      <c r="AE295" s="4093"/>
      <c r="AF295" s="4093"/>
      <c r="AG295" s="4093"/>
      <c r="AH295" s="4093"/>
      <c r="AI295" s="4093"/>
      <c r="AJ295" s="4093"/>
      <c r="AK295" s="4093"/>
    </row>
    <row r="296" spans="1:37">
      <c r="A296" s="4093"/>
      <c r="B296" s="4093"/>
      <c r="C296" s="4093"/>
      <c r="D296" s="4093"/>
      <c r="E296" s="4093"/>
      <c r="F296" s="4093"/>
      <c r="G296" s="4093"/>
      <c r="H296" s="4093"/>
      <c r="I296" s="4093"/>
      <c r="J296" s="4093"/>
      <c r="K296" s="4093"/>
      <c r="L296" s="4093"/>
      <c r="M296" s="4093"/>
      <c r="N296" s="4093"/>
      <c r="O296" s="4093"/>
      <c r="P296" s="4093"/>
      <c r="Q296" s="4093"/>
      <c r="R296" s="4093"/>
      <c r="S296" s="4093"/>
      <c r="T296" s="4093"/>
      <c r="U296" s="4093"/>
      <c r="V296" s="4093"/>
      <c r="W296" s="4093"/>
      <c r="X296" s="4093"/>
      <c r="Y296" s="4093"/>
      <c r="Z296" s="4093"/>
      <c r="AA296" s="4093"/>
      <c r="AB296" s="4093"/>
      <c r="AC296" s="4093"/>
      <c r="AD296" s="4093"/>
      <c r="AE296" s="4093"/>
      <c r="AF296" s="4093"/>
      <c r="AG296" s="4093"/>
      <c r="AH296" s="4093"/>
      <c r="AI296" s="4093"/>
      <c r="AJ296" s="4093"/>
      <c r="AK296" s="4093"/>
    </row>
    <row r="297" spans="1:37">
      <c r="A297" s="4093"/>
      <c r="B297" s="4093"/>
      <c r="C297" s="4093"/>
      <c r="D297" s="4093"/>
      <c r="E297" s="4093"/>
      <c r="F297" s="4093"/>
      <c r="G297" s="4093"/>
      <c r="H297" s="4093"/>
      <c r="I297" s="4093"/>
      <c r="J297" s="4093"/>
      <c r="K297" s="4093"/>
      <c r="L297" s="4093"/>
      <c r="M297" s="4093"/>
      <c r="N297" s="4093"/>
      <c r="O297" s="4093"/>
      <c r="P297" s="4093"/>
      <c r="Q297" s="4093"/>
      <c r="R297" s="4093"/>
      <c r="S297" s="4093"/>
      <c r="T297" s="4093"/>
      <c r="U297" s="4093"/>
      <c r="V297" s="4093"/>
      <c r="W297" s="4093"/>
      <c r="X297" s="4093"/>
      <c r="Y297" s="4093"/>
      <c r="Z297" s="4093"/>
      <c r="AA297" s="4093"/>
      <c r="AB297" s="4093"/>
      <c r="AC297" s="4093"/>
      <c r="AD297" s="4093"/>
      <c r="AE297" s="4093"/>
      <c r="AF297" s="4093"/>
      <c r="AG297" s="4093"/>
      <c r="AH297" s="4093"/>
      <c r="AI297" s="4093"/>
      <c r="AJ297" s="4093"/>
      <c r="AK297" s="4093"/>
    </row>
    <row r="298" spans="1:37">
      <c r="A298" s="4093"/>
      <c r="B298" s="4093"/>
      <c r="C298" s="4093"/>
      <c r="D298" s="4093"/>
      <c r="E298" s="4093"/>
      <c r="F298" s="4093"/>
      <c r="G298" s="4093"/>
      <c r="H298" s="4093"/>
      <c r="I298" s="4093"/>
      <c r="J298" s="4093"/>
      <c r="K298" s="4093"/>
      <c r="L298" s="4093"/>
      <c r="M298" s="4093"/>
      <c r="N298" s="4093"/>
      <c r="O298" s="4093"/>
      <c r="P298" s="4093"/>
      <c r="Q298" s="4093"/>
      <c r="R298" s="4093"/>
      <c r="S298" s="4093"/>
      <c r="T298" s="4093"/>
      <c r="U298" s="4093"/>
      <c r="V298" s="4093"/>
      <c r="W298" s="4093"/>
      <c r="X298" s="4093"/>
      <c r="Y298" s="4093"/>
      <c r="Z298" s="4093"/>
      <c r="AA298" s="4093"/>
      <c r="AB298" s="4093"/>
      <c r="AC298" s="4093"/>
      <c r="AD298" s="4093"/>
      <c r="AE298" s="4093"/>
      <c r="AF298" s="4093"/>
      <c r="AG298" s="4093"/>
      <c r="AH298" s="4093"/>
      <c r="AI298" s="4093"/>
      <c r="AJ298" s="4093"/>
      <c r="AK298" s="4093"/>
    </row>
    <row r="299" spans="1:37">
      <c r="A299" s="4093"/>
      <c r="B299" s="4093"/>
      <c r="C299" s="4093"/>
      <c r="D299" s="4093"/>
      <c r="E299" s="4093"/>
      <c r="F299" s="4093"/>
      <c r="G299" s="4093"/>
      <c r="H299" s="4093"/>
      <c r="I299" s="4093"/>
      <c r="J299" s="4093"/>
      <c r="K299" s="4093"/>
      <c r="L299" s="4093"/>
      <c r="M299" s="4093"/>
      <c r="N299" s="4093"/>
      <c r="O299" s="4093"/>
      <c r="P299" s="4093"/>
      <c r="Q299" s="4093"/>
      <c r="R299" s="4093"/>
      <c r="S299" s="4093"/>
      <c r="T299" s="4093"/>
      <c r="U299" s="4093"/>
      <c r="V299" s="4093"/>
      <c r="W299" s="4093"/>
      <c r="X299" s="4093"/>
      <c r="Y299" s="4093"/>
      <c r="Z299" s="4093"/>
      <c r="AA299" s="4093"/>
      <c r="AB299" s="4093"/>
      <c r="AC299" s="4093"/>
      <c r="AD299" s="4093"/>
      <c r="AE299" s="4093"/>
      <c r="AF299" s="4093"/>
      <c r="AG299" s="4093"/>
      <c r="AH299" s="4093"/>
      <c r="AI299" s="4093"/>
      <c r="AJ299" s="4093"/>
      <c r="AK299" s="4093"/>
    </row>
    <row r="300" spans="1:37">
      <c r="A300" s="4093"/>
      <c r="B300" s="4093"/>
      <c r="C300" s="4093"/>
      <c r="D300" s="4093"/>
      <c r="E300" s="4093"/>
      <c r="F300" s="4093"/>
      <c r="G300" s="4093"/>
      <c r="H300" s="4093"/>
      <c r="I300" s="4093"/>
      <c r="J300" s="4093"/>
      <c r="K300" s="4093"/>
      <c r="L300" s="4093"/>
      <c r="M300" s="4093"/>
      <c r="N300" s="4093"/>
      <c r="O300" s="4093"/>
      <c r="P300" s="4093"/>
      <c r="Q300" s="4093"/>
      <c r="R300" s="4093"/>
      <c r="S300" s="4093"/>
      <c r="T300" s="4093"/>
      <c r="U300" s="4093"/>
      <c r="V300" s="4093"/>
      <c r="W300" s="4093"/>
      <c r="X300" s="4093"/>
      <c r="Y300" s="4093"/>
      <c r="Z300" s="4093"/>
      <c r="AA300" s="4093"/>
      <c r="AB300" s="4093"/>
      <c r="AC300" s="4093"/>
      <c r="AD300" s="4093"/>
      <c r="AE300" s="4093"/>
      <c r="AF300" s="4093"/>
      <c r="AG300" s="4093"/>
      <c r="AH300" s="4093"/>
      <c r="AI300" s="4093"/>
      <c r="AJ300" s="4093"/>
      <c r="AK300" s="4093"/>
    </row>
    <row r="301" spans="1:37">
      <c r="A301" s="4093"/>
      <c r="B301" s="4093"/>
      <c r="C301" s="4093"/>
      <c r="D301" s="4093"/>
      <c r="E301" s="4093"/>
      <c r="F301" s="4093"/>
      <c r="G301" s="4093"/>
      <c r="H301" s="4093"/>
      <c r="I301" s="4093"/>
      <c r="J301" s="4093"/>
      <c r="K301" s="4093"/>
      <c r="L301" s="4093"/>
      <c r="M301" s="4093"/>
      <c r="N301" s="4093"/>
      <c r="O301" s="4093"/>
      <c r="P301" s="4093"/>
      <c r="Q301" s="4093"/>
      <c r="R301" s="4093"/>
      <c r="S301" s="4093"/>
      <c r="T301" s="4093"/>
      <c r="U301" s="4093"/>
      <c r="V301" s="4093"/>
      <c r="W301" s="4093"/>
      <c r="X301" s="4093"/>
      <c r="Y301" s="4093"/>
      <c r="Z301" s="4093"/>
      <c r="AA301" s="4093"/>
      <c r="AB301" s="4093"/>
      <c r="AC301" s="4093"/>
      <c r="AD301" s="4093"/>
      <c r="AE301" s="4093"/>
      <c r="AF301" s="4093"/>
      <c r="AG301" s="4093"/>
      <c r="AH301" s="4093"/>
      <c r="AI301" s="4093"/>
      <c r="AJ301" s="4093"/>
      <c r="AK301" s="4093"/>
    </row>
    <row r="302" spans="1:37">
      <c r="A302" s="4093"/>
      <c r="B302" s="4093"/>
      <c r="C302" s="4093"/>
      <c r="D302" s="4093"/>
      <c r="E302" s="4093"/>
      <c r="F302" s="4093"/>
      <c r="G302" s="4093"/>
      <c r="H302" s="4093"/>
      <c r="I302" s="4093"/>
      <c r="J302" s="4093"/>
      <c r="K302" s="4093"/>
      <c r="L302" s="4093"/>
      <c r="M302" s="4093"/>
      <c r="N302" s="4093"/>
      <c r="O302" s="4093"/>
      <c r="P302" s="4093"/>
      <c r="Q302" s="4093"/>
      <c r="R302" s="4093"/>
      <c r="S302" s="4093"/>
      <c r="T302" s="4093"/>
      <c r="U302" s="4093"/>
      <c r="V302" s="4093"/>
      <c r="W302" s="4093"/>
      <c r="X302" s="4093"/>
      <c r="Y302" s="4093"/>
      <c r="Z302" s="4093"/>
      <c r="AA302" s="4093"/>
      <c r="AB302" s="4093"/>
      <c r="AC302" s="4093"/>
      <c r="AD302" s="4093"/>
      <c r="AE302" s="4093"/>
      <c r="AF302" s="4093"/>
      <c r="AG302" s="4093"/>
      <c r="AH302" s="4093"/>
      <c r="AI302" s="4093"/>
      <c r="AJ302" s="4093"/>
      <c r="AK302" s="4093"/>
    </row>
    <row r="303" spans="1:37">
      <c r="A303" s="4093"/>
      <c r="B303" s="4093"/>
      <c r="C303" s="4093"/>
      <c r="D303" s="4093"/>
      <c r="E303" s="4093"/>
      <c r="F303" s="4093"/>
      <c r="G303" s="4093"/>
      <c r="H303" s="4093"/>
      <c r="I303" s="4093"/>
      <c r="J303" s="4093"/>
      <c r="K303" s="4093"/>
      <c r="L303" s="4093"/>
      <c r="M303" s="4093"/>
      <c r="N303" s="4093"/>
      <c r="O303" s="4093"/>
      <c r="P303" s="4093"/>
      <c r="Q303" s="4093"/>
      <c r="R303" s="4093"/>
      <c r="S303" s="4093"/>
      <c r="T303" s="4093"/>
      <c r="U303" s="4093"/>
      <c r="V303" s="4093"/>
      <c r="W303" s="4093"/>
      <c r="X303" s="4093"/>
      <c r="Y303" s="4093"/>
      <c r="Z303" s="4093"/>
      <c r="AA303" s="4093"/>
      <c r="AB303" s="4093"/>
      <c r="AC303" s="4093"/>
      <c r="AD303" s="4093"/>
      <c r="AE303" s="4093"/>
      <c r="AF303" s="4093"/>
      <c r="AG303" s="4093"/>
      <c r="AH303" s="4093"/>
      <c r="AI303" s="4093"/>
      <c r="AJ303" s="4093"/>
      <c r="AK303" s="4093"/>
    </row>
    <row r="304" spans="1:37">
      <c r="A304" s="4093"/>
      <c r="B304" s="4093"/>
      <c r="C304" s="4093"/>
      <c r="D304" s="4093"/>
      <c r="E304" s="4093"/>
      <c r="F304" s="4093"/>
      <c r="G304" s="4093"/>
      <c r="H304" s="4093"/>
      <c r="I304" s="4093"/>
      <c r="J304" s="4093"/>
      <c r="K304" s="4093"/>
      <c r="L304" s="4093"/>
      <c r="M304" s="4093"/>
      <c r="N304" s="4093"/>
      <c r="O304" s="4093"/>
      <c r="P304" s="4093"/>
      <c r="Q304" s="4093"/>
      <c r="R304" s="4093"/>
      <c r="S304" s="4093"/>
      <c r="T304" s="4093"/>
      <c r="U304" s="4093"/>
      <c r="V304" s="4093"/>
      <c r="W304" s="4093"/>
      <c r="X304" s="4093"/>
      <c r="Y304" s="4093"/>
      <c r="Z304" s="4093"/>
      <c r="AA304" s="4093"/>
      <c r="AB304" s="4093"/>
      <c r="AC304" s="4093"/>
      <c r="AD304" s="4093"/>
      <c r="AE304" s="4093"/>
      <c r="AF304" s="4093"/>
      <c r="AG304" s="4093"/>
      <c r="AH304" s="4093"/>
      <c r="AI304" s="4093"/>
      <c r="AJ304" s="4093"/>
      <c r="AK304" s="4093"/>
    </row>
    <row r="305" spans="1:37">
      <c r="A305" s="4093"/>
      <c r="B305" s="4093"/>
      <c r="C305" s="4093"/>
      <c r="D305" s="4093"/>
      <c r="E305" s="4093"/>
      <c r="F305" s="4093"/>
      <c r="G305" s="4093"/>
      <c r="H305" s="4093"/>
      <c r="I305" s="4093"/>
      <c r="J305" s="4093"/>
      <c r="K305" s="4093"/>
      <c r="L305" s="4093"/>
      <c r="M305" s="4093"/>
      <c r="N305" s="4093"/>
      <c r="O305" s="4093"/>
      <c r="P305" s="4093"/>
      <c r="Q305" s="4093"/>
      <c r="R305" s="4093"/>
      <c r="S305" s="4093"/>
      <c r="T305" s="4093"/>
      <c r="U305" s="4093"/>
      <c r="V305" s="4093"/>
      <c r="W305" s="4093"/>
      <c r="X305" s="4093"/>
      <c r="Y305" s="4093"/>
      <c r="Z305" s="4093"/>
      <c r="AA305" s="4093"/>
      <c r="AB305" s="4093"/>
      <c r="AC305" s="4093"/>
      <c r="AD305" s="4093"/>
      <c r="AE305" s="4093"/>
      <c r="AF305" s="4093"/>
      <c r="AG305" s="4093"/>
      <c r="AH305" s="4093"/>
      <c r="AI305" s="4093"/>
      <c r="AJ305" s="4093"/>
      <c r="AK305" s="4093"/>
    </row>
    <row r="306" spans="1:37">
      <c r="A306" s="4093"/>
      <c r="B306" s="4093"/>
      <c r="C306" s="4093"/>
      <c r="D306" s="4093"/>
      <c r="E306" s="4093"/>
      <c r="F306" s="4093"/>
      <c r="G306" s="4093"/>
      <c r="H306" s="4093"/>
      <c r="I306" s="4093"/>
      <c r="J306" s="4093"/>
      <c r="K306" s="4093"/>
      <c r="L306" s="4093"/>
      <c r="M306" s="4093"/>
      <c r="N306" s="4093"/>
      <c r="O306" s="4093"/>
      <c r="P306" s="4093"/>
      <c r="Q306" s="4093"/>
      <c r="R306" s="4093"/>
      <c r="S306" s="4093"/>
      <c r="T306" s="4093"/>
      <c r="U306" s="4093"/>
      <c r="V306" s="4093"/>
      <c r="W306" s="4093"/>
      <c r="X306" s="4093"/>
      <c r="Y306" s="4093"/>
      <c r="Z306" s="4093"/>
      <c r="AA306" s="4093"/>
      <c r="AB306" s="4093"/>
      <c r="AC306" s="4093"/>
      <c r="AD306" s="4093"/>
      <c r="AE306" s="4093"/>
      <c r="AF306" s="4093"/>
      <c r="AG306" s="4093"/>
      <c r="AH306" s="4093"/>
      <c r="AI306" s="4093"/>
      <c r="AJ306" s="4093"/>
      <c r="AK306" s="4093"/>
    </row>
    <row r="307" spans="1:37">
      <c r="A307" s="4093"/>
      <c r="B307" s="4093"/>
      <c r="C307" s="4093"/>
      <c r="D307" s="4093"/>
      <c r="E307" s="4093"/>
      <c r="F307" s="4093"/>
      <c r="G307" s="4093"/>
      <c r="H307" s="4093"/>
      <c r="I307" s="4093"/>
      <c r="J307" s="4093"/>
      <c r="K307" s="4093"/>
      <c r="L307" s="4093"/>
      <c r="M307" s="4093"/>
      <c r="N307" s="4093"/>
      <c r="O307" s="4093"/>
      <c r="P307" s="4093"/>
      <c r="Q307" s="4093"/>
      <c r="R307" s="4093"/>
      <c r="S307" s="4093"/>
      <c r="T307" s="4093"/>
      <c r="U307" s="4093"/>
      <c r="V307" s="4093"/>
      <c r="W307" s="4093"/>
      <c r="X307" s="4093"/>
      <c r="Y307" s="4093"/>
      <c r="Z307" s="4093"/>
      <c r="AA307" s="4093"/>
      <c r="AB307" s="4093"/>
      <c r="AC307" s="4093"/>
      <c r="AD307" s="4093"/>
      <c r="AE307" s="4093"/>
      <c r="AF307" s="4093"/>
      <c r="AG307" s="4093"/>
      <c r="AH307" s="4093"/>
      <c r="AI307" s="4093"/>
      <c r="AJ307" s="4093"/>
      <c r="AK307" s="4093"/>
    </row>
    <row r="308" spans="1:37">
      <c r="A308" s="4093"/>
      <c r="B308" s="4093"/>
      <c r="C308" s="4093"/>
      <c r="D308" s="4093"/>
      <c r="E308" s="4093"/>
      <c r="F308" s="4093"/>
      <c r="G308" s="4093"/>
      <c r="H308" s="4093"/>
      <c r="I308" s="4093"/>
      <c r="J308" s="4093"/>
      <c r="K308" s="4093"/>
      <c r="L308" s="4093"/>
      <c r="M308" s="4093"/>
      <c r="N308" s="4093"/>
      <c r="O308" s="4093"/>
      <c r="P308" s="4093"/>
      <c r="Q308" s="4093"/>
      <c r="R308" s="4093"/>
      <c r="S308" s="4093"/>
      <c r="T308" s="4093"/>
      <c r="U308" s="4093"/>
      <c r="V308" s="4093"/>
      <c r="W308" s="4093"/>
      <c r="X308" s="4093"/>
      <c r="Y308" s="4093"/>
      <c r="Z308" s="4093"/>
      <c r="AA308" s="4093"/>
      <c r="AB308" s="4093"/>
      <c r="AC308" s="4093"/>
      <c r="AD308" s="4093"/>
      <c r="AE308" s="4093"/>
      <c r="AF308" s="4093"/>
      <c r="AG308" s="4093"/>
      <c r="AH308" s="4093"/>
      <c r="AI308" s="4093"/>
      <c r="AJ308" s="4093"/>
      <c r="AK308" s="4093"/>
    </row>
    <row r="309" spans="1:37">
      <c r="A309" s="4093"/>
      <c r="B309" s="4093"/>
      <c r="C309" s="4093"/>
      <c r="D309" s="4093"/>
      <c r="E309" s="4093"/>
      <c r="F309" s="4093"/>
      <c r="G309" s="4093"/>
      <c r="H309" s="4093"/>
      <c r="I309" s="4093"/>
      <c r="J309" s="4093"/>
      <c r="K309" s="4093"/>
      <c r="L309" s="4093"/>
      <c r="M309" s="4093"/>
      <c r="N309" s="4093"/>
      <c r="O309" s="4093"/>
      <c r="P309" s="4093"/>
      <c r="Q309" s="4093"/>
      <c r="R309" s="4093"/>
      <c r="S309" s="4093"/>
      <c r="T309" s="4093"/>
      <c r="U309" s="4093"/>
      <c r="V309" s="4093"/>
      <c r="W309" s="4093"/>
      <c r="X309" s="4093"/>
      <c r="Y309" s="4093"/>
      <c r="Z309" s="4093"/>
      <c r="AA309" s="4093"/>
      <c r="AB309" s="4093"/>
      <c r="AC309" s="4093"/>
      <c r="AD309" s="4093"/>
      <c r="AE309" s="4093"/>
      <c r="AF309" s="4093"/>
      <c r="AG309" s="4093"/>
      <c r="AH309" s="4093"/>
      <c r="AI309" s="4093"/>
      <c r="AJ309" s="4093"/>
      <c r="AK309" s="4093"/>
    </row>
    <row r="310" spans="1:37">
      <c r="A310" s="4093"/>
      <c r="B310" s="4093"/>
      <c r="C310" s="4093"/>
      <c r="D310" s="4093"/>
      <c r="E310" s="4093"/>
      <c r="F310" s="4093"/>
      <c r="G310" s="4093"/>
      <c r="H310" s="4093"/>
      <c r="I310" s="4093"/>
      <c r="J310" s="4093"/>
      <c r="K310" s="4093"/>
      <c r="L310" s="4093"/>
      <c r="M310" s="4093"/>
      <c r="N310" s="4093"/>
      <c r="O310" s="4093"/>
      <c r="P310" s="4093"/>
      <c r="Q310" s="4093"/>
      <c r="R310" s="4093"/>
      <c r="S310" s="4093"/>
      <c r="T310" s="4093"/>
      <c r="U310" s="4093"/>
      <c r="V310" s="4093"/>
      <c r="W310" s="4093"/>
      <c r="X310" s="4093"/>
      <c r="Y310" s="4093"/>
      <c r="Z310" s="4093"/>
      <c r="AA310" s="4093"/>
      <c r="AB310" s="4093"/>
      <c r="AC310" s="4093"/>
      <c r="AD310" s="4093"/>
      <c r="AE310" s="4093"/>
      <c r="AF310" s="4093"/>
      <c r="AG310" s="4093"/>
      <c r="AH310" s="4093"/>
      <c r="AI310" s="4093"/>
      <c r="AJ310" s="4093"/>
      <c r="AK310" s="4093"/>
    </row>
    <row r="311" spans="1:37">
      <c r="A311" s="4093"/>
      <c r="B311" s="4093"/>
      <c r="C311" s="4093"/>
      <c r="D311" s="4093"/>
      <c r="E311" s="4093"/>
      <c r="F311" s="4093"/>
      <c r="G311" s="4093"/>
      <c r="H311" s="4093"/>
      <c r="I311" s="4093"/>
      <c r="J311" s="4093"/>
      <c r="K311" s="4093"/>
      <c r="L311" s="4093"/>
      <c r="M311" s="4093"/>
      <c r="N311" s="4093"/>
      <c r="O311" s="4093"/>
      <c r="P311" s="4093"/>
      <c r="Q311" s="4093"/>
      <c r="R311" s="4093"/>
      <c r="S311" s="4093"/>
      <c r="T311" s="4093"/>
      <c r="U311" s="4093"/>
      <c r="V311" s="4093"/>
      <c r="W311" s="4093"/>
      <c r="X311" s="4093"/>
      <c r="Y311" s="4093"/>
      <c r="Z311" s="4093"/>
      <c r="AA311" s="4093"/>
      <c r="AB311" s="4093"/>
      <c r="AC311" s="4093"/>
      <c r="AD311" s="4093"/>
      <c r="AE311" s="4093"/>
      <c r="AF311" s="4093"/>
      <c r="AG311" s="4093"/>
      <c r="AH311" s="4093"/>
      <c r="AI311" s="4093"/>
      <c r="AJ311" s="4093"/>
      <c r="AK311" s="4093"/>
    </row>
    <row r="312" spans="1:37">
      <c r="A312" s="4093"/>
      <c r="B312" s="4093"/>
      <c r="C312" s="4093"/>
      <c r="D312" s="4093"/>
      <c r="E312" s="4093"/>
      <c r="F312" s="4093"/>
      <c r="G312" s="4093"/>
      <c r="H312" s="4093"/>
      <c r="I312" s="4093"/>
      <c r="J312" s="4093"/>
      <c r="K312" s="4093"/>
      <c r="L312" s="4093"/>
      <c r="M312" s="4093"/>
      <c r="N312" s="4093"/>
      <c r="O312" s="4093"/>
      <c r="P312" s="4093"/>
      <c r="Q312" s="4093"/>
      <c r="R312" s="4093"/>
      <c r="S312" s="4093"/>
      <c r="T312" s="4093"/>
      <c r="U312" s="4093"/>
      <c r="V312" s="4093"/>
      <c r="W312" s="4093"/>
      <c r="X312" s="4093"/>
      <c r="Y312" s="4093"/>
      <c r="Z312" s="4093"/>
      <c r="AA312" s="4093"/>
      <c r="AB312" s="4093"/>
      <c r="AC312" s="4093"/>
      <c r="AD312" s="4093"/>
      <c r="AE312" s="4093"/>
      <c r="AF312" s="4093"/>
      <c r="AG312" s="4093"/>
      <c r="AH312" s="4093"/>
      <c r="AI312" s="4093"/>
      <c r="AJ312" s="4093"/>
      <c r="AK312" s="4093"/>
    </row>
    <row r="313" spans="1:37">
      <c r="A313" s="4093"/>
      <c r="B313" s="4093"/>
      <c r="C313" s="4093"/>
      <c r="D313" s="4093"/>
      <c r="E313" s="4093"/>
      <c r="F313" s="4093"/>
      <c r="G313" s="4093"/>
      <c r="H313" s="4093"/>
      <c r="I313" s="4093"/>
      <c r="J313" s="4093"/>
      <c r="K313" s="4093"/>
      <c r="L313" s="4093"/>
      <c r="M313" s="4093"/>
      <c r="N313" s="4093"/>
      <c r="O313" s="4093"/>
      <c r="P313" s="4093"/>
      <c r="Q313" s="4093"/>
      <c r="R313" s="4093"/>
      <c r="S313" s="4093"/>
      <c r="T313" s="4093"/>
      <c r="U313" s="4093"/>
      <c r="V313" s="4093"/>
      <c r="W313" s="4093"/>
      <c r="X313" s="4093"/>
      <c r="Y313" s="4093"/>
      <c r="Z313" s="4093"/>
      <c r="AA313" s="4093"/>
      <c r="AB313" s="4093"/>
      <c r="AC313" s="4093"/>
      <c r="AD313" s="4093"/>
      <c r="AE313" s="4093"/>
      <c r="AF313" s="4093"/>
      <c r="AG313" s="4093"/>
      <c r="AH313" s="4093"/>
      <c r="AI313" s="4093"/>
      <c r="AJ313" s="4093"/>
      <c r="AK313" s="4093"/>
    </row>
    <row r="314" spans="1:37">
      <c r="A314" s="4093"/>
      <c r="B314" s="4093"/>
      <c r="C314" s="4093"/>
      <c r="D314" s="4093"/>
      <c r="E314" s="4093"/>
      <c r="F314" s="4093"/>
      <c r="G314" s="4093"/>
      <c r="H314" s="4093"/>
      <c r="I314" s="4093"/>
      <c r="J314" s="4093"/>
      <c r="K314" s="4093"/>
      <c r="L314" s="4093"/>
      <c r="M314" s="4093"/>
      <c r="N314" s="4093"/>
      <c r="O314" s="4093"/>
      <c r="P314" s="4093"/>
      <c r="Q314" s="4093"/>
      <c r="R314" s="4093"/>
      <c r="S314" s="4093"/>
      <c r="T314" s="4093"/>
      <c r="U314" s="4093"/>
      <c r="V314" s="4093"/>
      <c r="W314" s="4093"/>
      <c r="X314" s="4093"/>
      <c r="Y314" s="4093"/>
      <c r="Z314" s="4093"/>
      <c r="AA314" s="4093"/>
      <c r="AB314" s="4093"/>
      <c r="AC314" s="4093"/>
      <c r="AD314" s="4093"/>
      <c r="AE314" s="4093"/>
      <c r="AF314" s="4093"/>
      <c r="AG314" s="4093"/>
      <c r="AH314" s="4093"/>
      <c r="AI314" s="4093"/>
      <c r="AJ314" s="4093"/>
      <c r="AK314" s="4093"/>
    </row>
    <row r="315" spans="1:37">
      <c r="A315" s="4093"/>
      <c r="B315" s="4093"/>
      <c r="C315" s="4093"/>
      <c r="D315" s="4093"/>
      <c r="E315" s="4093"/>
      <c r="F315" s="4093"/>
      <c r="G315" s="4093"/>
      <c r="H315" s="4093"/>
      <c r="I315" s="4093"/>
      <c r="J315" s="4093"/>
      <c r="K315" s="4093"/>
      <c r="L315" s="4093"/>
      <c r="M315" s="4093"/>
      <c r="N315" s="4093"/>
      <c r="O315" s="4093"/>
      <c r="P315" s="4093"/>
      <c r="Q315" s="4093"/>
      <c r="R315" s="4093"/>
      <c r="S315" s="4093"/>
      <c r="T315" s="4093"/>
      <c r="U315" s="4093"/>
      <c r="V315" s="4093"/>
      <c r="W315" s="4093"/>
      <c r="X315" s="4093"/>
      <c r="Y315" s="4093"/>
      <c r="Z315" s="4093"/>
      <c r="AA315" s="4093"/>
      <c r="AB315" s="4093"/>
      <c r="AC315" s="4093"/>
      <c r="AD315" s="4093"/>
      <c r="AE315" s="4093"/>
      <c r="AF315" s="4093"/>
      <c r="AG315" s="4093"/>
      <c r="AH315" s="4093"/>
      <c r="AI315" s="4093"/>
      <c r="AJ315" s="4093"/>
      <c r="AK315" s="4093"/>
    </row>
    <row r="316" spans="1:37">
      <c r="A316" s="4093"/>
      <c r="B316" s="4093"/>
      <c r="C316" s="4093"/>
      <c r="D316" s="4093"/>
      <c r="E316" s="4093"/>
      <c r="F316" s="4093"/>
      <c r="G316" s="4093"/>
      <c r="H316" s="4093"/>
      <c r="I316" s="4093"/>
      <c r="J316" s="4093"/>
      <c r="K316" s="4093"/>
      <c r="L316" s="4093"/>
      <c r="M316" s="4093"/>
      <c r="N316" s="4093"/>
      <c r="O316" s="4093"/>
      <c r="P316" s="4093"/>
      <c r="Q316" s="4093"/>
      <c r="R316" s="4093"/>
      <c r="S316" s="4093"/>
      <c r="T316" s="4093"/>
      <c r="U316" s="4093"/>
      <c r="V316" s="4093"/>
      <c r="W316" s="4093"/>
      <c r="X316" s="4093"/>
      <c r="Y316" s="4093"/>
      <c r="Z316" s="4093"/>
      <c r="AA316" s="4093"/>
      <c r="AB316" s="4093"/>
      <c r="AC316" s="4093"/>
      <c r="AD316" s="4093"/>
      <c r="AE316" s="4093"/>
      <c r="AF316" s="4093"/>
      <c r="AG316" s="4093"/>
      <c r="AH316" s="4093"/>
      <c r="AI316" s="4093"/>
      <c r="AJ316" s="4093"/>
      <c r="AK316" s="4093"/>
    </row>
    <row r="317" spans="1:37">
      <c r="A317" s="4093"/>
      <c r="B317" s="4093"/>
      <c r="C317" s="4093"/>
      <c r="D317" s="4093"/>
      <c r="E317" s="4093"/>
      <c r="F317" s="4093"/>
      <c r="G317" s="4093"/>
      <c r="H317" s="4093"/>
      <c r="I317" s="4093"/>
      <c r="J317" s="4093"/>
      <c r="K317" s="4093"/>
      <c r="L317" s="4093"/>
      <c r="M317" s="4093"/>
      <c r="N317" s="4093"/>
      <c r="O317" s="4093"/>
      <c r="P317" s="4093"/>
      <c r="Q317" s="4093"/>
      <c r="R317" s="4093"/>
      <c r="S317" s="4093"/>
      <c r="T317" s="4093"/>
      <c r="U317" s="4093"/>
      <c r="V317" s="4093"/>
      <c r="W317" s="4093"/>
      <c r="X317" s="4093"/>
      <c r="Y317" s="4093"/>
      <c r="Z317" s="4093"/>
      <c r="AA317" s="4093"/>
      <c r="AB317" s="4093"/>
      <c r="AC317" s="4093"/>
      <c r="AD317" s="4093"/>
      <c r="AE317" s="4093"/>
      <c r="AF317" s="4093"/>
      <c r="AG317" s="4093"/>
      <c r="AH317" s="4093"/>
      <c r="AI317" s="4093"/>
      <c r="AJ317" s="4093"/>
      <c r="AK317" s="4093"/>
    </row>
    <row r="318" spans="1:37">
      <c r="A318" s="4093"/>
      <c r="B318" s="4093"/>
      <c r="C318" s="4093"/>
      <c r="D318" s="4093"/>
      <c r="E318" s="4093"/>
      <c r="F318" s="4093"/>
      <c r="G318" s="4093"/>
      <c r="H318" s="4093"/>
      <c r="I318" s="4093"/>
      <c r="J318" s="4093"/>
      <c r="K318" s="4093"/>
      <c r="L318" s="4093"/>
      <c r="M318" s="4093"/>
      <c r="N318" s="4093"/>
      <c r="O318" s="4093"/>
      <c r="P318" s="4093"/>
      <c r="Q318" s="4093"/>
      <c r="R318" s="4093"/>
      <c r="S318" s="4093"/>
      <c r="T318" s="4093"/>
      <c r="U318" s="4093"/>
      <c r="V318" s="4093"/>
      <c r="W318" s="4093"/>
      <c r="X318" s="4093"/>
      <c r="Y318" s="4093"/>
      <c r="Z318" s="4093"/>
      <c r="AA318" s="4093"/>
      <c r="AB318" s="4093"/>
      <c r="AC318" s="4093"/>
      <c r="AD318" s="4093"/>
      <c r="AE318" s="4093"/>
      <c r="AF318" s="4093"/>
      <c r="AG318" s="4093"/>
      <c r="AH318" s="4093"/>
      <c r="AI318" s="4093"/>
      <c r="AJ318" s="4093"/>
      <c r="AK318" s="4093"/>
    </row>
    <row r="319" spans="1:37">
      <c r="A319" s="4093"/>
      <c r="B319" s="4093"/>
      <c r="C319" s="4093"/>
      <c r="D319" s="4093"/>
      <c r="E319" s="4093"/>
      <c r="F319" s="4093"/>
      <c r="G319" s="4093"/>
      <c r="H319" s="4093"/>
      <c r="I319" s="4093"/>
      <c r="J319" s="4093"/>
      <c r="K319" s="4093"/>
      <c r="L319" s="4093"/>
      <c r="M319" s="4093"/>
      <c r="N319" s="4093"/>
      <c r="O319" s="4093"/>
      <c r="P319" s="4093"/>
      <c r="Q319" s="4093"/>
      <c r="R319" s="4093"/>
      <c r="S319" s="4093"/>
      <c r="T319" s="4093"/>
      <c r="U319" s="4093"/>
      <c r="V319" s="4093"/>
      <c r="W319" s="4093"/>
      <c r="X319" s="4093"/>
      <c r="Y319" s="4093"/>
      <c r="Z319" s="4093"/>
      <c r="AA319" s="4093"/>
      <c r="AB319" s="4093"/>
      <c r="AC319" s="4093"/>
      <c r="AD319" s="4093"/>
      <c r="AE319" s="4093"/>
      <c r="AF319" s="4093"/>
      <c r="AG319" s="4093"/>
      <c r="AH319" s="4093"/>
      <c r="AI319" s="4093"/>
      <c r="AJ319" s="4093"/>
      <c r="AK319" s="4093"/>
    </row>
    <row r="320" spans="1:37">
      <c r="A320" s="4093"/>
      <c r="B320" s="4093"/>
      <c r="C320" s="4093"/>
      <c r="D320" s="4093"/>
      <c r="E320" s="4093"/>
      <c r="F320" s="4093"/>
      <c r="G320" s="4093"/>
      <c r="H320" s="4093"/>
      <c r="I320" s="4093"/>
      <c r="J320" s="4093"/>
      <c r="K320" s="4093"/>
      <c r="L320" s="4093"/>
      <c r="M320" s="4093"/>
      <c r="N320" s="4093"/>
      <c r="O320" s="4093"/>
      <c r="P320" s="4093"/>
      <c r="Q320" s="4093"/>
      <c r="R320" s="4093"/>
      <c r="S320" s="4093"/>
      <c r="T320" s="4093"/>
      <c r="U320" s="4093"/>
      <c r="V320" s="4093"/>
      <c r="W320" s="4093"/>
      <c r="X320" s="4093"/>
      <c r="Y320" s="4093"/>
      <c r="Z320" s="4093"/>
      <c r="AA320" s="4093"/>
      <c r="AB320" s="4093"/>
      <c r="AC320" s="4093"/>
      <c r="AD320" s="4093"/>
      <c r="AE320" s="4093"/>
      <c r="AF320" s="4093"/>
      <c r="AG320" s="4093"/>
      <c r="AH320" s="4093"/>
      <c r="AI320" s="4093"/>
      <c r="AJ320" s="4093"/>
      <c r="AK320" s="4093"/>
    </row>
    <row r="321" spans="1:37">
      <c r="A321" s="4093"/>
      <c r="B321" s="4093"/>
      <c r="C321" s="4093"/>
      <c r="D321" s="4093"/>
      <c r="E321" s="4093"/>
      <c r="F321" s="4093"/>
      <c r="G321" s="4093"/>
      <c r="H321" s="4093"/>
      <c r="I321" s="4093"/>
      <c r="J321" s="4093"/>
      <c r="K321" s="4093"/>
      <c r="L321" s="4093"/>
      <c r="M321" s="4093"/>
      <c r="N321" s="4093"/>
      <c r="O321" s="4093"/>
      <c r="P321" s="4093"/>
      <c r="Q321" s="4093"/>
      <c r="R321" s="4093"/>
      <c r="S321" s="4093"/>
      <c r="T321" s="4093"/>
      <c r="U321" s="4093"/>
      <c r="V321" s="4093"/>
      <c r="W321" s="4093"/>
      <c r="X321" s="4093"/>
      <c r="Y321" s="4093"/>
      <c r="Z321" s="4093"/>
      <c r="AA321" s="4093"/>
      <c r="AB321" s="4093"/>
      <c r="AC321" s="4093"/>
      <c r="AD321" s="4093"/>
      <c r="AE321" s="4093"/>
      <c r="AF321" s="4093"/>
      <c r="AG321" s="4093"/>
      <c r="AH321" s="4093"/>
      <c r="AI321" s="4093"/>
      <c r="AJ321" s="4093"/>
      <c r="AK321" s="4093"/>
    </row>
    <row r="322" spans="1:37">
      <c r="A322" s="4093"/>
      <c r="B322" s="4093"/>
      <c r="C322" s="4093"/>
      <c r="D322" s="4093"/>
      <c r="E322" s="4093"/>
      <c r="F322" s="4093"/>
      <c r="G322" s="4093"/>
      <c r="H322" s="4093"/>
      <c r="I322" s="4093"/>
      <c r="J322" s="4093"/>
      <c r="K322" s="4093"/>
      <c r="L322" s="4093"/>
      <c r="M322" s="4093"/>
      <c r="N322" s="4093"/>
      <c r="O322" s="4093"/>
      <c r="P322" s="4093"/>
      <c r="Q322" s="4093"/>
      <c r="R322" s="4093"/>
      <c r="S322" s="4093"/>
      <c r="T322" s="4093"/>
      <c r="U322" s="4093"/>
      <c r="V322" s="4093"/>
      <c r="W322" s="4093"/>
      <c r="X322" s="4093"/>
      <c r="Y322" s="4093"/>
      <c r="Z322" s="4093"/>
      <c r="AA322" s="4093"/>
      <c r="AB322" s="4093"/>
      <c r="AC322" s="4093"/>
      <c r="AD322" s="4093"/>
      <c r="AE322" s="4093"/>
      <c r="AF322" s="4093"/>
      <c r="AG322" s="4093"/>
      <c r="AH322" s="4093"/>
      <c r="AI322" s="4093"/>
      <c r="AJ322" s="4093"/>
      <c r="AK322" s="4093"/>
    </row>
    <row r="323" spans="1:37">
      <c r="A323" s="4093"/>
      <c r="B323" s="4093"/>
      <c r="C323" s="4093"/>
      <c r="D323" s="4093"/>
      <c r="E323" s="4093"/>
      <c r="F323" s="4093"/>
      <c r="G323" s="4093"/>
      <c r="H323" s="4093"/>
      <c r="I323" s="4093"/>
      <c r="J323" s="4093"/>
      <c r="K323" s="4093"/>
      <c r="L323" s="4093"/>
      <c r="M323" s="4093"/>
      <c r="N323" s="4093"/>
      <c r="O323" s="4093"/>
      <c r="P323" s="4093"/>
      <c r="Q323" s="4093"/>
      <c r="R323" s="4093"/>
      <c r="S323" s="4093"/>
      <c r="T323" s="4093"/>
      <c r="U323" s="4093"/>
      <c r="V323" s="4093"/>
      <c r="W323" s="4093"/>
      <c r="X323" s="4093"/>
      <c r="Y323" s="4093"/>
      <c r="Z323" s="4093"/>
      <c r="AA323" s="4093"/>
      <c r="AB323" s="4093"/>
      <c r="AC323" s="4093"/>
      <c r="AD323" s="4093"/>
      <c r="AE323" s="4093"/>
      <c r="AF323" s="4093"/>
      <c r="AG323" s="4093"/>
      <c r="AH323" s="4093"/>
      <c r="AI323" s="4093"/>
      <c r="AJ323" s="4093"/>
      <c r="AK323" s="4093"/>
    </row>
    <row r="324" spans="1:37">
      <c r="A324" s="4093"/>
      <c r="B324" s="4093"/>
      <c r="C324" s="4093"/>
      <c r="D324" s="4093"/>
      <c r="E324" s="4093"/>
      <c r="F324" s="4093"/>
      <c r="G324" s="4093"/>
      <c r="H324" s="4093"/>
      <c r="I324" s="4093"/>
      <c r="J324" s="4093"/>
      <c r="K324" s="4093"/>
      <c r="L324" s="4093"/>
      <c r="M324" s="4093"/>
      <c r="N324" s="4093"/>
      <c r="O324" s="4093"/>
      <c r="P324" s="4093"/>
      <c r="Q324" s="4093"/>
      <c r="R324" s="4093"/>
      <c r="S324" s="4093"/>
      <c r="T324" s="4093"/>
      <c r="U324" s="4093"/>
      <c r="V324" s="4093"/>
      <c r="W324" s="4093"/>
      <c r="X324" s="4093"/>
      <c r="Y324" s="4093"/>
      <c r="Z324" s="4093"/>
      <c r="AA324" s="4093"/>
      <c r="AB324" s="4093"/>
      <c r="AC324" s="4093"/>
      <c r="AD324" s="4093"/>
      <c r="AE324" s="4093"/>
      <c r="AF324" s="4093"/>
      <c r="AG324" s="4093"/>
      <c r="AH324" s="4093"/>
      <c r="AI324" s="4093"/>
      <c r="AJ324" s="4093"/>
      <c r="AK324" s="4093"/>
    </row>
    <row r="325" spans="1:37">
      <c r="A325" s="4093"/>
      <c r="B325" s="4093"/>
      <c r="C325" s="4093"/>
      <c r="D325" s="4093"/>
      <c r="E325" s="4093"/>
      <c r="F325" s="4093"/>
      <c r="G325" s="4093"/>
      <c r="H325" s="4093"/>
      <c r="I325" s="4093"/>
      <c r="J325" s="4093"/>
      <c r="K325" s="4093"/>
      <c r="L325" s="4093"/>
      <c r="M325" s="4093"/>
      <c r="N325" s="4093"/>
      <c r="O325" s="4093"/>
      <c r="P325" s="4093"/>
      <c r="Q325" s="4093"/>
      <c r="R325" s="4093"/>
      <c r="S325" s="4093"/>
      <c r="T325" s="4093"/>
      <c r="U325" s="4093"/>
      <c r="V325" s="4093"/>
      <c r="W325" s="4093"/>
      <c r="X325" s="4093"/>
      <c r="Y325" s="4093"/>
      <c r="Z325" s="4093"/>
      <c r="AA325" s="4093"/>
      <c r="AB325" s="4093"/>
      <c r="AC325" s="4093"/>
      <c r="AD325" s="4093"/>
      <c r="AE325" s="4093"/>
      <c r="AF325" s="4093"/>
      <c r="AG325" s="4093"/>
      <c r="AH325" s="4093"/>
      <c r="AI325" s="4093"/>
      <c r="AJ325" s="4093"/>
      <c r="AK325" s="4093"/>
    </row>
    <row r="326" spans="1:37">
      <c r="A326" s="4093"/>
      <c r="B326" s="4093"/>
      <c r="C326" s="4093"/>
      <c r="D326" s="4093"/>
      <c r="E326" s="4093"/>
      <c r="F326" s="4093"/>
      <c r="G326" s="4093"/>
      <c r="H326" s="4093"/>
      <c r="I326" s="4093"/>
      <c r="J326" s="4093"/>
      <c r="K326" s="4093"/>
      <c r="L326" s="4093"/>
      <c r="M326" s="4093"/>
      <c r="N326" s="4093"/>
      <c r="O326" s="4093"/>
      <c r="P326" s="4093"/>
      <c r="Q326" s="4093"/>
      <c r="R326" s="4093"/>
      <c r="S326" s="4093"/>
      <c r="T326" s="4093"/>
      <c r="U326" s="4093"/>
      <c r="V326" s="4093"/>
      <c r="W326" s="4093"/>
      <c r="X326" s="4093"/>
      <c r="Y326" s="4093"/>
      <c r="Z326" s="4093"/>
      <c r="AA326" s="4093"/>
      <c r="AB326" s="4093"/>
      <c r="AC326" s="4093"/>
      <c r="AD326" s="4093"/>
      <c r="AE326" s="4093"/>
      <c r="AF326" s="4093"/>
      <c r="AG326" s="4093"/>
      <c r="AH326" s="4093"/>
      <c r="AI326" s="4093"/>
      <c r="AJ326" s="4093"/>
      <c r="AK326" s="4093"/>
    </row>
    <row r="327" spans="1:37">
      <c r="A327" s="4093"/>
      <c r="B327" s="4093"/>
      <c r="C327" s="4093"/>
      <c r="D327" s="4093"/>
      <c r="E327" s="4093"/>
      <c r="F327" s="4093"/>
      <c r="G327" s="4093"/>
      <c r="H327" s="4093"/>
      <c r="I327" s="4093"/>
      <c r="J327" s="4093"/>
      <c r="K327" s="4093"/>
      <c r="L327" s="4093"/>
      <c r="M327" s="4093"/>
      <c r="N327" s="4093"/>
      <c r="O327" s="4093"/>
      <c r="P327" s="4093"/>
      <c r="Q327" s="4093"/>
      <c r="R327" s="4093"/>
      <c r="S327" s="4093"/>
      <c r="T327" s="4093"/>
      <c r="U327" s="4093"/>
      <c r="V327" s="4093"/>
      <c r="W327" s="4093"/>
      <c r="X327" s="4093"/>
      <c r="Y327" s="4093"/>
      <c r="Z327" s="4093"/>
      <c r="AA327" s="4093"/>
      <c r="AB327" s="4093"/>
      <c r="AC327" s="4093"/>
      <c r="AD327" s="4093"/>
      <c r="AE327" s="4093"/>
      <c r="AF327" s="4093"/>
      <c r="AG327" s="4093"/>
      <c r="AH327" s="4093"/>
      <c r="AI327" s="4093"/>
      <c r="AJ327" s="4093"/>
      <c r="AK327" s="4093"/>
    </row>
    <row r="328" spans="1:37">
      <c r="A328" s="4093"/>
      <c r="B328" s="4093"/>
      <c r="C328" s="4093"/>
      <c r="D328" s="4093"/>
      <c r="E328" s="4093"/>
      <c r="F328" s="4093"/>
      <c r="G328" s="4093"/>
      <c r="H328" s="4093"/>
      <c r="I328" s="4093"/>
      <c r="J328" s="4093"/>
      <c r="K328" s="4093"/>
      <c r="L328" s="4093"/>
      <c r="M328" s="4093"/>
      <c r="N328" s="4093"/>
      <c r="O328" s="4093"/>
      <c r="P328" s="4093"/>
      <c r="Q328" s="4093"/>
      <c r="R328" s="4093"/>
      <c r="S328" s="4093"/>
      <c r="T328" s="4093"/>
      <c r="U328" s="4093"/>
      <c r="V328" s="4093"/>
      <c r="W328" s="4093"/>
      <c r="X328" s="4093"/>
      <c r="Y328" s="4093"/>
      <c r="Z328" s="4093"/>
      <c r="AA328" s="4093"/>
      <c r="AB328" s="4093"/>
      <c r="AC328" s="4093"/>
      <c r="AD328" s="4093"/>
      <c r="AE328" s="4093"/>
      <c r="AF328" s="4093"/>
      <c r="AG328" s="4093"/>
      <c r="AH328" s="4093"/>
      <c r="AI328" s="4093"/>
      <c r="AJ328" s="4093"/>
      <c r="AK328" s="4093"/>
    </row>
    <row r="329" spans="1:37">
      <c r="A329" s="4093"/>
      <c r="B329" s="4093"/>
      <c r="C329" s="4093"/>
      <c r="D329" s="4093"/>
      <c r="E329" s="4093"/>
      <c r="F329" s="4093"/>
      <c r="G329" s="4093"/>
      <c r="H329" s="4093"/>
      <c r="I329" s="4093"/>
      <c r="J329" s="4093"/>
      <c r="K329" s="4093"/>
      <c r="L329" s="4093"/>
      <c r="M329" s="4093"/>
      <c r="N329" s="4093"/>
      <c r="O329" s="4093"/>
      <c r="P329" s="4093"/>
      <c r="Q329" s="4093"/>
      <c r="R329" s="4093"/>
      <c r="S329" s="4093"/>
      <c r="T329" s="4093"/>
      <c r="U329" s="4093"/>
      <c r="V329" s="4093"/>
      <c r="W329" s="4093"/>
      <c r="X329" s="4093"/>
      <c r="Y329" s="4093"/>
      <c r="Z329" s="4093"/>
      <c r="AA329" s="4093"/>
      <c r="AB329" s="4093"/>
      <c r="AC329" s="4093"/>
      <c r="AD329" s="4093"/>
      <c r="AE329" s="4093"/>
      <c r="AF329" s="4093"/>
      <c r="AG329" s="4093"/>
      <c r="AH329" s="4093"/>
      <c r="AI329" s="4093"/>
      <c r="AJ329" s="4093"/>
      <c r="AK329" s="4093"/>
    </row>
    <row r="330" spans="1:37">
      <c r="A330" s="4093"/>
      <c r="B330" s="4093"/>
      <c r="C330" s="4093"/>
      <c r="D330" s="4093"/>
      <c r="E330" s="4093"/>
      <c r="F330" s="4093"/>
      <c r="G330" s="4093"/>
      <c r="H330" s="4093"/>
      <c r="I330" s="4093"/>
      <c r="J330" s="4093"/>
      <c r="K330" s="4093"/>
      <c r="L330" s="4093"/>
      <c r="M330" s="4093"/>
      <c r="N330" s="4093"/>
      <c r="O330" s="4093"/>
      <c r="P330" s="4093"/>
      <c r="Q330" s="4093"/>
      <c r="R330" s="4093"/>
      <c r="S330" s="4093"/>
      <c r="T330" s="4093"/>
      <c r="U330" s="4093"/>
      <c r="V330" s="4093"/>
      <c r="W330" s="4093"/>
      <c r="X330" s="4093"/>
      <c r="Y330" s="4093"/>
      <c r="Z330" s="4093"/>
      <c r="AA330" s="4093"/>
      <c r="AB330" s="4093"/>
      <c r="AC330" s="4093"/>
      <c r="AD330" s="4093"/>
      <c r="AE330" s="4093"/>
      <c r="AF330" s="4093"/>
      <c r="AG330" s="4093"/>
      <c r="AH330" s="4093"/>
      <c r="AI330" s="4093"/>
      <c r="AJ330" s="4093"/>
      <c r="AK330" s="4093"/>
    </row>
    <row r="331" spans="1:37">
      <c r="A331" s="4093"/>
      <c r="B331" s="4093"/>
      <c r="C331" s="4093"/>
      <c r="D331" s="4093"/>
      <c r="E331" s="4093"/>
      <c r="F331" s="4093"/>
      <c r="G331" s="4093"/>
      <c r="H331" s="4093"/>
      <c r="I331" s="4093"/>
      <c r="J331" s="4093"/>
      <c r="K331" s="4093"/>
      <c r="L331" s="4093"/>
      <c r="M331" s="4093"/>
      <c r="N331" s="4093"/>
      <c r="O331" s="4093"/>
      <c r="P331" s="4093"/>
      <c r="Q331" s="4093"/>
      <c r="R331" s="4093"/>
      <c r="S331" s="4093"/>
      <c r="T331" s="4093"/>
      <c r="U331" s="4093"/>
      <c r="V331" s="4093"/>
      <c r="W331" s="4093"/>
      <c r="X331" s="4093"/>
      <c r="Y331" s="4093"/>
      <c r="Z331" s="4093"/>
      <c r="AA331" s="4093"/>
      <c r="AB331" s="4093"/>
      <c r="AC331" s="4093"/>
      <c r="AD331" s="4093"/>
      <c r="AE331" s="4093"/>
      <c r="AF331" s="4093"/>
      <c r="AG331" s="4093"/>
      <c r="AH331" s="4093"/>
      <c r="AI331" s="4093"/>
      <c r="AJ331" s="4093"/>
      <c r="AK331" s="4093"/>
    </row>
    <row r="332" spans="1:37">
      <c r="A332" s="4093"/>
      <c r="B332" s="4093"/>
      <c r="C332" s="4093"/>
      <c r="D332" s="4093"/>
      <c r="E332" s="4093"/>
      <c r="F332" s="4093"/>
      <c r="G332" s="4093"/>
      <c r="H332" s="4093"/>
      <c r="I332" s="4093"/>
      <c r="J332" s="4093"/>
      <c r="K332" s="4093"/>
      <c r="L332" s="4093"/>
      <c r="M332" s="4093"/>
      <c r="N332" s="4093"/>
      <c r="O332" s="4093"/>
      <c r="P332" s="4093"/>
      <c r="Q332" s="4093"/>
      <c r="R332" s="4093"/>
      <c r="S332" s="4093"/>
      <c r="T332" s="4093"/>
      <c r="U332" s="4093"/>
      <c r="V332" s="4093"/>
      <c r="W332" s="4093"/>
      <c r="X332" s="4093"/>
      <c r="Y332" s="4093"/>
      <c r="Z332" s="4093"/>
      <c r="AA332" s="4093"/>
      <c r="AB332" s="4093"/>
      <c r="AC332" s="4093"/>
      <c r="AD332" s="4093"/>
      <c r="AE332" s="4093"/>
      <c r="AF332" s="4093"/>
      <c r="AG332" s="4093"/>
      <c r="AH332" s="4093"/>
      <c r="AI332" s="4093"/>
      <c r="AJ332" s="4093"/>
      <c r="AK332" s="4093"/>
    </row>
    <row r="333" spans="1:37">
      <c r="A333" s="4093"/>
      <c r="B333" s="4093"/>
      <c r="C333" s="4093"/>
      <c r="D333" s="4093"/>
      <c r="E333" s="4093"/>
      <c r="F333" s="4093"/>
      <c r="G333" s="4093"/>
      <c r="H333" s="4093"/>
      <c r="I333" s="4093"/>
      <c r="J333" s="4093"/>
      <c r="K333" s="4093"/>
      <c r="L333" s="4093"/>
      <c r="M333" s="4093"/>
      <c r="N333" s="4093"/>
      <c r="O333" s="4093"/>
      <c r="P333" s="4093"/>
      <c r="Q333" s="4093"/>
      <c r="R333" s="4093"/>
      <c r="S333" s="4093"/>
      <c r="T333" s="4093"/>
      <c r="U333" s="4093"/>
      <c r="V333" s="4093"/>
      <c r="W333" s="4093"/>
      <c r="X333" s="4093"/>
      <c r="Y333" s="4093"/>
      <c r="Z333" s="4093"/>
      <c r="AA333" s="4093"/>
      <c r="AB333" s="4093"/>
      <c r="AC333" s="4093"/>
      <c r="AD333" s="4093"/>
      <c r="AE333" s="4093"/>
      <c r="AF333" s="4093"/>
      <c r="AG333" s="4093"/>
      <c r="AH333" s="4093"/>
      <c r="AI333" s="4093"/>
      <c r="AJ333" s="4093"/>
      <c r="AK333" s="4093"/>
    </row>
    <row r="334" spans="1:37">
      <c r="A334" s="4093"/>
      <c r="B334" s="4093"/>
      <c r="C334" s="4093"/>
      <c r="D334" s="4093"/>
      <c r="E334" s="4093"/>
      <c r="F334" s="4093"/>
      <c r="G334" s="4093"/>
      <c r="H334" s="4093"/>
      <c r="I334" s="4093"/>
      <c r="J334" s="4093"/>
      <c r="K334" s="4093"/>
      <c r="L334" s="4093"/>
      <c r="M334" s="4093"/>
      <c r="N334" s="4093"/>
      <c r="O334" s="4093"/>
      <c r="P334" s="4093"/>
      <c r="Q334" s="4093"/>
      <c r="R334" s="4093"/>
      <c r="S334" s="4093"/>
      <c r="T334" s="4093"/>
      <c r="U334" s="4093"/>
      <c r="V334" s="4093"/>
      <c r="W334" s="4093"/>
      <c r="X334" s="4093"/>
      <c r="Y334" s="4093"/>
      <c r="Z334" s="4093"/>
      <c r="AA334" s="4093"/>
      <c r="AB334" s="4093"/>
      <c r="AC334" s="4093"/>
      <c r="AD334" s="4093"/>
      <c r="AE334" s="4093"/>
      <c r="AF334" s="4093"/>
      <c r="AG334" s="4093"/>
      <c r="AH334" s="4093"/>
      <c r="AI334" s="4093"/>
      <c r="AJ334" s="4093"/>
      <c r="AK334" s="4093"/>
    </row>
    <row r="335" spans="1:37">
      <c r="A335" s="4093"/>
      <c r="B335" s="4093"/>
      <c r="C335" s="4093"/>
      <c r="D335" s="4093"/>
      <c r="E335" s="4093"/>
      <c r="F335" s="4093"/>
      <c r="G335" s="4093"/>
      <c r="H335" s="4093"/>
      <c r="I335" s="4093"/>
      <c r="J335" s="4093"/>
      <c r="K335" s="4093"/>
      <c r="L335" s="4093"/>
      <c r="M335" s="4093"/>
      <c r="N335" s="4093"/>
      <c r="O335" s="4093"/>
      <c r="P335" s="4093"/>
      <c r="Q335" s="4093"/>
      <c r="R335" s="4093"/>
      <c r="S335" s="4093"/>
      <c r="T335" s="4093"/>
      <c r="U335" s="4093"/>
      <c r="V335" s="4093"/>
      <c r="W335" s="4093"/>
      <c r="X335" s="4093"/>
      <c r="Y335" s="4093"/>
      <c r="Z335" s="4093"/>
      <c r="AA335" s="4093"/>
      <c r="AB335" s="4093"/>
      <c r="AC335" s="4093"/>
      <c r="AD335" s="4093"/>
      <c r="AE335" s="4093"/>
      <c r="AF335" s="4093"/>
      <c r="AG335" s="4093"/>
      <c r="AH335" s="4093"/>
      <c r="AI335" s="4093"/>
      <c r="AJ335" s="4093"/>
      <c r="AK335" s="4093"/>
    </row>
    <row r="336" spans="1:37">
      <c r="A336" s="4093"/>
      <c r="B336" s="4093"/>
      <c r="C336" s="4093"/>
      <c r="D336" s="4093"/>
      <c r="E336" s="4093"/>
      <c r="F336" s="4093"/>
      <c r="G336" s="4093"/>
      <c r="H336" s="4093"/>
      <c r="I336" s="4093"/>
      <c r="J336" s="4093"/>
      <c r="K336" s="4093"/>
      <c r="L336" s="4093"/>
      <c r="M336" s="4093"/>
      <c r="N336" s="4093"/>
      <c r="O336" s="4093"/>
      <c r="P336" s="4093"/>
      <c r="Q336" s="4093"/>
      <c r="R336" s="4093"/>
      <c r="S336" s="4093"/>
      <c r="T336" s="4093"/>
      <c r="U336" s="4093"/>
      <c r="V336" s="4093"/>
      <c r="W336" s="4093"/>
      <c r="X336" s="4093"/>
      <c r="Y336" s="4093"/>
      <c r="Z336" s="4093"/>
      <c r="AA336" s="4093"/>
      <c r="AB336" s="4093"/>
      <c r="AC336" s="4093"/>
      <c r="AD336" s="4093"/>
      <c r="AE336" s="4093"/>
      <c r="AF336" s="4093"/>
      <c r="AG336" s="4093"/>
      <c r="AH336" s="4093"/>
      <c r="AI336" s="4093"/>
      <c r="AJ336" s="4093"/>
      <c r="AK336" s="4093"/>
    </row>
    <row r="337" spans="1:37">
      <c r="A337" s="4093"/>
      <c r="B337" s="4093"/>
      <c r="C337" s="4093"/>
      <c r="D337" s="4093"/>
      <c r="E337" s="4093"/>
      <c r="F337" s="4093"/>
      <c r="G337" s="4093"/>
      <c r="H337" s="4093"/>
      <c r="I337" s="4093"/>
      <c r="J337" s="4093"/>
      <c r="K337" s="4093"/>
      <c r="L337" s="4093"/>
      <c r="M337" s="4093"/>
      <c r="N337" s="4093"/>
      <c r="O337" s="4093"/>
      <c r="P337" s="4093"/>
      <c r="Q337" s="4093"/>
      <c r="R337" s="4093"/>
      <c r="S337" s="4093"/>
      <c r="T337" s="4093"/>
      <c r="U337" s="4093"/>
      <c r="V337" s="4093"/>
      <c r="W337" s="4093"/>
      <c r="X337" s="4093"/>
      <c r="Y337" s="4093"/>
      <c r="Z337" s="4093"/>
      <c r="AA337" s="4093"/>
      <c r="AB337" s="4093"/>
      <c r="AC337" s="4093"/>
      <c r="AD337" s="4093"/>
      <c r="AE337" s="4093"/>
      <c r="AF337" s="4093"/>
      <c r="AG337" s="4093"/>
      <c r="AH337" s="4093"/>
      <c r="AI337" s="4093"/>
      <c r="AJ337" s="4093"/>
      <c r="AK337" s="4093"/>
    </row>
    <row r="338" spans="1:37">
      <c r="A338" s="4093"/>
      <c r="B338" s="4093"/>
      <c r="C338" s="4093"/>
      <c r="D338" s="4093"/>
      <c r="E338" s="4093"/>
      <c r="F338" s="4093"/>
      <c r="G338" s="4093"/>
      <c r="H338" s="4093"/>
      <c r="I338" s="4093"/>
      <c r="J338" s="4093"/>
      <c r="K338" s="4093"/>
      <c r="L338" s="4093"/>
      <c r="M338" s="4093"/>
      <c r="N338" s="4093"/>
      <c r="O338" s="4093"/>
      <c r="P338" s="4093"/>
      <c r="Q338" s="4093"/>
      <c r="R338" s="4093"/>
      <c r="S338" s="4093"/>
      <c r="T338" s="4093"/>
      <c r="U338" s="4093"/>
      <c r="V338" s="4093"/>
      <c r="W338" s="4093"/>
      <c r="X338" s="4093"/>
      <c r="Y338" s="4093"/>
      <c r="Z338" s="4093"/>
      <c r="AA338" s="4093"/>
      <c r="AB338" s="4093"/>
      <c r="AC338" s="4093"/>
      <c r="AD338" s="4093"/>
      <c r="AE338" s="4093"/>
      <c r="AF338" s="4093"/>
      <c r="AG338" s="4093"/>
      <c r="AH338" s="4093"/>
      <c r="AI338" s="4093"/>
      <c r="AJ338" s="4093"/>
      <c r="AK338" s="4093"/>
    </row>
    <row r="339" spans="1:37">
      <c r="A339" s="4093"/>
      <c r="B339" s="4093"/>
      <c r="C339" s="4093"/>
      <c r="D339" s="4093"/>
      <c r="E339" s="4093"/>
      <c r="F339" s="4093"/>
      <c r="G339" s="4093"/>
      <c r="H339" s="4093"/>
      <c r="I339" s="4093"/>
      <c r="J339" s="4093"/>
      <c r="K339" s="4093"/>
      <c r="L339" s="4093"/>
      <c r="M339" s="4093"/>
      <c r="N339" s="4093"/>
      <c r="O339" s="4093"/>
      <c r="P339" s="4093"/>
      <c r="Q339" s="4093"/>
      <c r="R339" s="4093"/>
      <c r="S339" s="4093"/>
      <c r="T339" s="4093"/>
      <c r="U339" s="4093"/>
      <c r="V339" s="4093"/>
      <c r="W339" s="4093"/>
      <c r="X339" s="4093"/>
      <c r="Y339" s="4093"/>
      <c r="Z339" s="4093"/>
      <c r="AA339" s="4093"/>
      <c r="AB339" s="4093"/>
      <c r="AC339" s="4093"/>
      <c r="AD339" s="4093"/>
      <c r="AE339" s="4093"/>
      <c r="AF339" s="4093"/>
      <c r="AG339" s="4093"/>
      <c r="AH339" s="4093"/>
      <c r="AI339" s="4093"/>
      <c r="AJ339" s="4093"/>
      <c r="AK339" s="4093"/>
    </row>
    <row r="340" spans="1:37">
      <c r="A340" s="4093"/>
      <c r="B340" s="4093"/>
      <c r="C340" s="4093"/>
      <c r="D340" s="4093"/>
      <c r="E340" s="4093"/>
      <c r="F340" s="4093"/>
      <c r="G340" s="4093"/>
      <c r="H340" s="4093"/>
      <c r="I340" s="4093"/>
      <c r="J340" s="4093"/>
      <c r="K340" s="4093"/>
      <c r="L340" s="4093"/>
      <c r="M340" s="4093"/>
      <c r="N340" s="4093"/>
      <c r="O340" s="4093"/>
      <c r="P340" s="4093"/>
      <c r="Q340" s="4093"/>
      <c r="R340" s="4093"/>
      <c r="S340" s="4093"/>
      <c r="T340" s="4093"/>
      <c r="U340" s="4093"/>
      <c r="V340" s="4093"/>
      <c r="W340" s="4093"/>
      <c r="X340" s="4093"/>
      <c r="Y340" s="4093"/>
      <c r="Z340" s="4093"/>
      <c r="AA340" s="4093"/>
      <c r="AB340" s="4093"/>
      <c r="AC340" s="4093"/>
      <c r="AD340" s="4093"/>
      <c r="AE340" s="4093"/>
      <c r="AF340" s="4093"/>
      <c r="AG340" s="4093"/>
      <c r="AH340" s="4093"/>
      <c r="AI340" s="4093"/>
      <c r="AJ340" s="4093"/>
      <c r="AK340" s="4093"/>
    </row>
    <row r="341" spans="1:37">
      <c r="A341" s="4093"/>
      <c r="B341" s="4093"/>
      <c r="C341" s="4093"/>
      <c r="D341" s="4093"/>
      <c r="E341" s="4093"/>
      <c r="F341" s="4093"/>
      <c r="G341" s="4093"/>
      <c r="H341" s="4093"/>
      <c r="I341" s="4093"/>
      <c r="J341" s="4093"/>
      <c r="K341" s="4093"/>
      <c r="L341" s="4093"/>
      <c r="M341" s="4093"/>
      <c r="N341" s="4093"/>
      <c r="O341" s="4093"/>
      <c r="P341" s="4093"/>
      <c r="Q341" s="4093"/>
      <c r="R341" s="4093"/>
      <c r="S341" s="4093"/>
      <c r="T341" s="4093"/>
      <c r="U341" s="4093"/>
      <c r="V341" s="4093"/>
      <c r="W341" s="4093"/>
      <c r="X341" s="4093"/>
      <c r="Y341" s="4093"/>
      <c r="Z341" s="4093"/>
      <c r="AA341" s="4093"/>
      <c r="AB341" s="4093"/>
      <c r="AC341" s="4093"/>
      <c r="AD341" s="4093"/>
      <c r="AE341" s="4093"/>
      <c r="AF341" s="4093"/>
      <c r="AG341" s="4093"/>
      <c r="AH341" s="4093"/>
      <c r="AI341" s="4093"/>
      <c r="AJ341" s="4093"/>
      <c r="AK341" s="4093"/>
    </row>
    <row r="342" spans="1:37">
      <c r="A342" s="4093"/>
      <c r="B342" s="4093"/>
      <c r="C342" s="4093"/>
      <c r="D342" s="4093"/>
      <c r="E342" s="4093"/>
      <c r="F342" s="4093"/>
      <c r="G342" s="4093"/>
      <c r="H342" s="4093"/>
      <c r="I342" s="4093"/>
      <c r="J342" s="4093"/>
      <c r="K342" s="4093"/>
      <c r="L342" s="4093"/>
      <c r="M342" s="4093"/>
      <c r="N342" s="4093"/>
      <c r="O342" s="4093"/>
      <c r="P342" s="4093"/>
      <c r="Q342" s="4093"/>
      <c r="R342" s="4093"/>
      <c r="S342" s="4093"/>
      <c r="T342" s="4093"/>
      <c r="U342" s="4093"/>
      <c r="V342" s="4093"/>
      <c r="W342" s="4093"/>
      <c r="X342" s="4093"/>
      <c r="Y342" s="4093"/>
      <c r="Z342" s="4093"/>
      <c r="AA342" s="4093"/>
      <c r="AB342" s="4093"/>
      <c r="AC342" s="4093"/>
      <c r="AD342" s="4093"/>
      <c r="AE342" s="4093"/>
      <c r="AF342" s="4093"/>
      <c r="AG342" s="4093"/>
      <c r="AH342" s="4093"/>
      <c r="AI342" s="4093"/>
      <c r="AJ342" s="4093"/>
      <c r="AK342" s="4093"/>
    </row>
    <row r="343" spans="1:37">
      <c r="A343" s="4093"/>
      <c r="B343" s="4093"/>
      <c r="C343" s="4093"/>
      <c r="D343" s="4093"/>
      <c r="E343" s="4093"/>
      <c r="F343" s="4093"/>
      <c r="G343" s="4093"/>
      <c r="H343" s="4093"/>
      <c r="I343" s="4093"/>
      <c r="J343" s="4093"/>
      <c r="K343" s="4093"/>
      <c r="L343" s="4093"/>
      <c r="M343" s="4093"/>
      <c r="N343" s="4093"/>
      <c r="O343" s="4093"/>
      <c r="P343" s="4093"/>
      <c r="Q343" s="4093"/>
      <c r="R343" s="4093"/>
      <c r="S343" s="4093"/>
      <c r="T343" s="4093"/>
      <c r="U343" s="4093"/>
      <c r="V343" s="4093"/>
      <c r="W343" s="4093"/>
      <c r="X343" s="4093"/>
      <c r="Y343" s="4093"/>
      <c r="Z343" s="4093"/>
      <c r="AA343" s="4093"/>
      <c r="AB343" s="4093"/>
      <c r="AC343" s="4093"/>
      <c r="AD343" s="4093"/>
      <c r="AE343" s="4093"/>
      <c r="AF343" s="4093"/>
      <c r="AG343" s="4093"/>
      <c r="AH343" s="4093"/>
      <c r="AI343" s="4093"/>
      <c r="AJ343" s="4093"/>
      <c r="AK343" s="4093"/>
    </row>
    <row r="344" spans="1:37">
      <c r="A344" s="4093"/>
      <c r="B344" s="4093"/>
      <c r="C344" s="4093"/>
      <c r="D344" s="4093"/>
      <c r="E344" s="4093"/>
      <c r="F344" s="4093"/>
      <c r="G344" s="4093"/>
      <c r="H344" s="4093"/>
      <c r="I344" s="4093"/>
      <c r="J344" s="4093"/>
      <c r="K344" s="4093"/>
      <c r="L344" s="4093"/>
      <c r="M344" s="4093"/>
      <c r="N344" s="4093"/>
      <c r="O344" s="4093"/>
      <c r="P344" s="4093"/>
      <c r="Q344" s="4093"/>
      <c r="R344" s="4093"/>
      <c r="S344" s="4093"/>
      <c r="T344" s="4093"/>
      <c r="U344" s="4093"/>
      <c r="V344" s="4093"/>
      <c r="W344" s="4093"/>
      <c r="X344" s="4093"/>
      <c r="Y344" s="4093"/>
      <c r="Z344" s="4093"/>
      <c r="AA344" s="4093"/>
      <c r="AB344" s="4093"/>
      <c r="AC344" s="4093"/>
      <c r="AD344" s="4093"/>
      <c r="AE344" s="4093"/>
      <c r="AF344" s="4093"/>
      <c r="AG344" s="4093"/>
      <c r="AH344" s="4093"/>
      <c r="AI344" s="4093"/>
      <c r="AJ344" s="4093"/>
      <c r="AK344" s="4093"/>
    </row>
    <row r="345" spans="1:37">
      <c r="A345" s="4093"/>
      <c r="B345" s="4093"/>
      <c r="C345" s="4093"/>
      <c r="D345" s="4093"/>
      <c r="E345" s="4093"/>
      <c r="F345" s="4093"/>
      <c r="G345" s="4093"/>
      <c r="H345" s="4093"/>
      <c r="I345" s="4093"/>
      <c r="J345" s="4093"/>
      <c r="K345" s="4093"/>
      <c r="L345" s="4093"/>
      <c r="M345" s="4093"/>
      <c r="N345" s="4093"/>
      <c r="O345" s="4093"/>
      <c r="P345" s="4093"/>
      <c r="Q345" s="4093"/>
      <c r="R345" s="4093"/>
      <c r="S345" s="4093"/>
      <c r="T345" s="4093"/>
      <c r="U345" s="4093"/>
      <c r="V345" s="4093"/>
      <c r="W345" s="4093"/>
      <c r="X345" s="4093"/>
      <c r="Y345" s="4093"/>
      <c r="Z345" s="4093"/>
      <c r="AA345" s="4093"/>
      <c r="AB345" s="4093"/>
      <c r="AC345" s="4093"/>
      <c r="AD345" s="4093"/>
      <c r="AE345" s="4093"/>
      <c r="AF345" s="4093"/>
      <c r="AG345" s="4093"/>
      <c r="AH345" s="4093"/>
      <c r="AI345" s="4093"/>
      <c r="AJ345" s="4093"/>
      <c r="AK345" s="4093"/>
    </row>
    <row r="346" spans="1:37">
      <c r="A346" s="4093"/>
      <c r="B346" s="4093"/>
      <c r="C346" s="4093"/>
      <c r="D346" s="4093"/>
      <c r="E346" s="4093"/>
      <c r="F346" s="4093"/>
      <c r="G346" s="4093"/>
      <c r="H346" s="4093"/>
      <c r="I346" s="4093"/>
      <c r="J346" s="4093"/>
      <c r="K346" s="4093"/>
      <c r="L346" s="4093"/>
      <c r="M346" s="4093"/>
      <c r="N346" s="4093"/>
      <c r="O346" s="4093"/>
      <c r="P346" s="4093"/>
      <c r="Q346" s="4093"/>
      <c r="R346" s="4093"/>
      <c r="S346" s="4093"/>
      <c r="T346" s="4093"/>
      <c r="U346" s="4093"/>
      <c r="V346" s="4093"/>
      <c r="W346" s="4093"/>
      <c r="X346" s="4093"/>
      <c r="Y346" s="4093"/>
      <c r="Z346" s="4093"/>
      <c r="AA346" s="4093"/>
      <c r="AB346" s="4093"/>
      <c r="AC346" s="4093"/>
      <c r="AD346" s="4093"/>
      <c r="AE346" s="4093"/>
      <c r="AF346" s="4093"/>
      <c r="AG346" s="4093"/>
      <c r="AH346" s="4093"/>
      <c r="AI346" s="4093"/>
      <c r="AJ346" s="4093"/>
      <c r="AK346" s="4093"/>
    </row>
    <row r="347" spans="1:37">
      <c r="A347" s="4093"/>
      <c r="B347" s="4093"/>
      <c r="C347" s="4093"/>
      <c r="D347" s="4093"/>
      <c r="E347" s="4093"/>
      <c r="F347" s="4093"/>
      <c r="G347" s="4093"/>
      <c r="H347" s="4093"/>
      <c r="I347" s="4093"/>
      <c r="J347" s="4093"/>
      <c r="K347" s="4093"/>
      <c r="L347" s="4093"/>
      <c r="M347" s="4093"/>
      <c r="N347" s="4093"/>
      <c r="O347" s="4093"/>
      <c r="P347" s="4093"/>
      <c r="Q347" s="4093"/>
      <c r="R347" s="4093"/>
      <c r="S347" s="4093"/>
      <c r="T347" s="4093"/>
      <c r="U347" s="4093"/>
      <c r="V347" s="4093"/>
      <c r="W347" s="4093"/>
      <c r="X347" s="4093"/>
      <c r="Y347" s="4093"/>
      <c r="Z347" s="4093"/>
      <c r="AA347" s="4093"/>
      <c r="AB347" s="4093"/>
      <c r="AC347" s="4093"/>
      <c r="AD347" s="4093"/>
      <c r="AE347" s="4093"/>
      <c r="AF347" s="4093"/>
      <c r="AG347" s="4093"/>
      <c r="AH347" s="4093"/>
      <c r="AI347" s="4093"/>
      <c r="AJ347" s="4093"/>
      <c r="AK347" s="4093"/>
    </row>
    <row r="348" spans="1:37">
      <c r="A348" s="4093"/>
      <c r="B348" s="4093"/>
      <c r="C348" s="4093"/>
      <c r="D348" s="4093"/>
      <c r="E348" s="4093"/>
      <c r="F348" s="4093"/>
      <c r="G348" s="4093"/>
      <c r="H348" s="4093"/>
      <c r="I348" s="4093"/>
      <c r="J348" s="4093"/>
      <c r="K348" s="4093"/>
      <c r="L348" s="4093"/>
      <c r="M348" s="4093"/>
      <c r="N348" s="4093"/>
      <c r="O348" s="4093"/>
      <c r="P348" s="4093"/>
      <c r="Q348" s="4093"/>
      <c r="R348" s="4093"/>
      <c r="S348" s="4093"/>
      <c r="T348" s="4093"/>
      <c r="U348" s="4093"/>
      <c r="V348" s="4093"/>
      <c r="W348" s="4093"/>
      <c r="X348" s="4093"/>
      <c r="Y348" s="4093"/>
      <c r="Z348" s="4093"/>
      <c r="AA348" s="4093"/>
      <c r="AB348" s="4093"/>
      <c r="AC348" s="4093"/>
      <c r="AD348" s="4093"/>
      <c r="AE348" s="4093"/>
      <c r="AF348" s="4093"/>
      <c r="AG348" s="4093"/>
      <c r="AH348" s="4093"/>
      <c r="AI348" s="4093"/>
      <c r="AJ348" s="4093"/>
      <c r="AK348" s="4093"/>
    </row>
    <row r="349" spans="1:37">
      <c r="A349" s="4093"/>
      <c r="B349" s="4093"/>
      <c r="C349" s="4093"/>
      <c r="D349" s="4093"/>
      <c r="E349" s="4093"/>
      <c r="F349" s="4093"/>
      <c r="G349" s="4093"/>
      <c r="H349" s="4093"/>
      <c r="I349" s="4093"/>
      <c r="J349" s="4093"/>
      <c r="K349" s="4093"/>
      <c r="L349" s="4093"/>
      <c r="M349" s="4093"/>
      <c r="N349" s="4093"/>
      <c r="O349" s="4093"/>
      <c r="P349" s="4093"/>
      <c r="Q349" s="4093"/>
      <c r="R349" s="4093"/>
      <c r="S349" s="4093"/>
      <c r="T349" s="4093"/>
      <c r="U349" s="4093"/>
      <c r="V349" s="4093"/>
      <c r="W349" s="4093"/>
      <c r="X349" s="4093"/>
      <c r="Y349" s="4093"/>
      <c r="Z349" s="4093"/>
      <c r="AA349" s="4093"/>
      <c r="AB349" s="4093"/>
      <c r="AC349" s="4093"/>
      <c r="AD349" s="4093"/>
      <c r="AE349" s="4093"/>
      <c r="AF349" s="4093"/>
      <c r="AG349" s="4093"/>
      <c r="AH349" s="4093"/>
      <c r="AI349" s="4093"/>
      <c r="AJ349" s="4093"/>
      <c r="AK349" s="4093"/>
    </row>
    <row r="350" spans="1:37">
      <c r="A350" s="4093"/>
      <c r="B350" s="4093"/>
      <c r="C350" s="4093"/>
      <c r="D350" s="4093"/>
      <c r="E350" s="4093"/>
      <c r="F350" s="4093"/>
      <c r="G350" s="4093"/>
      <c r="H350" s="4093"/>
      <c r="I350" s="4093"/>
      <c r="J350" s="4093"/>
      <c r="K350" s="4093"/>
      <c r="L350" s="4093"/>
      <c r="M350" s="4093"/>
      <c r="N350" s="4093"/>
      <c r="O350" s="4093"/>
      <c r="P350" s="4093"/>
      <c r="Q350" s="4093"/>
      <c r="R350" s="4093"/>
      <c r="S350" s="4093"/>
      <c r="T350" s="4093"/>
      <c r="U350" s="4093"/>
      <c r="V350" s="4093"/>
      <c r="W350" s="4093"/>
      <c r="X350" s="4093"/>
      <c r="Y350" s="4093"/>
      <c r="Z350" s="4093"/>
      <c r="AA350" s="4093"/>
      <c r="AB350" s="4093"/>
      <c r="AC350" s="4093"/>
      <c r="AD350" s="4093"/>
      <c r="AE350" s="4093"/>
      <c r="AF350" s="4093"/>
      <c r="AG350" s="4093"/>
      <c r="AH350" s="4093"/>
      <c r="AI350" s="4093"/>
      <c r="AJ350" s="4093"/>
      <c r="AK350" s="4093"/>
    </row>
    <row r="351" spans="1:37">
      <c r="A351" s="4093"/>
      <c r="B351" s="4093"/>
      <c r="C351" s="4093"/>
      <c r="D351" s="4093"/>
      <c r="E351" s="4093"/>
      <c r="F351" s="4093"/>
      <c r="G351" s="4093"/>
      <c r="H351" s="4093"/>
      <c r="I351" s="4093"/>
      <c r="J351" s="4093"/>
      <c r="K351" s="4093"/>
      <c r="L351" s="4093"/>
      <c r="M351" s="4093"/>
      <c r="N351" s="4093"/>
      <c r="O351" s="4093"/>
      <c r="P351" s="4093"/>
      <c r="Q351" s="4093"/>
      <c r="R351" s="4093"/>
      <c r="S351" s="4093"/>
      <c r="T351" s="4093"/>
      <c r="U351" s="4093"/>
      <c r="V351" s="4093"/>
      <c r="W351" s="4093"/>
      <c r="X351" s="4093"/>
      <c r="Y351" s="4093"/>
      <c r="Z351" s="4093"/>
      <c r="AA351" s="4093"/>
      <c r="AB351" s="4093"/>
      <c r="AC351" s="4093"/>
      <c r="AD351" s="4093"/>
      <c r="AE351" s="4093"/>
      <c r="AF351" s="4093"/>
      <c r="AG351" s="4093"/>
      <c r="AH351" s="4093"/>
      <c r="AI351" s="4093"/>
      <c r="AJ351" s="4093"/>
      <c r="AK351" s="4093"/>
    </row>
    <row r="352" spans="1:37">
      <c r="A352" s="4093"/>
      <c r="B352" s="4093"/>
      <c r="C352" s="4093"/>
      <c r="D352" s="4093"/>
      <c r="E352" s="4093"/>
      <c r="F352" s="4093"/>
      <c r="G352" s="4093"/>
      <c r="H352" s="4093"/>
      <c r="I352" s="4093"/>
      <c r="J352" s="4093"/>
      <c r="K352" s="4093"/>
      <c r="L352" s="4093"/>
      <c r="M352" s="4093"/>
      <c r="N352" s="4093"/>
      <c r="O352" s="4093"/>
      <c r="P352" s="4093"/>
      <c r="Q352" s="4093"/>
      <c r="R352" s="4093"/>
      <c r="S352" s="4093"/>
      <c r="T352" s="4093"/>
      <c r="U352" s="4093"/>
      <c r="V352" s="4093"/>
      <c r="W352" s="4093"/>
      <c r="X352" s="4093"/>
      <c r="Y352" s="4093"/>
      <c r="Z352" s="4093"/>
      <c r="AA352" s="4093"/>
      <c r="AB352" s="4093"/>
      <c r="AC352" s="4093"/>
      <c r="AD352" s="4093"/>
      <c r="AE352" s="4093"/>
      <c r="AF352" s="4093"/>
      <c r="AG352" s="4093"/>
      <c r="AH352" s="4093"/>
      <c r="AI352" s="4093"/>
      <c r="AJ352" s="4093"/>
      <c r="AK352" s="4093"/>
    </row>
    <row r="353" spans="1:37">
      <c r="A353" s="4093"/>
      <c r="B353" s="4093"/>
      <c r="C353" s="4093"/>
      <c r="D353" s="4093"/>
      <c r="E353" s="4093"/>
      <c r="F353" s="4093"/>
      <c r="G353" s="4093"/>
      <c r="H353" s="4093"/>
      <c r="I353" s="4093"/>
      <c r="J353" s="4093"/>
      <c r="K353" s="4093"/>
      <c r="L353" s="4093"/>
      <c r="M353" s="4093"/>
      <c r="N353" s="4093"/>
      <c r="O353" s="4093"/>
      <c r="P353" s="4093"/>
      <c r="Q353" s="4093"/>
      <c r="R353" s="4093"/>
      <c r="S353" s="4093"/>
      <c r="T353" s="4093"/>
      <c r="U353" s="4093"/>
      <c r="V353" s="4093"/>
      <c r="W353" s="4093"/>
      <c r="X353" s="4093"/>
      <c r="Y353" s="4093"/>
      <c r="Z353" s="4093"/>
      <c r="AA353" s="4093"/>
      <c r="AB353" s="4093"/>
      <c r="AC353" s="4093"/>
      <c r="AD353" s="4093"/>
      <c r="AE353" s="4093"/>
      <c r="AF353" s="4093"/>
      <c r="AG353" s="4093"/>
      <c r="AH353" s="4093"/>
      <c r="AI353" s="4093"/>
      <c r="AJ353" s="4093"/>
      <c r="AK353" s="4093"/>
    </row>
    <row r="354" spans="1:37">
      <c r="A354" s="4093"/>
      <c r="B354" s="4093"/>
      <c r="C354" s="4093"/>
      <c r="D354" s="4093"/>
      <c r="E354" s="4093"/>
      <c r="F354" s="4093"/>
      <c r="G354" s="4093"/>
      <c r="H354" s="4093"/>
      <c r="I354" s="4093"/>
      <c r="J354" s="4093"/>
      <c r="K354" s="4093"/>
      <c r="L354" s="4093"/>
      <c r="M354" s="4093"/>
      <c r="N354" s="4093"/>
      <c r="O354" s="4093"/>
      <c r="P354" s="4093"/>
      <c r="Q354" s="4093"/>
      <c r="R354" s="4093"/>
      <c r="S354" s="4093"/>
      <c r="T354" s="4093"/>
      <c r="U354" s="4093"/>
      <c r="V354" s="4093"/>
      <c r="W354" s="4093"/>
      <c r="X354" s="4093"/>
      <c r="Y354" s="4093"/>
      <c r="Z354" s="4093"/>
      <c r="AA354" s="4093"/>
      <c r="AB354" s="4093"/>
      <c r="AC354" s="4093"/>
      <c r="AD354" s="4093"/>
      <c r="AE354" s="4093"/>
      <c r="AF354" s="4093"/>
      <c r="AG354" s="4093"/>
      <c r="AH354" s="4093"/>
      <c r="AI354" s="4093"/>
      <c r="AJ354" s="4093"/>
      <c r="AK354" s="4093"/>
    </row>
    <row r="355" spans="1:37">
      <c r="A355" s="4093"/>
      <c r="B355" s="4093"/>
      <c r="C355" s="4093"/>
      <c r="D355" s="4093"/>
      <c r="E355" s="4093"/>
      <c r="F355" s="4093"/>
      <c r="G355" s="4093"/>
      <c r="H355" s="4093"/>
      <c r="I355" s="4093"/>
      <c r="J355" s="4093"/>
      <c r="K355" s="4093"/>
      <c r="L355" s="4093"/>
      <c r="M355" s="4093"/>
      <c r="N355" s="4093"/>
      <c r="O355" s="4093"/>
      <c r="P355" s="4093"/>
      <c r="Q355" s="4093"/>
      <c r="R355" s="4093"/>
      <c r="S355" s="4093"/>
      <c r="T355" s="4093"/>
      <c r="U355" s="4093"/>
      <c r="V355" s="4093"/>
      <c r="W355" s="4093"/>
      <c r="X355" s="4093"/>
      <c r="Y355" s="4093"/>
      <c r="Z355" s="4093"/>
      <c r="AA355" s="4093"/>
      <c r="AB355" s="4093"/>
      <c r="AC355" s="4093"/>
      <c r="AD355" s="4093"/>
      <c r="AE355" s="4093"/>
      <c r="AF355" s="4093"/>
      <c r="AG355" s="4093"/>
      <c r="AH355" s="4093"/>
      <c r="AI355" s="4093"/>
      <c r="AJ355" s="4093"/>
      <c r="AK355" s="4093"/>
    </row>
    <row r="356" spans="1:37">
      <c r="A356" s="4093"/>
      <c r="B356" s="4093"/>
      <c r="C356" s="4093"/>
      <c r="D356" s="4093"/>
      <c r="E356" s="4093"/>
      <c r="F356" s="4093"/>
      <c r="G356" s="4093"/>
      <c r="H356" s="4093"/>
      <c r="I356" s="4093"/>
      <c r="J356" s="4093"/>
      <c r="K356" s="4093"/>
      <c r="L356" s="4093"/>
      <c r="M356" s="4093"/>
      <c r="N356" s="4093"/>
      <c r="O356" s="4093"/>
      <c r="P356" s="4093"/>
      <c r="Q356" s="4093"/>
      <c r="R356" s="4093"/>
      <c r="S356" s="4093"/>
      <c r="T356" s="4093"/>
      <c r="U356" s="4093"/>
      <c r="V356" s="4093"/>
      <c r="W356" s="4093"/>
      <c r="X356" s="4093"/>
      <c r="Y356" s="4093"/>
      <c r="Z356" s="4093"/>
      <c r="AA356" s="4093"/>
      <c r="AB356" s="4093"/>
      <c r="AC356" s="4093"/>
      <c r="AD356" s="4093"/>
      <c r="AE356" s="4093"/>
      <c r="AF356" s="4093"/>
      <c r="AG356" s="4093"/>
      <c r="AH356" s="4093"/>
      <c r="AI356" s="4093"/>
      <c r="AJ356" s="4093"/>
      <c r="AK356" s="4093"/>
    </row>
    <row r="357" spans="1:37">
      <c r="A357" s="4093"/>
      <c r="B357" s="4093"/>
      <c r="C357" s="4093"/>
      <c r="D357" s="4093"/>
      <c r="E357" s="4093"/>
      <c r="F357" s="4093"/>
      <c r="G357" s="4093"/>
      <c r="H357" s="4093"/>
      <c r="I357" s="4093"/>
      <c r="J357" s="4093"/>
      <c r="K357" s="4093"/>
      <c r="L357" s="4093"/>
      <c r="M357" s="4093"/>
      <c r="N357" s="4093"/>
      <c r="O357" s="4093"/>
      <c r="P357" s="4093"/>
      <c r="Q357" s="4093"/>
      <c r="R357" s="4093"/>
      <c r="S357" s="4093"/>
      <c r="T357" s="4093"/>
      <c r="U357" s="4093"/>
      <c r="V357" s="4093"/>
      <c r="W357" s="4093"/>
      <c r="X357" s="4093"/>
      <c r="Y357" s="4093"/>
      <c r="Z357" s="4093"/>
      <c r="AA357" s="4093"/>
      <c r="AB357" s="4093"/>
      <c r="AC357" s="4093"/>
      <c r="AD357" s="4093"/>
      <c r="AE357" s="4093"/>
      <c r="AF357" s="4093"/>
      <c r="AG357" s="4093"/>
      <c r="AH357" s="4093"/>
      <c r="AI357" s="4093"/>
      <c r="AJ357" s="4093"/>
      <c r="AK357" s="4093"/>
    </row>
    <row r="358" spans="1:37">
      <c r="A358" s="4093"/>
      <c r="B358" s="4093"/>
      <c r="C358" s="4093"/>
      <c r="D358" s="4093"/>
      <c r="E358" s="4093"/>
      <c r="F358" s="4093"/>
      <c r="G358" s="4093"/>
      <c r="H358" s="4093"/>
      <c r="I358" s="4093"/>
      <c r="J358" s="4093"/>
      <c r="K358" s="4093"/>
      <c r="L358" s="4093"/>
      <c r="M358" s="4093"/>
      <c r="N358" s="4093"/>
      <c r="O358" s="4093"/>
      <c r="P358" s="4093"/>
      <c r="Q358" s="4093"/>
      <c r="R358" s="4093"/>
      <c r="S358" s="4093"/>
      <c r="T358" s="4093"/>
      <c r="U358" s="4093"/>
      <c r="V358" s="4093"/>
      <c r="W358" s="4093"/>
      <c r="X358" s="4093"/>
      <c r="Y358" s="4093"/>
      <c r="Z358" s="4093"/>
      <c r="AA358" s="4093"/>
      <c r="AB358" s="4093"/>
      <c r="AC358" s="4093"/>
      <c r="AD358" s="4093"/>
      <c r="AE358" s="4093"/>
      <c r="AF358" s="4093"/>
      <c r="AG358" s="4093"/>
      <c r="AH358" s="4093"/>
      <c r="AI358" s="4093"/>
      <c r="AJ358" s="4093"/>
      <c r="AK358" s="4093"/>
    </row>
    <row r="359" spans="1:37">
      <c r="A359" s="4093"/>
      <c r="B359" s="4093"/>
      <c r="C359" s="4093"/>
      <c r="D359" s="4093"/>
      <c r="E359" s="4093"/>
      <c r="F359" s="4093"/>
      <c r="G359" s="4093"/>
      <c r="H359" s="4093"/>
      <c r="I359" s="4093"/>
      <c r="J359" s="4093"/>
      <c r="K359" s="4093"/>
      <c r="L359" s="4093"/>
      <c r="M359" s="4093"/>
      <c r="N359" s="4093"/>
      <c r="O359" s="4093"/>
      <c r="P359" s="4093"/>
      <c r="Q359" s="4093"/>
      <c r="R359" s="4093"/>
      <c r="S359" s="4093"/>
      <c r="T359" s="4093"/>
      <c r="U359" s="4093"/>
      <c r="V359" s="4093"/>
      <c r="W359" s="4093"/>
      <c r="X359" s="4093"/>
      <c r="Y359" s="4093"/>
      <c r="Z359" s="4093"/>
      <c r="AA359" s="4093"/>
      <c r="AB359" s="4093"/>
      <c r="AC359" s="4093"/>
      <c r="AD359" s="4093"/>
      <c r="AE359" s="4093"/>
      <c r="AF359" s="4093"/>
      <c r="AG359" s="4093"/>
      <c r="AH359" s="4093"/>
      <c r="AI359" s="4093"/>
      <c r="AJ359" s="4093"/>
      <c r="AK359" s="4093"/>
    </row>
    <row r="360" spans="1:37">
      <c r="A360" s="4093"/>
      <c r="B360" s="4093"/>
      <c r="C360" s="4093"/>
      <c r="D360" s="4093"/>
      <c r="E360" s="4093"/>
      <c r="F360" s="4093"/>
      <c r="G360" s="4093"/>
      <c r="H360" s="4093"/>
      <c r="I360" s="4093"/>
      <c r="J360" s="4093"/>
      <c r="K360" s="4093"/>
      <c r="L360" s="4093"/>
      <c r="M360" s="4093"/>
      <c r="N360" s="4093"/>
      <c r="O360" s="4093"/>
      <c r="P360" s="4093"/>
      <c r="Q360" s="4093"/>
      <c r="R360" s="4093"/>
      <c r="S360" s="4093"/>
      <c r="T360" s="4093"/>
      <c r="U360" s="4093"/>
      <c r="V360" s="4093"/>
      <c r="W360" s="4093"/>
      <c r="X360" s="4093"/>
      <c r="Y360" s="4093"/>
      <c r="Z360" s="4093"/>
      <c r="AA360" s="4093"/>
      <c r="AB360" s="4093"/>
      <c r="AC360" s="4093"/>
      <c r="AD360" s="4093"/>
      <c r="AE360" s="4093"/>
      <c r="AF360" s="4093"/>
      <c r="AG360" s="4093"/>
      <c r="AH360" s="4093"/>
      <c r="AI360" s="4093"/>
      <c r="AJ360" s="4093"/>
      <c r="AK360" s="4093"/>
    </row>
    <row r="361" spans="1:37">
      <c r="A361" s="4093"/>
      <c r="B361" s="4093"/>
      <c r="C361" s="4093"/>
      <c r="D361" s="4093"/>
      <c r="E361" s="4093"/>
      <c r="F361" s="4093"/>
      <c r="G361" s="4093"/>
      <c r="H361" s="4093"/>
      <c r="I361" s="4093"/>
      <c r="J361" s="4093"/>
      <c r="K361" s="4093"/>
      <c r="L361" s="4093"/>
      <c r="M361" s="4093"/>
      <c r="N361" s="4093"/>
      <c r="O361" s="4093"/>
      <c r="P361" s="4093"/>
      <c r="Q361" s="4093"/>
      <c r="R361" s="4093"/>
      <c r="S361" s="4093"/>
      <c r="T361" s="4093"/>
      <c r="U361" s="4093"/>
      <c r="V361" s="4093"/>
      <c r="W361" s="4093"/>
      <c r="X361" s="4093"/>
      <c r="Y361" s="4093"/>
      <c r="Z361" s="4093"/>
      <c r="AA361" s="4093"/>
      <c r="AB361" s="4093"/>
      <c r="AC361" s="4093"/>
      <c r="AD361" s="4093"/>
      <c r="AE361" s="4093"/>
      <c r="AF361" s="4093"/>
      <c r="AG361" s="4093"/>
      <c r="AH361" s="4093"/>
      <c r="AI361" s="4093"/>
      <c r="AJ361" s="4093"/>
      <c r="AK361" s="4093"/>
    </row>
    <row r="362" spans="1:37">
      <c r="A362" s="4093"/>
      <c r="B362" s="4093"/>
      <c r="C362" s="4093"/>
      <c r="D362" s="4093"/>
      <c r="E362" s="4093"/>
      <c r="F362" s="4093"/>
      <c r="G362" s="4093"/>
      <c r="H362" s="4093"/>
      <c r="I362" s="4093"/>
      <c r="J362" s="4093"/>
      <c r="K362" s="4093"/>
      <c r="L362" s="4093"/>
      <c r="M362" s="4093"/>
      <c r="N362" s="4093"/>
      <c r="O362" s="4093"/>
      <c r="P362" s="4093"/>
      <c r="Q362" s="4093"/>
      <c r="R362" s="4093"/>
      <c r="S362" s="4093"/>
      <c r="T362" s="4093"/>
      <c r="U362" s="4093"/>
      <c r="V362" s="4093"/>
      <c r="W362" s="4093"/>
      <c r="X362" s="4093"/>
      <c r="Y362" s="4093"/>
      <c r="Z362" s="4093"/>
      <c r="AA362" s="4093"/>
      <c r="AB362" s="4093"/>
      <c r="AC362" s="4093"/>
      <c r="AD362" s="4093"/>
      <c r="AE362" s="4093"/>
      <c r="AF362" s="4093"/>
      <c r="AG362" s="4093"/>
      <c r="AH362" s="4093"/>
      <c r="AI362" s="4093"/>
      <c r="AJ362" s="4093"/>
      <c r="AK362" s="4093"/>
    </row>
    <row r="363" spans="1:37">
      <c r="A363" s="4093"/>
      <c r="B363" s="4093"/>
      <c r="C363" s="4093"/>
      <c r="D363" s="4093"/>
      <c r="E363" s="4093"/>
      <c r="F363" s="4093"/>
      <c r="G363" s="4093"/>
      <c r="H363" s="4093"/>
      <c r="I363" s="4093"/>
      <c r="J363" s="4093"/>
      <c r="K363" s="4093"/>
      <c r="L363" s="4093"/>
      <c r="M363" s="4093"/>
      <c r="N363" s="4093"/>
      <c r="O363" s="4093"/>
      <c r="P363" s="4093"/>
      <c r="Q363" s="4093"/>
      <c r="R363" s="4093"/>
      <c r="S363" s="4093"/>
      <c r="T363" s="4093"/>
      <c r="U363" s="4093"/>
      <c r="V363" s="4093"/>
      <c r="W363" s="4093"/>
      <c r="X363" s="4093"/>
      <c r="Y363" s="4093"/>
      <c r="Z363" s="4093"/>
      <c r="AA363" s="4093"/>
      <c r="AB363" s="4093"/>
      <c r="AC363" s="4093"/>
      <c r="AD363" s="4093"/>
      <c r="AE363" s="4093"/>
      <c r="AF363" s="4093"/>
      <c r="AG363" s="4093"/>
      <c r="AH363" s="4093"/>
      <c r="AI363" s="4093"/>
      <c r="AJ363" s="4093"/>
      <c r="AK363" s="4093"/>
    </row>
    <row r="364" spans="1:37">
      <c r="A364" s="4093"/>
      <c r="B364" s="4093"/>
      <c r="C364" s="4093"/>
      <c r="D364" s="4093"/>
      <c r="E364" s="4093"/>
      <c r="F364" s="4093"/>
      <c r="G364" s="4093"/>
      <c r="H364" s="4093"/>
      <c r="I364" s="4093"/>
      <c r="J364" s="4093"/>
      <c r="K364" s="4093"/>
      <c r="L364" s="4093"/>
      <c r="M364" s="4093"/>
      <c r="N364" s="4093"/>
      <c r="O364" s="4093"/>
      <c r="P364" s="4093"/>
      <c r="Q364" s="4093"/>
      <c r="R364" s="4093"/>
      <c r="S364" s="4093"/>
      <c r="T364" s="4093"/>
      <c r="U364" s="4093"/>
      <c r="V364" s="4093"/>
      <c r="W364" s="4093"/>
      <c r="X364" s="4093"/>
      <c r="Y364" s="4093"/>
      <c r="Z364" s="4093"/>
      <c r="AA364" s="4093"/>
      <c r="AB364" s="4093"/>
      <c r="AC364" s="4093"/>
      <c r="AD364" s="4093"/>
      <c r="AE364" s="4093"/>
      <c r="AF364" s="4093"/>
      <c r="AG364" s="4093"/>
      <c r="AH364" s="4093"/>
      <c r="AI364" s="4093"/>
      <c r="AJ364" s="4093"/>
      <c r="AK364" s="4093"/>
    </row>
    <row r="365" spans="1:37">
      <c r="A365" s="4093"/>
      <c r="B365" s="4093"/>
      <c r="C365" s="4093"/>
      <c r="D365" s="4093"/>
      <c r="E365" s="4093"/>
      <c r="F365" s="4093"/>
      <c r="G365" s="4093"/>
      <c r="H365" s="4093"/>
      <c r="I365" s="4093"/>
      <c r="J365" s="4093"/>
      <c r="K365" s="4093"/>
      <c r="L365" s="4093"/>
      <c r="M365" s="4093"/>
      <c r="N365" s="4093"/>
      <c r="O365" s="4093"/>
      <c r="P365" s="4093"/>
      <c r="Q365" s="4093"/>
      <c r="R365" s="4093"/>
      <c r="S365" s="4093"/>
      <c r="T365" s="4093"/>
      <c r="U365" s="4093"/>
      <c r="V365" s="4093"/>
      <c r="W365" s="4093"/>
      <c r="X365" s="4093"/>
      <c r="Y365" s="4093"/>
      <c r="Z365" s="4093"/>
      <c r="AA365" s="4093"/>
      <c r="AB365" s="4093"/>
      <c r="AC365" s="4093"/>
      <c r="AD365" s="4093"/>
      <c r="AE365" s="4093"/>
      <c r="AF365" s="4093"/>
      <c r="AG365" s="4093"/>
      <c r="AH365" s="4093"/>
      <c r="AI365" s="4093"/>
      <c r="AJ365" s="4093"/>
      <c r="AK365" s="4093"/>
    </row>
    <row r="366" spans="1:37">
      <c r="A366" s="4093"/>
      <c r="B366" s="4093"/>
      <c r="C366" s="4093"/>
      <c r="D366" s="4093"/>
      <c r="E366" s="4093"/>
      <c r="F366" s="4093"/>
      <c r="G366" s="4093"/>
      <c r="H366" s="4093"/>
      <c r="I366" s="4093"/>
      <c r="J366" s="4093"/>
      <c r="K366" s="4093"/>
      <c r="L366" s="4093"/>
      <c r="M366" s="4093"/>
      <c r="N366" s="4093"/>
      <c r="O366" s="4093"/>
      <c r="P366" s="4093"/>
      <c r="Q366" s="4093"/>
      <c r="R366" s="4093"/>
      <c r="S366" s="4093"/>
      <c r="T366" s="4093"/>
      <c r="U366" s="4093"/>
      <c r="V366" s="4093"/>
      <c r="W366" s="4093"/>
      <c r="X366" s="4093"/>
      <c r="Y366" s="4093"/>
      <c r="Z366" s="4093"/>
      <c r="AA366" s="4093"/>
      <c r="AB366" s="4093"/>
      <c r="AC366" s="4093"/>
      <c r="AD366" s="4093"/>
      <c r="AE366" s="4093"/>
      <c r="AF366" s="4093"/>
      <c r="AG366" s="4093"/>
      <c r="AH366" s="4093"/>
      <c r="AI366" s="4093"/>
      <c r="AJ366" s="4093"/>
      <c r="AK366" s="4093"/>
    </row>
    <row r="367" spans="1:37">
      <c r="A367" s="4093"/>
      <c r="B367" s="4093"/>
      <c r="C367" s="4093"/>
      <c r="D367" s="4093"/>
      <c r="E367" s="4093"/>
      <c r="F367" s="4093"/>
      <c r="G367" s="4093"/>
      <c r="H367" s="4093"/>
      <c r="I367" s="4093"/>
      <c r="J367" s="4093"/>
      <c r="K367" s="4093"/>
      <c r="L367" s="4093"/>
      <c r="M367" s="4093"/>
      <c r="N367" s="4093"/>
      <c r="O367" s="4093"/>
      <c r="P367" s="4093"/>
      <c r="Q367" s="4093"/>
      <c r="R367" s="4093"/>
      <c r="S367" s="4093"/>
      <c r="T367" s="4093"/>
      <c r="U367" s="4093"/>
      <c r="V367" s="4093"/>
      <c r="W367" s="4093"/>
      <c r="X367" s="4093"/>
      <c r="Y367" s="4093"/>
      <c r="Z367" s="4093"/>
      <c r="AA367" s="4093"/>
      <c r="AB367" s="4093"/>
      <c r="AC367" s="4093"/>
      <c r="AD367" s="4093"/>
      <c r="AE367" s="4093"/>
      <c r="AF367" s="4093"/>
      <c r="AG367" s="4093"/>
      <c r="AH367" s="4093"/>
      <c r="AI367" s="4093"/>
      <c r="AJ367" s="4093"/>
      <c r="AK367" s="4093"/>
    </row>
    <row r="368" spans="1:37">
      <c r="A368" s="4093"/>
      <c r="B368" s="4093"/>
      <c r="C368" s="4093"/>
      <c r="D368" s="4093"/>
      <c r="E368" s="4093"/>
      <c r="F368" s="4093"/>
      <c r="G368" s="4093"/>
      <c r="H368" s="4093"/>
      <c r="I368" s="4093"/>
      <c r="J368" s="4093"/>
      <c r="K368" s="4093"/>
      <c r="L368" s="4093"/>
      <c r="M368" s="4093"/>
      <c r="N368" s="4093"/>
      <c r="O368" s="4093"/>
      <c r="P368" s="4093"/>
      <c r="Q368" s="4093"/>
      <c r="R368" s="4093"/>
      <c r="S368" s="4093"/>
      <c r="T368" s="4093"/>
      <c r="U368" s="4093"/>
      <c r="V368" s="4093"/>
      <c r="W368" s="4093"/>
      <c r="X368" s="4093"/>
      <c r="Y368" s="4093"/>
      <c r="Z368" s="4093"/>
      <c r="AA368" s="4093"/>
      <c r="AB368" s="4093"/>
      <c r="AC368" s="4093"/>
      <c r="AD368" s="4093"/>
      <c r="AE368" s="4093"/>
      <c r="AF368" s="4093"/>
      <c r="AG368" s="4093"/>
      <c r="AH368" s="4093"/>
      <c r="AI368" s="4093"/>
      <c r="AJ368" s="4093"/>
      <c r="AK368" s="4093"/>
    </row>
    <row r="369" spans="1:37">
      <c r="A369" s="4093"/>
      <c r="B369" s="4093"/>
      <c r="C369" s="4093"/>
      <c r="D369" s="4093"/>
      <c r="E369" s="4093"/>
      <c r="F369" s="4093"/>
      <c r="G369" s="4093"/>
      <c r="H369" s="4093"/>
      <c r="I369" s="4093"/>
      <c r="J369" s="4093"/>
      <c r="K369" s="4093"/>
      <c r="L369" s="4093"/>
      <c r="M369" s="4093"/>
      <c r="N369" s="4093"/>
      <c r="O369" s="4093"/>
      <c r="P369" s="4093"/>
      <c r="Q369" s="4093"/>
      <c r="R369" s="4093"/>
      <c r="S369" s="4093"/>
      <c r="T369" s="4093"/>
      <c r="U369" s="4093"/>
      <c r="V369" s="4093"/>
      <c r="W369" s="4093"/>
      <c r="X369" s="4093"/>
      <c r="Y369" s="4093"/>
      <c r="Z369" s="4093"/>
      <c r="AA369" s="4093"/>
      <c r="AB369" s="4093"/>
      <c r="AC369" s="4093"/>
      <c r="AD369" s="4093"/>
      <c r="AE369" s="4093"/>
      <c r="AF369" s="4093"/>
      <c r="AG369" s="4093"/>
      <c r="AH369" s="4093"/>
      <c r="AI369" s="4093"/>
      <c r="AJ369" s="4093"/>
      <c r="AK369" s="4093"/>
    </row>
    <row r="370" spans="1:37">
      <c r="A370" s="4093"/>
      <c r="B370" s="4093"/>
      <c r="C370" s="4093"/>
      <c r="D370" s="4093"/>
      <c r="E370" s="4093"/>
      <c r="F370" s="4093"/>
      <c r="G370" s="4093"/>
      <c r="H370" s="4093"/>
      <c r="I370" s="4093"/>
      <c r="J370" s="4093"/>
      <c r="K370" s="4093"/>
      <c r="L370" s="4093"/>
      <c r="M370" s="4093"/>
      <c r="N370" s="4093"/>
      <c r="O370" s="4093"/>
      <c r="P370" s="4093"/>
      <c r="Q370" s="4093"/>
      <c r="R370" s="4093"/>
      <c r="S370" s="4093"/>
      <c r="T370" s="4093"/>
      <c r="U370" s="4093"/>
      <c r="V370" s="4093"/>
      <c r="W370" s="4093"/>
      <c r="X370" s="4093"/>
      <c r="Y370" s="4093"/>
      <c r="Z370" s="4093"/>
      <c r="AA370" s="4093"/>
      <c r="AB370" s="4093"/>
      <c r="AC370" s="4093"/>
      <c r="AD370" s="4093"/>
      <c r="AE370" s="4093"/>
      <c r="AF370" s="4093"/>
      <c r="AG370" s="4093"/>
      <c r="AH370" s="4093"/>
      <c r="AI370" s="4093"/>
      <c r="AJ370" s="4093"/>
      <c r="AK370" s="4093"/>
    </row>
    <row r="371" spans="1:37">
      <c r="A371" s="4093"/>
      <c r="B371" s="4093"/>
      <c r="C371" s="4093"/>
      <c r="D371" s="4093"/>
      <c r="E371" s="4093"/>
      <c r="F371" s="4093"/>
      <c r="G371" s="4093"/>
      <c r="H371" s="4093"/>
      <c r="I371" s="4093"/>
      <c r="J371" s="4093"/>
      <c r="K371" s="4093"/>
      <c r="L371" s="4093"/>
      <c r="M371" s="4093"/>
      <c r="N371" s="4093"/>
      <c r="O371" s="4093"/>
      <c r="P371" s="4093"/>
      <c r="Q371" s="4093"/>
      <c r="R371" s="4093"/>
      <c r="S371" s="4093"/>
      <c r="T371" s="4093"/>
      <c r="U371" s="4093"/>
      <c r="V371" s="4093"/>
      <c r="W371" s="4093"/>
      <c r="X371" s="4093"/>
      <c r="Y371" s="4093"/>
      <c r="Z371" s="4093"/>
      <c r="AA371" s="4093"/>
      <c r="AB371" s="4093"/>
      <c r="AC371" s="4093"/>
      <c r="AD371" s="4093"/>
      <c r="AE371" s="4093"/>
      <c r="AF371" s="4093"/>
      <c r="AG371" s="4093"/>
      <c r="AH371" s="4093"/>
      <c r="AI371" s="4093"/>
      <c r="AJ371" s="4093"/>
      <c r="AK371" s="4093"/>
    </row>
    <row r="372" spans="1:37">
      <c r="A372" s="4093"/>
      <c r="B372" s="4093"/>
      <c r="C372" s="4093"/>
      <c r="D372" s="4093"/>
      <c r="E372" s="4093"/>
      <c r="F372" s="4093"/>
      <c r="G372" s="4093"/>
      <c r="H372" s="4093"/>
      <c r="I372" s="4093"/>
      <c r="J372" s="4093"/>
      <c r="K372" s="4093"/>
      <c r="L372" s="4093"/>
      <c r="M372" s="4093"/>
      <c r="N372" s="4093"/>
      <c r="O372" s="4093"/>
      <c r="P372" s="4093"/>
      <c r="Q372" s="4093"/>
      <c r="R372" s="4093"/>
      <c r="S372" s="4093"/>
      <c r="T372" s="4093"/>
      <c r="U372" s="4093"/>
      <c r="V372" s="4093"/>
      <c r="W372" s="4093"/>
      <c r="X372" s="4093"/>
      <c r="Y372" s="4093"/>
      <c r="Z372" s="4093"/>
      <c r="AA372" s="4093"/>
      <c r="AB372" s="4093"/>
      <c r="AC372" s="4093"/>
      <c r="AD372" s="4093"/>
      <c r="AE372" s="4093"/>
      <c r="AF372" s="4093"/>
      <c r="AG372" s="4093"/>
      <c r="AH372" s="4093"/>
      <c r="AI372" s="4093"/>
      <c r="AJ372" s="4093"/>
      <c r="AK372" s="4093"/>
    </row>
    <row r="373" spans="1:37">
      <c r="A373" s="4093"/>
      <c r="B373" s="4093"/>
      <c r="C373" s="4093"/>
      <c r="D373" s="4093"/>
      <c r="E373" s="4093"/>
      <c r="F373" s="4093"/>
      <c r="G373" s="4093"/>
      <c r="H373" s="4093"/>
      <c r="I373" s="4093"/>
      <c r="J373" s="4093"/>
      <c r="K373" s="4093"/>
      <c r="L373" s="4093"/>
      <c r="M373" s="4093"/>
      <c r="N373" s="4093"/>
      <c r="O373" s="4093"/>
      <c r="P373" s="4093"/>
      <c r="Q373" s="4093"/>
      <c r="R373" s="4093"/>
      <c r="S373" s="4093"/>
      <c r="T373" s="4093"/>
      <c r="U373" s="4093"/>
      <c r="V373" s="4093"/>
      <c r="W373" s="4093"/>
      <c r="X373" s="4093"/>
      <c r="Y373" s="4093"/>
      <c r="Z373" s="4093"/>
      <c r="AA373" s="4093"/>
      <c r="AB373" s="4093"/>
      <c r="AC373" s="4093"/>
      <c r="AD373" s="4093"/>
      <c r="AE373" s="4093"/>
      <c r="AF373" s="4093"/>
      <c r="AG373" s="4093"/>
      <c r="AH373" s="4093"/>
      <c r="AI373" s="4093"/>
      <c r="AJ373" s="4093"/>
      <c r="AK373" s="4093"/>
    </row>
    <row r="374" spans="1:37">
      <c r="A374" s="4093"/>
      <c r="B374" s="4093"/>
      <c r="C374" s="4093"/>
      <c r="D374" s="4093"/>
      <c r="E374" s="4093"/>
      <c r="F374" s="4093"/>
      <c r="G374" s="4093"/>
      <c r="H374" s="4093"/>
      <c r="I374" s="4093"/>
      <c r="J374" s="4093"/>
      <c r="K374" s="4093"/>
      <c r="L374" s="4093"/>
      <c r="M374" s="4093"/>
      <c r="N374" s="4093"/>
      <c r="O374" s="4093"/>
      <c r="P374" s="4093"/>
      <c r="Q374" s="4093"/>
      <c r="R374" s="4093"/>
      <c r="S374" s="4093"/>
      <c r="T374" s="4093"/>
      <c r="U374" s="4093"/>
      <c r="V374" s="4093"/>
      <c r="W374" s="4093"/>
      <c r="X374" s="4093"/>
      <c r="Y374" s="4093"/>
      <c r="Z374" s="4093"/>
      <c r="AA374" s="4093"/>
      <c r="AB374" s="4093"/>
      <c r="AC374" s="4093"/>
      <c r="AD374" s="4093"/>
      <c r="AE374" s="4093"/>
      <c r="AF374" s="4093"/>
      <c r="AG374" s="4093"/>
      <c r="AH374" s="4093"/>
      <c r="AI374" s="4093"/>
      <c r="AJ374" s="4093"/>
      <c r="AK374" s="4093"/>
    </row>
    <row r="375" spans="1:37">
      <c r="A375" s="4093"/>
      <c r="B375" s="4093"/>
      <c r="C375" s="4093"/>
      <c r="D375" s="4093"/>
      <c r="E375" s="4093"/>
      <c r="F375" s="4093"/>
      <c r="G375" s="4093"/>
      <c r="H375" s="4093"/>
      <c r="I375" s="4093"/>
      <c r="J375" s="4093"/>
      <c r="K375" s="4093"/>
      <c r="L375" s="4093"/>
      <c r="M375" s="4093"/>
      <c r="N375" s="4093"/>
      <c r="O375" s="4093"/>
      <c r="P375" s="4093"/>
      <c r="Q375" s="4093"/>
      <c r="R375" s="4093"/>
      <c r="S375" s="4093"/>
      <c r="T375" s="4093"/>
      <c r="U375" s="4093"/>
      <c r="V375" s="4093"/>
      <c r="W375" s="4093"/>
      <c r="X375" s="4093"/>
      <c r="Y375" s="4093"/>
      <c r="Z375" s="4093"/>
      <c r="AA375" s="4093"/>
      <c r="AB375" s="4093"/>
      <c r="AC375" s="4093"/>
      <c r="AD375" s="4093"/>
      <c r="AE375" s="4093"/>
      <c r="AF375" s="4093"/>
      <c r="AG375" s="4093"/>
      <c r="AH375" s="4093"/>
      <c r="AI375" s="4093"/>
      <c r="AJ375" s="4093"/>
      <c r="AK375" s="4093"/>
    </row>
    <row r="376" spans="1:37">
      <c r="A376" s="4093"/>
      <c r="B376" s="4093"/>
      <c r="C376" s="4093"/>
      <c r="D376" s="4093"/>
      <c r="E376" s="4093"/>
      <c r="F376" s="4093"/>
      <c r="G376" s="4093"/>
      <c r="H376" s="4093"/>
      <c r="I376" s="4093"/>
      <c r="J376" s="4093"/>
      <c r="K376" s="4093"/>
      <c r="L376" s="4093"/>
      <c r="M376" s="4093"/>
      <c r="N376" s="4093"/>
      <c r="O376" s="4093"/>
      <c r="P376" s="4093"/>
      <c r="Q376" s="4093"/>
      <c r="R376" s="4093"/>
      <c r="S376" s="4093"/>
      <c r="T376" s="4093"/>
      <c r="U376" s="4093"/>
      <c r="V376" s="4093"/>
      <c r="W376" s="4093"/>
      <c r="X376" s="4093"/>
      <c r="Y376" s="4093"/>
      <c r="Z376" s="4093"/>
      <c r="AA376" s="4093"/>
      <c r="AB376" s="4093"/>
      <c r="AC376" s="4093"/>
      <c r="AD376" s="4093"/>
      <c r="AE376" s="4093"/>
      <c r="AF376" s="4093"/>
      <c r="AG376" s="4093"/>
      <c r="AH376" s="4093"/>
      <c r="AI376" s="4093"/>
      <c r="AJ376" s="4093"/>
      <c r="AK376" s="4093"/>
    </row>
    <row r="377" spans="1:37">
      <c r="A377" s="4093"/>
      <c r="B377" s="4093"/>
      <c r="C377" s="4093"/>
      <c r="D377" s="4093"/>
      <c r="E377" s="4093"/>
      <c r="F377" s="4093"/>
      <c r="G377" s="4093"/>
      <c r="H377" s="4093"/>
      <c r="I377" s="4093"/>
      <c r="J377" s="4093"/>
      <c r="K377" s="4093"/>
      <c r="L377" s="4093"/>
      <c r="M377" s="4093"/>
      <c r="N377" s="4093"/>
      <c r="O377" s="4093"/>
      <c r="P377" s="4093"/>
      <c r="Q377" s="4093"/>
      <c r="R377" s="4093"/>
      <c r="S377" s="4093"/>
      <c r="T377" s="4093"/>
      <c r="U377" s="4093"/>
      <c r="V377" s="4093"/>
      <c r="W377" s="4093"/>
      <c r="X377" s="4093"/>
      <c r="Y377" s="4093"/>
      <c r="Z377" s="4093"/>
      <c r="AA377" s="4093"/>
      <c r="AB377" s="4093"/>
      <c r="AC377" s="4093"/>
      <c r="AD377" s="4093"/>
      <c r="AE377" s="4093"/>
      <c r="AF377" s="4093"/>
      <c r="AG377" s="4093"/>
      <c r="AH377" s="4093"/>
      <c r="AI377" s="4093"/>
      <c r="AJ377" s="4093"/>
      <c r="AK377" s="4093"/>
    </row>
    <row r="378" spans="1:37">
      <c r="A378" s="4093"/>
      <c r="B378" s="4093"/>
      <c r="C378" s="4093"/>
      <c r="D378" s="4093"/>
      <c r="E378" s="4093"/>
      <c r="F378" s="4093"/>
      <c r="G378" s="4093"/>
      <c r="H378" s="4093"/>
      <c r="I378" s="4093"/>
      <c r="J378" s="4093"/>
      <c r="K378" s="4093"/>
      <c r="L378" s="4093"/>
      <c r="M378" s="4093"/>
      <c r="N378" s="4093"/>
      <c r="O378" s="4093"/>
      <c r="P378" s="4093"/>
      <c r="Q378" s="4093"/>
      <c r="R378" s="4093"/>
      <c r="S378" s="4093"/>
      <c r="T378" s="4093"/>
      <c r="U378" s="4093"/>
      <c r="V378" s="4093"/>
      <c r="W378" s="4093"/>
      <c r="X378" s="4093"/>
      <c r="Y378" s="4093"/>
      <c r="Z378" s="4093"/>
      <c r="AA378" s="4093"/>
      <c r="AB378" s="4093"/>
      <c r="AC378" s="4093"/>
      <c r="AD378" s="4093"/>
      <c r="AE378" s="4093"/>
      <c r="AF378" s="4093"/>
      <c r="AG378" s="4093"/>
      <c r="AH378" s="4093"/>
      <c r="AI378" s="4093"/>
      <c r="AJ378" s="4093"/>
      <c r="AK378" s="4093"/>
    </row>
    <row r="379" spans="1:37">
      <c r="A379" s="4093"/>
      <c r="B379" s="4093"/>
      <c r="C379" s="4093"/>
      <c r="D379" s="4093"/>
      <c r="E379" s="4093"/>
      <c r="F379" s="4093"/>
      <c r="G379" s="4093"/>
      <c r="H379" s="4093"/>
      <c r="I379" s="4093"/>
      <c r="J379" s="4093"/>
      <c r="K379" s="4093"/>
      <c r="L379" s="4093"/>
      <c r="M379" s="4093"/>
      <c r="N379" s="4093"/>
      <c r="O379" s="4093"/>
      <c r="P379" s="4093"/>
      <c r="Q379" s="4093"/>
      <c r="R379" s="4093"/>
      <c r="S379" s="4093"/>
      <c r="T379" s="4093"/>
      <c r="U379" s="4093"/>
      <c r="V379" s="4093"/>
      <c r="W379" s="4093"/>
      <c r="X379" s="4093"/>
      <c r="Y379" s="4093"/>
      <c r="Z379" s="4093"/>
      <c r="AA379" s="4093"/>
      <c r="AB379" s="4093"/>
      <c r="AC379" s="4093"/>
      <c r="AD379" s="4093"/>
      <c r="AE379" s="4093"/>
      <c r="AF379" s="4093"/>
      <c r="AG379" s="4093"/>
      <c r="AH379" s="4093"/>
      <c r="AI379" s="4093"/>
      <c r="AJ379" s="4093"/>
      <c r="AK379" s="4093"/>
    </row>
    <row r="380" spans="1:37">
      <c r="A380" s="4093"/>
      <c r="B380" s="4093"/>
      <c r="C380" s="4093"/>
      <c r="D380" s="4093"/>
      <c r="E380" s="4093"/>
      <c r="F380" s="4093"/>
      <c r="G380" s="4093"/>
      <c r="H380" s="4093"/>
      <c r="I380" s="4093"/>
      <c r="J380" s="4093"/>
      <c r="K380" s="4093"/>
      <c r="L380" s="4093"/>
      <c r="M380" s="4093"/>
      <c r="N380" s="4093"/>
      <c r="O380" s="4093"/>
      <c r="P380" s="4093"/>
      <c r="Q380" s="4093"/>
      <c r="R380" s="4093"/>
      <c r="S380" s="4093"/>
      <c r="T380" s="4093"/>
      <c r="U380" s="4093"/>
      <c r="V380" s="4093"/>
      <c r="W380" s="4093"/>
      <c r="X380" s="4093"/>
      <c r="Y380" s="4093"/>
      <c r="Z380" s="4093"/>
      <c r="AA380" s="4093"/>
      <c r="AB380" s="4093"/>
      <c r="AC380" s="4093"/>
      <c r="AD380" s="4093"/>
      <c r="AE380" s="4093"/>
      <c r="AF380" s="4093"/>
      <c r="AG380" s="4093"/>
      <c r="AH380" s="4093"/>
      <c r="AI380" s="4093"/>
      <c r="AJ380" s="4093"/>
      <c r="AK380" s="4093"/>
    </row>
    <row r="381" spans="1:37">
      <c r="A381" s="4093"/>
      <c r="B381" s="4093"/>
      <c r="C381" s="4093"/>
      <c r="D381" s="4093"/>
      <c r="E381" s="4093"/>
      <c r="F381" s="4093"/>
      <c r="G381" s="4093"/>
      <c r="H381" s="4093"/>
      <c r="I381" s="4093"/>
      <c r="J381" s="4093"/>
      <c r="K381" s="4093"/>
      <c r="L381" s="4093"/>
      <c r="M381" s="4093"/>
      <c r="N381" s="4093"/>
      <c r="O381" s="4093"/>
      <c r="P381" s="4093"/>
      <c r="Q381" s="4093"/>
      <c r="R381" s="4093"/>
      <c r="S381" s="4093"/>
      <c r="T381" s="4093"/>
      <c r="U381" s="4093"/>
      <c r="V381" s="4093"/>
      <c r="W381" s="4093"/>
      <c r="X381" s="4093"/>
      <c r="Y381" s="4093"/>
      <c r="Z381" s="4093"/>
      <c r="AA381" s="4093"/>
      <c r="AB381" s="4093"/>
      <c r="AC381" s="4093"/>
      <c r="AD381" s="4093"/>
      <c r="AE381" s="4093"/>
      <c r="AF381" s="4093"/>
      <c r="AG381" s="4093"/>
      <c r="AH381" s="4093"/>
      <c r="AI381" s="4093"/>
      <c r="AJ381" s="4093"/>
      <c r="AK381" s="4093"/>
    </row>
    <row r="382" spans="1:37">
      <c r="A382" s="4093"/>
      <c r="B382" s="4093"/>
      <c r="C382" s="4093"/>
      <c r="D382" s="4093"/>
      <c r="E382" s="4093"/>
      <c r="F382" s="4093"/>
      <c r="G382" s="4093"/>
      <c r="H382" s="4093"/>
      <c r="I382" s="4093"/>
      <c r="J382" s="4093"/>
      <c r="K382" s="4093"/>
      <c r="L382" s="4093"/>
      <c r="M382" s="4093"/>
      <c r="N382" s="4093"/>
      <c r="O382" s="4093"/>
      <c r="P382" s="4093"/>
      <c r="Q382" s="4093"/>
      <c r="R382" s="4093"/>
      <c r="S382" s="4093"/>
      <c r="T382" s="4093"/>
      <c r="U382" s="4093"/>
      <c r="V382" s="4093"/>
      <c r="W382" s="4093"/>
      <c r="X382" s="4093"/>
      <c r="Y382" s="4093"/>
      <c r="Z382" s="4093"/>
      <c r="AA382" s="4093"/>
      <c r="AB382" s="4093"/>
      <c r="AC382" s="4093"/>
      <c r="AD382" s="4093"/>
      <c r="AE382" s="4093"/>
      <c r="AF382" s="4093"/>
      <c r="AG382" s="4093"/>
      <c r="AH382" s="4093"/>
      <c r="AI382" s="4093"/>
      <c r="AJ382" s="4093"/>
      <c r="AK382" s="4093"/>
    </row>
    <row r="383" spans="1:37">
      <c r="A383" s="4093"/>
      <c r="B383" s="4093"/>
      <c r="C383" s="4093"/>
      <c r="D383" s="4093"/>
      <c r="E383" s="4093"/>
      <c r="F383" s="4093"/>
      <c r="G383" s="4093"/>
      <c r="H383" s="4093"/>
      <c r="I383" s="4093"/>
      <c r="J383" s="4093"/>
      <c r="K383" s="4093"/>
      <c r="L383" s="4093"/>
      <c r="M383" s="4093"/>
      <c r="N383" s="4093"/>
      <c r="O383" s="4093"/>
      <c r="P383" s="4093"/>
      <c r="Q383" s="4093"/>
      <c r="R383" s="4093"/>
      <c r="S383" s="4093"/>
      <c r="T383" s="4093"/>
      <c r="U383" s="4093"/>
      <c r="V383" s="4093"/>
      <c r="W383" s="4093"/>
      <c r="X383" s="4093"/>
      <c r="Y383" s="4093"/>
      <c r="Z383" s="4093"/>
      <c r="AA383" s="4093"/>
      <c r="AB383" s="4093"/>
      <c r="AC383" s="4093"/>
      <c r="AD383" s="4093"/>
      <c r="AE383" s="4093"/>
      <c r="AF383" s="4093"/>
      <c r="AG383" s="4093"/>
      <c r="AH383" s="4093"/>
      <c r="AI383" s="4093"/>
      <c r="AJ383" s="4093"/>
      <c r="AK383" s="4093"/>
    </row>
    <row r="384" spans="1:37">
      <c r="A384" s="4093"/>
      <c r="B384" s="4093"/>
      <c r="C384" s="4093"/>
      <c r="D384" s="4093"/>
      <c r="E384" s="4093"/>
      <c r="F384" s="4093"/>
      <c r="G384" s="4093"/>
      <c r="H384" s="4093"/>
      <c r="I384" s="4093"/>
      <c r="J384" s="4093"/>
      <c r="K384" s="4093"/>
      <c r="L384" s="4093"/>
      <c r="M384" s="4093"/>
      <c r="N384" s="4093"/>
      <c r="O384" s="4093"/>
      <c r="P384" s="4093"/>
      <c r="Q384" s="4093"/>
      <c r="R384" s="4093"/>
      <c r="S384" s="4093"/>
      <c r="T384" s="4093"/>
      <c r="U384" s="4093"/>
      <c r="V384" s="4093"/>
      <c r="W384" s="4093"/>
      <c r="X384" s="4093"/>
      <c r="Y384" s="4093"/>
      <c r="Z384" s="4093"/>
      <c r="AA384" s="4093"/>
      <c r="AB384" s="4093"/>
      <c r="AC384" s="4093"/>
      <c r="AD384" s="4093"/>
      <c r="AE384" s="4093"/>
      <c r="AF384" s="4093"/>
      <c r="AG384" s="4093"/>
      <c r="AH384" s="4093"/>
      <c r="AI384" s="4093"/>
      <c r="AJ384" s="4093"/>
      <c r="AK384" s="4093"/>
    </row>
    <row r="385" spans="1:37">
      <c r="A385" s="4093"/>
      <c r="B385" s="4093"/>
      <c r="C385" s="4093"/>
      <c r="D385" s="4093"/>
      <c r="E385" s="4093"/>
      <c r="F385" s="4093"/>
      <c r="G385" s="4093"/>
      <c r="H385" s="4093"/>
      <c r="I385" s="4093"/>
      <c r="J385" s="4093"/>
      <c r="K385" s="4093"/>
      <c r="L385" s="4093"/>
      <c r="M385" s="4093"/>
      <c r="N385" s="4093"/>
      <c r="O385" s="4093"/>
      <c r="P385" s="4093"/>
      <c r="Q385" s="4093"/>
      <c r="R385" s="4093"/>
      <c r="S385" s="4093"/>
      <c r="T385" s="4093"/>
      <c r="U385" s="4093"/>
      <c r="V385" s="4093"/>
      <c r="W385" s="4093"/>
      <c r="X385" s="4093"/>
      <c r="Y385" s="4093"/>
      <c r="Z385" s="4093"/>
      <c r="AA385" s="4093"/>
      <c r="AB385" s="4093"/>
      <c r="AC385" s="4093"/>
      <c r="AD385" s="4093"/>
      <c r="AE385" s="4093"/>
      <c r="AF385" s="4093"/>
      <c r="AG385" s="4093"/>
      <c r="AH385" s="4093"/>
      <c r="AI385" s="4093"/>
      <c r="AJ385" s="4093"/>
      <c r="AK385" s="4093"/>
    </row>
    <row r="386" spans="1:37">
      <c r="A386" s="4093"/>
      <c r="B386" s="4093"/>
      <c r="C386" s="4093"/>
      <c r="D386" s="4093"/>
      <c r="E386" s="4093"/>
      <c r="F386" s="4093"/>
      <c r="G386" s="4093"/>
      <c r="H386" s="4093"/>
      <c r="I386" s="4093"/>
      <c r="J386" s="4093"/>
      <c r="K386" s="4093"/>
      <c r="L386" s="4093"/>
      <c r="M386" s="4093"/>
      <c r="N386" s="4093"/>
      <c r="O386" s="4093"/>
      <c r="P386" s="4093"/>
      <c r="Q386" s="4093"/>
      <c r="R386" s="4093"/>
      <c r="S386" s="4093"/>
      <c r="T386" s="4093"/>
      <c r="U386" s="4093"/>
      <c r="V386" s="4093"/>
      <c r="W386" s="4093"/>
      <c r="X386" s="4093"/>
      <c r="Y386" s="4093"/>
      <c r="Z386" s="4093"/>
      <c r="AA386" s="4093"/>
      <c r="AB386" s="4093"/>
      <c r="AC386" s="4093"/>
      <c r="AD386" s="4093"/>
      <c r="AE386" s="4093"/>
      <c r="AF386" s="4093"/>
      <c r="AG386" s="4093"/>
      <c r="AH386" s="4093"/>
      <c r="AI386" s="4093"/>
      <c r="AJ386" s="4093"/>
      <c r="AK386" s="4093"/>
    </row>
    <row r="387" spans="1:37">
      <c r="A387" s="4093"/>
      <c r="B387" s="4093"/>
      <c r="C387" s="4093"/>
      <c r="D387" s="4093"/>
      <c r="E387" s="4093"/>
      <c r="F387" s="4093"/>
      <c r="G387" s="4093"/>
      <c r="H387" s="4093"/>
      <c r="I387" s="4093"/>
      <c r="J387" s="4093"/>
      <c r="K387" s="4093"/>
      <c r="L387" s="4093"/>
      <c r="M387" s="4093"/>
      <c r="N387" s="4093"/>
      <c r="O387" s="4093"/>
      <c r="P387" s="4093"/>
      <c r="Q387" s="4093"/>
      <c r="R387" s="4093"/>
      <c r="S387" s="4093"/>
      <c r="T387" s="4093"/>
      <c r="U387" s="4093"/>
      <c r="V387" s="4093"/>
      <c r="W387" s="4093"/>
      <c r="X387" s="4093"/>
      <c r="Y387" s="4093"/>
      <c r="Z387" s="4093"/>
      <c r="AA387" s="4093"/>
      <c r="AB387" s="4093"/>
      <c r="AC387" s="4093"/>
      <c r="AD387" s="4093"/>
      <c r="AE387" s="4093"/>
      <c r="AF387" s="4093"/>
      <c r="AG387" s="4093"/>
      <c r="AH387" s="4093"/>
      <c r="AI387" s="4093"/>
      <c r="AJ387" s="4093"/>
      <c r="AK387" s="4093"/>
    </row>
    <row r="388" spans="1:37">
      <c r="A388" s="4093"/>
      <c r="B388" s="4093"/>
      <c r="C388" s="4093"/>
      <c r="D388" s="4093"/>
      <c r="E388" s="4093"/>
      <c r="F388" s="4093"/>
      <c r="G388" s="4093"/>
      <c r="H388" s="4093"/>
      <c r="I388" s="4093"/>
      <c r="J388" s="4093"/>
      <c r="K388" s="4093"/>
      <c r="L388" s="4093"/>
      <c r="M388" s="4093"/>
      <c r="N388" s="4093"/>
      <c r="O388" s="4093"/>
      <c r="P388" s="4093"/>
      <c r="Q388" s="4093"/>
      <c r="R388" s="4093"/>
      <c r="S388" s="4093"/>
      <c r="T388" s="4093"/>
      <c r="U388" s="4093"/>
      <c r="V388" s="4093"/>
      <c r="W388" s="4093"/>
      <c r="X388" s="4093"/>
      <c r="Y388" s="4093"/>
      <c r="Z388" s="4093"/>
      <c r="AA388" s="4093"/>
      <c r="AB388" s="4093"/>
      <c r="AC388" s="4093"/>
      <c r="AD388" s="4093"/>
      <c r="AE388" s="4093"/>
      <c r="AF388" s="4093"/>
      <c r="AG388" s="4093"/>
      <c r="AH388" s="4093"/>
      <c r="AI388" s="4093"/>
      <c r="AJ388" s="4093"/>
      <c r="AK388" s="4093"/>
    </row>
    <row r="389" spans="1:37">
      <c r="A389" s="4093"/>
      <c r="B389" s="4093"/>
      <c r="C389" s="4093"/>
      <c r="D389" s="4093"/>
      <c r="E389" s="4093"/>
      <c r="F389" s="4093"/>
      <c r="G389" s="4093"/>
      <c r="H389" s="4093"/>
      <c r="I389" s="4093"/>
      <c r="J389" s="4093"/>
      <c r="K389" s="4093"/>
      <c r="L389" s="4093"/>
      <c r="M389" s="4093"/>
      <c r="N389" s="4093"/>
      <c r="O389" s="4093"/>
      <c r="P389" s="4093"/>
      <c r="Q389" s="4093"/>
      <c r="R389" s="4093"/>
      <c r="S389" s="4093"/>
      <c r="T389" s="4093"/>
      <c r="U389" s="4093"/>
      <c r="V389" s="4093"/>
      <c r="W389" s="4093"/>
      <c r="X389" s="4093"/>
      <c r="Y389" s="4093"/>
      <c r="Z389" s="4093"/>
      <c r="AA389" s="4093"/>
      <c r="AB389" s="4093"/>
      <c r="AC389" s="4093"/>
      <c r="AD389" s="4093"/>
      <c r="AE389" s="4093"/>
      <c r="AF389" s="4093"/>
      <c r="AG389" s="4093"/>
      <c r="AH389" s="4093"/>
      <c r="AI389" s="4093"/>
      <c r="AJ389" s="4093"/>
      <c r="AK389" s="4093"/>
    </row>
    <row r="390" spans="1:37">
      <c r="A390" s="4093"/>
      <c r="B390" s="4093"/>
      <c r="C390" s="4093"/>
      <c r="D390" s="4093"/>
      <c r="E390" s="4093"/>
      <c r="F390" s="4093"/>
      <c r="G390" s="4093"/>
      <c r="H390" s="4093"/>
      <c r="I390" s="4093"/>
      <c r="J390" s="4093"/>
      <c r="K390" s="4093"/>
      <c r="L390" s="4093"/>
      <c r="M390" s="4093"/>
      <c r="N390" s="4093"/>
      <c r="O390" s="4093"/>
      <c r="P390" s="4093"/>
      <c r="Q390" s="4093"/>
      <c r="R390" s="4093"/>
      <c r="S390" s="4093"/>
      <c r="T390" s="4093"/>
      <c r="U390" s="4093"/>
      <c r="V390" s="4093"/>
      <c r="W390" s="4093"/>
      <c r="X390" s="4093"/>
      <c r="Y390" s="4093"/>
      <c r="Z390" s="4093"/>
      <c r="AA390" s="4093"/>
      <c r="AB390" s="4093"/>
      <c r="AC390" s="4093"/>
      <c r="AD390" s="4093"/>
      <c r="AE390" s="4093"/>
      <c r="AF390" s="4093"/>
      <c r="AG390" s="4093"/>
      <c r="AH390" s="4093"/>
      <c r="AI390" s="4093"/>
      <c r="AJ390" s="4093"/>
      <c r="AK390" s="4093"/>
    </row>
    <row r="391" spans="1:37">
      <c r="A391" s="4093"/>
      <c r="B391" s="4093"/>
      <c r="C391" s="4093"/>
      <c r="D391" s="4093"/>
      <c r="E391" s="4093"/>
      <c r="F391" s="4093"/>
      <c r="G391" s="4093"/>
      <c r="H391" s="4093"/>
      <c r="I391" s="4093"/>
      <c r="J391" s="4093"/>
      <c r="K391" s="4093"/>
      <c r="L391" s="4093"/>
      <c r="M391" s="4093"/>
      <c r="N391" s="4093"/>
      <c r="O391" s="4093"/>
      <c r="P391" s="4093"/>
      <c r="Q391" s="4093"/>
      <c r="R391" s="4093"/>
      <c r="S391" s="4093"/>
      <c r="T391" s="4093"/>
      <c r="U391" s="4093"/>
      <c r="V391" s="4093"/>
      <c r="W391" s="4093"/>
      <c r="X391" s="4093"/>
      <c r="Y391" s="4093"/>
      <c r="Z391" s="4093"/>
      <c r="AA391" s="4093"/>
      <c r="AB391" s="4093"/>
      <c r="AC391" s="4093"/>
      <c r="AD391" s="4093"/>
      <c r="AE391" s="4093"/>
      <c r="AF391" s="4093"/>
      <c r="AG391" s="4093"/>
      <c r="AH391" s="4093"/>
      <c r="AI391" s="4093"/>
      <c r="AJ391" s="4093"/>
      <c r="AK391" s="4093"/>
    </row>
    <row r="392" spans="1:37">
      <c r="A392" s="4093"/>
      <c r="B392" s="4093"/>
      <c r="C392" s="4093"/>
      <c r="D392" s="4093"/>
      <c r="E392" s="4093"/>
      <c r="F392" s="4093"/>
      <c r="G392" s="4093"/>
      <c r="H392" s="4093"/>
      <c r="I392" s="4093"/>
      <c r="J392" s="4093"/>
      <c r="K392" s="4093"/>
      <c r="L392" s="4093"/>
      <c r="M392" s="4093"/>
      <c r="N392" s="4093"/>
      <c r="O392" s="4093"/>
      <c r="P392" s="4093"/>
      <c r="Q392" s="4093"/>
      <c r="R392" s="4093"/>
      <c r="S392" s="4093"/>
      <c r="T392" s="4093"/>
      <c r="U392" s="4093"/>
      <c r="V392" s="4093"/>
      <c r="W392" s="4093"/>
      <c r="X392" s="4093"/>
      <c r="Y392" s="4093"/>
      <c r="Z392" s="4093"/>
      <c r="AA392" s="4093"/>
      <c r="AB392" s="4093"/>
      <c r="AC392" s="4093"/>
      <c r="AD392" s="4093"/>
      <c r="AE392" s="4093"/>
      <c r="AF392" s="4093"/>
      <c r="AG392" s="4093"/>
      <c r="AH392" s="4093"/>
      <c r="AI392" s="4093"/>
      <c r="AJ392" s="4093"/>
      <c r="AK392" s="4093"/>
    </row>
    <row r="393" spans="1:37">
      <c r="A393" s="4093"/>
      <c r="B393" s="4093"/>
      <c r="C393" s="4093"/>
      <c r="D393" s="4093"/>
      <c r="E393" s="4093"/>
      <c r="F393" s="4093"/>
      <c r="G393" s="4093"/>
      <c r="H393" s="4093"/>
      <c r="I393" s="4093"/>
      <c r="J393" s="4093"/>
      <c r="K393" s="4093"/>
      <c r="L393" s="4093"/>
      <c r="M393" s="4093"/>
      <c r="N393" s="4093"/>
      <c r="O393" s="4093"/>
      <c r="P393" s="4093"/>
      <c r="Q393" s="4093"/>
      <c r="R393" s="4093"/>
      <c r="S393" s="4093"/>
      <c r="T393" s="4093"/>
      <c r="U393" s="4093"/>
      <c r="V393" s="4093"/>
      <c r="W393" s="4093"/>
      <c r="X393" s="4093"/>
      <c r="Y393" s="4093"/>
      <c r="Z393" s="4093"/>
      <c r="AA393" s="4093"/>
      <c r="AB393" s="4093"/>
      <c r="AC393" s="4093"/>
      <c r="AD393" s="4093"/>
      <c r="AE393" s="4093"/>
      <c r="AF393" s="4093"/>
      <c r="AG393" s="4093"/>
      <c r="AH393" s="4093"/>
      <c r="AI393" s="4093"/>
      <c r="AJ393" s="4093"/>
      <c r="AK393" s="4093"/>
    </row>
    <row r="394" spans="1:37">
      <c r="A394" s="4093"/>
      <c r="B394" s="4093"/>
      <c r="C394" s="4093"/>
      <c r="D394" s="4093"/>
      <c r="E394" s="4093"/>
      <c r="F394" s="4093"/>
      <c r="G394" s="4093"/>
      <c r="H394" s="4093"/>
      <c r="I394" s="4093"/>
      <c r="J394" s="4093"/>
      <c r="K394" s="4093"/>
      <c r="L394" s="4093"/>
      <c r="M394" s="4093"/>
      <c r="N394" s="4093"/>
      <c r="O394" s="4093"/>
      <c r="P394" s="4093"/>
      <c r="Q394" s="4093"/>
      <c r="R394" s="4093"/>
      <c r="S394" s="4093"/>
      <c r="T394" s="4093"/>
      <c r="U394" s="4093"/>
      <c r="V394" s="4093"/>
      <c r="W394" s="4093"/>
      <c r="X394" s="4093"/>
      <c r="Y394" s="4093"/>
      <c r="Z394" s="4093"/>
      <c r="AA394" s="4093"/>
      <c r="AB394" s="4093"/>
      <c r="AC394" s="4093"/>
      <c r="AD394" s="4093"/>
      <c r="AE394" s="4093"/>
      <c r="AF394" s="4093"/>
      <c r="AG394" s="4093"/>
      <c r="AH394" s="4093"/>
      <c r="AI394" s="4093"/>
      <c r="AJ394" s="4093"/>
      <c r="AK394" s="4093"/>
    </row>
    <row r="395" spans="1:37">
      <c r="A395" s="4093"/>
      <c r="B395" s="4093"/>
      <c r="C395" s="4093"/>
      <c r="D395" s="4093"/>
      <c r="E395" s="4093"/>
      <c r="F395" s="4093"/>
      <c r="G395" s="4093"/>
      <c r="H395" s="4093"/>
      <c r="I395" s="4093"/>
      <c r="J395" s="4093"/>
      <c r="K395" s="4093"/>
      <c r="L395" s="4093"/>
      <c r="M395" s="4093"/>
      <c r="N395" s="4093"/>
      <c r="O395" s="4093"/>
      <c r="P395" s="4093"/>
      <c r="Q395" s="4093"/>
      <c r="R395" s="4093"/>
      <c r="S395" s="4093"/>
      <c r="T395" s="4093"/>
      <c r="U395" s="4093"/>
      <c r="V395" s="4093"/>
      <c r="W395" s="4093"/>
      <c r="X395" s="4093"/>
      <c r="Y395" s="4093"/>
      <c r="Z395" s="4093"/>
      <c r="AA395" s="4093"/>
      <c r="AB395" s="4093"/>
      <c r="AC395" s="4093"/>
      <c r="AD395" s="4093"/>
      <c r="AE395" s="4093"/>
      <c r="AF395" s="4093"/>
      <c r="AG395" s="4093"/>
      <c r="AH395" s="4093"/>
      <c r="AI395" s="4093"/>
      <c r="AJ395" s="4093"/>
      <c r="AK395" s="4093"/>
    </row>
    <row r="396" spans="1:37">
      <c r="A396" s="4093"/>
      <c r="B396" s="4093"/>
      <c r="C396" s="4093"/>
      <c r="D396" s="4093"/>
      <c r="E396" s="4093"/>
      <c r="F396" s="4093"/>
      <c r="G396" s="4093"/>
      <c r="H396" s="4093"/>
      <c r="I396" s="4093"/>
      <c r="J396" s="4093"/>
      <c r="K396" s="4093"/>
      <c r="L396" s="4093"/>
      <c r="M396" s="4093"/>
      <c r="N396" s="4093"/>
      <c r="O396" s="4093"/>
      <c r="P396" s="4093"/>
      <c r="Q396" s="4093"/>
      <c r="R396" s="4093"/>
      <c r="S396" s="4093"/>
      <c r="T396" s="4093"/>
      <c r="U396" s="4093"/>
      <c r="V396" s="4093"/>
      <c r="W396" s="4093"/>
      <c r="X396" s="4093"/>
      <c r="Y396" s="4093"/>
      <c r="Z396" s="4093"/>
      <c r="AA396" s="4093"/>
      <c r="AB396" s="4093"/>
      <c r="AC396" s="4093"/>
      <c r="AD396" s="4093"/>
      <c r="AE396" s="4093"/>
      <c r="AF396" s="4093"/>
      <c r="AG396" s="4093"/>
      <c r="AH396" s="4093"/>
      <c r="AI396" s="4093"/>
      <c r="AJ396" s="4093"/>
      <c r="AK396" s="4093"/>
    </row>
    <row r="397" spans="1:37">
      <c r="A397" s="4093"/>
      <c r="B397" s="4093"/>
      <c r="C397" s="4093"/>
      <c r="D397" s="4093"/>
      <c r="E397" s="4093"/>
      <c r="F397" s="4093"/>
      <c r="G397" s="4093"/>
      <c r="H397" s="4093"/>
      <c r="I397" s="4093"/>
      <c r="J397" s="4093"/>
      <c r="K397" s="4093"/>
      <c r="L397" s="4093"/>
      <c r="M397" s="4093"/>
      <c r="N397" s="4093"/>
      <c r="O397" s="4093"/>
      <c r="P397" s="4093"/>
      <c r="Q397" s="4093"/>
      <c r="R397" s="4093"/>
      <c r="S397" s="4093"/>
      <c r="T397" s="4093"/>
      <c r="U397" s="4093"/>
      <c r="V397" s="4093"/>
      <c r="W397" s="4093"/>
      <c r="X397" s="4093"/>
      <c r="Y397" s="4093"/>
      <c r="Z397" s="4093"/>
      <c r="AA397" s="4093"/>
      <c r="AB397" s="4093"/>
      <c r="AC397" s="4093"/>
      <c r="AD397" s="4093"/>
      <c r="AE397" s="4093"/>
      <c r="AF397" s="4093"/>
      <c r="AG397" s="4093"/>
      <c r="AH397" s="4093"/>
      <c r="AI397" s="4093"/>
      <c r="AJ397" s="4093"/>
      <c r="AK397" s="4093"/>
    </row>
    <row r="398" spans="1:37">
      <c r="A398" s="4093"/>
      <c r="B398" s="4093"/>
      <c r="C398" s="4093"/>
      <c r="D398" s="4093"/>
      <c r="E398" s="4093"/>
      <c r="F398" s="4093"/>
      <c r="G398" s="4093"/>
      <c r="H398" s="4093"/>
      <c r="I398" s="4093"/>
      <c r="J398" s="4093"/>
      <c r="K398" s="4093"/>
      <c r="L398" s="4093"/>
      <c r="M398" s="4093"/>
      <c r="N398" s="4093"/>
      <c r="O398" s="4093"/>
      <c r="P398" s="4093"/>
      <c r="Q398" s="4093"/>
      <c r="R398" s="4093"/>
      <c r="S398" s="4093"/>
      <c r="T398" s="4093"/>
      <c r="U398" s="4093"/>
      <c r="V398" s="4093"/>
      <c r="W398" s="4093"/>
      <c r="X398" s="4093"/>
      <c r="Y398" s="4093"/>
      <c r="Z398" s="4093"/>
      <c r="AA398" s="4093"/>
      <c r="AB398" s="4093"/>
      <c r="AC398" s="4093"/>
      <c r="AD398" s="4093"/>
      <c r="AE398" s="4093"/>
      <c r="AF398" s="4093"/>
      <c r="AG398" s="4093"/>
      <c r="AH398" s="4093"/>
      <c r="AI398" s="4093"/>
      <c r="AJ398" s="4093"/>
      <c r="AK398" s="4093"/>
    </row>
    <row r="399" spans="1:37">
      <c r="A399" s="4093"/>
      <c r="B399" s="4093"/>
      <c r="C399" s="4093"/>
      <c r="D399" s="4093"/>
      <c r="E399" s="4093"/>
      <c r="F399" s="4093"/>
      <c r="G399" s="4093"/>
      <c r="H399" s="4093"/>
      <c r="I399" s="4093"/>
      <c r="J399" s="4093"/>
      <c r="K399" s="4093"/>
      <c r="L399" s="4093"/>
      <c r="M399" s="4093"/>
      <c r="N399" s="4093"/>
      <c r="O399" s="4093"/>
      <c r="P399" s="4093"/>
      <c r="Q399" s="4093"/>
      <c r="R399" s="4093"/>
      <c r="S399" s="4093"/>
      <c r="T399" s="4093"/>
      <c r="U399" s="4093"/>
      <c r="V399" s="4093"/>
      <c r="W399" s="4093"/>
      <c r="X399" s="4093"/>
      <c r="Y399" s="4093"/>
      <c r="Z399" s="4093"/>
      <c r="AA399" s="4093"/>
      <c r="AB399" s="4093"/>
      <c r="AC399" s="4093"/>
      <c r="AD399" s="4093"/>
      <c r="AE399" s="4093"/>
      <c r="AF399" s="4093"/>
      <c r="AG399" s="4093"/>
      <c r="AH399" s="4093"/>
      <c r="AI399" s="4093"/>
      <c r="AJ399" s="4093"/>
      <c r="AK399" s="4093"/>
    </row>
    <row r="400" spans="1:37">
      <c r="A400" s="4093"/>
      <c r="B400" s="4093"/>
      <c r="C400" s="4093"/>
      <c r="D400" s="4093"/>
      <c r="E400" s="4093"/>
      <c r="F400" s="4093"/>
      <c r="G400" s="4093"/>
      <c r="H400" s="4093"/>
      <c r="I400" s="4093"/>
      <c r="J400" s="4093"/>
      <c r="K400" s="4093"/>
      <c r="L400" s="4093"/>
      <c r="M400" s="4093"/>
      <c r="N400" s="4093"/>
      <c r="O400" s="4093"/>
      <c r="P400" s="4093"/>
      <c r="Q400" s="4093"/>
      <c r="R400" s="4093"/>
      <c r="S400" s="4093"/>
      <c r="T400" s="4093"/>
      <c r="U400" s="4093"/>
      <c r="V400" s="4093"/>
      <c r="W400" s="4093"/>
      <c r="X400" s="4093"/>
      <c r="Y400" s="4093"/>
      <c r="Z400" s="4093"/>
      <c r="AA400" s="4093"/>
      <c r="AB400" s="4093"/>
      <c r="AC400" s="4093"/>
      <c r="AD400" s="4093"/>
      <c r="AE400" s="4093"/>
      <c r="AF400" s="4093"/>
      <c r="AG400" s="4093"/>
      <c r="AH400" s="4093"/>
      <c r="AI400" s="4093"/>
      <c r="AJ400" s="4093"/>
      <c r="AK400" s="4093"/>
    </row>
    <row r="401" spans="1:37">
      <c r="A401" s="4093"/>
      <c r="B401" s="4093"/>
      <c r="C401" s="4093"/>
      <c r="D401" s="4093"/>
      <c r="E401" s="4093"/>
      <c r="F401" s="4093"/>
      <c r="G401" s="4093"/>
      <c r="H401" s="4093"/>
      <c r="I401" s="4093"/>
      <c r="J401" s="4093"/>
      <c r="K401" s="4093"/>
      <c r="L401" s="4093"/>
      <c r="M401" s="4093"/>
      <c r="N401" s="4093"/>
      <c r="O401" s="4093"/>
      <c r="P401" s="4093"/>
      <c r="Q401" s="4093"/>
      <c r="R401" s="4093"/>
      <c r="S401" s="4093"/>
      <c r="T401" s="4093"/>
      <c r="U401" s="4093"/>
      <c r="V401" s="4093"/>
      <c r="W401" s="4093"/>
      <c r="X401" s="4093"/>
      <c r="Y401" s="4093"/>
      <c r="Z401" s="4093"/>
      <c r="AA401" s="4093"/>
      <c r="AB401" s="4093"/>
      <c r="AC401" s="4093"/>
      <c r="AD401" s="4093"/>
      <c r="AE401" s="4093"/>
      <c r="AF401" s="4093"/>
      <c r="AG401" s="4093"/>
      <c r="AH401" s="4093"/>
      <c r="AI401" s="4093"/>
      <c r="AJ401" s="4093"/>
      <c r="AK401" s="4093"/>
    </row>
    <row r="402" spans="1:37">
      <c r="A402" s="4093"/>
      <c r="B402" s="4093"/>
      <c r="C402" s="4093"/>
      <c r="D402" s="4093"/>
      <c r="E402" s="4093"/>
      <c r="F402" s="4093"/>
      <c r="G402" s="4093"/>
      <c r="H402" s="4093"/>
      <c r="I402" s="4093"/>
      <c r="J402" s="4093"/>
      <c r="K402" s="4093"/>
      <c r="L402" s="4093"/>
      <c r="M402" s="4093"/>
      <c r="N402" s="4093"/>
      <c r="O402" s="4093"/>
      <c r="P402" s="4093"/>
      <c r="Q402" s="4093"/>
      <c r="R402" s="4093"/>
      <c r="S402" s="4093"/>
      <c r="T402" s="4093"/>
      <c r="U402" s="4093"/>
      <c r="V402" s="4093"/>
      <c r="W402" s="4093"/>
      <c r="X402" s="4093"/>
      <c r="Y402" s="4093"/>
      <c r="Z402" s="4093"/>
      <c r="AA402" s="4093"/>
      <c r="AB402" s="4093"/>
      <c r="AC402" s="4093"/>
      <c r="AD402" s="4093"/>
      <c r="AE402" s="4093"/>
      <c r="AF402" s="4093"/>
      <c r="AG402" s="4093"/>
      <c r="AH402" s="4093"/>
      <c r="AI402" s="4093"/>
      <c r="AJ402" s="4093"/>
      <c r="AK402" s="4093"/>
    </row>
    <row r="403" spans="1:37">
      <c r="A403" s="4093"/>
      <c r="B403" s="4093"/>
      <c r="C403" s="4093"/>
      <c r="D403" s="4093"/>
      <c r="E403" s="4093"/>
      <c r="F403" s="4093"/>
      <c r="G403" s="4093"/>
      <c r="H403" s="4093"/>
      <c r="I403" s="4093"/>
      <c r="J403" s="4093"/>
      <c r="K403" s="4093"/>
      <c r="L403" s="4093"/>
      <c r="M403" s="4093"/>
      <c r="N403" s="4093"/>
      <c r="O403" s="4093"/>
      <c r="P403" s="4093"/>
      <c r="Q403" s="4093"/>
      <c r="R403" s="4093"/>
      <c r="S403" s="4093"/>
      <c r="T403" s="4093"/>
      <c r="U403" s="4093"/>
      <c r="V403" s="4093"/>
      <c r="W403" s="4093"/>
      <c r="X403" s="4093"/>
      <c r="Y403" s="4093"/>
      <c r="Z403" s="4093"/>
      <c r="AA403" s="4093"/>
      <c r="AB403" s="4093"/>
      <c r="AC403" s="4093"/>
      <c r="AD403" s="4093"/>
      <c r="AE403" s="4093"/>
      <c r="AF403" s="4093"/>
      <c r="AG403" s="4093"/>
      <c r="AH403" s="4093"/>
      <c r="AI403" s="4093"/>
      <c r="AJ403" s="4093"/>
      <c r="AK403" s="4093"/>
    </row>
    <row r="404" spans="1:37">
      <c r="A404" s="4093"/>
      <c r="B404" s="4093"/>
      <c r="C404" s="4093"/>
      <c r="D404" s="4093"/>
      <c r="E404" s="4093"/>
      <c r="F404" s="4093"/>
      <c r="G404" s="4093"/>
      <c r="H404" s="4093"/>
      <c r="I404" s="4093"/>
      <c r="J404" s="4093"/>
      <c r="K404" s="4093"/>
      <c r="L404" s="4093"/>
      <c r="M404" s="4093"/>
      <c r="N404" s="4093"/>
      <c r="O404" s="4093"/>
      <c r="P404" s="4093"/>
      <c r="Q404" s="4093"/>
      <c r="R404" s="4093"/>
      <c r="S404" s="4093"/>
      <c r="T404" s="4093"/>
      <c r="U404" s="4093"/>
      <c r="V404" s="4093"/>
      <c r="W404" s="4093"/>
      <c r="X404" s="4093"/>
      <c r="Y404" s="4093"/>
      <c r="Z404" s="4093"/>
      <c r="AA404" s="4093"/>
      <c r="AB404" s="4093"/>
      <c r="AC404" s="4093"/>
      <c r="AD404" s="4093"/>
      <c r="AE404" s="4093"/>
      <c r="AF404" s="4093"/>
      <c r="AG404" s="4093"/>
      <c r="AH404" s="4093"/>
      <c r="AI404" s="4093"/>
      <c r="AJ404" s="4093"/>
      <c r="AK404" s="4093"/>
    </row>
    <row r="405" spans="1:37">
      <c r="A405" s="4093"/>
      <c r="B405" s="4093"/>
      <c r="C405" s="4093"/>
      <c r="D405" s="4093"/>
      <c r="E405" s="4093"/>
      <c r="F405" s="4093"/>
      <c r="G405" s="4093"/>
      <c r="H405" s="4093"/>
      <c r="I405" s="4093"/>
      <c r="J405" s="4093"/>
      <c r="K405" s="4093"/>
      <c r="L405" s="4093"/>
      <c r="M405" s="4093"/>
      <c r="N405" s="4093"/>
      <c r="O405" s="4093"/>
      <c r="P405" s="4093"/>
      <c r="Q405" s="4093"/>
      <c r="R405" s="4093"/>
      <c r="S405" s="4093"/>
      <c r="T405" s="4093"/>
      <c r="U405" s="4093"/>
      <c r="V405" s="4093"/>
      <c r="W405" s="4093"/>
      <c r="X405" s="4093"/>
      <c r="Y405" s="4093"/>
      <c r="Z405" s="4093"/>
      <c r="AA405" s="4093"/>
      <c r="AB405" s="4093"/>
      <c r="AC405" s="4093"/>
      <c r="AD405" s="4093"/>
      <c r="AE405" s="4093"/>
      <c r="AF405" s="4093"/>
      <c r="AG405" s="4093"/>
      <c r="AH405" s="4093"/>
      <c r="AI405" s="4093"/>
      <c r="AJ405" s="4093"/>
      <c r="AK405" s="4093"/>
    </row>
    <row r="406" spans="1:37">
      <c r="A406" s="4093"/>
      <c r="B406" s="4093"/>
      <c r="C406" s="4093"/>
      <c r="D406" s="4093"/>
      <c r="E406" s="4093"/>
      <c r="F406" s="4093"/>
      <c r="G406" s="4093"/>
      <c r="H406" s="4093"/>
      <c r="I406" s="4093"/>
      <c r="J406" s="4093"/>
      <c r="K406" s="4093"/>
      <c r="L406" s="4093"/>
      <c r="M406" s="4093"/>
      <c r="N406" s="4093"/>
      <c r="O406" s="4093"/>
      <c r="P406" s="4093"/>
      <c r="Q406" s="4093"/>
      <c r="R406" s="4093"/>
      <c r="S406" s="4093"/>
      <c r="T406" s="4093"/>
      <c r="U406" s="4093"/>
      <c r="V406" s="4093"/>
      <c r="W406" s="4093"/>
      <c r="X406" s="4093"/>
      <c r="Y406" s="4093"/>
      <c r="Z406" s="4093"/>
      <c r="AA406" s="4093"/>
      <c r="AB406" s="4093"/>
      <c r="AC406" s="4093"/>
      <c r="AD406" s="4093"/>
      <c r="AE406" s="4093"/>
      <c r="AF406" s="4093"/>
      <c r="AG406" s="4093"/>
      <c r="AH406" s="4093"/>
      <c r="AI406" s="4093"/>
      <c r="AJ406" s="4093"/>
      <c r="AK406" s="4093"/>
    </row>
    <row r="407" spans="1:37">
      <c r="A407" s="4093"/>
      <c r="B407" s="4093"/>
      <c r="C407" s="4093"/>
      <c r="D407" s="4093"/>
      <c r="E407" s="4093"/>
      <c r="F407" s="4093"/>
      <c r="G407" s="4093"/>
      <c r="H407" s="4093"/>
      <c r="I407" s="4093"/>
      <c r="J407" s="4093"/>
      <c r="K407" s="4093"/>
      <c r="L407" s="4093"/>
      <c r="M407" s="4093"/>
      <c r="N407" s="4093"/>
      <c r="O407" s="4093"/>
      <c r="P407" s="4093"/>
      <c r="Q407" s="4093"/>
      <c r="R407" s="4093"/>
      <c r="S407" s="4093"/>
      <c r="T407" s="4093"/>
      <c r="U407" s="4093"/>
      <c r="V407" s="4093"/>
      <c r="W407" s="4093"/>
      <c r="X407" s="4093"/>
      <c r="Y407" s="4093"/>
      <c r="Z407" s="4093"/>
      <c r="AA407" s="4093"/>
      <c r="AB407" s="4093"/>
      <c r="AC407" s="4093"/>
      <c r="AD407" s="4093"/>
      <c r="AE407" s="4093"/>
      <c r="AF407" s="4093"/>
      <c r="AG407" s="4093"/>
      <c r="AH407" s="4093"/>
      <c r="AI407" s="4093"/>
      <c r="AJ407" s="4093"/>
      <c r="AK407" s="4093"/>
    </row>
    <row r="408" spans="1:37">
      <c r="A408" s="4093"/>
      <c r="B408" s="4093"/>
      <c r="C408" s="4093"/>
      <c r="D408" s="4093"/>
      <c r="E408" s="4093"/>
      <c r="F408" s="4093"/>
      <c r="G408" s="4093"/>
      <c r="H408" s="4093"/>
      <c r="I408" s="4093"/>
      <c r="J408" s="4093"/>
      <c r="K408" s="4093"/>
      <c r="L408" s="4093"/>
      <c r="M408" s="4093"/>
      <c r="N408" s="4093"/>
      <c r="O408" s="4093"/>
      <c r="P408" s="4093"/>
      <c r="Q408" s="4093"/>
      <c r="R408" s="4093"/>
      <c r="S408" s="4093"/>
      <c r="T408" s="4093"/>
      <c r="U408" s="4093"/>
      <c r="V408" s="4093"/>
      <c r="W408" s="4093"/>
      <c r="X408" s="4093"/>
      <c r="Y408" s="4093"/>
      <c r="Z408" s="4093"/>
      <c r="AA408" s="4093"/>
      <c r="AB408" s="4093"/>
      <c r="AC408" s="4093"/>
      <c r="AD408" s="4093"/>
      <c r="AE408" s="4093"/>
      <c r="AF408" s="4093"/>
      <c r="AG408" s="4093"/>
      <c r="AH408" s="4093"/>
      <c r="AI408" s="4093"/>
      <c r="AJ408" s="4093"/>
      <c r="AK408" s="4093"/>
    </row>
    <row r="409" spans="1:37">
      <c r="A409" s="4093"/>
      <c r="B409" s="4093"/>
      <c r="C409" s="4093"/>
      <c r="D409" s="4093"/>
      <c r="E409" s="4093"/>
      <c r="F409" s="4093"/>
      <c r="G409" s="4093"/>
      <c r="H409" s="4093"/>
      <c r="I409" s="4093"/>
      <c r="J409" s="4093"/>
      <c r="K409" s="4093"/>
      <c r="L409" s="4093"/>
      <c r="M409" s="4093"/>
      <c r="N409" s="4093"/>
      <c r="O409" s="4093"/>
      <c r="P409" s="4093"/>
      <c r="Q409" s="4093"/>
      <c r="R409" s="4093"/>
      <c r="S409" s="4093"/>
      <c r="T409" s="4093"/>
      <c r="U409" s="4093"/>
      <c r="V409" s="4093"/>
      <c r="W409" s="4093"/>
      <c r="X409" s="4093"/>
      <c r="Y409" s="4093"/>
      <c r="Z409" s="4093"/>
      <c r="AA409" s="4093"/>
      <c r="AB409" s="4093"/>
      <c r="AC409" s="4093"/>
      <c r="AD409" s="4093"/>
      <c r="AE409" s="4093"/>
      <c r="AF409" s="4093"/>
      <c r="AG409" s="4093"/>
      <c r="AH409" s="4093"/>
      <c r="AI409" s="4093"/>
      <c r="AJ409" s="4093"/>
      <c r="AK409" s="4093"/>
    </row>
    <row r="410" spans="1:37">
      <c r="A410" s="4093"/>
      <c r="B410" s="4093"/>
      <c r="C410" s="4093"/>
      <c r="D410" s="4093"/>
      <c r="E410" s="4093"/>
      <c r="F410" s="4093"/>
      <c r="G410" s="4093"/>
      <c r="H410" s="4093"/>
      <c r="I410" s="4093"/>
      <c r="J410" s="4093"/>
      <c r="K410" s="4093"/>
      <c r="L410" s="4093"/>
      <c r="M410" s="4093"/>
      <c r="N410" s="4093"/>
      <c r="O410" s="4093"/>
      <c r="P410" s="4093"/>
      <c r="Q410" s="4093"/>
      <c r="R410" s="4093"/>
      <c r="S410" s="4093"/>
      <c r="T410" s="4093"/>
      <c r="U410" s="4093"/>
      <c r="V410" s="4093"/>
      <c r="W410" s="4093"/>
      <c r="X410" s="4093"/>
      <c r="Y410" s="4093"/>
      <c r="Z410" s="4093"/>
      <c r="AA410" s="4093"/>
      <c r="AB410" s="4093"/>
      <c r="AC410" s="4093"/>
      <c r="AD410" s="4093"/>
      <c r="AE410" s="4093"/>
      <c r="AF410" s="4093"/>
      <c r="AG410" s="4093"/>
      <c r="AH410" s="4093"/>
      <c r="AI410" s="4093"/>
      <c r="AJ410" s="4093"/>
      <c r="AK410" s="4093"/>
    </row>
    <row r="411" spans="1:37">
      <c r="A411" s="4093"/>
      <c r="B411" s="4093"/>
      <c r="C411" s="4093"/>
      <c r="D411" s="4093"/>
      <c r="E411" s="4093"/>
      <c r="F411" s="4093"/>
      <c r="G411" s="4093"/>
      <c r="H411" s="4093"/>
      <c r="I411" s="4093"/>
      <c r="J411" s="4093"/>
      <c r="K411" s="4093"/>
      <c r="L411" s="4093"/>
      <c r="M411" s="4093"/>
      <c r="N411" s="4093"/>
      <c r="O411" s="4093"/>
      <c r="P411" s="4093"/>
      <c r="Q411" s="4093"/>
      <c r="R411" s="4093"/>
      <c r="S411" s="4093"/>
      <c r="T411" s="4093"/>
      <c r="U411" s="4093"/>
      <c r="V411" s="4093"/>
      <c r="W411" s="4093"/>
      <c r="X411" s="4093"/>
      <c r="Y411" s="4093"/>
      <c r="Z411" s="4093"/>
      <c r="AA411" s="4093"/>
      <c r="AB411" s="4093"/>
      <c r="AC411" s="4093"/>
      <c r="AD411" s="4093"/>
      <c r="AE411" s="4093"/>
      <c r="AF411" s="4093"/>
      <c r="AG411" s="4093"/>
      <c r="AH411" s="4093"/>
      <c r="AI411" s="4093"/>
      <c r="AJ411" s="4093"/>
      <c r="AK411" s="4093"/>
    </row>
    <row r="412" spans="1:37">
      <c r="A412" s="4093"/>
      <c r="B412" s="4093"/>
      <c r="C412" s="4093"/>
      <c r="D412" s="4093"/>
      <c r="E412" s="4093"/>
      <c r="F412" s="4093"/>
      <c r="G412" s="4093"/>
      <c r="H412" s="4093"/>
      <c r="I412" s="4093"/>
      <c r="J412" s="4093"/>
      <c r="K412" s="4093"/>
      <c r="L412" s="4093"/>
      <c r="M412" s="4093"/>
      <c r="N412" s="4093"/>
      <c r="O412" s="4093"/>
      <c r="P412" s="4093"/>
      <c r="Q412" s="4093"/>
      <c r="R412" s="4093"/>
      <c r="S412" s="4093"/>
      <c r="T412" s="4093"/>
      <c r="U412" s="4093"/>
      <c r="V412" s="4093"/>
      <c r="W412" s="4093"/>
      <c r="X412" s="4093"/>
      <c r="Y412" s="4093"/>
      <c r="Z412" s="4093"/>
      <c r="AA412" s="4093"/>
      <c r="AB412" s="4093"/>
      <c r="AC412" s="4093"/>
      <c r="AD412" s="4093"/>
      <c r="AE412" s="4093"/>
      <c r="AF412" s="4093"/>
      <c r="AG412" s="4093"/>
      <c r="AH412" s="4093"/>
      <c r="AI412" s="4093"/>
      <c r="AJ412" s="4093"/>
      <c r="AK412" s="4093"/>
    </row>
    <row r="413" spans="1:37">
      <c r="A413" s="4093"/>
      <c r="B413" s="4093"/>
      <c r="C413" s="4093"/>
      <c r="D413" s="4093"/>
      <c r="E413" s="4093"/>
      <c r="F413" s="4093"/>
      <c r="G413" s="4093"/>
      <c r="H413" s="4093"/>
      <c r="I413" s="4093"/>
      <c r="J413" s="4093"/>
      <c r="K413" s="4093"/>
      <c r="L413" s="4093"/>
      <c r="M413" s="4093"/>
      <c r="N413" s="4093"/>
      <c r="O413" s="4093"/>
      <c r="P413" s="4093"/>
      <c r="Q413" s="4093"/>
      <c r="R413" s="4093"/>
      <c r="S413" s="4093"/>
      <c r="T413" s="4093"/>
      <c r="U413" s="4093"/>
      <c r="V413" s="4093"/>
      <c r="W413" s="4093"/>
      <c r="X413" s="4093"/>
      <c r="Y413" s="4093"/>
      <c r="Z413" s="4093"/>
      <c r="AA413" s="4093"/>
      <c r="AB413" s="4093"/>
      <c r="AC413" s="4093"/>
      <c r="AD413" s="4093"/>
      <c r="AE413" s="4093"/>
      <c r="AF413" s="4093"/>
      <c r="AG413" s="4093"/>
      <c r="AH413" s="4093"/>
      <c r="AI413" s="4093"/>
      <c r="AJ413" s="4093"/>
      <c r="AK413" s="4093"/>
    </row>
    <row r="414" spans="1:37">
      <c r="A414" s="4093"/>
      <c r="B414" s="4093"/>
      <c r="C414" s="4093"/>
      <c r="D414" s="4093"/>
      <c r="E414" s="4093"/>
      <c r="F414" s="4093"/>
      <c r="G414" s="4093"/>
      <c r="H414" s="4093"/>
      <c r="I414" s="4093"/>
      <c r="J414" s="4093"/>
      <c r="K414" s="4093"/>
      <c r="L414" s="4093"/>
      <c r="M414" s="4093"/>
      <c r="N414" s="4093"/>
      <c r="O414" s="4093"/>
      <c r="P414" s="4093"/>
      <c r="Q414" s="4093"/>
      <c r="R414" s="4093"/>
      <c r="S414" s="4093"/>
      <c r="T414" s="4093"/>
      <c r="U414" s="4093"/>
      <c r="V414" s="4093"/>
      <c r="W414" s="4093"/>
      <c r="X414" s="4093"/>
      <c r="Y414" s="4093"/>
      <c r="Z414" s="4093"/>
      <c r="AA414" s="4093"/>
      <c r="AB414" s="4093"/>
      <c r="AC414" s="4093"/>
      <c r="AD414" s="4093"/>
      <c r="AE414" s="4093"/>
      <c r="AF414" s="4093"/>
      <c r="AG414" s="4093"/>
      <c r="AH414" s="4093"/>
      <c r="AI414" s="4093"/>
      <c r="AJ414" s="4093"/>
      <c r="AK414" s="4093"/>
    </row>
    <row r="415" spans="1:37">
      <c r="A415" s="4093"/>
      <c r="B415" s="4093"/>
      <c r="C415" s="4093"/>
      <c r="D415" s="4093"/>
      <c r="E415" s="4093"/>
      <c r="F415" s="4093"/>
      <c r="G415" s="4093"/>
      <c r="H415" s="4093"/>
      <c r="I415" s="4093"/>
      <c r="J415" s="4093"/>
      <c r="K415" s="4093"/>
      <c r="L415" s="4093"/>
      <c r="M415" s="4093"/>
      <c r="N415" s="4093"/>
      <c r="O415" s="4093"/>
      <c r="P415" s="4093"/>
      <c r="Q415" s="4093"/>
      <c r="R415" s="4093"/>
      <c r="S415" s="4093"/>
      <c r="T415" s="4093"/>
      <c r="U415" s="4093"/>
      <c r="V415" s="4093"/>
      <c r="W415" s="4093"/>
      <c r="X415" s="4093"/>
      <c r="Y415" s="4093"/>
      <c r="Z415" s="4093"/>
      <c r="AA415" s="4093"/>
      <c r="AB415" s="4093"/>
      <c r="AC415" s="4093"/>
      <c r="AD415" s="4093"/>
      <c r="AE415" s="4093"/>
      <c r="AF415" s="4093"/>
      <c r="AG415" s="4093"/>
      <c r="AH415" s="4093"/>
      <c r="AI415" s="4093"/>
      <c r="AJ415" s="4093"/>
      <c r="AK415" s="4093"/>
    </row>
    <row r="416" spans="1:37">
      <c r="A416" s="4093"/>
      <c r="B416" s="4093"/>
      <c r="C416" s="4093"/>
      <c r="D416" s="4093"/>
      <c r="E416" s="4093"/>
      <c r="F416" s="4093"/>
      <c r="G416" s="4093"/>
      <c r="H416" s="4093"/>
      <c r="I416" s="4093"/>
      <c r="J416" s="4093"/>
      <c r="K416" s="4093"/>
      <c r="L416" s="4093"/>
      <c r="M416" s="4093"/>
      <c r="N416" s="4093"/>
      <c r="O416" s="4093"/>
      <c r="P416" s="4093"/>
      <c r="Q416" s="4093"/>
      <c r="R416" s="4093"/>
      <c r="S416" s="4093"/>
      <c r="T416" s="4093"/>
      <c r="U416" s="4093"/>
      <c r="V416" s="4093"/>
      <c r="W416" s="4093"/>
      <c r="X416" s="4093"/>
      <c r="Y416" s="4093"/>
      <c r="Z416" s="4093"/>
      <c r="AA416" s="4093"/>
      <c r="AB416" s="4093"/>
      <c r="AC416" s="4093"/>
      <c r="AD416" s="4093"/>
      <c r="AE416" s="4093"/>
      <c r="AF416" s="4093"/>
      <c r="AG416" s="4093"/>
      <c r="AH416" s="4093"/>
      <c r="AI416" s="4093"/>
      <c r="AJ416" s="4093"/>
      <c r="AK416" s="4093"/>
    </row>
  </sheetData>
  <sheetProtection formatCells="0" formatColumns="0" formatRows="0" insertColumns="0" insertRows="0" insertHyperlinks="0" deleteColumns="0" deleteRows="0" sort="0" autoFilter="0" pivotTables="0"/>
  <mergeCells count="185">
    <mergeCell ref="Z221:Z222"/>
    <mergeCell ref="AA221:AA222"/>
    <mergeCell ref="AB221:AB222"/>
    <mergeCell ref="AC221:AC222"/>
    <mergeCell ref="AD221:AD222"/>
    <mergeCell ref="T221:T222"/>
    <mergeCell ref="U221:U222"/>
    <mergeCell ref="V221:V222"/>
    <mergeCell ref="W221:W222"/>
    <mergeCell ref="X221:X222"/>
    <mergeCell ref="Y221:Y222"/>
    <mergeCell ref="N221:N222"/>
    <mergeCell ref="O221:O222"/>
    <mergeCell ref="P221:P222"/>
    <mergeCell ref="Q221:Q222"/>
    <mergeCell ref="R221:R222"/>
    <mergeCell ref="S221:S222"/>
    <mergeCell ref="H221:H222"/>
    <mergeCell ref="I221:I222"/>
    <mergeCell ref="J221:J222"/>
    <mergeCell ref="K221:K222"/>
    <mergeCell ref="L221:L222"/>
    <mergeCell ref="M221:M222"/>
    <mergeCell ref="B221:B222"/>
    <mergeCell ref="C221:C222"/>
    <mergeCell ref="D221:D222"/>
    <mergeCell ref="E221:E222"/>
    <mergeCell ref="F221:F222"/>
    <mergeCell ref="G221:G222"/>
    <mergeCell ref="AC178:AC179"/>
    <mergeCell ref="AD178:AD179"/>
    <mergeCell ref="A220:A222"/>
    <mergeCell ref="B220:F220"/>
    <mergeCell ref="G220:K220"/>
    <mergeCell ref="L220:N220"/>
    <mergeCell ref="O220:S220"/>
    <mergeCell ref="T220:V220"/>
    <mergeCell ref="W220:AA220"/>
    <mergeCell ref="AB220:AD220"/>
    <mergeCell ref="W178:W179"/>
    <mergeCell ref="X178:X179"/>
    <mergeCell ref="Y178:Y179"/>
    <mergeCell ref="Z178:Z179"/>
    <mergeCell ref="AA178:AA179"/>
    <mergeCell ref="AB178:AB179"/>
    <mergeCell ref="Q178:Q179"/>
    <mergeCell ref="R178:R179"/>
    <mergeCell ref="AB177:AD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S178:S179"/>
    <mergeCell ref="T178:T179"/>
    <mergeCell ref="U178:U179"/>
    <mergeCell ref="V178:V179"/>
    <mergeCell ref="K178:K179"/>
    <mergeCell ref="L178:L179"/>
    <mergeCell ref="M178:M179"/>
    <mergeCell ref="N178:N179"/>
    <mergeCell ref="O178:O179"/>
    <mergeCell ref="P178:P179"/>
    <mergeCell ref="A177:A179"/>
    <mergeCell ref="B177:F177"/>
    <mergeCell ref="G177:K177"/>
    <mergeCell ref="L177:N177"/>
    <mergeCell ref="O177:S177"/>
    <mergeCell ref="T177:V177"/>
    <mergeCell ref="W177:AA177"/>
    <mergeCell ref="V161:V162"/>
    <mergeCell ref="W161:W162"/>
    <mergeCell ref="X161:X162"/>
    <mergeCell ref="Y161:Y162"/>
    <mergeCell ref="Z161:Z162"/>
    <mergeCell ref="AA161:AA162"/>
    <mergeCell ref="P161:P162"/>
    <mergeCell ref="Q161:Q162"/>
    <mergeCell ref="R161:R162"/>
    <mergeCell ref="S161:S162"/>
    <mergeCell ref="T161:T162"/>
    <mergeCell ref="U161:U162"/>
    <mergeCell ref="J161:J162"/>
    <mergeCell ref="K161:K162"/>
    <mergeCell ref="A160:A162"/>
    <mergeCell ref="W23:W24"/>
    <mergeCell ref="O23:O24"/>
    <mergeCell ref="P23:P24"/>
    <mergeCell ref="Q23:Q24"/>
    <mergeCell ref="R23:R24"/>
    <mergeCell ref="S23:S24"/>
    <mergeCell ref="T23:T24"/>
    <mergeCell ref="AB160:AD160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AB161:AB162"/>
    <mergeCell ref="AC161:AC162"/>
    <mergeCell ref="AD161:AD162"/>
    <mergeCell ref="B160:F160"/>
    <mergeCell ref="G160:K160"/>
    <mergeCell ref="L160:N160"/>
    <mergeCell ref="O160:S160"/>
    <mergeCell ref="T160:V160"/>
    <mergeCell ref="I23:I24"/>
    <mergeCell ref="J23:J24"/>
    <mergeCell ref="L161:L162"/>
    <mergeCell ref="M161:M162"/>
    <mergeCell ref="N161:N162"/>
    <mergeCell ref="O161:O162"/>
    <mergeCell ref="W160:AA160"/>
    <mergeCell ref="AB22:AD22"/>
    <mergeCell ref="B23:B24"/>
    <mergeCell ref="C23:C24"/>
    <mergeCell ref="D23:D24"/>
    <mergeCell ref="E23:E24"/>
    <mergeCell ref="F23:F24"/>
    <mergeCell ref="G23:G24"/>
    <mergeCell ref="H23:H24"/>
    <mergeCell ref="AA23:AA24"/>
    <mergeCell ref="AB23:AB24"/>
    <mergeCell ref="AC23:AC24"/>
    <mergeCell ref="AD23:AD24"/>
    <mergeCell ref="X23:X24"/>
    <mergeCell ref="Y23:Y24"/>
    <mergeCell ref="Z23:Z24"/>
    <mergeCell ref="U23:U24"/>
    <mergeCell ref="V23:V24"/>
    <mergeCell ref="A22:A24"/>
    <mergeCell ref="B22:F22"/>
    <mergeCell ref="G22:K22"/>
    <mergeCell ref="L22:N22"/>
    <mergeCell ref="O22:S22"/>
    <mergeCell ref="T6:T7"/>
    <mergeCell ref="U6:U7"/>
    <mergeCell ref="V6:V7"/>
    <mergeCell ref="W6:W7"/>
    <mergeCell ref="K23:K24"/>
    <mergeCell ref="L23:L24"/>
    <mergeCell ref="M23:M24"/>
    <mergeCell ref="N23:N24"/>
    <mergeCell ref="T22:V22"/>
    <mergeCell ref="W22:AA22"/>
    <mergeCell ref="X6:X7"/>
    <mergeCell ref="Y6:Y7"/>
    <mergeCell ref="N6:N7"/>
    <mergeCell ref="O6:O7"/>
    <mergeCell ref="P6:P7"/>
    <mergeCell ref="Q6:Q7"/>
    <mergeCell ref="R6:R7"/>
    <mergeCell ref="S6:S7"/>
    <mergeCell ref="A5:A7"/>
    <mergeCell ref="AB5:AD5"/>
    <mergeCell ref="B6:B7"/>
    <mergeCell ref="C6:C7"/>
    <mergeCell ref="D6:D7"/>
    <mergeCell ref="E6:E7"/>
    <mergeCell ref="F6:F7"/>
    <mergeCell ref="G6:G7"/>
    <mergeCell ref="H6:H7"/>
    <mergeCell ref="I6:I7"/>
    <mergeCell ref="B5:F5"/>
    <mergeCell ref="G5:K5"/>
    <mergeCell ref="L5:N5"/>
    <mergeCell ref="O5:S5"/>
    <mergeCell ref="T5:V5"/>
    <mergeCell ref="J6:J7"/>
    <mergeCell ref="K6:K7"/>
    <mergeCell ref="L6:L7"/>
    <mergeCell ref="M6:M7"/>
    <mergeCell ref="Z6:Z7"/>
    <mergeCell ref="AA6:AA7"/>
    <mergeCell ref="AB6:AB7"/>
    <mergeCell ref="AC6:AC7"/>
    <mergeCell ref="AD6:AD7"/>
    <mergeCell ref="W5:AA5"/>
  </mergeCells>
  <printOptions horizontalCentered="1"/>
  <pageMargins left="0.59055118110236227" right="0.19685039370078741" top="0.78740157480314965" bottom="0.78740157480314965" header="0" footer="0"/>
  <pageSetup paperSize="9" scale="65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view="pageBreakPreview" topLeftCell="A16" zoomScaleSheetLayoutView="100" workbookViewId="0">
      <selection sqref="A1:F39"/>
    </sheetView>
  </sheetViews>
  <sheetFormatPr defaultRowHeight="12.75"/>
  <cols>
    <col min="1" max="1" width="37.7109375" customWidth="1"/>
    <col min="2" max="2" width="15" customWidth="1"/>
    <col min="3" max="3" width="14.140625" customWidth="1"/>
    <col min="4" max="4" width="15.85546875" customWidth="1"/>
    <col min="5" max="5" width="23" customWidth="1"/>
    <col min="6" max="6" width="25" customWidth="1"/>
  </cols>
  <sheetData>
    <row r="1" spans="1:6">
      <c r="F1" t="s">
        <v>1544</v>
      </c>
    </row>
    <row r="2" spans="1:6" ht="18">
      <c r="A2" s="4956" t="s">
        <v>1510</v>
      </c>
      <c r="B2" s="4956"/>
      <c r="C2" s="4956"/>
      <c r="D2" s="4956"/>
      <c r="E2" s="4956"/>
      <c r="F2" s="4956"/>
    </row>
    <row r="3" spans="1:6" ht="18">
      <c r="A3" s="2048"/>
      <c r="B3" s="2048"/>
      <c r="C3" s="2048"/>
      <c r="D3" s="2048"/>
      <c r="E3" s="2048"/>
    </row>
    <row r="4" spans="1:6" ht="27.75" customHeight="1">
      <c r="A4" s="5629"/>
      <c r="B4" s="5631" t="s">
        <v>1511</v>
      </c>
      <c r="C4" s="5632"/>
      <c r="D4" s="5633"/>
      <c r="E4" s="5634" t="s">
        <v>1513</v>
      </c>
      <c r="F4" s="5620" t="s">
        <v>1515</v>
      </c>
    </row>
    <row r="5" spans="1:6" ht="33.75" customHeight="1">
      <c r="A5" s="5630"/>
      <c r="B5" s="2202" t="s">
        <v>993</v>
      </c>
      <c r="C5" s="2202" t="s">
        <v>994</v>
      </c>
      <c r="D5" s="2202" t="s">
        <v>54</v>
      </c>
      <c r="E5" s="5634"/>
      <c r="F5" s="5621"/>
    </row>
    <row r="6" spans="1:6" ht="18">
      <c r="A6" s="5622" t="s">
        <v>985</v>
      </c>
      <c r="B6" s="5623"/>
      <c r="C6" s="5623"/>
      <c r="D6" s="5623"/>
      <c r="E6" s="5623"/>
      <c r="F6" s="5624"/>
    </row>
    <row r="7" spans="1:6">
      <c r="A7" s="2213" t="s">
        <v>990</v>
      </c>
      <c r="B7" s="2214">
        <v>19.14</v>
      </c>
      <c r="C7" s="2214">
        <v>22.66</v>
      </c>
      <c r="D7" s="2214"/>
      <c r="E7" s="2213"/>
      <c r="F7" s="5625">
        <f>$E$38*D10/$D$38</f>
        <v>395.92538655008684</v>
      </c>
    </row>
    <row r="8" spans="1:6">
      <c r="A8" s="2213" t="s">
        <v>991</v>
      </c>
      <c r="B8" s="2214">
        <f>2780.7/2</f>
        <v>1390.35</v>
      </c>
      <c r="C8" s="2214">
        <f>B8</f>
        <v>1390.35</v>
      </c>
      <c r="D8" s="2214">
        <f>C8+B8</f>
        <v>2780.7</v>
      </c>
      <c r="E8" s="2213"/>
      <c r="F8" s="5626"/>
    </row>
    <row r="9" spans="1:6">
      <c r="A9" s="2213" t="s">
        <v>992</v>
      </c>
      <c r="B9" s="2214">
        <f>B7*B8</f>
        <v>26611.298999999999</v>
      </c>
      <c r="C9" s="2214">
        <f>C7*C8</f>
        <v>31505.330999999998</v>
      </c>
      <c r="D9" s="2214">
        <f>C9+B9</f>
        <v>58116.63</v>
      </c>
      <c r="E9" s="2213"/>
      <c r="F9" s="5626"/>
    </row>
    <row r="10" spans="1:6">
      <c r="A10" s="2213" t="s">
        <v>989</v>
      </c>
      <c r="B10" s="2214">
        <f>B9*0.02</f>
        <v>532.22597999999994</v>
      </c>
      <c r="C10" s="2214">
        <f>C9*0.02</f>
        <v>630.10662000000002</v>
      </c>
      <c r="D10" s="2214">
        <f>C10+B10</f>
        <v>1162.3326</v>
      </c>
      <c r="E10" s="2213"/>
      <c r="F10" s="5627"/>
    </row>
    <row r="11" spans="1:6" ht="18">
      <c r="A11" s="5622" t="s">
        <v>986</v>
      </c>
      <c r="B11" s="5623"/>
      <c r="C11" s="5623"/>
      <c r="D11" s="5623"/>
      <c r="E11" s="5623"/>
      <c r="F11" s="5624"/>
    </row>
    <row r="12" spans="1:6">
      <c r="A12" s="2213" t="s">
        <v>345</v>
      </c>
      <c r="B12" s="2214">
        <v>15.5</v>
      </c>
      <c r="C12" s="2214">
        <v>18.350000000000001</v>
      </c>
      <c r="D12" s="2214"/>
      <c r="E12" s="2213"/>
      <c r="F12" s="5625">
        <f>$E$39*D15/$D$39</f>
        <v>286.40476017160813</v>
      </c>
    </row>
    <row r="13" spans="1:6">
      <c r="A13" s="2213" t="s">
        <v>983</v>
      </c>
      <c r="B13" s="2214">
        <f>2448.7/2</f>
        <v>1224.3499999999999</v>
      </c>
      <c r="C13" s="2214">
        <f>B13</f>
        <v>1224.3499999999999</v>
      </c>
      <c r="D13" s="2214">
        <f>C13+B13</f>
        <v>2448.6999999999998</v>
      </c>
      <c r="E13" s="2213"/>
      <c r="F13" s="5626"/>
    </row>
    <row r="14" spans="1:6">
      <c r="A14" s="2213" t="s">
        <v>984</v>
      </c>
      <c r="B14" s="2214">
        <f>B12*B13</f>
        <v>18977.424999999999</v>
      </c>
      <c r="C14" s="2214">
        <f>C12*C13</f>
        <v>22466.822499999998</v>
      </c>
      <c r="D14" s="2214">
        <f>C14+B14</f>
        <v>41444.247499999998</v>
      </c>
      <c r="E14" s="2213"/>
      <c r="F14" s="5626"/>
    </row>
    <row r="15" spans="1:6">
      <c r="A15" s="2213" t="s">
        <v>989</v>
      </c>
      <c r="B15" s="2214">
        <f>B14*0.02</f>
        <v>379.54849999999999</v>
      </c>
      <c r="C15" s="2214">
        <f>C14*0.02</f>
        <v>449.33644999999996</v>
      </c>
      <c r="D15" s="2214">
        <f>C15+B15</f>
        <v>828.88494999999989</v>
      </c>
      <c r="E15" s="2213"/>
      <c r="F15" s="5627"/>
    </row>
    <row r="16" spans="1:6" ht="18">
      <c r="A16" s="5622" t="s">
        <v>987</v>
      </c>
      <c r="B16" s="5623"/>
      <c r="C16" s="5623"/>
      <c r="D16" s="5623"/>
      <c r="E16" s="5623"/>
      <c r="F16" s="5624"/>
    </row>
    <row r="17" spans="1:6">
      <c r="A17" s="2213" t="s">
        <v>995</v>
      </c>
      <c r="B17" s="2214">
        <v>22.66</v>
      </c>
      <c r="C17" s="2214">
        <v>25.95</v>
      </c>
      <c r="D17" s="2214"/>
      <c r="E17" s="2213"/>
      <c r="F17" s="5625">
        <f>$E$38*D20/$D$38</f>
        <v>404.91360275906646</v>
      </c>
    </row>
    <row r="18" spans="1:6">
      <c r="A18" s="2213" t="s">
        <v>996</v>
      </c>
      <c r="B18" s="2214">
        <f>объемы!K49/2</f>
        <v>1222.711</v>
      </c>
      <c r="C18" s="2214">
        <f>B18</f>
        <v>1222.711</v>
      </c>
      <c r="D18" s="2214">
        <f>C18+B18</f>
        <v>2445.422</v>
      </c>
      <c r="E18" s="2213"/>
      <c r="F18" s="5626"/>
    </row>
    <row r="19" spans="1:6">
      <c r="A19" s="2213" t="s">
        <v>997</v>
      </c>
      <c r="B19" s="2214">
        <f>B17*B18</f>
        <v>27706.631260000002</v>
      </c>
      <c r="C19" s="2214">
        <f>C17*C18</f>
        <v>31729.350449999998</v>
      </c>
      <c r="D19" s="2214">
        <f>C19+B19</f>
        <v>59435.98171</v>
      </c>
      <c r="E19" s="2213"/>
      <c r="F19" s="5626"/>
    </row>
    <row r="20" spans="1:6">
      <c r="A20" s="2213" t="s">
        <v>989</v>
      </c>
      <c r="B20" s="2214">
        <f>B19*0.02</f>
        <v>554.13262520000001</v>
      </c>
      <c r="C20" s="2214">
        <f>C19*0.02</f>
        <v>634.58700899999997</v>
      </c>
      <c r="D20" s="2214">
        <f>C20+B20</f>
        <v>1188.7196342</v>
      </c>
      <c r="E20" s="2213"/>
      <c r="F20" s="5627"/>
    </row>
    <row r="21" spans="1:6" ht="18">
      <c r="A21" s="5622" t="s">
        <v>988</v>
      </c>
      <c r="B21" s="5623"/>
      <c r="C21" s="5623"/>
      <c r="D21" s="5623"/>
      <c r="E21" s="5623"/>
      <c r="F21" s="5624"/>
    </row>
    <row r="22" spans="1:6">
      <c r="A22" s="2213" t="s">
        <v>995</v>
      </c>
      <c r="B22" s="2214">
        <v>18.350000000000001</v>
      </c>
      <c r="C22" s="2214">
        <v>21.01</v>
      </c>
      <c r="D22" s="2214"/>
      <c r="E22" s="2213"/>
      <c r="F22" s="5625">
        <f>$E$39*D25/$D$39</f>
        <v>353.60175784252925</v>
      </c>
    </row>
    <row r="23" spans="1:6">
      <c r="A23" s="2213" t="s">
        <v>996</v>
      </c>
      <c r="B23" s="2214">
        <f>объемы!K58/2</f>
        <v>1300</v>
      </c>
      <c r="C23" s="2214">
        <f>B23</f>
        <v>1300</v>
      </c>
      <c r="D23" s="2214">
        <f>C23+B23</f>
        <v>2600</v>
      </c>
      <c r="E23" s="2213"/>
      <c r="F23" s="5626"/>
    </row>
    <row r="24" spans="1:6">
      <c r="A24" s="2213" t="s">
        <v>997</v>
      </c>
      <c r="B24" s="2214">
        <f>B22*B23</f>
        <v>23855.000000000004</v>
      </c>
      <c r="C24" s="2214">
        <f>C22*C23</f>
        <v>27313.000000000004</v>
      </c>
      <c r="D24" s="2214">
        <f>C24+B24</f>
        <v>51168.000000000007</v>
      </c>
      <c r="E24" s="2213"/>
      <c r="F24" s="5626"/>
    </row>
    <row r="25" spans="1:6">
      <c r="A25" s="2213" t="s">
        <v>989</v>
      </c>
      <c r="B25" s="2214">
        <f>B24*0.02</f>
        <v>477.10000000000008</v>
      </c>
      <c r="C25" s="2214">
        <f>C24*0.02</f>
        <v>546.2600000000001</v>
      </c>
      <c r="D25" s="2214">
        <f>C25+B25</f>
        <v>1023.3600000000001</v>
      </c>
      <c r="E25" s="2213"/>
      <c r="F25" s="5627"/>
    </row>
    <row r="26" spans="1:6" ht="18">
      <c r="A26" s="5622" t="s">
        <v>998</v>
      </c>
      <c r="B26" s="5623"/>
      <c r="C26" s="5623"/>
      <c r="D26" s="5623"/>
      <c r="E26" s="5623"/>
      <c r="F26" s="5624"/>
    </row>
    <row r="27" spans="1:6">
      <c r="A27" s="2213" t="s">
        <v>1000</v>
      </c>
      <c r="B27" s="2214">
        <f>C17</f>
        <v>25.95</v>
      </c>
      <c r="C27" s="2214">
        <v>28.6</v>
      </c>
      <c r="D27" s="2214"/>
      <c r="E27" s="2213"/>
      <c r="F27" s="5625">
        <f>$E$38*D30/$D$38</f>
        <v>451.25967189823564</v>
      </c>
    </row>
    <row r="28" spans="1:6">
      <c r="A28" s="2213" t="s">
        <v>996</v>
      </c>
      <c r="B28" s="2214">
        <f>объемы!U49/2</f>
        <v>1214.28</v>
      </c>
      <c r="C28" s="2214">
        <f>B28</f>
        <v>1214.28</v>
      </c>
      <c r="D28" s="2214">
        <f>C28+B28</f>
        <v>2428.56</v>
      </c>
      <c r="E28" s="2213"/>
      <c r="F28" s="5626"/>
    </row>
    <row r="29" spans="1:6">
      <c r="A29" s="2213" t="s">
        <v>997</v>
      </c>
      <c r="B29" s="2214">
        <f>B27*B28</f>
        <v>31510.565999999999</v>
      </c>
      <c r="C29" s="2214">
        <f>C27*C28</f>
        <v>34728.408000000003</v>
      </c>
      <c r="D29" s="2214">
        <f>C29+B29</f>
        <v>66238.974000000002</v>
      </c>
      <c r="E29" s="2213"/>
      <c r="F29" s="5626"/>
    </row>
    <row r="30" spans="1:6">
      <c r="A30" s="2213" t="s">
        <v>989</v>
      </c>
      <c r="B30" s="2214">
        <f>B29*0.02</f>
        <v>630.21132</v>
      </c>
      <c r="C30" s="2214">
        <f>C29*0.02</f>
        <v>694.56816000000003</v>
      </c>
      <c r="D30" s="2214">
        <f>C30+B30</f>
        <v>1324.7794800000001</v>
      </c>
      <c r="E30" s="2213"/>
      <c r="F30" s="5627"/>
    </row>
    <row r="31" spans="1:6" ht="18">
      <c r="A31" s="5622" t="s">
        <v>999</v>
      </c>
      <c r="B31" s="5623"/>
      <c r="C31" s="5623"/>
      <c r="D31" s="5623"/>
      <c r="E31" s="5623"/>
      <c r="F31" s="5624"/>
    </row>
    <row r="32" spans="1:6">
      <c r="A32" s="2213" t="s">
        <v>1000</v>
      </c>
      <c r="B32" s="2214">
        <f>C22</f>
        <v>21.01</v>
      </c>
      <c r="C32" s="2214">
        <v>23.2</v>
      </c>
      <c r="D32" s="2214"/>
      <c r="E32" s="2213"/>
      <c r="F32" s="5625">
        <f>$E$39*D35/$D$39</f>
        <v>373.95376145643951</v>
      </c>
    </row>
    <row r="33" spans="1:6">
      <c r="A33" s="2213" t="s">
        <v>996</v>
      </c>
      <c r="B33" s="2214">
        <f>объемы!U58/2</f>
        <v>1224</v>
      </c>
      <c r="C33" s="2214">
        <f>B33</f>
        <v>1224</v>
      </c>
      <c r="D33" s="2214">
        <f>C33+B33</f>
        <v>2448</v>
      </c>
      <c r="E33" s="2213"/>
      <c r="F33" s="5626"/>
    </row>
    <row r="34" spans="1:6">
      <c r="A34" s="2213" t="s">
        <v>997</v>
      </c>
      <c r="B34" s="2214">
        <f>B32*B33</f>
        <v>25716.240000000002</v>
      </c>
      <c r="C34" s="2214">
        <f>C32*C33</f>
        <v>28396.799999999999</v>
      </c>
      <c r="D34" s="2214">
        <f>C34+B34</f>
        <v>54113.04</v>
      </c>
      <c r="E34" s="2213"/>
      <c r="F34" s="5626"/>
    </row>
    <row r="35" spans="1:6">
      <c r="A35" s="2213" t="s">
        <v>989</v>
      </c>
      <c r="B35" s="2214">
        <f>B34*0.02</f>
        <v>514.3248000000001</v>
      </c>
      <c r="C35" s="2214">
        <f>C34*0.02</f>
        <v>567.93600000000004</v>
      </c>
      <c r="D35" s="2214">
        <f>C35+B35</f>
        <v>1082.2608</v>
      </c>
      <c r="E35" s="2213"/>
      <c r="F35" s="5627"/>
    </row>
    <row r="36" spans="1:6" ht="18.75" customHeight="1">
      <c r="A36" s="2211" t="s">
        <v>632</v>
      </c>
      <c r="B36" s="2215"/>
      <c r="C36" s="2215"/>
      <c r="D36" s="2216">
        <f>D10+D15+D20+D25+D30+D35</f>
        <v>6610.3374642000008</v>
      </c>
      <c r="E36" s="2216">
        <f>(1993.71255+680.237)/1.18</f>
        <v>2266.0589406779659</v>
      </c>
      <c r="F36" s="2216">
        <f>F7+F12+F17+F22+F27+F32</f>
        <v>2266.0589406779659</v>
      </c>
    </row>
    <row r="37" spans="1:6">
      <c r="A37" s="2212" t="s">
        <v>239</v>
      </c>
      <c r="B37" s="2210"/>
      <c r="C37" s="2210"/>
      <c r="D37" s="2217"/>
      <c r="E37" s="2217"/>
      <c r="F37" s="2210"/>
    </row>
    <row r="38" spans="1:6" ht="19.5" customHeight="1">
      <c r="A38" s="2212" t="s">
        <v>46</v>
      </c>
      <c r="B38" s="2210"/>
      <c r="C38" s="2210"/>
      <c r="D38" s="2218">
        <f>D10+D20+D30</f>
        <v>3675.8317142000001</v>
      </c>
      <c r="E38" s="2218">
        <f>E36*D43/(D43+D44)</f>
        <v>1252.0986612073889</v>
      </c>
      <c r="F38" s="5628" t="s">
        <v>1514</v>
      </c>
    </row>
    <row r="39" spans="1:6" ht="19.5" customHeight="1">
      <c r="A39" s="2212" t="s">
        <v>47</v>
      </c>
      <c r="B39" s="2210"/>
      <c r="C39" s="2210"/>
      <c r="D39" s="2218">
        <f>D15+D25+D35</f>
        <v>2934.5057500000003</v>
      </c>
      <c r="E39" s="2218">
        <f>E36-E38</f>
        <v>1013.960279470577</v>
      </c>
      <c r="F39" s="5603"/>
    </row>
    <row r="42" spans="1:6">
      <c r="C42" t="s">
        <v>1512</v>
      </c>
    </row>
    <row r="43" spans="1:6">
      <c r="C43" t="s">
        <v>299</v>
      </c>
      <c r="D43" s="128">
        <f>(19.14+22.66)/2</f>
        <v>20.9</v>
      </c>
    </row>
    <row r="44" spans="1:6">
      <c r="C44" t="s">
        <v>331</v>
      </c>
      <c r="D44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25"/>
  <sheetViews>
    <sheetView topLeftCell="A6" zoomScaleNormal="100" workbookViewId="0">
      <selection activeCell="L22" sqref="L22:M22"/>
    </sheetView>
  </sheetViews>
  <sheetFormatPr defaultRowHeight="12.75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  <col min="10" max="10" width="22.7109375" customWidth="1"/>
    <col min="11" max="11" width="17.5703125" customWidth="1"/>
  </cols>
  <sheetData>
    <row r="1" spans="1:13">
      <c r="A1" s="4426" t="s">
        <v>1545</v>
      </c>
      <c r="B1" s="4426"/>
      <c r="C1" s="4426"/>
      <c r="D1" s="4426"/>
      <c r="E1" s="4426"/>
      <c r="F1" s="4426"/>
      <c r="G1" s="4426"/>
      <c r="H1" s="4426"/>
      <c r="I1" s="4426"/>
      <c r="J1" s="4426"/>
      <c r="K1" s="4426"/>
      <c r="L1" s="4426"/>
      <c r="M1" s="4426"/>
    </row>
    <row r="2" spans="1:13" ht="18">
      <c r="A2" s="5645" t="s">
        <v>526</v>
      </c>
      <c r="B2" s="5645"/>
      <c r="C2" s="5645"/>
      <c r="D2" s="5645"/>
      <c r="E2" s="5645"/>
      <c r="F2" s="5646"/>
      <c r="G2" s="5646"/>
      <c r="H2" s="5646"/>
      <c r="I2" s="5646"/>
      <c r="J2" s="4347"/>
      <c r="K2" s="4347"/>
      <c r="L2" s="4347"/>
      <c r="M2" s="4347"/>
    </row>
    <row r="3" spans="1:13" ht="13.5" thickBot="1">
      <c r="A3" s="5651"/>
      <c r="B3" s="5652"/>
      <c r="C3" s="5652"/>
      <c r="D3" s="5652"/>
      <c r="E3" s="5652"/>
      <c r="F3" s="5652"/>
      <c r="G3" s="5652"/>
      <c r="H3" s="5652"/>
      <c r="I3" s="5652"/>
    </row>
    <row r="4" spans="1:13" ht="13.5" thickBot="1">
      <c r="A4" s="5647" t="s">
        <v>402</v>
      </c>
      <c r="B4" s="5655"/>
      <c r="C4" s="5655"/>
      <c r="D4" s="5655"/>
      <c r="E4" s="5655"/>
      <c r="F4" s="5655"/>
      <c r="G4" s="5655"/>
      <c r="H4" s="5655"/>
      <c r="I4" s="5655"/>
      <c r="J4" s="4468"/>
      <c r="K4" s="4468"/>
      <c r="L4" s="4468"/>
      <c r="M4" s="4469"/>
    </row>
    <row r="5" spans="1:13" ht="51">
      <c r="A5" s="1298" t="s">
        <v>402</v>
      </c>
      <c r="B5" s="1301" t="s">
        <v>527</v>
      </c>
      <c r="C5" s="1040" t="s">
        <v>528</v>
      </c>
      <c r="D5" s="5639" t="s">
        <v>246</v>
      </c>
      <c r="E5" s="5640"/>
      <c r="F5" s="1301" t="s">
        <v>870</v>
      </c>
      <c r="G5" s="1040" t="s">
        <v>857</v>
      </c>
      <c r="H5" s="5639" t="s">
        <v>246</v>
      </c>
      <c r="I5" s="5640"/>
      <c r="J5" s="3374" t="s">
        <v>904</v>
      </c>
      <c r="K5" s="1365" t="s">
        <v>1686</v>
      </c>
      <c r="L5" s="5639" t="s">
        <v>246</v>
      </c>
      <c r="M5" s="5640"/>
    </row>
    <row r="6" spans="1:13">
      <c r="A6" s="1299" t="s">
        <v>285</v>
      </c>
      <c r="B6" s="1302">
        <v>2243</v>
      </c>
      <c r="C6" s="1223"/>
      <c r="D6" s="5635"/>
      <c r="E6" s="5636"/>
      <c r="F6" s="1378">
        <v>0</v>
      </c>
      <c r="G6" s="1223"/>
      <c r="H6" s="5635"/>
      <c r="I6" s="5636"/>
      <c r="J6" s="3375">
        <v>0</v>
      </c>
      <c r="K6" s="1223"/>
      <c r="L6" s="5635"/>
      <c r="M6" s="5636"/>
    </row>
    <row r="7" spans="1:13">
      <c r="A7" s="1299" t="s">
        <v>286</v>
      </c>
      <c r="B7" s="1302">
        <v>3073.1</v>
      </c>
      <c r="C7" s="1296">
        <v>1287.3</v>
      </c>
      <c r="D7" s="5641" t="s">
        <v>250</v>
      </c>
      <c r="E7" s="5642"/>
      <c r="F7" s="1378">
        <v>0</v>
      </c>
      <c r="G7" s="1296">
        <f>B7-C7</f>
        <v>1785.8</v>
      </c>
      <c r="H7" s="5641" t="s">
        <v>250</v>
      </c>
      <c r="I7" s="5642"/>
      <c r="J7" s="3375">
        <f>8296.65-7550.3</f>
        <v>746.34999999999945</v>
      </c>
      <c r="K7" s="1296">
        <v>746.35</v>
      </c>
      <c r="L7" s="5641" t="s">
        <v>250</v>
      </c>
      <c r="M7" s="5642"/>
    </row>
    <row r="8" spans="1:13">
      <c r="A8" s="1299" t="s">
        <v>287</v>
      </c>
      <c r="B8" s="1302">
        <v>212.2</v>
      </c>
      <c r="C8" s="1223"/>
      <c r="D8" s="5635"/>
      <c r="E8" s="5636"/>
      <c r="F8" s="1378">
        <v>0</v>
      </c>
      <c r="G8" s="1223"/>
      <c r="H8" s="5635"/>
      <c r="I8" s="5636"/>
      <c r="J8" s="3375">
        <v>0</v>
      </c>
      <c r="K8" s="1223"/>
      <c r="L8" s="5635"/>
      <c r="M8" s="5636"/>
    </row>
    <row r="9" spans="1:13">
      <c r="A9" s="1299" t="s">
        <v>288</v>
      </c>
      <c r="B9" s="1302">
        <v>475.4</v>
      </c>
      <c r="C9" s="1223"/>
      <c r="D9" s="5635"/>
      <c r="E9" s="5636"/>
      <c r="F9" s="1378">
        <v>0</v>
      </c>
      <c r="G9" s="1223"/>
      <c r="H9" s="5635"/>
      <c r="I9" s="5636"/>
      <c r="J9" s="3375">
        <v>0</v>
      </c>
      <c r="K9" s="1223"/>
      <c r="L9" s="5635"/>
      <c r="M9" s="5636"/>
    </row>
    <row r="10" spans="1:13" ht="52.5" customHeight="1">
      <c r="A10" s="3370" t="s">
        <v>289</v>
      </c>
      <c r="B10" s="3371">
        <v>2249.5</v>
      </c>
      <c r="C10" s="3372"/>
      <c r="D10" s="5649"/>
      <c r="E10" s="5650"/>
      <c r="F10" s="3373">
        <v>2840.9</v>
      </c>
      <c r="G10" s="3372"/>
      <c r="H10" s="5643" t="s">
        <v>1001</v>
      </c>
      <c r="I10" s="5644"/>
      <c r="J10" s="3376">
        <f>5707.19-3968.31</f>
        <v>1738.8799999999997</v>
      </c>
      <c r="K10" s="3372">
        <v>1206.25</v>
      </c>
      <c r="L10" s="5643"/>
      <c r="M10" s="5644"/>
    </row>
    <row r="11" spans="1:13">
      <c r="A11" s="1299" t="s">
        <v>290</v>
      </c>
      <c r="B11" s="1302">
        <v>3333.9</v>
      </c>
      <c r="C11" s="1223"/>
      <c r="D11" s="5635"/>
      <c r="E11" s="5636"/>
      <c r="F11" s="1378">
        <v>0</v>
      </c>
      <c r="G11" s="1223"/>
      <c r="H11" s="5635"/>
      <c r="I11" s="5636"/>
      <c r="J11" s="3375">
        <v>0</v>
      </c>
      <c r="K11" s="1223"/>
      <c r="L11" s="5635"/>
      <c r="M11" s="5636"/>
    </row>
    <row r="12" spans="1:13" ht="26.25" customHeight="1">
      <c r="A12" s="1299" t="s">
        <v>291</v>
      </c>
      <c r="B12" s="1302">
        <v>2188.5</v>
      </c>
      <c r="C12" s="1223"/>
      <c r="D12" s="5635"/>
      <c r="E12" s="5636"/>
      <c r="F12" s="1378">
        <v>0</v>
      </c>
      <c r="G12" s="1223"/>
      <c r="H12" s="5635"/>
      <c r="I12" s="5636"/>
      <c r="J12" s="3375">
        <v>500</v>
      </c>
      <c r="K12" s="1223"/>
      <c r="L12" s="5653" t="s">
        <v>1687</v>
      </c>
      <c r="M12" s="5654"/>
    </row>
    <row r="13" spans="1:13">
      <c r="A13" s="1299" t="s">
        <v>292</v>
      </c>
      <c r="B13" s="1302">
        <v>557.1</v>
      </c>
      <c r="C13" s="1223"/>
      <c r="D13" s="5635"/>
      <c r="E13" s="5636"/>
      <c r="F13" s="1378">
        <v>0</v>
      </c>
      <c r="G13" s="1296"/>
      <c r="H13" s="5635"/>
      <c r="I13" s="5636"/>
      <c r="J13" s="3375">
        <f>4009.77-3223.17</f>
        <v>786.59999999999991</v>
      </c>
      <c r="K13" s="1296">
        <v>301.77999999999997</v>
      </c>
      <c r="L13" s="5635" t="s">
        <v>1718</v>
      </c>
      <c r="M13" s="5636"/>
    </row>
    <row r="14" spans="1:13" ht="13.5" thickBot="1">
      <c r="A14" s="1300" t="s">
        <v>293</v>
      </c>
      <c r="B14" s="1303">
        <f>SUM(B6:B13)</f>
        <v>14332.7</v>
      </c>
      <c r="C14" s="1297">
        <f>SUM(C6:C13)</f>
        <v>1287.3</v>
      </c>
      <c r="D14" s="5637"/>
      <c r="E14" s="5638"/>
      <c r="F14" s="1303">
        <f>SUM(F6:F13)</f>
        <v>2840.9</v>
      </c>
      <c r="G14" s="1297">
        <f>SUM(G6:G13)</f>
        <v>1785.8</v>
      </c>
      <c r="H14" s="5637"/>
      <c r="I14" s="5638"/>
      <c r="J14" s="3377">
        <f>SUM(J6:J13)</f>
        <v>3771.829999999999</v>
      </c>
      <c r="K14" s="1297">
        <f>SUM(K6:K13)</f>
        <v>2254.38</v>
      </c>
      <c r="L14" s="5637"/>
      <c r="M14" s="5638"/>
    </row>
    <row r="15" spans="1:13" ht="13.5" thickBot="1">
      <c r="A15" s="5647" t="s">
        <v>406</v>
      </c>
      <c r="B15" s="5648"/>
      <c r="C15" s="5648"/>
      <c r="D15" s="5648"/>
      <c r="E15" s="5648"/>
      <c r="F15" s="5648"/>
      <c r="G15" s="5648"/>
      <c r="H15" s="5648"/>
      <c r="I15" s="5648"/>
      <c r="J15" s="4468"/>
      <c r="K15" s="4468"/>
      <c r="L15" s="4468"/>
      <c r="M15" s="4469"/>
    </row>
    <row r="16" spans="1:13" ht="51">
      <c r="A16" s="1298" t="s">
        <v>406</v>
      </c>
      <c r="B16" s="1301" t="s">
        <v>870</v>
      </c>
      <c r="C16" s="1040" t="s">
        <v>528</v>
      </c>
      <c r="D16" s="5639" t="s">
        <v>246</v>
      </c>
      <c r="E16" s="5640"/>
      <c r="F16" s="1301" t="s">
        <v>527</v>
      </c>
      <c r="G16" s="1365" t="s">
        <v>857</v>
      </c>
      <c r="H16" s="5639" t="s">
        <v>246</v>
      </c>
      <c r="I16" s="5640"/>
      <c r="J16" s="3374" t="s">
        <v>904</v>
      </c>
      <c r="K16" s="1365" t="s">
        <v>1686</v>
      </c>
      <c r="L16" s="5639" t="s">
        <v>246</v>
      </c>
      <c r="M16" s="5640"/>
    </row>
    <row r="17" spans="1:13">
      <c r="A17" s="1299" t="s">
        <v>285</v>
      </c>
      <c r="B17" s="1302">
        <v>0</v>
      </c>
      <c r="C17" s="1223"/>
      <c r="D17" s="5635"/>
      <c r="E17" s="5636"/>
      <c r="F17" s="1378">
        <v>0</v>
      </c>
      <c r="G17" s="1223"/>
      <c r="H17" s="5635"/>
      <c r="I17" s="5636"/>
      <c r="J17" s="3375">
        <v>0</v>
      </c>
      <c r="K17" s="1223"/>
      <c r="L17" s="5635"/>
      <c r="M17" s="5636"/>
    </row>
    <row r="18" spans="1:13">
      <c r="A18" s="1299" t="s">
        <v>286</v>
      </c>
      <c r="B18" s="1302">
        <v>1355.2</v>
      </c>
      <c r="C18" s="1296">
        <f>B18</f>
        <v>1355.2</v>
      </c>
      <c r="D18" s="5641" t="s">
        <v>250</v>
      </c>
      <c r="E18" s="5642"/>
      <c r="F18" s="1378">
        <v>0</v>
      </c>
      <c r="G18" s="1223"/>
      <c r="H18" s="5641" t="s">
        <v>250</v>
      </c>
      <c r="I18" s="5642"/>
      <c r="J18" s="3907">
        <f>5183.68-4822.1</f>
        <v>361.57999999999993</v>
      </c>
      <c r="K18" s="3908">
        <f>5183.68-4822.1</f>
        <v>361.57999999999993</v>
      </c>
      <c r="L18" s="5641" t="s">
        <v>250</v>
      </c>
      <c r="M18" s="5642"/>
    </row>
    <row r="19" spans="1:13">
      <c r="A19" s="1299" t="s">
        <v>287</v>
      </c>
      <c r="B19" s="1302">
        <v>93.8</v>
      </c>
      <c r="C19" s="1223"/>
      <c r="D19" s="5635"/>
      <c r="E19" s="5636"/>
      <c r="F19" s="1378">
        <v>0</v>
      </c>
      <c r="G19" s="1223"/>
      <c r="H19" s="5635"/>
      <c r="I19" s="5636"/>
      <c r="J19" s="3907">
        <v>0</v>
      </c>
      <c r="K19" s="3909"/>
      <c r="L19" s="5635"/>
      <c r="M19" s="5636"/>
    </row>
    <row r="20" spans="1:13">
      <c r="A20" s="1299" t="s">
        <v>288</v>
      </c>
      <c r="B20" s="1302">
        <v>0</v>
      </c>
      <c r="C20" s="1223"/>
      <c r="D20" s="5635"/>
      <c r="E20" s="5636"/>
      <c r="F20" s="1378">
        <v>0</v>
      </c>
      <c r="G20" s="1223"/>
      <c r="H20" s="5635"/>
      <c r="I20" s="5636"/>
      <c r="J20" s="3907">
        <v>0</v>
      </c>
      <c r="K20" s="3909"/>
      <c r="L20" s="5635"/>
      <c r="M20" s="5636"/>
    </row>
    <row r="21" spans="1:13">
      <c r="A21" s="1299" t="s">
        <v>289</v>
      </c>
      <c r="B21" s="1302">
        <v>0</v>
      </c>
      <c r="C21" s="1223"/>
      <c r="D21" s="5635"/>
      <c r="E21" s="5636"/>
      <c r="F21" s="1378">
        <v>0</v>
      </c>
      <c r="G21" s="1223"/>
      <c r="H21" s="5635"/>
      <c r="I21" s="5636"/>
      <c r="J21" s="3907">
        <v>0</v>
      </c>
      <c r="K21" s="3909"/>
      <c r="L21" s="5635"/>
      <c r="M21" s="5636"/>
    </row>
    <row r="22" spans="1:13">
      <c r="A22" s="1299" t="s">
        <v>290</v>
      </c>
      <c r="B22" s="1302">
        <v>1153.4000000000001</v>
      </c>
      <c r="C22" s="1223"/>
      <c r="D22" s="5635"/>
      <c r="E22" s="5636"/>
      <c r="F22" s="1378">
        <v>0</v>
      </c>
      <c r="G22" s="1223"/>
      <c r="H22" s="5635"/>
      <c r="I22" s="5636"/>
      <c r="J22" s="3907">
        <v>0</v>
      </c>
      <c r="K22" s="3909"/>
      <c r="L22" s="5635"/>
      <c r="M22" s="5636"/>
    </row>
    <row r="23" spans="1:13">
      <c r="A23" s="1299" t="s">
        <v>291</v>
      </c>
      <c r="B23" s="1302">
        <v>0</v>
      </c>
      <c r="C23" s="1223"/>
      <c r="D23" s="5635"/>
      <c r="E23" s="5636"/>
      <c r="F23" s="1378">
        <f>SUM('ОХР '!AD57-'ОХР '!Z57)</f>
        <v>1048.3951981855334</v>
      </c>
      <c r="G23" s="1223"/>
      <c r="H23" s="5635"/>
      <c r="I23" s="5636"/>
      <c r="J23" s="3907">
        <v>0</v>
      </c>
      <c r="K23" s="3909"/>
      <c r="L23" s="5635"/>
      <c r="M23" s="5636"/>
    </row>
    <row r="24" spans="1:13">
      <c r="A24" s="1299" t="s">
        <v>292</v>
      </c>
      <c r="B24" s="1302">
        <v>121.2</v>
      </c>
      <c r="C24" s="1223">
        <f>95.1</f>
        <v>95.1</v>
      </c>
      <c r="D24" s="5635"/>
      <c r="E24" s="5636"/>
      <c r="F24" s="1302">
        <v>0</v>
      </c>
      <c r="G24" s="1296">
        <f>B24-C24</f>
        <v>26.100000000000009</v>
      </c>
      <c r="H24" s="5635"/>
      <c r="I24" s="5636"/>
      <c r="J24" s="3907">
        <v>0</v>
      </c>
      <c r="K24" s="3908"/>
      <c r="L24" s="5635"/>
      <c r="M24" s="5636"/>
    </row>
    <row r="25" spans="1:13" ht="13.5" thickBot="1">
      <c r="A25" s="1300" t="s">
        <v>293</v>
      </c>
      <c r="B25" s="1303">
        <f>SUM(B17:B24)</f>
        <v>2723.6</v>
      </c>
      <c r="C25" s="1297">
        <f>SUM(C17:C24)</f>
        <v>1450.3</v>
      </c>
      <c r="D25" s="5637"/>
      <c r="E25" s="5638"/>
      <c r="F25" s="1303">
        <f>SUM(F17:F24)</f>
        <v>1048.3951981855334</v>
      </c>
      <c r="G25" s="1297">
        <f>SUM(G17:G24)</f>
        <v>26.100000000000009</v>
      </c>
      <c r="H25" s="5637"/>
      <c r="I25" s="5638"/>
      <c r="J25" s="3910">
        <f>SUM(J17:J24)</f>
        <v>361.57999999999993</v>
      </c>
      <c r="K25" s="3911">
        <f>SUM(K17:K24)</f>
        <v>361.57999999999993</v>
      </c>
      <c r="L25" s="5637"/>
      <c r="M25" s="5638"/>
    </row>
  </sheetData>
  <mergeCells count="65">
    <mergeCell ref="L22:M22"/>
    <mergeCell ref="L23:M23"/>
    <mergeCell ref="L24:M24"/>
    <mergeCell ref="L25:M25"/>
    <mergeCell ref="A4:M4"/>
    <mergeCell ref="L18:M18"/>
    <mergeCell ref="L19:M19"/>
    <mergeCell ref="L20:M20"/>
    <mergeCell ref="L21:M21"/>
    <mergeCell ref="D11:E11"/>
    <mergeCell ref="D12:E12"/>
    <mergeCell ref="D5:E5"/>
    <mergeCell ref="D7:E7"/>
    <mergeCell ref="D8:E8"/>
    <mergeCell ref="H5:I5"/>
    <mergeCell ref="H12:I12"/>
    <mergeCell ref="L16:M16"/>
    <mergeCell ref="L17:M17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H10:I10"/>
    <mergeCell ref="H11:I11"/>
    <mergeCell ref="A1:M1"/>
    <mergeCell ref="A2:M2"/>
    <mergeCell ref="A15:M15"/>
    <mergeCell ref="D10:E10"/>
    <mergeCell ref="D14:E14"/>
    <mergeCell ref="D6:E6"/>
    <mergeCell ref="H6:I6"/>
    <mergeCell ref="H7:I7"/>
    <mergeCell ref="H8:I8"/>
    <mergeCell ref="H9:I9"/>
    <mergeCell ref="A3:I3"/>
    <mergeCell ref="H13:I13"/>
    <mergeCell ref="H14:I14"/>
    <mergeCell ref="D9:E9"/>
    <mergeCell ref="D18:E18"/>
    <mergeCell ref="D19:E19"/>
    <mergeCell ref="D23:E23"/>
    <mergeCell ref="D20:E20"/>
    <mergeCell ref="D22:E22"/>
    <mergeCell ref="D13:E13"/>
    <mergeCell ref="D25:E25"/>
    <mergeCell ref="D16:E16"/>
    <mergeCell ref="D17:E17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21:E21"/>
    <mergeCell ref="D24:E24"/>
  </mergeCells>
  <phoneticPr fontId="7" type="noConversion"/>
  <printOptions horizontalCentered="1"/>
  <pageMargins left="0.35433070866141736" right="0.35433070866141736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338"/>
  <sheetViews>
    <sheetView topLeftCell="A292" workbookViewId="0">
      <selection activeCell="J321" sqref="J321"/>
    </sheetView>
  </sheetViews>
  <sheetFormatPr defaultRowHeight="15"/>
  <cols>
    <col min="1" max="1" width="25.5703125" style="2049" customWidth="1"/>
    <col min="2" max="2" width="24.140625" style="2049" customWidth="1"/>
    <col min="3" max="3" width="43.7109375" style="2049" customWidth="1"/>
    <col min="4" max="4" width="9" style="2049" customWidth="1"/>
    <col min="5" max="5" width="11.85546875" style="2049" customWidth="1"/>
    <col min="6" max="16384" width="9.140625" style="2049"/>
  </cols>
  <sheetData>
    <row r="1" spans="1:5" hidden="1"/>
    <row r="2" spans="1:5" hidden="1">
      <c r="A2" s="2102"/>
      <c r="B2" s="2103" t="s">
        <v>1042</v>
      </c>
      <c r="C2" s="2102"/>
      <c r="D2" s="2104"/>
      <c r="E2" s="2104"/>
    </row>
    <row r="3" spans="1:5" hidden="1">
      <c r="A3" s="2104"/>
      <c r="B3" s="2103" t="s">
        <v>1043</v>
      </c>
      <c r="C3" s="2104"/>
      <c r="D3" s="2104"/>
      <c r="E3" s="2104"/>
    </row>
    <row r="4" spans="1:5" hidden="1">
      <c r="A4" s="2105" t="s">
        <v>1044</v>
      </c>
      <c r="B4" s="2105" t="s">
        <v>1045</v>
      </c>
      <c r="C4" s="2105" t="s">
        <v>1046</v>
      </c>
      <c r="D4" s="2105" t="s">
        <v>1047</v>
      </c>
      <c r="E4" s="2105" t="s">
        <v>45</v>
      </c>
    </row>
    <row r="5" spans="1:5" hidden="1">
      <c r="A5" s="2106" t="s">
        <v>1048</v>
      </c>
      <c r="B5" s="2106" t="s">
        <v>1049</v>
      </c>
      <c r="C5" s="2106"/>
      <c r="D5" s="2106"/>
      <c r="E5" s="2106" t="s">
        <v>190</v>
      </c>
    </row>
    <row r="6" spans="1:5" hidden="1">
      <c r="A6" s="2107"/>
      <c r="B6" s="2107"/>
      <c r="C6" s="2107"/>
      <c r="D6" s="2107"/>
      <c r="E6" s="2107"/>
    </row>
    <row r="7" spans="1:5" hidden="1">
      <c r="A7" s="2107" t="s">
        <v>1050</v>
      </c>
      <c r="B7" s="2107" t="s">
        <v>1051</v>
      </c>
      <c r="C7" s="2107" t="s">
        <v>1052</v>
      </c>
      <c r="D7" s="2107">
        <v>3.5</v>
      </c>
      <c r="E7" s="2107">
        <v>5655</v>
      </c>
    </row>
    <row r="8" spans="1:5" hidden="1">
      <c r="A8" s="2107" t="s">
        <v>1053</v>
      </c>
      <c r="B8" s="2107" t="s">
        <v>1054</v>
      </c>
      <c r="C8" s="2108" t="s">
        <v>1055</v>
      </c>
      <c r="D8" s="2107">
        <v>4</v>
      </c>
      <c r="E8" s="2107">
        <v>10800</v>
      </c>
    </row>
    <row r="9" spans="1:5" hidden="1">
      <c r="A9" s="2107" t="s">
        <v>1053</v>
      </c>
      <c r="B9" s="2107" t="s">
        <v>1056</v>
      </c>
      <c r="C9" s="2108" t="s">
        <v>1055</v>
      </c>
      <c r="D9" s="2107">
        <v>27</v>
      </c>
      <c r="E9" s="2107">
        <v>24300</v>
      </c>
    </row>
    <row r="10" spans="1:5" hidden="1">
      <c r="A10" s="2107" t="s">
        <v>1053</v>
      </c>
      <c r="B10" s="2107" t="s">
        <v>1057</v>
      </c>
      <c r="C10" s="2108" t="s">
        <v>1055</v>
      </c>
      <c r="D10" s="2107">
        <v>24</v>
      </c>
      <c r="E10" s="2107">
        <v>21600</v>
      </c>
    </row>
    <row r="11" spans="1:5" hidden="1">
      <c r="A11" s="2107" t="s">
        <v>1053</v>
      </c>
      <c r="B11" s="2107" t="s">
        <v>1058</v>
      </c>
      <c r="C11" s="2108" t="s">
        <v>1059</v>
      </c>
      <c r="D11" s="2107">
        <v>8</v>
      </c>
      <c r="E11" s="2107">
        <v>7200</v>
      </c>
    </row>
    <row r="12" spans="1:5" hidden="1">
      <c r="A12" s="2107" t="s">
        <v>1053</v>
      </c>
      <c r="B12" s="2107" t="s">
        <v>1058</v>
      </c>
      <c r="C12" s="2108"/>
      <c r="D12" s="2107">
        <v>5</v>
      </c>
      <c r="E12" s="2107">
        <v>4500</v>
      </c>
    </row>
    <row r="13" spans="1:5" hidden="1">
      <c r="A13" s="2107" t="s">
        <v>1053</v>
      </c>
      <c r="B13" s="2107" t="s">
        <v>1060</v>
      </c>
      <c r="C13" s="2108"/>
      <c r="D13" s="2107">
        <v>7</v>
      </c>
      <c r="E13" s="2107">
        <v>6300</v>
      </c>
    </row>
    <row r="14" spans="1:5" hidden="1">
      <c r="A14" s="2107" t="s">
        <v>1061</v>
      </c>
      <c r="B14" s="2107" t="s">
        <v>1062</v>
      </c>
      <c r="C14" s="2108"/>
      <c r="D14" s="2107">
        <v>0.5</v>
      </c>
      <c r="E14" s="2107">
        <v>627.12</v>
      </c>
    </row>
    <row r="15" spans="1:5" hidden="1">
      <c r="A15" s="2107" t="s">
        <v>1063</v>
      </c>
      <c r="B15" s="2107" t="s">
        <v>1064</v>
      </c>
      <c r="C15" s="2108"/>
      <c r="D15" s="2107">
        <v>7</v>
      </c>
      <c r="E15" s="2107">
        <v>11186</v>
      </c>
    </row>
    <row r="16" spans="1:5" hidden="1">
      <c r="A16" s="2107" t="s">
        <v>1063</v>
      </c>
      <c r="B16" s="2107" t="s">
        <v>1065</v>
      </c>
      <c r="C16" s="2108"/>
      <c r="D16" s="2107">
        <v>13</v>
      </c>
      <c r="E16" s="2107">
        <v>20774</v>
      </c>
    </row>
    <row r="17" spans="1:5" hidden="1">
      <c r="A17" s="2107" t="s">
        <v>1066</v>
      </c>
      <c r="B17" s="2107" t="s">
        <v>1067</v>
      </c>
      <c r="C17" s="2108"/>
      <c r="D17" s="2107">
        <v>3</v>
      </c>
      <c r="E17" s="2107">
        <v>1779.66</v>
      </c>
    </row>
    <row r="18" spans="1:5" hidden="1">
      <c r="A18" s="2107" t="s">
        <v>1061</v>
      </c>
      <c r="B18" s="2107" t="s">
        <v>1068</v>
      </c>
      <c r="C18" s="2108"/>
      <c r="D18" s="2107">
        <v>0.5</v>
      </c>
      <c r="E18" s="2107">
        <v>711.86</v>
      </c>
    </row>
    <row r="19" spans="1:5" hidden="1">
      <c r="A19" s="2107" t="s">
        <v>1063</v>
      </c>
      <c r="B19" s="2107" t="s">
        <v>1069</v>
      </c>
      <c r="C19" s="2108"/>
      <c r="D19" s="2107">
        <v>8</v>
      </c>
      <c r="E19" s="2107">
        <v>12784</v>
      </c>
    </row>
    <row r="20" spans="1:5" hidden="1">
      <c r="A20" s="2107" t="s">
        <v>1066</v>
      </c>
      <c r="B20" s="2107" t="s">
        <v>1070</v>
      </c>
      <c r="C20" s="2108"/>
      <c r="D20" s="2107">
        <v>0.3</v>
      </c>
      <c r="E20" s="2107">
        <v>395.48</v>
      </c>
    </row>
    <row r="21" spans="1:5" hidden="1">
      <c r="A21" s="2107" t="s">
        <v>1053</v>
      </c>
      <c r="B21" s="2107" t="s">
        <v>1071</v>
      </c>
      <c r="C21" s="2108"/>
      <c r="D21" s="2107">
        <v>18</v>
      </c>
      <c r="E21" s="2107">
        <v>16200</v>
      </c>
    </row>
    <row r="22" spans="1:5" hidden="1">
      <c r="A22" s="2107" t="s">
        <v>1053</v>
      </c>
      <c r="B22" s="2107" t="s">
        <v>1072</v>
      </c>
      <c r="C22" s="2108"/>
      <c r="D22" s="2107">
        <v>23</v>
      </c>
      <c r="E22" s="2107">
        <v>20700</v>
      </c>
    </row>
    <row r="23" spans="1:5" hidden="1">
      <c r="A23" s="2107" t="s">
        <v>1053</v>
      </c>
      <c r="B23" s="2107" t="s">
        <v>1073</v>
      </c>
      <c r="C23" s="2108"/>
      <c r="D23" s="2107">
        <v>17</v>
      </c>
      <c r="E23" s="2107">
        <v>15300</v>
      </c>
    </row>
    <row r="24" spans="1:5" hidden="1">
      <c r="A24" s="2107" t="s">
        <v>1074</v>
      </c>
      <c r="B24" s="2107" t="s">
        <v>1075</v>
      </c>
      <c r="C24" s="2108"/>
      <c r="D24" s="2107"/>
      <c r="E24" s="2107">
        <v>120.13</v>
      </c>
    </row>
    <row r="25" spans="1:5" hidden="1">
      <c r="A25" s="2107" t="s">
        <v>1076</v>
      </c>
      <c r="B25" s="2107" t="s">
        <v>1077</v>
      </c>
      <c r="C25" s="2108"/>
      <c r="D25" s="2107">
        <v>3</v>
      </c>
      <c r="E25" s="2107">
        <v>4237.29</v>
      </c>
    </row>
    <row r="26" spans="1:5" hidden="1">
      <c r="A26" s="2107" t="s">
        <v>1063</v>
      </c>
      <c r="B26" s="2107" t="s">
        <v>1078</v>
      </c>
      <c r="C26" s="2108"/>
      <c r="D26" s="2107">
        <v>6</v>
      </c>
      <c r="E26" s="2107">
        <v>9588</v>
      </c>
    </row>
    <row r="27" spans="1:5" hidden="1">
      <c r="A27" s="2107" t="s">
        <v>1063</v>
      </c>
      <c r="B27" s="2107" t="s">
        <v>1079</v>
      </c>
      <c r="C27" s="2108"/>
      <c r="D27" s="2107">
        <v>4</v>
      </c>
      <c r="E27" s="2107">
        <v>6392</v>
      </c>
    </row>
    <row r="28" spans="1:5" hidden="1">
      <c r="A28" s="2107" t="s">
        <v>1063</v>
      </c>
      <c r="B28" s="2107" t="s">
        <v>1080</v>
      </c>
      <c r="C28" s="2108"/>
      <c r="D28" s="2107">
        <v>8.4</v>
      </c>
      <c r="E28" s="2107">
        <v>13448</v>
      </c>
    </row>
    <row r="29" spans="1:5" hidden="1">
      <c r="A29" s="2107" t="s">
        <v>1063</v>
      </c>
      <c r="B29" s="2107" t="s">
        <v>1081</v>
      </c>
      <c r="C29" s="2108"/>
      <c r="D29" s="2107">
        <v>6</v>
      </c>
      <c r="E29" s="2107">
        <v>9588</v>
      </c>
    </row>
    <row r="30" spans="1:5" hidden="1">
      <c r="A30" s="2107" t="s">
        <v>1053</v>
      </c>
      <c r="B30" s="2107" t="s">
        <v>1082</v>
      </c>
      <c r="C30" s="2108"/>
      <c r="D30" s="2107">
        <v>7</v>
      </c>
      <c r="E30" s="2107">
        <v>6300</v>
      </c>
    </row>
    <row r="31" spans="1:5" hidden="1">
      <c r="A31" s="2107" t="s">
        <v>1053</v>
      </c>
      <c r="B31" s="2107" t="s">
        <v>1057</v>
      </c>
      <c r="C31" s="2108"/>
      <c r="D31" s="2107">
        <v>16</v>
      </c>
      <c r="E31" s="2107">
        <v>14400</v>
      </c>
    </row>
    <row r="32" spans="1:5" hidden="1">
      <c r="A32" s="2107" t="s">
        <v>1066</v>
      </c>
      <c r="B32" s="2107" t="s">
        <v>1083</v>
      </c>
      <c r="C32" s="2108"/>
      <c r="D32" s="2107">
        <v>0.25</v>
      </c>
      <c r="E32" s="2107">
        <v>296.61</v>
      </c>
    </row>
    <row r="33" spans="1:5" hidden="1">
      <c r="A33" s="2107" t="s">
        <v>1063</v>
      </c>
      <c r="B33" s="2107" t="s">
        <v>1084</v>
      </c>
      <c r="C33" s="2108"/>
      <c r="D33" s="2107">
        <v>3.5</v>
      </c>
      <c r="E33" s="2107">
        <v>5593</v>
      </c>
    </row>
    <row r="34" spans="1:5" hidden="1">
      <c r="A34" s="2107" t="s">
        <v>1066</v>
      </c>
      <c r="B34" s="2107" t="s">
        <v>1085</v>
      </c>
      <c r="C34" s="2108"/>
      <c r="D34" s="2107">
        <v>1</v>
      </c>
      <c r="E34" s="2107">
        <v>1186.44</v>
      </c>
    </row>
    <row r="35" spans="1:5" hidden="1">
      <c r="A35" s="2109" t="s">
        <v>1086</v>
      </c>
      <c r="B35" s="2109"/>
      <c r="C35" s="2110"/>
      <c r="D35" s="2109">
        <f>SUM(D7:D34)</f>
        <v>223.95000000000002</v>
      </c>
      <c r="E35" s="2109">
        <f>SUM(E7:E34)</f>
        <v>251962.59</v>
      </c>
    </row>
    <row r="36" spans="1:5" hidden="1">
      <c r="A36" s="2102"/>
      <c r="B36" s="2111" t="s">
        <v>1087</v>
      </c>
      <c r="C36" s="2112"/>
      <c r="D36" s="2104"/>
      <c r="E36" s="2104"/>
    </row>
    <row r="37" spans="1:5" hidden="1">
      <c r="A37" s="2105" t="s">
        <v>1044</v>
      </c>
      <c r="B37" s="2105" t="s">
        <v>1045</v>
      </c>
      <c r="C37" s="2105" t="s">
        <v>1046</v>
      </c>
      <c r="D37" s="2105" t="s">
        <v>45</v>
      </c>
      <c r="E37" s="2105" t="s">
        <v>45</v>
      </c>
    </row>
    <row r="38" spans="1:5" hidden="1">
      <c r="A38" s="2106" t="s">
        <v>1048</v>
      </c>
      <c r="B38" s="2106" t="s">
        <v>1049</v>
      </c>
      <c r="C38" s="2106"/>
      <c r="D38" s="2106" t="s">
        <v>190</v>
      </c>
      <c r="E38" s="2106" t="s">
        <v>190</v>
      </c>
    </row>
    <row r="39" spans="1:5" hidden="1">
      <c r="A39" s="2107" t="s">
        <v>1050</v>
      </c>
      <c r="B39" s="2107" t="s">
        <v>1088</v>
      </c>
      <c r="C39" s="2108" t="s">
        <v>1089</v>
      </c>
      <c r="D39" s="2107">
        <v>8</v>
      </c>
      <c r="E39" s="2107">
        <v>9048</v>
      </c>
    </row>
    <row r="40" spans="1:5" hidden="1">
      <c r="A40" s="2107" t="s">
        <v>1050</v>
      </c>
      <c r="B40" s="2107" t="s">
        <v>1090</v>
      </c>
      <c r="C40" s="2108" t="s">
        <v>1089</v>
      </c>
      <c r="D40" s="2107">
        <v>2.5</v>
      </c>
      <c r="E40" s="2107">
        <v>2827.5</v>
      </c>
    </row>
    <row r="41" spans="1:5" hidden="1">
      <c r="A41" s="2107" t="s">
        <v>1050</v>
      </c>
      <c r="B41" s="2107" t="s">
        <v>1091</v>
      </c>
      <c r="C41" s="2108" t="s">
        <v>1092</v>
      </c>
      <c r="D41" s="2107">
        <v>16</v>
      </c>
      <c r="E41" s="2107">
        <v>18096</v>
      </c>
    </row>
    <row r="42" spans="1:5" hidden="1">
      <c r="A42" s="2107" t="s">
        <v>1093</v>
      </c>
      <c r="B42" s="2107" t="s">
        <v>1094</v>
      </c>
      <c r="C42" s="2108" t="s">
        <v>1095</v>
      </c>
      <c r="D42" s="2107">
        <v>7</v>
      </c>
      <c r="E42" s="2107">
        <v>6300</v>
      </c>
    </row>
    <row r="43" spans="1:5" hidden="1">
      <c r="A43" s="2107" t="s">
        <v>1096</v>
      </c>
      <c r="B43" s="2107" t="s">
        <v>1097</v>
      </c>
      <c r="C43" s="2108" t="s">
        <v>1098</v>
      </c>
      <c r="D43" s="2107">
        <v>3</v>
      </c>
      <c r="E43" s="2107">
        <v>4200</v>
      </c>
    </row>
    <row r="44" spans="1:5" hidden="1">
      <c r="A44" s="2107" t="s">
        <v>1099</v>
      </c>
      <c r="B44" s="2107" t="s">
        <v>1100</v>
      </c>
      <c r="C44" s="2108" t="s">
        <v>1101</v>
      </c>
      <c r="D44" s="2107">
        <v>27</v>
      </c>
      <c r="E44" s="2107">
        <v>31872.15</v>
      </c>
    </row>
    <row r="45" spans="1:5" hidden="1">
      <c r="A45" s="2107" t="s">
        <v>1102</v>
      </c>
      <c r="B45" s="2107" t="s">
        <v>1103</v>
      </c>
      <c r="C45" s="2108" t="s">
        <v>1095</v>
      </c>
      <c r="D45" s="2107">
        <v>40</v>
      </c>
      <c r="E45" s="2107">
        <v>47218</v>
      </c>
    </row>
    <row r="46" spans="1:5" hidden="1">
      <c r="A46" s="2107" t="s">
        <v>1093</v>
      </c>
      <c r="B46" s="2107" t="s">
        <v>1104</v>
      </c>
      <c r="C46" s="2108" t="s">
        <v>1095</v>
      </c>
      <c r="D46" s="2107">
        <v>9</v>
      </c>
      <c r="E46" s="2107">
        <v>8100</v>
      </c>
    </row>
    <row r="47" spans="1:5" hidden="1">
      <c r="A47" s="2107" t="s">
        <v>1099</v>
      </c>
      <c r="B47" s="2107" t="s">
        <v>1105</v>
      </c>
      <c r="C47" s="2108" t="s">
        <v>1101</v>
      </c>
      <c r="D47" s="2107">
        <v>7</v>
      </c>
      <c r="E47" s="2107">
        <v>8400</v>
      </c>
    </row>
    <row r="48" spans="1:5" hidden="1">
      <c r="A48" s="2107" t="s">
        <v>1106</v>
      </c>
      <c r="B48" s="2107" t="s">
        <v>1107</v>
      </c>
      <c r="C48" s="2108" t="s">
        <v>1095</v>
      </c>
      <c r="D48" s="2107">
        <v>168</v>
      </c>
      <c r="E48" s="2107">
        <v>102656.4</v>
      </c>
    </row>
    <row r="49" spans="1:5" hidden="1">
      <c r="A49" s="2107" t="s">
        <v>1106</v>
      </c>
      <c r="B49" s="2107" t="s">
        <v>1108</v>
      </c>
      <c r="C49" s="2108" t="s">
        <v>1095</v>
      </c>
      <c r="D49" s="2107">
        <v>176</v>
      </c>
      <c r="E49" s="2107">
        <v>211200</v>
      </c>
    </row>
    <row r="50" spans="1:5" hidden="1">
      <c r="A50" s="2107" t="s">
        <v>1109</v>
      </c>
      <c r="B50" s="2107" t="s">
        <v>1110</v>
      </c>
      <c r="C50" s="2108" t="s">
        <v>1111</v>
      </c>
      <c r="D50" s="2107">
        <v>0.5</v>
      </c>
      <c r="E50" s="2107">
        <v>593.22</v>
      </c>
    </row>
    <row r="51" spans="1:5" hidden="1">
      <c r="A51" s="2107" t="s">
        <v>1112</v>
      </c>
      <c r="B51" s="2107" t="s">
        <v>1113</v>
      </c>
      <c r="C51" s="2108" t="s">
        <v>1114</v>
      </c>
      <c r="D51" s="2107">
        <v>2</v>
      </c>
      <c r="E51" s="2107">
        <v>465.76</v>
      </c>
    </row>
    <row r="52" spans="1:5" hidden="1">
      <c r="A52" s="2107" t="s">
        <v>1050</v>
      </c>
      <c r="B52" s="2107" t="s">
        <v>1115</v>
      </c>
      <c r="C52" s="2108" t="s">
        <v>1116</v>
      </c>
      <c r="D52" s="2107">
        <v>4</v>
      </c>
      <c r="E52" s="2107">
        <v>6392</v>
      </c>
    </row>
    <row r="53" spans="1:5" hidden="1">
      <c r="A53" s="2107" t="s">
        <v>1093</v>
      </c>
      <c r="B53" s="2107" t="s">
        <v>1117</v>
      </c>
      <c r="C53" s="2108" t="s">
        <v>1118</v>
      </c>
      <c r="D53" s="2107">
        <v>2</v>
      </c>
      <c r="E53" s="2107">
        <v>1800</v>
      </c>
    </row>
    <row r="54" spans="1:5" hidden="1">
      <c r="A54" s="2107" t="s">
        <v>1050</v>
      </c>
      <c r="B54" s="2107" t="s">
        <v>1119</v>
      </c>
      <c r="C54" s="2108" t="s">
        <v>1120</v>
      </c>
      <c r="D54" s="2107">
        <v>21</v>
      </c>
      <c r="E54" s="2107">
        <v>2262</v>
      </c>
    </row>
    <row r="55" spans="1:5" hidden="1">
      <c r="A55" s="2107" t="s">
        <v>1076</v>
      </c>
      <c r="B55" s="2107" t="s">
        <v>1121</v>
      </c>
      <c r="C55" s="2108" t="s">
        <v>1122</v>
      </c>
      <c r="D55" s="2107">
        <v>3</v>
      </c>
      <c r="E55" s="2107">
        <v>6355.93</v>
      </c>
    </row>
    <row r="56" spans="1:5" hidden="1">
      <c r="A56" s="2107" t="s">
        <v>1076</v>
      </c>
      <c r="B56" s="2107" t="s">
        <v>1121</v>
      </c>
      <c r="C56" s="2108" t="s">
        <v>1123</v>
      </c>
      <c r="D56" s="2107">
        <v>14</v>
      </c>
      <c r="E56" s="2107">
        <v>29661.02</v>
      </c>
    </row>
    <row r="57" spans="1:5" hidden="1">
      <c r="A57" s="2107" t="s">
        <v>1109</v>
      </c>
      <c r="B57" s="2107" t="s">
        <v>1124</v>
      </c>
      <c r="C57" s="2108" t="s">
        <v>1125</v>
      </c>
      <c r="D57" s="2107">
        <v>1</v>
      </c>
      <c r="E57" s="2107">
        <v>677.97</v>
      </c>
    </row>
    <row r="58" spans="1:5" hidden="1">
      <c r="A58" s="2107" t="s">
        <v>1050</v>
      </c>
      <c r="B58" s="2107" t="s">
        <v>1126</v>
      </c>
      <c r="C58" s="2108" t="s">
        <v>1127</v>
      </c>
      <c r="D58" s="2107">
        <v>1</v>
      </c>
      <c r="E58" s="2107">
        <v>1131</v>
      </c>
    </row>
    <row r="59" spans="1:5" hidden="1">
      <c r="A59" s="2107" t="s">
        <v>1093</v>
      </c>
      <c r="B59" s="2107" t="s">
        <v>1128</v>
      </c>
      <c r="C59" s="2108" t="s">
        <v>1127</v>
      </c>
      <c r="D59" s="2107">
        <v>12</v>
      </c>
      <c r="E59" s="2107">
        <v>10800</v>
      </c>
    </row>
    <row r="60" spans="1:5" hidden="1">
      <c r="A60" s="2107" t="s">
        <v>1093</v>
      </c>
      <c r="B60" s="2107" t="s">
        <v>1129</v>
      </c>
      <c r="C60" s="2108" t="s">
        <v>1127</v>
      </c>
      <c r="D60" s="2107">
        <v>3</v>
      </c>
      <c r="E60" s="2107">
        <v>2700</v>
      </c>
    </row>
    <row r="61" spans="1:5" hidden="1">
      <c r="A61" s="2107" t="s">
        <v>1099</v>
      </c>
      <c r="B61" s="2107" t="s">
        <v>1130</v>
      </c>
      <c r="C61" s="2108" t="s">
        <v>1125</v>
      </c>
      <c r="D61" s="2107">
        <v>8</v>
      </c>
      <c r="E61" s="2107">
        <v>9600</v>
      </c>
    </row>
    <row r="62" spans="1:5" hidden="1">
      <c r="A62" s="2107" t="s">
        <v>1109</v>
      </c>
      <c r="B62" s="2107" t="s">
        <v>1131</v>
      </c>
      <c r="C62" s="2108" t="s">
        <v>1132</v>
      </c>
      <c r="D62" s="2107">
        <v>3</v>
      </c>
      <c r="E62" s="2107">
        <v>2033.9</v>
      </c>
    </row>
    <row r="63" spans="1:5" hidden="1">
      <c r="A63" s="2107" t="s">
        <v>1050</v>
      </c>
      <c r="B63" s="2107" t="s">
        <v>1133</v>
      </c>
      <c r="C63" s="2108" t="s">
        <v>1134</v>
      </c>
      <c r="D63" s="2113">
        <v>2.5</v>
      </c>
      <c r="E63" s="2107">
        <v>2827.5</v>
      </c>
    </row>
    <row r="64" spans="1:5" hidden="1">
      <c r="A64" s="2109" t="s">
        <v>1135</v>
      </c>
      <c r="B64" s="2109"/>
      <c r="C64" s="2109"/>
      <c r="D64" s="2109">
        <f>SUM(D39:D63)</f>
        <v>540.5</v>
      </c>
      <c r="E64" s="2109">
        <f>SUM(E39:E63)</f>
        <v>527218.35</v>
      </c>
    </row>
    <row r="65" spans="1:5" hidden="1">
      <c r="A65" s="2114" t="s">
        <v>1136</v>
      </c>
      <c r="B65" s="2109"/>
      <c r="C65" s="2109"/>
      <c r="D65" s="2109">
        <f>D35+D64</f>
        <v>764.45</v>
      </c>
      <c r="E65" s="2109">
        <f>E35+E64</f>
        <v>779180.94</v>
      </c>
    </row>
    <row r="66" spans="1:5" hidden="1">
      <c r="B66" s="2111" t="s">
        <v>1137</v>
      </c>
    </row>
    <row r="67" spans="1:5" hidden="1">
      <c r="A67" s="2105" t="s">
        <v>1044</v>
      </c>
      <c r="B67" s="2105" t="s">
        <v>1045</v>
      </c>
      <c r="C67" s="2105" t="s">
        <v>1046</v>
      </c>
      <c r="D67" s="2105" t="s">
        <v>1047</v>
      </c>
      <c r="E67" s="2105" t="s">
        <v>45</v>
      </c>
    </row>
    <row r="68" spans="1:5" hidden="1">
      <c r="A68" s="2106" t="s">
        <v>1048</v>
      </c>
      <c r="B68" s="2106" t="s">
        <v>1049</v>
      </c>
      <c r="C68" s="2106"/>
      <c r="D68" s="2106"/>
      <c r="E68" s="2106" t="s">
        <v>190</v>
      </c>
    </row>
    <row r="69" spans="1:5" hidden="1">
      <c r="A69" s="2107"/>
      <c r="B69" s="2107"/>
      <c r="C69" s="2107"/>
      <c r="D69" s="2107"/>
      <c r="E69" s="2107"/>
    </row>
    <row r="70" spans="1:5" hidden="1">
      <c r="A70" s="2107" t="s">
        <v>1138</v>
      </c>
      <c r="B70" s="2107" t="s">
        <v>1139</v>
      </c>
      <c r="C70" s="2107" t="s">
        <v>1052</v>
      </c>
      <c r="D70" s="2107">
        <v>48</v>
      </c>
      <c r="E70" s="2107">
        <v>29330.400000000001</v>
      </c>
    </row>
    <row r="71" spans="1:5" hidden="1">
      <c r="A71" s="2107" t="s">
        <v>1099</v>
      </c>
      <c r="B71" s="2107" t="s">
        <v>1140</v>
      </c>
      <c r="C71" s="2108" t="s">
        <v>1055</v>
      </c>
      <c r="D71" s="2107">
        <v>7.5</v>
      </c>
      <c r="E71" s="2107">
        <v>9000</v>
      </c>
    </row>
    <row r="72" spans="1:5" hidden="1">
      <c r="A72" s="2107" t="s">
        <v>1099</v>
      </c>
      <c r="B72" s="2107" t="s">
        <v>1140</v>
      </c>
      <c r="C72" s="2108" t="s">
        <v>1055</v>
      </c>
      <c r="D72" s="2107">
        <v>2</v>
      </c>
      <c r="E72" s="2107">
        <v>2400</v>
      </c>
    </row>
    <row r="73" spans="1:5" hidden="1">
      <c r="A73" s="2107" t="s">
        <v>1141</v>
      </c>
      <c r="B73" s="2107" t="s">
        <v>1142</v>
      </c>
      <c r="C73" s="2108" t="s">
        <v>1055</v>
      </c>
      <c r="D73" s="2107">
        <v>2</v>
      </c>
      <c r="E73" s="2107">
        <v>1800</v>
      </c>
    </row>
    <row r="74" spans="1:5" hidden="1">
      <c r="A74" s="2107" t="s">
        <v>1143</v>
      </c>
      <c r="B74" s="2107" t="s">
        <v>1144</v>
      </c>
      <c r="C74" s="2108" t="s">
        <v>1145</v>
      </c>
      <c r="D74" s="2107">
        <v>15</v>
      </c>
      <c r="E74" s="2107">
        <v>30000</v>
      </c>
    </row>
    <row r="75" spans="1:5" hidden="1">
      <c r="A75" s="2107" t="s">
        <v>1146</v>
      </c>
      <c r="B75" s="2107" t="s">
        <v>1147</v>
      </c>
      <c r="C75" s="2108" t="s">
        <v>1148</v>
      </c>
      <c r="D75" s="2107">
        <v>8</v>
      </c>
      <c r="E75" s="2107">
        <v>12000</v>
      </c>
    </row>
    <row r="76" spans="1:5" hidden="1">
      <c r="A76" s="2107" t="s">
        <v>1112</v>
      </c>
      <c r="B76" s="2107" t="s">
        <v>1149</v>
      </c>
      <c r="C76" s="2108" t="s">
        <v>1150</v>
      </c>
      <c r="D76" s="2107">
        <v>2</v>
      </c>
      <c r="E76" s="2107">
        <v>550.79999999999995</v>
      </c>
    </row>
    <row r="77" spans="1:5" hidden="1">
      <c r="A77" s="2107" t="s">
        <v>1093</v>
      </c>
      <c r="B77" s="2107" t="s">
        <v>1151</v>
      </c>
      <c r="C77" s="2108" t="s">
        <v>1152</v>
      </c>
      <c r="D77" s="2107">
        <v>4</v>
      </c>
      <c r="E77" s="2107">
        <v>3600</v>
      </c>
    </row>
    <row r="78" spans="1:5" hidden="1">
      <c r="A78" s="2107" t="s">
        <v>1099</v>
      </c>
      <c r="B78" s="2107" t="s">
        <v>1140</v>
      </c>
      <c r="C78" s="2108" t="s">
        <v>1153</v>
      </c>
      <c r="D78" s="2107">
        <v>15.5</v>
      </c>
      <c r="E78" s="2107">
        <v>18600</v>
      </c>
    </row>
    <row r="79" spans="1:5" hidden="1">
      <c r="A79" s="2107" t="s">
        <v>1154</v>
      </c>
      <c r="B79" s="2107" t="s">
        <v>1142</v>
      </c>
      <c r="C79" s="2108" t="s">
        <v>1155</v>
      </c>
      <c r="D79" s="2107">
        <v>8</v>
      </c>
      <c r="E79" s="2107">
        <v>7200</v>
      </c>
    </row>
    <row r="80" spans="1:5" hidden="1">
      <c r="A80" s="2107" t="s">
        <v>1156</v>
      </c>
      <c r="B80" s="2107" t="s">
        <v>1157</v>
      </c>
      <c r="C80" s="2108" t="s">
        <v>1158</v>
      </c>
      <c r="D80" s="2107">
        <v>14</v>
      </c>
      <c r="E80" s="2107">
        <v>16572.849999999999</v>
      </c>
    </row>
    <row r="81" spans="1:5" hidden="1">
      <c r="A81" s="2107" t="s">
        <v>1154</v>
      </c>
      <c r="B81" s="2107" t="s">
        <v>1159</v>
      </c>
      <c r="C81" s="2108" t="s">
        <v>1153</v>
      </c>
      <c r="D81" s="2107">
        <v>2</v>
      </c>
      <c r="E81" s="2107">
        <v>1800</v>
      </c>
    </row>
    <row r="82" spans="1:5" hidden="1">
      <c r="A82" s="2107" t="s">
        <v>1050</v>
      </c>
      <c r="B82" s="2107" t="s">
        <v>1160</v>
      </c>
      <c r="C82" s="2108" t="s">
        <v>1161</v>
      </c>
      <c r="D82" s="2107">
        <v>29</v>
      </c>
      <c r="E82" s="2107">
        <v>32799</v>
      </c>
    </row>
    <row r="83" spans="1:5" hidden="1">
      <c r="A83" s="2107" t="s">
        <v>1154</v>
      </c>
      <c r="B83" s="2107" t="s">
        <v>1162</v>
      </c>
      <c r="C83" s="2108" t="s">
        <v>1153</v>
      </c>
      <c r="D83" s="2107">
        <v>11</v>
      </c>
      <c r="E83" s="2107">
        <v>9900</v>
      </c>
    </row>
    <row r="84" spans="1:5" hidden="1">
      <c r="A84" s="2107" t="s">
        <v>1050</v>
      </c>
      <c r="B84" s="2107" t="s">
        <v>1163</v>
      </c>
      <c r="C84" s="2108" t="s">
        <v>1164</v>
      </c>
      <c r="D84" s="2107">
        <v>3</v>
      </c>
      <c r="E84" s="2107">
        <v>3393</v>
      </c>
    </row>
    <row r="85" spans="1:5" hidden="1">
      <c r="A85" s="2107" t="s">
        <v>1154</v>
      </c>
      <c r="B85" s="2107" t="s">
        <v>1165</v>
      </c>
      <c r="C85" s="2108" t="s">
        <v>1153</v>
      </c>
      <c r="D85" s="2107">
        <v>15</v>
      </c>
      <c r="E85" s="2107">
        <v>13500</v>
      </c>
    </row>
    <row r="86" spans="1:5" hidden="1">
      <c r="A86" s="2107" t="s">
        <v>1154</v>
      </c>
      <c r="B86" s="2107" t="s">
        <v>1166</v>
      </c>
      <c r="C86" s="2108" t="s">
        <v>1153</v>
      </c>
      <c r="D86" s="2107">
        <v>9</v>
      </c>
      <c r="E86" s="2107">
        <v>8100</v>
      </c>
    </row>
    <row r="87" spans="1:5" hidden="1">
      <c r="A87" s="2107" t="s">
        <v>1154</v>
      </c>
      <c r="B87" s="2107" t="s">
        <v>1167</v>
      </c>
      <c r="C87" s="2108" t="s">
        <v>1153</v>
      </c>
      <c r="D87" s="2107">
        <v>2</v>
      </c>
      <c r="E87" s="2107">
        <v>1800</v>
      </c>
    </row>
    <row r="88" spans="1:5" hidden="1">
      <c r="A88" s="2107" t="s">
        <v>1146</v>
      </c>
      <c r="B88" s="2107" t="s">
        <v>1168</v>
      </c>
      <c r="C88" s="2108" t="s">
        <v>1158</v>
      </c>
      <c r="D88" s="2107">
        <v>3</v>
      </c>
      <c r="E88" s="2107">
        <v>5100</v>
      </c>
    </row>
    <row r="89" spans="1:5" hidden="1">
      <c r="A89" s="2109" t="s">
        <v>1169</v>
      </c>
      <c r="B89" s="2109"/>
      <c r="C89" s="2110"/>
      <c r="D89" s="2109">
        <f>SUM(D70:D88)</f>
        <v>200</v>
      </c>
      <c r="E89" s="2109">
        <f>SUM(E70:E88)</f>
        <v>207446.05</v>
      </c>
    </row>
    <row r="90" spans="1:5" hidden="1">
      <c r="A90" s="2114" t="s">
        <v>1170</v>
      </c>
      <c r="B90" s="2109"/>
      <c r="C90" s="2109"/>
      <c r="D90" s="2109">
        <f>D65+D89</f>
        <v>964.45</v>
      </c>
      <c r="E90" s="2109">
        <f>E65+E89</f>
        <v>986626.99</v>
      </c>
    </row>
    <row r="91" spans="1:5" hidden="1">
      <c r="A91" s="2115"/>
      <c r="B91" s="2114" t="s">
        <v>1171</v>
      </c>
      <c r="C91" s="2115"/>
      <c r="D91" s="2115"/>
      <c r="E91" s="2115"/>
    </row>
    <row r="92" spans="1:5" hidden="1">
      <c r="A92" s="2105" t="s">
        <v>1044</v>
      </c>
      <c r="B92" s="2105" t="s">
        <v>1045</v>
      </c>
      <c r="C92" s="2105" t="s">
        <v>1046</v>
      </c>
      <c r="D92" s="2105" t="s">
        <v>1047</v>
      </c>
      <c r="E92" s="2105" t="s">
        <v>45</v>
      </c>
    </row>
    <row r="93" spans="1:5" hidden="1">
      <c r="A93" s="2106" t="s">
        <v>1048</v>
      </c>
      <c r="B93" s="2106" t="s">
        <v>1049</v>
      </c>
      <c r="C93" s="2106"/>
      <c r="D93" s="2106"/>
      <c r="E93" s="2106" t="s">
        <v>190</v>
      </c>
    </row>
    <row r="94" spans="1:5" hidden="1">
      <c r="A94" s="2107"/>
      <c r="B94" s="2107"/>
      <c r="C94" s="2107"/>
      <c r="D94" s="2107"/>
      <c r="E94" s="2107"/>
    </row>
    <row r="95" spans="1:5" hidden="1">
      <c r="A95" s="2107" t="s">
        <v>1096</v>
      </c>
      <c r="B95" s="2107" t="s">
        <v>1172</v>
      </c>
      <c r="C95" s="2107" t="s">
        <v>1052</v>
      </c>
      <c r="D95" s="2107">
        <v>1</v>
      </c>
      <c r="E95" s="2107">
        <v>1400</v>
      </c>
    </row>
    <row r="96" spans="1:5" hidden="1">
      <c r="A96" s="2107" t="s">
        <v>1173</v>
      </c>
      <c r="B96" s="2107" t="s">
        <v>1174</v>
      </c>
      <c r="C96" s="2108" t="s">
        <v>1055</v>
      </c>
      <c r="D96" s="2107">
        <v>1</v>
      </c>
      <c r="E96" s="2107">
        <v>2118.64</v>
      </c>
    </row>
    <row r="97" spans="1:5" hidden="1">
      <c r="A97" s="2107" t="s">
        <v>1099</v>
      </c>
      <c r="B97" s="2107" t="s">
        <v>1175</v>
      </c>
      <c r="C97" s="2108" t="s">
        <v>1055</v>
      </c>
      <c r="D97" s="2107">
        <v>2</v>
      </c>
      <c r="E97" s="2107">
        <v>2400</v>
      </c>
    </row>
    <row r="98" spans="1:5" hidden="1">
      <c r="A98" s="2107" t="s">
        <v>1141</v>
      </c>
      <c r="B98" s="2107" t="s">
        <v>1176</v>
      </c>
      <c r="C98" s="2108"/>
      <c r="D98" s="2107">
        <v>18</v>
      </c>
      <c r="E98" s="2107">
        <v>16200</v>
      </c>
    </row>
    <row r="99" spans="1:5" hidden="1">
      <c r="A99" s="2107" t="s">
        <v>1141</v>
      </c>
      <c r="B99" s="2107" t="s">
        <v>1177</v>
      </c>
      <c r="C99" s="2108"/>
      <c r="D99" s="2107">
        <v>12</v>
      </c>
      <c r="E99" s="2107">
        <v>10800</v>
      </c>
    </row>
    <row r="100" spans="1:5" hidden="1">
      <c r="A100" s="2107" t="s">
        <v>1141</v>
      </c>
      <c r="B100" s="2107" t="s">
        <v>1178</v>
      </c>
      <c r="C100" s="2108"/>
      <c r="D100" s="2107">
        <v>4</v>
      </c>
      <c r="E100" s="2107">
        <v>3600</v>
      </c>
    </row>
    <row r="101" spans="1:5" hidden="1">
      <c r="A101" s="2107" t="s">
        <v>1141</v>
      </c>
      <c r="B101" s="2107" t="s">
        <v>1179</v>
      </c>
      <c r="C101" s="2108"/>
      <c r="D101" s="2107">
        <v>3</v>
      </c>
      <c r="E101" s="2107">
        <v>2700</v>
      </c>
    </row>
    <row r="102" spans="1:5" hidden="1">
      <c r="A102" s="2107" t="s">
        <v>1141</v>
      </c>
      <c r="B102" s="2107" t="s">
        <v>1180</v>
      </c>
      <c r="C102" s="2108"/>
      <c r="D102" s="2107">
        <v>3</v>
      </c>
      <c r="E102" s="2107">
        <v>2700</v>
      </c>
    </row>
    <row r="103" spans="1:5" hidden="1">
      <c r="A103" s="2107" t="s">
        <v>1141</v>
      </c>
      <c r="B103" s="2107" t="s">
        <v>1181</v>
      </c>
      <c r="C103" s="2108"/>
      <c r="D103" s="2107">
        <v>2</v>
      </c>
      <c r="E103" s="2107">
        <v>1800</v>
      </c>
    </row>
    <row r="104" spans="1:5" hidden="1">
      <c r="A104" s="2107" t="s">
        <v>1182</v>
      </c>
      <c r="B104" s="2107" t="s">
        <v>1183</v>
      </c>
      <c r="C104" s="2108"/>
      <c r="D104" s="2107">
        <v>5</v>
      </c>
      <c r="E104" s="2107">
        <v>7990</v>
      </c>
    </row>
    <row r="105" spans="1:5" hidden="1">
      <c r="A105" s="2107" t="s">
        <v>1109</v>
      </c>
      <c r="B105" s="2107" t="s">
        <v>1184</v>
      </c>
      <c r="C105" s="2108"/>
      <c r="D105" s="2107">
        <v>1.5</v>
      </c>
      <c r="E105" s="2107">
        <v>1779.66</v>
      </c>
    </row>
    <row r="106" spans="1:5" hidden="1">
      <c r="A106" s="2107" t="s">
        <v>1185</v>
      </c>
      <c r="B106" s="2107" t="s">
        <v>1186</v>
      </c>
      <c r="C106" s="2108"/>
      <c r="D106" s="2107">
        <v>0.5</v>
      </c>
      <c r="E106" s="2107">
        <v>550.79999999999995</v>
      </c>
    </row>
    <row r="107" spans="1:5" hidden="1">
      <c r="A107" s="2107" t="s">
        <v>1187</v>
      </c>
      <c r="B107" s="2107" t="s">
        <v>1188</v>
      </c>
      <c r="C107" s="2108"/>
      <c r="D107" s="2107">
        <v>3</v>
      </c>
      <c r="E107" s="2107">
        <v>3393</v>
      </c>
    </row>
    <row r="108" spans="1:5" hidden="1">
      <c r="A108" s="2107" t="s">
        <v>1109</v>
      </c>
      <c r="B108" s="2107" t="s">
        <v>1189</v>
      </c>
      <c r="C108" s="2108"/>
      <c r="D108" s="2107">
        <v>1.5</v>
      </c>
      <c r="E108" s="2107">
        <v>1779.66</v>
      </c>
    </row>
    <row r="109" spans="1:5" hidden="1">
      <c r="A109" s="2107" t="s">
        <v>1109</v>
      </c>
      <c r="B109" s="2107" t="s">
        <v>1190</v>
      </c>
      <c r="C109" s="2108"/>
      <c r="D109" s="2107">
        <v>3.5</v>
      </c>
      <c r="E109" s="2107">
        <v>4152.54</v>
      </c>
    </row>
    <row r="110" spans="1:5" hidden="1">
      <c r="A110" s="2107"/>
      <c r="B110" s="2107"/>
      <c r="C110" s="2108"/>
      <c r="D110" s="2107"/>
      <c r="E110" s="2107"/>
    </row>
    <row r="111" spans="1:5" hidden="1">
      <c r="A111" s="2109" t="s">
        <v>1191</v>
      </c>
      <c r="B111" s="2109"/>
      <c r="C111" s="2110"/>
      <c r="D111" s="2109">
        <f>SUM(D95:D109)</f>
        <v>61</v>
      </c>
      <c r="E111" s="2109">
        <f>SUM(E95:E109)</f>
        <v>63364.30000000001</v>
      </c>
    </row>
    <row r="112" spans="1:5" hidden="1">
      <c r="A112" s="2116" t="s">
        <v>1192</v>
      </c>
      <c r="B112" s="2109"/>
      <c r="C112" s="2109"/>
      <c r="D112" s="2109">
        <f>D90+D111</f>
        <v>1025.45</v>
      </c>
      <c r="E112" s="2109">
        <f>E90+E111</f>
        <v>1049991.29</v>
      </c>
    </row>
    <row r="113" spans="1:5" hidden="1"/>
    <row r="114" spans="1:5" hidden="1"/>
    <row r="115" spans="1:5" hidden="1">
      <c r="A115" s="2102"/>
      <c r="B115" s="2103" t="s">
        <v>1193</v>
      </c>
      <c r="C115" s="2102"/>
      <c r="D115" s="2104"/>
      <c r="E115" s="2104"/>
    </row>
    <row r="116" spans="1:5" hidden="1">
      <c r="A116" s="2104"/>
      <c r="B116" s="2104"/>
      <c r="C116" s="2104"/>
      <c r="D116" s="2104"/>
      <c r="E116" s="2104"/>
    </row>
    <row r="117" spans="1:5" hidden="1">
      <c r="A117" s="2105" t="s">
        <v>1044</v>
      </c>
      <c r="B117" s="2105" t="s">
        <v>1045</v>
      </c>
      <c r="C117" s="2105" t="s">
        <v>1046</v>
      </c>
      <c r="D117" s="2105" t="s">
        <v>1047</v>
      </c>
      <c r="E117" s="2105" t="s">
        <v>45</v>
      </c>
    </row>
    <row r="118" spans="1:5" hidden="1">
      <c r="A118" s="2106" t="s">
        <v>1048</v>
      </c>
      <c r="B118" s="2106" t="s">
        <v>1049</v>
      </c>
      <c r="C118" s="2106"/>
      <c r="D118" s="2106"/>
      <c r="E118" s="2106" t="s">
        <v>190</v>
      </c>
    </row>
    <row r="119" spans="1:5" hidden="1">
      <c r="A119" s="2107"/>
      <c r="B119" s="2103" t="s">
        <v>1194</v>
      </c>
      <c r="C119" s="2107"/>
      <c r="D119" s="2107"/>
      <c r="E119" s="2107"/>
    </row>
    <row r="120" spans="1:5" hidden="1">
      <c r="A120" s="2107" t="s">
        <v>1195</v>
      </c>
      <c r="B120" s="2107" t="s">
        <v>1196</v>
      </c>
      <c r="C120" s="2107" t="s">
        <v>1052</v>
      </c>
      <c r="D120" s="2107">
        <v>4</v>
      </c>
      <c r="E120" s="2107">
        <v>8474.57</v>
      </c>
    </row>
    <row r="121" spans="1:5" hidden="1">
      <c r="A121" s="2107" t="s">
        <v>1109</v>
      </c>
      <c r="B121" s="2107" t="s">
        <v>1197</v>
      </c>
      <c r="C121" s="2108" t="s">
        <v>1055</v>
      </c>
      <c r="D121" s="2107">
        <v>0.5</v>
      </c>
      <c r="E121" s="2107">
        <v>593.22</v>
      </c>
    </row>
    <row r="122" spans="1:5" hidden="1">
      <c r="A122" s="2107" t="s">
        <v>1109</v>
      </c>
      <c r="B122" s="2107" t="s">
        <v>1198</v>
      </c>
      <c r="C122" s="2108" t="s">
        <v>1055</v>
      </c>
      <c r="D122" s="2107">
        <v>1</v>
      </c>
      <c r="E122" s="2107">
        <v>1313.56</v>
      </c>
    </row>
    <row r="123" spans="1:5" hidden="1">
      <c r="A123" s="2107" t="s">
        <v>1199</v>
      </c>
      <c r="B123" s="2107" t="s">
        <v>1200</v>
      </c>
      <c r="C123" s="2108" t="s">
        <v>1055</v>
      </c>
      <c r="D123" s="2107">
        <v>1</v>
      </c>
      <c r="E123" s="2107">
        <v>1356.67</v>
      </c>
    </row>
    <row r="124" spans="1:5" hidden="1">
      <c r="A124" s="2107" t="s">
        <v>1154</v>
      </c>
      <c r="B124" s="2107" t="s">
        <v>1201</v>
      </c>
      <c r="C124" s="2108" t="s">
        <v>1059</v>
      </c>
      <c r="D124" s="2107">
        <v>28</v>
      </c>
      <c r="E124" s="2107">
        <v>30800</v>
      </c>
    </row>
    <row r="125" spans="1:5" hidden="1">
      <c r="A125" s="2107" t="s">
        <v>1202</v>
      </c>
      <c r="B125" s="2107" t="s">
        <v>1203</v>
      </c>
      <c r="C125" s="2108" t="s">
        <v>1055</v>
      </c>
      <c r="D125" s="2107">
        <v>27</v>
      </c>
      <c r="E125" s="2107">
        <v>35059.5</v>
      </c>
    </row>
    <row r="126" spans="1:5" hidden="1">
      <c r="A126" s="2107" t="s">
        <v>1204</v>
      </c>
      <c r="B126" s="2107" t="s">
        <v>1205</v>
      </c>
      <c r="C126" s="2108" t="s">
        <v>1206</v>
      </c>
      <c r="D126" s="2107">
        <v>2</v>
      </c>
      <c r="E126" s="2107">
        <v>1803.8</v>
      </c>
    </row>
    <row r="127" spans="1:5" hidden="1">
      <c r="A127" s="2107" t="s">
        <v>1141</v>
      </c>
      <c r="B127" s="2107" t="s">
        <v>1201</v>
      </c>
      <c r="C127" s="2108" t="s">
        <v>1095</v>
      </c>
      <c r="D127" s="2107">
        <v>7</v>
      </c>
      <c r="E127" s="2107">
        <v>7000</v>
      </c>
    </row>
    <row r="128" spans="1:5" hidden="1">
      <c r="A128" s="2107" t="s">
        <v>1099</v>
      </c>
      <c r="B128" s="2107" t="s">
        <v>1203</v>
      </c>
      <c r="C128" s="2108" t="s">
        <v>1055</v>
      </c>
      <c r="D128" s="2107">
        <v>4</v>
      </c>
      <c r="E128" s="2107">
        <v>5280</v>
      </c>
    </row>
    <row r="129" spans="1:5" hidden="1">
      <c r="A129" s="2107" t="s">
        <v>1207</v>
      </c>
      <c r="B129" s="2107" t="s">
        <v>1208</v>
      </c>
      <c r="C129" s="2108" t="s">
        <v>1055</v>
      </c>
      <c r="D129" s="2107">
        <v>0.5</v>
      </c>
      <c r="E129" s="2107">
        <v>550.79999999999995</v>
      </c>
    </row>
    <row r="130" spans="1:5" hidden="1">
      <c r="A130" s="2109" t="s">
        <v>1209</v>
      </c>
      <c r="B130" s="2109"/>
      <c r="C130" s="2110"/>
      <c r="D130" s="2109">
        <f>SUM(D120:D129)</f>
        <v>75</v>
      </c>
      <c r="E130" s="2109">
        <f>SUM(E120:E129)</f>
        <v>92232.12</v>
      </c>
    </row>
    <row r="131" spans="1:5" hidden="1">
      <c r="A131" s="2117"/>
      <c r="B131" s="2114" t="s">
        <v>1210</v>
      </c>
      <c r="C131" s="2108"/>
      <c r="D131" s="2107"/>
      <c r="E131" s="2107"/>
    </row>
    <row r="132" spans="1:5" hidden="1">
      <c r="A132" s="2105" t="s">
        <v>1044</v>
      </c>
      <c r="B132" s="2105" t="s">
        <v>1045</v>
      </c>
      <c r="C132" s="2105" t="s">
        <v>1046</v>
      </c>
      <c r="D132" s="2105" t="s">
        <v>45</v>
      </c>
      <c r="E132" s="2105" t="s">
        <v>45</v>
      </c>
    </row>
    <row r="133" spans="1:5" hidden="1">
      <c r="A133" s="2106" t="s">
        <v>1048</v>
      </c>
      <c r="B133" s="2106" t="s">
        <v>1049</v>
      </c>
      <c r="C133" s="2106"/>
      <c r="D133" s="2106" t="s">
        <v>190</v>
      </c>
      <c r="E133" s="2106" t="s">
        <v>190</v>
      </c>
    </row>
    <row r="134" spans="1:5" hidden="1">
      <c r="A134" s="2107" t="s">
        <v>1202</v>
      </c>
      <c r="B134" s="2107" t="s">
        <v>1211</v>
      </c>
      <c r="C134" s="2108" t="s">
        <v>1059</v>
      </c>
      <c r="D134" s="2107">
        <v>39</v>
      </c>
      <c r="E134" s="2107">
        <v>50641.5</v>
      </c>
    </row>
    <row r="135" spans="1:5" hidden="1">
      <c r="A135" s="2107" t="s">
        <v>1141</v>
      </c>
      <c r="B135" s="2107" t="s">
        <v>1212</v>
      </c>
      <c r="C135" s="2108" t="s">
        <v>1059</v>
      </c>
      <c r="D135" s="2107">
        <v>49</v>
      </c>
      <c r="E135" s="2107">
        <v>53900</v>
      </c>
    </row>
    <row r="136" spans="1:5" hidden="1">
      <c r="A136" s="2107" t="s">
        <v>1213</v>
      </c>
      <c r="B136" s="2107" t="s">
        <v>1214</v>
      </c>
      <c r="C136" s="2108" t="s">
        <v>1095</v>
      </c>
      <c r="D136" s="2107">
        <v>205</v>
      </c>
      <c r="E136" s="2107">
        <v>266192.5</v>
      </c>
    </row>
    <row r="137" spans="1:5" hidden="1">
      <c r="A137" s="2107" t="s">
        <v>1202</v>
      </c>
      <c r="B137" s="2107" t="s">
        <v>1215</v>
      </c>
      <c r="C137" s="2108" t="s">
        <v>1059</v>
      </c>
      <c r="D137" s="2107">
        <v>79</v>
      </c>
      <c r="E137" s="2107">
        <v>102581.5</v>
      </c>
    </row>
    <row r="138" spans="1:5" hidden="1">
      <c r="A138" s="2107" t="s">
        <v>1141</v>
      </c>
      <c r="B138" s="2107" t="s">
        <v>1103</v>
      </c>
      <c r="C138" s="2108" t="s">
        <v>1125</v>
      </c>
      <c r="D138" s="2107">
        <v>4</v>
      </c>
      <c r="E138" s="2107">
        <v>4000</v>
      </c>
    </row>
    <row r="139" spans="1:5" hidden="1">
      <c r="A139" s="2107" t="s">
        <v>1141</v>
      </c>
      <c r="B139" s="2107" t="s">
        <v>1216</v>
      </c>
      <c r="C139" s="2108" t="s">
        <v>1125</v>
      </c>
      <c r="D139" s="2107">
        <v>8</v>
      </c>
      <c r="E139" s="2107">
        <v>8000</v>
      </c>
    </row>
    <row r="140" spans="1:5" hidden="1">
      <c r="A140" s="2107" t="s">
        <v>1109</v>
      </c>
      <c r="B140" s="2107" t="s">
        <v>1217</v>
      </c>
      <c r="C140" s="2108" t="s">
        <v>1218</v>
      </c>
      <c r="D140" s="2107">
        <v>0.5</v>
      </c>
      <c r="E140" s="2107">
        <v>656.78</v>
      </c>
    </row>
    <row r="141" spans="1:5" hidden="1">
      <c r="A141" s="2107" t="s">
        <v>1109</v>
      </c>
      <c r="B141" s="2107" t="s">
        <v>1219</v>
      </c>
      <c r="C141" s="2108" t="s">
        <v>1218</v>
      </c>
      <c r="D141" s="2107">
        <v>0.5</v>
      </c>
      <c r="E141" s="2107">
        <v>656.78</v>
      </c>
    </row>
    <row r="142" spans="1:5" hidden="1">
      <c r="A142" s="2107" t="s">
        <v>1109</v>
      </c>
      <c r="B142" s="2107" t="s">
        <v>1220</v>
      </c>
      <c r="C142" s="2108" t="s">
        <v>1218</v>
      </c>
      <c r="D142" s="2107">
        <v>0.5</v>
      </c>
      <c r="E142" s="2107">
        <v>656.78</v>
      </c>
    </row>
    <row r="143" spans="1:5" hidden="1">
      <c r="A143" s="2107" t="s">
        <v>1187</v>
      </c>
      <c r="B143" s="2107" t="s">
        <v>1221</v>
      </c>
      <c r="C143" s="2108" t="s">
        <v>1218</v>
      </c>
      <c r="D143" s="2107">
        <v>6</v>
      </c>
      <c r="E143" s="2107">
        <v>6176</v>
      </c>
    </row>
    <row r="144" spans="1:5" hidden="1">
      <c r="A144" s="2107" t="s">
        <v>1222</v>
      </c>
      <c r="B144" s="2107" t="s">
        <v>1223</v>
      </c>
      <c r="C144" s="2108" t="s">
        <v>1218</v>
      </c>
      <c r="D144" s="2107">
        <v>0.5</v>
      </c>
      <c r="E144" s="2107">
        <v>550.79999999999995</v>
      </c>
    </row>
    <row r="145" spans="1:5" hidden="1">
      <c r="A145" s="2107" t="s">
        <v>1141</v>
      </c>
      <c r="B145" s="2107" t="s">
        <v>1224</v>
      </c>
      <c r="C145" s="2108" t="s">
        <v>1218</v>
      </c>
      <c r="D145" s="2107">
        <v>7</v>
      </c>
      <c r="E145" s="2107">
        <v>7000</v>
      </c>
    </row>
    <row r="146" spans="1:5" hidden="1">
      <c r="A146" s="2107" t="s">
        <v>1141</v>
      </c>
      <c r="B146" s="2107" t="s">
        <v>1103</v>
      </c>
      <c r="C146" s="2108" t="s">
        <v>1218</v>
      </c>
      <c r="D146" s="2107">
        <v>4</v>
      </c>
      <c r="E146" s="2107">
        <v>4000</v>
      </c>
    </row>
    <row r="147" spans="1:5" hidden="1">
      <c r="A147" s="2109" t="s">
        <v>1225</v>
      </c>
      <c r="B147" s="2109"/>
      <c r="C147" s="2109"/>
      <c r="D147" s="2109">
        <f>SUM(D134:D146)</f>
        <v>403</v>
      </c>
      <c r="E147" s="2109">
        <f>SUM(E134:E146)</f>
        <v>505012.64000000007</v>
      </c>
    </row>
    <row r="148" spans="1:5" hidden="1">
      <c r="A148" s="2114" t="s">
        <v>1226</v>
      </c>
      <c r="B148" s="2109"/>
      <c r="C148" s="2109"/>
      <c r="D148" s="2109">
        <f>D130+D147</f>
        <v>478</v>
      </c>
      <c r="E148" s="2109">
        <f>E130+E147</f>
        <v>597244.76</v>
      </c>
    </row>
    <row r="149" spans="1:5" hidden="1">
      <c r="A149" s="2118" t="s">
        <v>1227</v>
      </c>
      <c r="B149" s="2119"/>
      <c r="C149" s="2119"/>
      <c r="D149" s="2119"/>
      <c r="E149" s="2119"/>
    </row>
    <row r="150" spans="1:5" hidden="1">
      <c r="A150" s="2107" t="s">
        <v>1222</v>
      </c>
      <c r="B150" s="2107" t="s">
        <v>1228</v>
      </c>
      <c r="C150" s="2108" t="s">
        <v>1218</v>
      </c>
      <c r="D150" s="2107">
        <v>0.5</v>
      </c>
      <c r="E150" s="2107">
        <v>550.79999999999995</v>
      </c>
    </row>
    <row r="151" spans="1:5" hidden="1">
      <c r="A151" s="2120" t="s">
        <v>1229</v>
      </c>
      <c r="B151" s="2120" t="s">
        <v>1230</v>
      </c>
      <c r="C151" s="2108" t="s">
        <v>1218</v>
      </c>
      <c r="D151" s="2119">
        <v>1</v>
      </c>
      <c r="E151" s="2120">
        <v>1351.7</v>
      </c>
    </row>
    <row r="152" spans="1:5" hidden="1">
      <c r="A152" s="2120" t="s">
        <v>1231</v>
      </c>
      <c r="B152" s="2119" t="s">
        <v>1232</v>
      </c>
      <c r="C152" s="2121" t="s">
        <v>1095</v>
      </c>
      <c r="D152" s="2119">
        <v>89</v>
      </c>
      <c r="E152" s="2120">
        <v>115566.5</v>
      </c>
    </row>
    <row r="153" spans="1:5" hidden="1">
      <c r="A153" s="2120" t="s">
        <v>1233</v>
      </c>
      <c r="B153" s="2120" t="s">
        <v>1234</v>
      </c>
      <c r="C153" s="2121" t="s">
        <v>1059</v>
      </c>
      <c r="D153" s="2120">
        <v>70</v>
      </c>
      <c r="E153" s="2120">
        <v>90895</v>
      </c>
    </row>
    <row r="154" spans="1:5" hidden="1">
      <c r="A154" s="2107" t="s">
        <v>1235</v>
      </c>
      <c r="B154" s="2107" t="s">
        <v>1236</v>
      </c>
      <c r="C154" s="2108" t="s">
        <v>1125</v>
      </c>
      <c r="D154" s="2107">
        <v>1</v>
      </c>
      <c r="E154" s="2107">
        <v>1000</v>
      </c>
    </row>
    <row r="155" spans="1:5" hidden="1">
      <c r="A155" s="2118" t="s">
        <v>1237</v>
      </c>
      <c r="B155" s="2117"/>
      <c r="C155" s="2117"/>
      <c r="D155" s="2117">
        <f>D150+D151+D152+D153+D154</f>
        <v>161.5</v>
      </c>
      <c r="E155" s="2117">
        <f>E150+E151+E152+E153+E154</f>
        <v>209364</v>
      </c>
    </row>
    <row r="156" spans="1:5" hidden="1">
      <c r="A156" s="2118" t="s">
        <v>273</v>
      </c>
      <c r="B156" s="2107"/>
      <c r="C156" s="2107"/>
      <c r="D156" s="2107"/>
      <c r="E156" s="2107"/>
    </row>
    <row r="157" spans="1:5" hidden="1">
      <c r="A157" s="2107" t="s">
        <v>1235</v>
      </c>
      <c r="B157" s="2107" t="s">
        <v>1238</v>
      </c>
      <c r="C157" s="2108" t="s">
        <v>1218</v>
      </c>
      <c r="D157" s="2107">
        <v>2</v>
      </c>
      <c r="E157" s="2107">
        <v>2000</v>
      </c>
    </row>
    <row r="158" spans="1:5" hidden="1">
      <c r="A158" s="2107" t="s">
        <v>1235</v>
      </c>
      <c r="B158" s="2107" t="s">
        <v>1239</v>
      </c>
      <c r="C158" s="2108" t="s">
        <v>1125</v>
      </c>
      <c r="D158" s="2107">
        <v>12</v>
      </c>
      <c r="E158" s="2107">
        <v>12000</v>
      </c>
    </row>
    <row r="159" spans="1:5" hidden="1">
      <c r="A159" s="2119" t="s">
        <v>1240</v>
      </c>
      <c r="B159" s="2119" t="s">
        <v>1241</v>
      </c>
      <c r="C159" s="2108" t="s">
        <v>1218</v>
      </c>
      <c r="D159" s="2119">
        <v>4</v>
      </c>
      <c r="E159" s="2119">
        <v>8800</v>
      </c>
    </row>
    <row r="160" spans="1:5" hidden="1">
      <c r="A160" s="2107" t="s">
        <v>1207</v>
      </c>
      <c r="B160" s="2107" t="s">
        <v>1242</v>
      </c>
      <c r="C160" s="2108" t="s">
        <v>1218</v>
      </c>
      <c r="D160" s="2107">
        <v>0.5</v>
      </c>
      <c r="E160" s="2107">
        <v>550.79999999999995</v>
      </c>
    </row>
    <row r="161" spans="1:5" hidden="1">
      <c r="A161" s="2119" t="s">
        <v>1187</v>
      </c>
      <c r="B161" s="2119" t="s">
        <v>1243</v>
      </c>
      <c r="C161" s="2119" t="s">
        <v>1120</v>
      </c>
      <c r="D161" s="2119">
        <v>5</v>
      </c>
      <c r="E161" s="2119">
        <v>5655</v>
      </c>
    </row>
    <row r="162" spans="1:5" hidden="1">
      <c r="A162" s="2119" t="s">
        <v>1244</v>
      </c>
      <c r="B162" s="2119"/>
      <c r="C162" s="2119"/>
      <c r="D162" s="2119">
        <f>D157+D158+D159+D160+D161</f>
        <v>23.5</v>
      </c>
      <c r="E162" s="2119">
        <f>E157+E158+E159+E160+E161</f>
        <v>29005.8</v>
      </c>
    </row>
    <row r="163" spans="1:5" hidden="1">
      <c r="A163" s="2122" t="s">
        <v>1245</v>
      </c>
      <c r="B163" s="2123"/>
      <c r="C163" s="2123"/>
      <c r="D163" s="2123">
        <v>0</v>
      </c>
      <c r="E163" s="2122">
        <v>0</v>
      </c>
    </row>
    <row r="164" spans="1:5" hidden="1">
      <c r="A164" s="2122" t="s">
        <v>1246</v>
      </c>
      <c r="B164" s="2123"/>
      <c r="C164" s="2123"/>
      <c r="D164" s="2124">
        <f>D148+D155+D162+D163</f>
        <v>663</v>
      </c>
      <c r="E164" s="2123">
        <f>E148+E155+E162+E163</f>
        <v>835614.56</v>
      </c>
    </row>
    <row r="165" spans="1:5" hidden="1">
      <c r="A165" s="2123" t="s">
        <v>274</v>
      </c>
      <c r="B165" s="2119"/>
      <c r="C165" s="2119"/>
      <c r="D165" s="2123">
        <f>D166+D167</f>
        <v>1.5</v>
      </c>
      <c r="E165" s="2123">
        <f>E166+E167</f>
        <v>2078.9300000000003</v>
      </c>
    </row>
    <row r="166" spans="1:5" hidden="1">
      <c r="A166" s="2119" t="s">
        <v>1247</v>
      </c>
      <c r="B166" s="2119" t="s">
        <v>1248</v>
      </c>
      <c r="C166" s="2119" t="s">
        <v>1249</v>
      </c>
      <c r="D166" s="2119">
        <v>1</v>
      </c>
      <c r="E166" s="2119">
        <v>1528.13</v>
      </c>
    </row>
    <row r="167" spans="1:5" hidden="1">
      <c r="A167" s="2119" t="s">
        <v>1222</v>
      </c>
      <c r="B167" s="2119" t="s">
        <v>1250</v>
      </c>
      <c r="C167" s="2119" t="s">
        <v>1251</v>
      </c>
      <c r="D167" s="2119">
        <v>0.5</v>
      </c>
      <c r="E167" s="2119">
        <v>550.79999999999995</v>
      </c>
    </row>
    <row r="168" spans="1:5" hidden="1">
      <c r="A168" s="2123" t="s">
        <v>275</v>
      </c>
      <c r="B168" s="2119"/>
      <c r="C168" s="2119"/>
      <c r="D168" s="2123">
        <f>D169+D170</f>
        <v>9</v>
      </c>
      <c r="E168" s="2123">
        <f>E169+E170</f>
        <v>8791.41</v>
      </c>
    </row>
    <row r="169" spans="1:5" hidden="1">
      <c r="A169" s="2119" t="s">
        <v>1252</v>
      </c>
      <c r="B169" s="2119" t="s">
        <v>1253</v>
      </c>
      <c r="C169" s="2119" t="s">
        <v>1254</v>
      </c>
      <c r="D169" s="2119">
        <v>9</v>
      </c>
      <c r="E169" s="2119">
        <v>10179</v>
      </c>
    </row>
    <row r="170" spans="1:5" hidden="1">
      <c r="A170" s="2125" t="s">
        <v>1255</v>
      </c>
      <c r="B170" s="2115"/>
      <c r="C170" s="2115"/>
      <c r="D170" s="2115"/>
      <c r="E170" s="2125">
        <v>-1387.59</v>
      </c>
    </row>
    <row r="171" spans="1:5" hidden="1">
      <c r="A171" s="2122" t="s">
        <v>1256</v>
      </c>
      <c r="B171" s="2115"/>
      <c r="C171" s="2115"/>
      <c r="D171" s="2126">
        <f>D172</f>
        <v>22</v>
      </c>
      <c r="E171" s="2126">
        <f>E172</f>
        <v>22000</v>
      </c>
    </row>
    <row r="172" spans="1:5" hidden="1">
      <c r="A172" s="2125" t="s">
        <v>1154</v>
      </c>
      <c r="B172" s="2119" t="s">
        <v>1257</v>
      </c>
      <c r="C172" s="2119" t="s">
        <v>1258</v>
      </c>
      <c r="D172" s="2115">
        <v>22</v>
      </c>
      <c r="E172" s="2125">
        <v>22000</v>
      </c>
    </row>
    <row r="173" spans="1:5" hidden="1">
      <c r="A173" s="2122" t="s">
        <v>1259</v>
      </c>
      <c r="B173" s="2126"/>
      <c r="C173" s="2126"/>
      <c r="D173" s="2126">
        <f>D164+D165+D168+D171</f>
        <v>695.5</v>
      </c>
      <c r="E173" s="2126">
        <f>E164+E165+E168+E171</f>
        <v>868484.90000000014</v>
      </c>
    </row>
    <row r="174" spans="1:5" hidden="1"/>
    <row r="175" spans="1:5" hidden="1">
      <c r="A175" s="2102"/>
      <c r="B175" s="2103" t="s">
        <v>1260</v>
      </c>
      <c r="C175" s="2102"/>
      <c r="D175" s="2104"/>
      <c r="E175" s="2104"/>
    </row>
    <row r="176" spans="1:5" hidden="1">
      <c r="A176" s="2104"/>
      <c r="B176" s="2104"/>
      <c r="C176" s="2104"/>
      <c r="D176" s="2104"/>
      <c r="E176" s="2104"/>
    </row>
    <row r="177" spans="1:8" hidden="1">
      <c r="A177" s="2105" t="s">
        <v>1044</v>
      </c>
      <c r="B177" s="2105" t="s">
        <v>1045</v>
      </c>
      <c r="C177" s="2105" t="s">
        <v>1046</v>
      </c>
      <c r="D177" s="2105" t="s">
        <v>1047</v>
      </c>
      <c r="E177" s="2105" t="s">
        <v>45</v>
      </c>
    </row>
    <row r="178" spans="1:8" hidden="1">
      <c r="A178" s="2106" t="s">
        <v>1048</v>
      </c>
      <c r="B178" s="2106" t="s">
        <v>1049</v>
      </c>
      <c r="C178" s="2106"/>
      <c r="D178" s="2106"/>
      <c r="E178" s="2106" t="s">
        <v>190</v>
      </c>
    </row>
    <row r="179" spans="1:8" hidden="1">
      <c r="A179" s="2107"/>
      <c r="B179" s="2103" t="s">
        <v>1261</v>
      </c>
      <c r="C179" s="2107"/>
      <c r="D179" s="2107"/>
      <c r="E179" s="2107"/>
    </row>
    <row r="180" spans="1:8" hidden="1">
      <c r="A180" s="2107" t="s">
        <v>1262</v>
      </c>
      <c r="B180" s="2107" t="s">
        <v>1263</v>
      </c>
      <c r="C180" s="2127" t="s">
        <v>1127</v>
      </c>
      <c r="D180" s="2107">
        <v>44</v>
      </c>
      <c r="E180" s="2107">
        <v>57134</v>
      </c>
    </row>
    <row r="181" spans="1:8" hidden="1">
      <c r="A181" s="2107" t="s">
        <v>1262</v>
      </c>
      <c r="B181" s="2107" t="s">
        <v>1264</v>
      </c>
      <c r="C181" s="2127" t="s">
        <v>1127</v>
      </c>
      <c r="D181" s="2107">
        <v>82</v>
      </c>
      <c r="E181" s="2107">
        <v>106477</v>
      </c>
    </row>
    <row r="182" spans="1:8" hidden="1">
      <c r="A182" s="2107" t="s">
        <v>1109</v>
      </c>
      <c r="B182" s="2107" t="s">
        <v>1265</v>
      </c>
      <c r="C182" s="2127" t="s">
        <v>1266</v>
      </c>
      <c r="D182" s="2107">
        <v>3.2</v>
      </c>
      <c r="E182" s="2107">
        <v>4881.3599999999997</v>
      </c>
    </row>
    <row r="183" spans="1:8" hidden="1">
      <c r="A183" s="2107" t="s">
        <v>1207</v>
      </c>
      <c r="B183" s="2107" t="s">
        <v>1267</v>
      </c>
      <c r="C183" s="2127" t="s">
        <v>1268</v>
      </c>
      <c r="D183" s="2107">
        <v>0.5</v>
      </c>
      <c r="E183" s="2107">
        <v>556.5</v>
      </c>
    </row>
    <row r="184" spans="1:8" hidden="1">
      <c r="A184" s="2107" t="s">
        <v>1207</v>
      </c>
      <c r="B184" s="2107" t="s">
        <v>1269</v>
      </c>
      <c r="C184" s="2127" t="s">
        <v>1270</v>
      </c>
      <c r="D184" s="2107">
        <v>0.5</v>
      </c>
      <c r="E184" s="2107">
        <v>618.29999999999995</v>
      </c>
    </row>
    <row r="185" spans="1:8" hidden="1">
      <c r="A185" s="2107" t="s">
        <v>1154</v>
      </c>
      <c r="B185" s="2107" t="s">
        <v>1271</v>
      </c>
      <c r="C185" s="2127" t="s">
        <v>1272</v>
      </c>
      <c r="D185" s="2107">
        <v>4</v>
      </c>
      <c r="E185" s="2107">
        <v>4000</v>
      </c>
    </row>
    <row r="186" spans="1:8" hidden="1">
      <c r="A186" s="2107" t="s">
        <v>1273</v>
      </c>
      <c r="B186" s="2107" t="s">
        <v>1274</v>
      </c>
      <c r="C186" s="2127" t="s">
        <v>1275</v>
      </c>
      <c r="D186" s="2107">
        <v>37</v>
      </c>
      <c r="E186" s="2107">
        <v>48044.5</v>
      </c>
    </row>
    <row r="187" spans="1:8" hidden="1">
      <c r="A187" s="2107" t="s">
        <v>1154</v>
      </c>
      <c r="B187" s="2107" t="s">
        <v>1276</v>
      </c>
      <c r="C187" s="2127" t="s">
        <v>1272</v>
      </c>
      <c r="D187" s="2107">
        <v>4</v>
      </c>
      <c r="E187" s="2107">
        <v>4000</v>
      </c>
    </row>
    <row r="188" spans="1:8" hidden="1">
      <c r="A188" s="2107" t="s">
        <v>1277</v>
      </c>
      <c r="B188" s="2107" t="s">
        <v>1278</v>
      </c>
      <c r="C188" s="2127"/>
      <c r="D188" s="2107"/>
      <c r="E188" s="2107">
        <v>3573.08</v>
      </c>
    </row>
    <row r="189" spans="1:8" hidden="1">
      <c r="A189" s="2109" t="s">
        <v>1279</v>
      </c>
      <c r="B189" s="2109"/>
      <c r="C189" s="2128"/>
      <c r="D189" s="2109">
        <f>SUM(D180:D188)</f>
        <v>175.2</v>
      </c>
      <c r="E189" s="2109">
        <f>SUM(E180:E188)</f>
        <v>229284.73999999996</v>
      </c>
    </row>
    <row r="190" spans="1:8" hidden="1">
      <c r="A190" s="2118" t="s">
        <v>270</v>
      </c>
      <c r="B190" s="2115"/>
      <c r="C190" s="2129"/>
      <c r="D190" s="2115"/>
      <c r="E190" s="2115"/>
    </row>
    <row r="191" spans="1:8" hidden="1">
      <c r="A191" s="2120" t="s">
        <v>1233</v>
      </c>
      <c r="B191" s="2120" t="s">
        <v>1280</v>
      </c>
      <c r="C191" s="2130" t="s">
        <v>1281</v>
      </c>
      <c r="D191" s="2119">
        <v>118</v>
      </c>
      <c r="E191" s="2120">
        <v>153481</v>
      </c>
      <c r="G191" s="2049">
        <f>E191+E192+E193+E194+E199+E200+E201+E204+E211+E213+E214</f>
        <v>770253.5</v>
      </c>
      <c r="H191" s="2049" t="s">
        <v>1282</v>
      </c>
    </row>
    <row r="192" spans="1:8" hidden="1">
      <c r="A192" s="2120" t="s">
        <v>1262</v>
      </c>
      <c r="B192" s="2120" t="s">
        <v>1283</v>
      </c>
      <c r="C192" s="2130" t="s">
        <v>1281</v>
      </c>
      <c r="D192" s="2119">
        <v>65</v>
      </c>
      <c r="E192" s="2120">
        <v>84402.5</v>
      </c>
    </row>
    <row r="193" spans="1:5" hidden="1">
      <c r="A193" s="2120" t="s">
        <v>1262</v>
      </c>
      <c r="B193" s="2120" t="s">
        <v>1284</v>
      </c>
      <c r="C193" s="2130" t="s">
        <v>1281</v>
      </c>
      <c r="D193" s="2119">
        <v>63</v>
      </c>
      <c r="E193" s="2120">
        <v>81805.5</v>
      </c>
    </row>
    <row r="194" spans="1:5" hidden="1">
      <c r="A194" s="2120" t="s">
        <v>1233</v>
      </c>
      <c r="B194" s="2120" t="s">
        <v>1285</v>
      </c>
      <c r="C194" s="2130" t="s">
        <v>1281</v>
      </c>
      <c r="D194" s="2119">
        <v>48</v>
      </c>
      <c r="E194" s="2120">
        <v>63360</v>
      </c>
    </row>
    <row r="195" spans="1:5" hidden="1">
      <c r="A195" s="2119" t="s">
        <v>1109</v>
      </c>
      <c r="B195" s="2119" t="s">
        <v>1286</v>
      </c>
      <c r="C195" s="2130" t="s">
        <v>1287</v>
      </c>
      <c r="D195" s="2119">
        <v>4</v>
      </c>
      <c r="E195" s="2119">
        <v>3288.14</v>
      </c>
    </row>
    <row r="196" spans="1:5" hidden="1">
      <c r="A196" s="2119" t="s">
        <v>1109</v>
      </c>
      <c r="B196" s="2119" t="s">
        <v>1286</v>
      </c>
      <c r="C196" s="2130" t="s">
        <v>1288</v>
      </c>
      <c r="D196" s="2119">
        <v>2.67</v>
      </c>
      <c r="E196" s="2119">
        <v>4186.0200000000004</v>
      </c>
    </row>
    <row r="197" spans="1:5" hidden="1">
      <c r="A197" s="2119" t="s">
        <v>1109</v>
      </c>
      <c r="B197" s="2119" t="s">
        <v>1289</v>
      </c>
      <c r="C197" s="2130" t="s">
        <v>1288</v>
      </c>
      <c r="D197" s="2119">
        <v>1.25</v>
      </c>
      <c r="E197" s="2119">
        <v>1959.75</v>
      </c>
    </row>
    <row r="198" spans="1:5" hidden="1">
      <c r="A198" s="2119" t="s">
        <v>1109</v>
      </c>
      <c r="B198" s="2119" t="s">
        <v>1290</v>
      </c>
      <c r="C198" s="2130" t="s">
        <v>1291</v>
      </c>
      <c r="D198" s="2119">
        <v>1.5</v>
      </c>
      <c r="E198" s="2119">
        <v>2351.6999999999998</v>
      </c>
    </row>
    <row r="199" spans="1:5" hidden="1">
      <c r="A199" s="2107" t="s">
        <v>1292</v>
      </c>
      <c r="B199" s="2107" t="s">
        <v>1293</v>
      </c>
      <c r="C199" s="2127" t="s">
        <v>1294</v>
      </c>
      <c r="D199" s="2107">
        <v>22</v>
      </c>
      <c r="E199" s="2107">
        <v>24200</v>
      </c>
    </row>
    <row r="200" spans="1:5" hidden="1">
      <c r="A200" s="2107" t="s">
        <v>1292</v>
      </c>
      <c r="B200" s="2107" t="s">
        <v>1295</v>
      </c>
      <c r="C200" s="2127" t="s">
        <v>1294</v>
      </c>
      <c r="D200" s="2107">
        <v>32</v>
      </c>
      <c r="E200" s="2107">
        <v>32000</v>
      </c>
    </row>
    <row r="201" spans="1:5" hidden="1">
      <c r="A201" s="2107" t="s">
        <v>1292</v>
      </c>
      <c r="B201" s="2107" t="s">
        <v>1296</v>
      </c>
      <c r="C201" s="2127" t="s">
        <v>1294</v>
      </c>
      <c r="D201" s="2107">
        <v>18</v>
      </c>
      <c r="E201" s="2107">
        <v>18000</v>
      </c>
    </row>
    <row r="202" spans="1:5" hidden="1">
      <c r="A202" s="2123" t="s">
        <v>1297</v>
      </c>
      <c r="B202" s="2119"/>
      <c r="C202" s="2130"/>
      <c r="D202" s="2123">
        <f>D191+D192+D193+D194+D195+D196+D197+D198+D199+D200+D201</f>
        <v>375.42</v>
      </c>
      <c r="E202" s="2123">
        <f>E191+E192+E193+E194+E195+E196+E197+E198+E199+E200+E201</f>
        <v>469034.61000000004</v>
      </c>
    </row>
    <row r="203" spans="1:5" hidden="1">
      <c r="A203" s="2123" t="s">
        <v>271</v>
      </c>
      <c r="B203" s="2119"/>
      <c r="C203" s="2130"/>
      <c r="D203" s="2119"/>
      <c r="E203" s="2119"/>
    </row>
    <row r="204" spans="1:5" hidden="1">
      <c r="A204" s="2119" t="s">
        <v>1262</v>
      </c>
      <c r="B204" s="2119" t="s">
        <v>1298</v>
      </c>
      <c r="C204" s="2130" t="s">
        <v>1299</v>
      </c>
      <c r="D204" s="2119">
        <v>56</v>
      </c>
      <c r="E204" s="2119">
        <v>72716</v>
      </c>
    </row>
    <row r="205" spans="1:5" hidden="1">
      <c r="A205" s="2119" t="s">
        <v>1300</v>
      </c>
      <c r="B205" s="2119" t="s">
        <v>1301</v>
      </c>
      <c r="C205" s="2130" t="s">
        <v>1302</v>
      </c>
      <c r="D205" s="2119">
        <v>8</v>
      </c>
      <c r="E205" s="2119">
        <v>12000</v>
      </c>
    </row>
    <row r="206" spans="1:5" hidden="1">
      <c r="A206" s="2119" t="s">
        <v>1143</v>
      </c>
      <c r="B206" s="2119" t="s">
        <v>1303</v>
      </c>
      <c r="C206" s="2130" t="s">
        <v>1304</v>
      </c>
      <c r="D206" s="2119">
        <v>6</v>
      </c>
      <c r="E206" s="2119">
        <v>13200</v>
      </c>
    </row>
    <row r="207" spans="1:5" hidden="1">
      <c r="A207" s="2122" t="s">
        <v>1305</v>
      </c>
      <c r="B207" s="2123"/>
      <c r="C207" s="2131"/>
      <c r="D207" s="2123">
        <f>D204+D205+D206</f>
        <v>70</v>
      </c>
      <c r="E207" s="2123">
        <f>E204+E205+E206</f>
        <v>97916</v>
      </c>
    </row>
    <row r="208" spans="1:5" hidden="1">
      <c r="A208" s="2125" t="s">
        <v>272</v>
      </c>
      <c r="B208" s="2115"/>
      <c r="C208" s="2129"/>
      <c r="D208" s="2115"/>
      <c r="E208" s="2125">
        <v>0</v>
      </c>
    </row>
    <row r="209" spans="1:5" hidden="1">
      <c r="A209" s="2132" t="s">
        <v>1306</v>
      </c>
      <c r="B209" s="2115"/>
      <c r="C209" s="2129"/>
      <c r="D209" s="2133">
        <f>D189+D202+D207+D208</f>
        <v>620.62</v>
      </c>
      <c r="E209" s="2133">
        <f>E189+E202+E207+E208</f>
        <v>796235.35</v>
      </c>
    </row>
    <row r="210" spans="1:5" hidden="1">
      <c r="A210" s="2123" t="s">
        <v>1307</v>
      </c>
      <c r="B210" s="2119"/>
      <c r="C210" s="2130"/>
      <c r="D210" s="2119"/>
      <c r="E210" s="2119"/>
    </row>
    <row r="211" spans="1:5" hidden="1">
      <c r="A211" s="2119" t="s">
        <v>1233</v>
      </c>
      <c r="B211" s="2119" t="s">
        <v>1308</v>
      </c>
      <c r="C211" s="2130" t="s">
        <v>1281</v>
      </c>
      <c r="D211" s="2119">
        <v>71</v>
      </c>
      <c r="E211" s="2119">
        <v>92193.5</v>
      </c>
    </row>
    <row r="212" spans="1:5" hidden="1">
      <c r="A212" s="2119" t="s">
        <v>1292</v>
      </c>
      <c r="B212" s="2119" t="s">
        <v>1309</v>
      </c>
      <c r="C212" s="2130" t="s">
        <v>1310</v>
      </c>
      <c r="D212" s="2119">
        <v>29</v>
      </c>
      <c r="E212" s="2119">
        <v>29000</v>
      </c>
    </row>
    <row r="213" spans="1:5" hidden="1">
      <c r="A213" s="2119" t="s">
        <v>1292</v>
      </c>
      <c r="B213" s="2119" t="s">
        <v>1311</v>
      </c>
      <c r="C213" s="2130" t="s">
        <v>1281</v>
      </c>
      <c r="D213" s="2119">
        <v>52</v>
      </c>
      <c r="E213" s="2119">
        <v>57200</v>
      </c>
    </row>
    <row r="214" spans="1:5" hidden="1">
      <c r="A214" s="2119" t="s">
        <v>1233</v>
      </c>
      <c r="B214" s="2119" t="s">
        <v>1312</v>
      </c>
      <c r="C214" s="2130" t="s">
        <v>1281</v>
      </c>
      <c r="D214" s="2119">
        <v>70</v>
      </c>
      <c r="E214" s="2119">
        <v>90895</v>
      </c>
    </row>
    <row r="215" spans="1:5" hidden="1">
      <c r="A215" s="2119" t="s">
        <v>1185</v>
      </c>
      <c r="B215" s="2119" t="s">
        <v>1313</v>
      </c>
      <c r="C215" s="2130" t="s">
        <v>1314</v>
      </c>
      <c r="D215" s="2119">
        <v>0.5</v>
      </c>
      <c r="E215" s="2119">
        <v>618.29999999999995</v>
      </c>
    </row>
    <row r="216" spans="1:5" hidden="1">
      <c r="A216" s="2119" t="s">
        <v>1143</v>
      </c>
      <c r="B216" s="2119" t="s">
        <v>1315</v>
      </c>
      <c r="C216" s="2130" t="s">
        <v>1316</v>
      </c>
      <c r="D216" s="2119">
        <v>2</v>
      </c>
      <c r="E216" s="2119">
        <v>4400</v>
      </c>
    </row>
    <row r="217" spans="1:5" hidden="1">
      <c r="A217" s="2123" t="s">
        <v>1317</v>
      </c>
      <c r="B217" s="2123"/>
      <c r="C217" s="2131"/>
      <c r="D217" s="2123">
        <f>D211+D212+D213+D214+D215+D216</f>
        <v>224.5</v>
      </c>
      <c r="E217" s="2123">
        <f>E211+E212+E213+E214+E215+E216</f>
        <v>274306.8</v>
      </c>
    </row>
    <row r="218" spans="1:5" hidden="1">
      <c r="A218" s="2119" t="s">
        <v>273</v>
      </c>
      <c r="B218" s="2119"/>
      <c r="C218" s="2130"/>
      <c r="D218" s="2119"/>
      <c r="E218" s="2119"/>
    </row>
    <row r="219" spans="1:5" hidden="1">
      <c r="A219" s="2119" t="s">
        <v>1185</v>
      </c>
      <c r="B219" s="2119" t="s">
        <v>1318</v>
      </c>
      <c r="C219" s="2130" t="s">
        <v>1319</v>
      </c>
      <c r="D219" s="2119">
        <v>0.5</v>
      </c>
      <c r="E219" s="2119">
        <v>618.29999999999995</v>
      </c>
    </row>
    <row r="220" spans="1:5" hidden="1">
      <c r="A220" s="2119" t="s">
        <v>1233</v>
      </c>
      <c r="B220" s="2119" t="s">
        <v>1320</v>
      </c>
      <c r="C220" s="2130" t="s">
        <v>1321</v>
      </c>
      <c r="D220" s="2119">
        <v>47</v>
      </c>
      <c r="E220" s="2119">
        <v>61029.5</v>
      </c>
    </row>
    <row r="221" spans="1:5" hidden="1">
      <c r="A221" s="2119" t="s">
        <v>1322</v>
      </c>
      <c r="B221" s="2119" t="s">
        <v>1323</v>
      </c>
      <c r="C221" s="2130" t="s">
        <v>1324</v>
      </c>
      <c r="D221" s="2119">
        <v>4</v>
      </c>
      <c r="E221" s="2119">
        <v>6800</v>
      </c>
    </row>
    <row r="222" spans="1:5" hidden="1">
      <c r="A222" s="2119" t="s">
        <v>1109</v>
      </c>
      <c r="B222" s="2119" t="s">
        <v>1325</v>
      </c>
      <c r="C222" s="2130" t="s">
        <v>1326</v>
      </c>
      <c r="D222" s="2119">
        <v>5.09</v>
      </c>
      <c r="E222" s="2119">
        <v>8058.13</v>
      </c>
    </row>
    <row r="223" spans="1:5" hidden="1">
      <c r="A223" s="2123" t="s">
        <v>1327</v>
      </c>
      <c r="B223" s="2123"/>
      <c r="C223" s="2131"/>
      <c r="D223" s="2123">
        <f>D219+D220+D221+D222</f>
        <v>56.59</v>
      </c>
      <c r="E223" s="2123">
        <f>E219+E220+E221+E222</f>
        <v>76505.930000000008</v>
      </c>
    </row>
    <row r="224" spans="1:5" hidden="1">
      <c r="A224" s="2123" t="s">
        <v>1328</v>
      </c>
      <c r="B224" s="2119"/>
      <c r="C224" s="2130"/>
      <c r="D224" s="2119">
        <f>D223+D217+D209</f>
        <v>901.71</v>
      </c>
      <c r="E224" s="2123">
        <f>E223+E217+E209</f>
        <v>1147048.08</v>
      </c>
    </row>
    <row r="225" spans="1:5" hidden="1">
      <c r="A225" s="2123" t="s">
        <v>274</v>
      </c>
      <c r="B225" s="2119"/>
      <c r="C225" s="2130"/>
      <c r="D225" s="2119"/>
      <c r="E225" s="2123"/>
    </row>
    <row r="226" spans="1:5" hidden="1">
      <c r="A226" s="2119" t="s">
        <v>1185</v>
      </c>
      <c r="B226" s="2119" t="s">
        <v>1329</v>
      </c>
      <c r="C226" s="2130" t="s">
        <v>1314</v>
      </c>
      <c r="D226" s="2119">
        <v>0.5</v>
      </c>
      <c r="E226" s="2119">
        <v>618.29999999999995</v>
      </c>
    </row>
    <row r="227" spans="1:5" hidden="1">
      <c r="A227" s="2125" t="s">
        <v>1233</v>
      </c>
      <c r="B227" s="2125" t="s">
        <v>1330</v>
      </c>
      <c r="C227" s="2134" t="s">
        <v>1321</v>
      </c>
      <c r="D227" s="2125">
        <v>2</v>
      </c>
      <c r="E227" s="2125">
        <v>2640</v>
      </c>
    </row>
    <row r="228" spans="1:5" hidden="1">
      <c r="A228" s="2125" t="s">
        <v>1233</v>
      </c>
      <c r="B228" s="2125" t="s">
        <v>1330</v>
      </c>
      <c r="C228" s="2134" t="s">
        <v>1331</v>
      </c>
      <c r="D228" s="2125">
        <v>1</v>
      </c>
      <c r="E228" s="2125">
        <v>1320</v>
      </c>
    </row>
    <row r="229" spans="1:5" hidden="1">
      <c r="A229" s="2125" t="s">
        <v>1332</v>
      </c>
      <c r="B229" s="2125" t="s">
        <v>1333</v>
      </c>
      <c r="C229" s="2134" t="s">
        <v>1334</v>
      </c>
      <c r="D229" s="2125">
        <v>4</v>
      </c>
      <c r="E229" s="2125">
        <v>6800</v>
      </c>
    </row>
    <row r="230" spans="1:5" hidden="1">
      <c r="A230" s="2123" t="s">
        <v>1335</v>
      </c>
      <c r="B230" s="2123"/>
      <c r="C230" s="2131"/>
      <c r="D230" s="2123">
        <f>D226+D227+D228+D229</f>
        <v>7.5</v>
      </c>
      <c r="E230" s="2123">
        <f>E226+E227+E228+E229</f>
        <v>11378.3</v>
      </c>
    </row>
    <row r="231" spans="1:5" hidden="1">
      <c r="A231" s="2123" t="s">
        <v>1336</v>
      </c>
      <c r="B231" s="2119"/>
      <c r="C231" s="2130"/>
      <c r="D231" s="2119"/>
      <c r="E231" s="2119"/>
    </row>
    <row r="232" spans="1:5" hidden="1">
      <c r="A232" s="2119" t="s">
        <v>1185</v>
      </c>
      <c r="B232" s="2119" t="s">
        <v>1337</v>
      </c>
      <c r="C232" s="2130" t="s">
        <v>1314</v>
      </c>
      <c r="D232" s="2119">
        <v>0.5</v>
      </c>
      <c r="E232" s="2119">
        <v>618.29999999999995</v>
      </c>
    </row>
    <row r="233" spans="1:5" hidden="1">
      <c r="A233" s="2119" t="s">
        <v>1262</v>
      </c>
      <c r="B233" s="2119" t="s">
        <v>1338</v>
      </c>
      <c r="C233" s="2130" t="s">
        <v>1339</v>
      </c>
      <c r="D233" s="2119">
        <v>31</v>
      </c>
      <c r="E233" s="2119">
        <v>40253.5</v>
      </c>
    </row>
    <row r="234" spans="1:5" hidden="1">
      <c r="A234" s="2119" t="s">
        <v>1340</v>
      </c>
      <c r="B234" s="2119"/>
      <c r="C234" s="2130"/>
      <c r="D234" s="2119"/>
      <c r="E234" s="2119">
        <v>-10050.89</v>
      </c>
    </row>
    <row r="235" spans="1:5" hidden="1">
      <c r="A235" s="2119" t="s">
        <v>1341</v>
      </c>
      <c r="B235" s="2119"/>
      <c r="C235" s="2130"/>
      <c r="D235" s="2119">
        <f>D232+D233+D234</f>
        <v>31.5</v>
      </c>
      <c r="E235" s="2119">
        <f>E232+E233+E234</f>
        <v>30820.910000000003</v>
      </c>
    </row>
    <row r="236" spans="1:5" hidden="1">
      <c r="A236" s="2119" t="s">
        <v>1342</v>
      </c>
      <c r="B236" s="2119"/>
      <c r="C236" s="2130"/>
      <c r="D236" s="2119">
        <f>D224+D230+D235</f>
        <v>940.71</v>
      </c>
      <c r="E236" s="2123">
        <f>E224+E230+E235</f>
        <v>1189247.29</v>
      </c>
    </row>
    <row r="237" spans="1:5" hidden="1"/>
    <row r="238" spans="1:5" hidden="1"/>
    <row r="239" spans="1:5" hidden="1">
      <c r="A239" s="2102"/>
      <c r="B239" s="2103" t="s">
        <v>1343</v>
      </c>
      <c r="C239" s="2102"/>
      <c r="D239" s="2104"/>
      <c r="E239" s="2104"/>
    </row>
    <row r="240" spans="1:5" hidden="1">
      <c r="A240" s="2104"/>
      <c r="B240" s="2104"/>
      <c r="C240" s="2104"/>
      <c r="D240" s="2104"/>
      <c r="E240" s="2104"/>
    </row>
    <row r="241" spans="1:5" hidden="1">
      <c r="A241" s="2135" t="s">
        <v>1044</v>
      </c>
      <c r="B241" s="2135" t="s">
        <v>1045</v>
      </c>
      <c r="C241" s="2135" t="s">
        <v>1046</v>
      </c>
      <c r="D241" s="2135" t="s">
        <v>1047</v>
      </c>
      <c r="E241" s="2135" t="s">
        <v>45</v>
      </c>
    </row>
    <row r="242" spans="1:5" hidden="1">
      <c r="A242" s="2136" t="s">
        <v>1048</v>
      </c>
      <c r="B242" s="2136" t="s">
        <v>1049</v>
      </c>
      <c r="C242" s="2136"/>
      <c r="D242" s="2136"/>
      <c r="E242" s="2136" t="s">
        <v>190</v>
      </c>
    </row>
    <row r="243" spans="1:5" hidden="1">
      <c r="A243" s="2117" t="s">
        <v>1344</v>
      </c>
      <c r="B243" s="2103"/>
      <c r="C243" s="2107"/>
      <c r="D243" s="2107"/>
      <c r="E243" s="2107"/>
    </row>
    <row r="244" spans="1:5" hidden="1">
      <c r="A244" s="2107" t="s">
        <v>1345</v>
      </c>
      <c r="B244" s="2108" t="s">
        <v>1346</v>
      </c>
      <c r="C244" s="2108" t="s">
        <v>1347</v>
      </c>
      <c r="D244" s="2108">
        <v>0.83</v>
      </c>
      <c r="E244" s="2108">
        <v>1355.39</v>
      </c>
    </row>
    <row r="245" spans="1:5" hidden="1">
      <c r="A245" s="2118" t="s">
        <v>1348</v>
      </c>
      <c r="B245" s="2137"/>
      <c r="C245" s="2137"/>
      <c r="D245" s="2137"/>
      <c r="E245" s="2137"/>
    </row>
    <row r="246" spans="1:5" hidden="1">
      <c r="A246" s="2120" t="s">
        <v>1262</v>
      </c>
      <c r="B246" s="2121" t="s">
        <v>1349</v>
      </c>
      <c r="C246" s="2138" t="s">
        <v>1350</v>
      </c>
      <c r="D246" s="2138">
        <v>1</v>
      </c>
      <c r="E246" s="2138">
        <v>1500</v>
      </c>
    </row>
    <row r="247" spans="1:5" hidden="1">
      <c r="A247" s="2120" t="s">
        <v>1262</v>
      </c>
      <c r="B247" s="2121" t="s">
        <v>1351</v>
      </c>
      <c r="C247" s="2138" t="s">
        <v>1352</v>
      </c>
      <c r="D247" s="2138">
        <v>32</v>
      </c>
      <c r="E247" s="2138">
        <v>49492.480000000003</v>
      </c>
    </row>
    <row r="248" spans="1:5" hidden="1">
      <c r="A248" s="2118" t="s">
        <v>1353</v>
      </c>
      <c r="B248" s="2139"/>
      <c r="C248" s="2139"/>
      <c r="D248" s="2140">
        <f>D246+D247</f>
        <v>33</v>
      </c>
      <c r="E248" s="2140">
        <f>E246+E247</f>
        <v>50992.480000000003</v>
      </c>
    </row>
    <row r="249" spans="1:5" hidden="1">
      <c r="A249" s="2123" t="s">
        <v>269</v>
      </c>
      <c r="B249" s="2138"/>
      <c r="C249" s="2138"/>
      <c r="D249" s="2138"/>
      <c r="E249" s="2138"/>
    </row>
    <row r="250" spans="1:5" hidden="1">
      <c r="A250" s="2107" t="s">
        <v>1345</v>
      </c>
      <c r="B250" s="2138" t="s">
        <v>1354</v>
      </c>
      <c r="C250" s="2108" t="s">
        <v>1326</v>
      </c>
      <c r="D250" s="2138">
        <v>1</v>
      </c>
      <c r="E250" s="2138">
        <v>1627.12</v>
      </c>
    </row>
    <row r="251" spans="1:5" hidden="1">
      <c r="A251" s="2119" t="s">
        <v>1355</v>
      </c>
      <c r="B251" s="2138" t="s">
        <v>1356</v>
      </c>
      <c r="C251" s="2138" t="s">
        <v>1294</v>
      </c>
      <c r="D251" s="2138">
        <v>64</v>
      </c>
      <c r="E251" s="2138">
        <v>81355.929999999993</v>
      </c>
    </row>
    <row r="252" spans="1:5" hidden="1">
      <c r="A252" s="2118" t="s">
        <v>1357</v>
      </c>
      <c r="B252" s="2140"/>
      <c r="C252" s="2140"/>
      <c r="D252" s="2140">
        <f>D250+D251</f>
        <v>65</v>
      </c>
      <c r="E252" s="2140">
        <f>E250+E251</f>
        <v>82983.049999999988</v>
      </c>
    </row>
    <row r="253" spans="1:5" hidden="1">
      <c r="A253" s="2123" t="s">
        <v>1358</v>
      </c>
      <c r="B253" s="2140"/>
      <c r="C253" s="2140"/>
      <c r="D253" s="2140">
        <f>D244+D248+D252</f>
        <v>98.83</v>
      </c>
      <c r="E253" s="2140">
        <f>E244+E248+E252</f>
        <v>135330.91999999998</v>
      </c>
    </row>
    <row r="254" spans="1:5" hidden="1">
      <c r="A254" s="2123" t="s">
        <v>1359</v>
      </c>
      <c r="B254" s="2138"/>
      <c r="C254" s="2138"/>
      <c r="D254" s="2138"/>
      <c r="E254" s="2138"/>
    </row>
    <row r="255" spans="1:5" ht="24.75" hidden="1" customHeight="1">
      <c r="A255" s="2119" t="s">
        <v>1345</v>
      </c>
      <c r="B255" s="2138" t="s">
        <v>1360</v>
      </c>
      <c r="C255" s="2141" t="s">
        <v>1361</v>
      </c>
      <c r="D255" s="2138">
        <v>0.57999999999999996</v>
      </c>
      <c r="E255" s="2138">
        <v>949.15</v>
      </c>
    </row>
    <row r="256" spans="1:5" hidden="1">
      <c r="A256" s="2123" t="s">
        <v>1362</v>
      </c>
      <c r="B256" s="2138"/>
      <c r="C256" s="2138"/>
      <c r="D256" s="2138"/>
      <c r="E256" s="2138"/>
    </row>
    <row r="257" spans="1:5" ht="23.25" hidden="1">
      <c r="A257" s="2119" t="s">
        <v>1061</v>
      </c>
      <c r="B257" s="2138" t="s">
        <v>1363</v>
      </c>
      <c r="C257" s="2141" t="s">
        <v>1364</v>
      </c>
      <c r="D257" s="2138"/>
      <c r="E257" s="2138">
        <v>625</v>
      </c>
    </row>
    <row r="258" spans="1:5" hidden="1">
      <c r="A258" s="2119" t="s">
        <v>1300</v>
      </c>
      <c r="B258" s="2138" t="s">
        <v>1365</v>
      </c>
      <c r="C258" s="2138" t="s">
        <v>1366</v>
      </c>
      <c r="D258" s="2138">
        <v>1</v>
      </c>
      <c r="E258" s="2138">
        <v>1200</v>
      </c>
    </row>
    <row r="259" spans="1:5" hidden="1">
      <c r="A259" s="2123" t="s">
        <v>1367</v>
      </c>
      <c r="B259" s="2138"/>
      <c r="C259" s="2138"/>
      <c r="D259" s="2140">
        <f>D257+D258</f>
        <v>1</v>
      </c>
      <c r="E259" s="2140">
        <f>E257+E258</f>
        <v>1825</v>
      </c>
    </row>
    <row r="260" spans="1:5" hidden="1">
      <c r="A260" s="2123" t="s">
        <v>272</v>
      </c>
      <c r="B260" s="2138"/>
      <c r="C260" s="2138"/>
      <c r="D260" s="2138"/>
      <c r="E260" s="2138"/>
    </row>
    <row r="261" spans="1:5" hidden="1">
      <c r="A261" s="2119" t="s">
        <v>1368</v>
      </c>
      <c r="B261" s="2138" t="s">
        <v>1369</v>
      </c>
      <c r="C261" s="2138" t="s">
        <v>1319</v>
      </c>
      <c r="D261" s="2138"/>
      <c r="E261" s="2138">
        <v>699.3</v>
      </c>
    </row>
    <row r="262" spans="1:5" hidden="1">
      <c r="A262" s="2119" t="s">
        <v>1368</v>
      </c>
      <c r="B262" s="2138" t="s">
        <v>1370</v>
      </c>
      <c r="C262" s="2138" t="s">
        <v>1319</v>
      </c>
      <c r="D262" s="2138"/>
      <c r="E262" s="2138">
        <v>699.3</v>
      </c>
    </row>
    <row r="263" spans="1:5" hidden="1">
      <c r="A263" s="2119" t="s">
        <v>1262</v>
      </c>
      <c r="B263" s="2138" t="s">
        <v>1371</v>
      </c>
      <c r="C263" s="2138" t="s">
        <v>1372</v>
      </c>
      <c r="D263" s="2138">
        <v>10</v>
      </c>
      <c r="E263" s="2138">
        <v>10000</v>
      </c>
    </row>
    <row r="264" spans="1:5" hidden="1">
      <c r="A264" s="2119" t="s">
        <v>1109</v>
      </c>
      <c r="B264" s="2138" t="s">
        <v>1373</v>
      </c>
      <c r="C264" s="2138" t="s">
        <v>1374</v>
      </c>
      <c r="D264" s="2138">
        <v>0.5</v>
      </c>
      <c r="E264" s="2138">
        <v>813.56</v>
      </c>
    </row>
    <row r="265" spans="1:5" hidden="1">
      <c r="A265" s="2123" t="s">
        <v>1375</v>
      </c>
      <c r="B265" s="2140"/>
      <c r="C265" s="2140"/>
      <c r="D265" s="2140">
        <f>D261+D262+D263+D264</f>
        <v>10.5</v>
      </c>
      <c r="E265" s="2140">
        <f>E261+E264+E262+E263</f>
        <v>12212.16</v>
      </c>
    </row>
    <row r="266" spans="1:5" hidden="1">
      <c r="A266" s="2122" t="s">
        <v>1376</v>
      </c>
      <c r="B266" s="2137"/>
      <c r="C266" s="2137"/>
      <c r="D266" s="2140">
        <f>D253+D255+D259+D265</f>
        <v>110.91</v>
      </c>
      <c r="E266" s="2140">
        <f>E253+E255+E259+E265</f>
        <v>150317.22999999998</v>
      </c>
    </row>
    <row r="267" spans="1:5" hidden="1">
      <c r="A267" s="2142" t="s">
        <v>1377</v>
      </c>
      <c r="B267" s="2138"/>
      <c r="C267" s="2138"/>
      <c r="D267" s="2138"/>
      <c r="E267" s="2138"/>
    </row>
    <row r="268" spans="1:5" hidden="1">
      <c r="A268" s="2119" t="s">
        <v>1378</v>
      </c>
      <c r="B268" s="2138" t="s">
        <v>1379</v>
      </c>
      <c r="C268" s="2138" t="s">
        <v>1281</v>
      </c>
      <c r="D268" s="2138">
        <v>49</v>
      </c>
      <c r="E268" s="2138">
        <v>49000</v>
      </c>
    </row>
    <row r="269" spans="1:5" hidden="1">
      <c r="A269" s="2119" t="s">
        <v>1368</v>
      </c>
      <c r="B269" s="2138" t="s">
        <v>1380</v>
      </c>
      <c r="C269" s="2138" t="s">
        <v>1319</v>
      </c>
      <c r="D269" s="2138"/>
      <c r="E269" s="2138">
        <v>-618.29999999999995</v>
      </c>
    </row>
    <row r="270" spans="1:5" hidden="1">
      <c r="A270" s="2123" t="s">
        <v>1381</v>
      </c>
      <c r="B270" s="2140"/>
      <c r="C270" s="2140"/>
      <c r="D270" s="2140">
        <f>D268+D269</f>
        <v>49</v>
      </c>
      <c r="E270" s="2140">
        <f>E268+E269</f>
        <v>48381.7</v>
      </c>
    </row>
    <row r="271" spans="1:5" hidden="1">
      <c r="A271" s="2123" t="s">
        <v>273</v>
      </c>
      <c r="B271" s="2138"/>
      <c r="C271" s="2138"/>
      <c r="D271" s="2138"/>
      <c r="E271" s="2138"/>
    </row>
    <row r="272" spans="1:5" ht="23.25" hidden="1">
      <c r="A272" s="2119" t="s">
        <v>1240</v>
      </c>
      <c r="B272" s="2138" t="s">
        <v>1382</v>
      </c>
      <c r="C272" s="2141" t="s">
        <v>1383</v>
      </c>
      <c r="D272" s="2138">
        <v>3</v>
      </c>
      <c r="E272" s="2138">
        <v>8400</v>
      </c>
    </row>
    <row r="273" spans="1:5" ht="23.25" hidden="1">
      <c r="A273" s="2119" t="s">
        <v>1384</v>
      </c>
      <c r="B273" s="2138" t="s">
        <v>1385</v>
      </c>
      <c r="C273" s="2141" t="s">
        <v>1386</v>
      </c>
      <c r="D273" s="2138">
        <v>1</v>
      </c>
      <c r="E273" s="2138">
        <v>1500</v>
      </c>
    </row>
    <row r="274" spans="1:5" hidden="1">
      <c r="A274" s="2119" t="s">
        <v>1387</v>
      </c>
      <c r="B274" s="2138" t="s">
        <v>1388</v>
      </c>
      <c r="C274" s="2138" t="s">
        <v>1281</v>
      </c>
      <c r="D274" s="2138">
        <v>19</v>
      </c>
      <c r="E274" s="2138">
        <v>24152.54</v>
      </c>
    </row>
    <row r="275" spans="1:5" hidden="1">
      <c r="A275" s="2123" t="s">
        <v>1244</v>
      </c>
      <c r="B275" s="2138"/>
      <c r="C275" s="2138"/>
      <c r="D275" s="2140">
        <f>D272+D273+D274</f>
        <v>23</v>
      </c>
      <c r="E275" s="2140">
        <f>E272+E273+E274</f>
        <v>34052.54</v>
      </c>
    </row>
    <row r="276" spans="1:5" hidden="1">
      <c r="A276" s="2123" t="s">
        <v>1245</v>
      </c>
      <c r="B276" s="2138"/>
      <c r="C276" s="2138"/>
      <c r="D276" s="2138"/>
      <c r="E276" s="2138"/>
    </row>
    <row r="277" spans="1:5" hidden="1">
      <c r="A277" s="2119" t="s">
        <v>1389</v>
      </c>
      <c r="B277" s="2138" t="s">
        <v>1390</v>
      </c>
      <c r="C277" s="2138" t="s">
        <v>1391</v>
      </c>
      <c r="D277" s="2138">
        <v>2</v>
      </c>
      <c r="E277" s="2138">
        <v>2881.36</v>
      </c>
    </row>
    <row r="278" spans="1:5" hidden="1">
      <c r="A278" s="2123" t="s">
        <v>1392</v>
      </c>
      <c r="B278" s="2138"/>
      <c r="C278" s="2138"/>
      <c r="D278" s="2140">
        <f>SUM(D277)</f>
        <v>2</v>
      </c>
      <c r="E278" s="2140">
        <f>SUM(E277)</f>
        <v>2881.36</v>
      </c>
    </row>
    <row r="279" spans="1:5" hidden="1">
      <c r="A279" s="2123" t="s">
        <v>1393</v>
      </c>
      <c r="B279" s="2138"/>
      <c r="C279" s="2138"/>
      <c r="D279" s="2140">
        <f>D266+D270+D275+D278</f>
        <v>184.91</v>
      </c>
      <c r="E279" s="2140">
        <f>E266+E270+E275+E278</f>
        <v>235632.83</v>
      </c>
    </row>
    <row r="280" spans="1:5" hidden="1">
      <c r="A280" s="2123" t="s">
        <v>1394</v>
      </c>
      <c r="B280" s="2138"/>
      <c r="C280" s="2138"/>
      <c r="D280" s="2138"/>
      <c r="E280" s="2138"/>
    </row>
    <row r="281" spans="1:5" hidden="1">
      <c r="A281" s="2123" t="s">
        <v>275</v>
      </c>
      <c r="B281" s="2138" t="s">
        <v>1395</v>
      </c>
      <c r="C281" s="2138" t="s">
        <v>1396</v>
      </c>
      <c r="D281" s="2138"/>
      <c r="E281" s="2138">
        <v>699.3</v>
      </c>
    </row>
    <row r="282" spans="1:5" hidden="1">
      <c r="A282" s="2123" t="s">
        <v>1336</v>
      </c>
      <c r="B282" s="2138"/>
      <c r="C282" s="2138"/>
      <c r="D282" s="2138"/>
      <c r="E282" s="2138"/>
    </row>
    <row r="283" spans="1:5" hidden="1">
      <c r="A283" s="2119" t="s">
        <v>1262</v>
      </c>
      <c r="B283" s="2138" t="s">
        <v>1397</v>
      </c>
      <c r="C283" s="2138" t="s">
        <v>1398</v>
      </c>
      <c r="D283" s="2138">
        <v>2</v>
      </c>
      <c r="E283" s="2138">
        <v>2000</v>
      </c>
    </row>
    <row r="284" spans="1:5" hidden="1">
      <c r="A284" s="2119" t="s">
        <v>1061</v>
      </c>
      <c r="B284" s="2138" t="s">
        <v>1399</v>
      </c>
      <c r="C284" s="2138" t="s">
        <v>1400</v>
      </c>
      <c r="D284" s="2138"/>
      <c r="E284" s="2138">
        <v>279.66000000000003</v>
      </c>
    </row>
    <row r="285" spans="1:5" hidden="1">
      <c r="A285" s="2119" t="s">
        <v>1109</v>
      </c>
      <c r="B285" s="2138" t="s">
        <v>1401</v>
      </c>
      <c r="C285" s="2138" t="s">
        <v>1402</v>
      </c>
      <c r="D285" s="2138">
        <v>3</v>
      </c>
      <c r="E285" s="2138">
        <v>4881.3599999999997</v>
      </c>
    </row>
    <row r="286" spans="1:5" hidden="1">
      <c r="A286" s="2119" t="s">
        <v>1403</v>
      </c>
      <c r="B286" s="2138" t="s">
        <v>1404</v>
      </c>
      <c r="C286" s="2138" t="s">
        <v>1405</v>
      </c>
      <c r="D286" s="2138">
        <v>7</v>
      </c>
      <c r="E286" s="2138">
        <v>14830.51</v>
      </c>
    </row>
    <row r="287" spans="1:5" hidden="1">
      <c r="A287" s="2119" t="s">
        <v>1403</v>
      </c>
      <c r="B287" s="2138" t="s">
        <v>1404</v>
      </c>
      <c r="C287" s="2138" t="s">
        <v>1406</v>
      </c>
      <c r="D287" s="2138">
        <v>1</v>
      </c>
      <c r="E287" s="2138">
        <v>2400</v>
      </c>
    </row>
    <row r="288" spans="1:5" hidden="1">
      <c r="A288" s="2123" t="s">
        <v>1407</v>
      </c>
      <c r="B288" s="2140"/>
      <c r="C288" s="2140"/>
      <c r="D288" s="2140">
        <f>D283+D284+D285+D286+D287</f>
        <v>13</v>
      </c>
      <c r="E288" s="2140">
        <f>E283+E284+E285+E286+E287</f>
        <v>24391.53</v>
      </c>
    </row>
    <row r="289" spans="1:5" hidden="1">
      <c r="A289" s="2123" t="s">
        <v>1408</v>
      </c>
      <c r="B289" s="2140"/>
      <c r="C289" s="2140"/>
      <c r="D289" s="2140">
        <f>D244+D248+D252+D255+D259+D265+D270+D275+D278+D281+D288</f>
        <v>197.91</v>
      </c>
      <c r="E289" s="2140">
        <f>E244+E248+E252+E255+E259+E265+E270+E275+E278+E281+E288</f>
        <v>260723.65999999997</v>
      </c>
    </row>
    <row r="290" spans="1:5" hidden="1"/>
    <row r="291" spans="1:5" hidden="1">
      <c r="B291" s="2049" t="s">
        <v>1409</v>
      </c>
      <c r="D291" s="2049" t="s">
        <v>1410</v>
      </c>
    </row>
    <row r="292" spans="1:5">
      <c r="A292" s="5656" t="s">
        <v>1468</v>
      </c>
      <c r="B292" s="5657"/>
      <c r="C292" s="5657"/>
      <c r="D292" s="5657"/>
      <c r="E292" s="5657"/>
    </row>
    <row r="293" spans="1:5">
      <c r="A293" s="2105" t="s">
        <v>1044</v>
      </c>
      <c r="B293" s="2135" t="s">
        <v>1045</v>
      </c>
      <c r="C293" s="2135" t="s">
        <v>1046</v>
      </c>
      <c r="D293" s="2135" t="s">
        <v>1047</v>
      </c>
      <c r="E293" s="2135" t="s">
        <v>45</v>
      </c>
    </row>
    <row r="294" spans="1:5">
      <c r="A294" s="2106" t="s">
        <v>1048</v>
      </c>
      <c r="B294" s="2136" t="s">
        <v>1049</v>
      </c>
      <c r="C294" s="2136"/>
      <c r="D294" s="2136"/>
      <c r="E294" s="2136" t="s">
        <v>190</v>
      </c>
    </row>
    <row r="295" spans="1:5">
      <c r="A295" s="2117" t="s">
        <v>1344</v>
      </c>
      <c r="B295" s="2110"/>
      <c r="C295" s="2108"/>
      <c r="D295" s="2108"/>
      <c r="E295" s="2108"/>
    </row>
    <row r="296" spans="1:5">
      <c r="A296" s="2119" t="s">
        <v>1411</v>
      </c>
      <c r="B296" s="2138" t="s">
        <v>1412</v>
      </c>
      <c r="C296" s="2130" t="s">
        <v>1413</v>
      </c>
      <c r="D296" s="2138">
        <v>2.5</v>
      </c>
      <c r="E296" s="2138">
        <v>4067.8</v>
      </c>
    </row>
    <row r="297" spans="1:5">
      <c r="A297" s="2123" t="s">
        <v>268</v>
      </c>
      <c r="B297" s="2138"/>
      <c r="C297" s="2130"/>
      <c r="D297" s="2138"/>
      <c r="E297" s="2138"/>
    </row>
    <row r="298" spans="1:5">
      <c r="A298" s="2119" t="s">
        <v>1411</v>
      </c>
      <c r="B298" s="2138" t="s">
        <v>1414</v>
      </c>
      <c r="C298" s="2130" t="s">
        <v>1415</v>
      </c>
      <c r="D298" s="2138">
        <v>0.5</v>
      </c>
      <c r="E298" s="2138">
        <v>622.88</v>
      </c>
    </row>
    <row r="299" spans="1:5">
      <c r="A299" s="2123" t="s">
        <v>269</v>
      </c>
      <c r="B299" s="2138"/>
      <c r="C299" s="2130"/>
      <c r="D299" s="2138"/>
      <c r="E299" s="2138"/>
    </row>
    <row r="300" spans="1:5">
      <c r="A300" s="2123" t="s">
        <v>270</v>
      </c>
      <c r="B300" s="2138"/>
      <c r="C300" s="2130"/>
      <c r="D300" s="2138"/>
      <c r="E300" s="2138"/>
    </row>
    <row r="301" spans="1:5">
      <c r="A301" s="2119" t="s">
        <v>1416</v>
      </c>
      <c r="B301" s="2138" t="s">
        <v>1417</v>
      </c>
      <c r="C301" s="2130" t="s">
        <v>1418</v>
      </c>
      <c r="D301" s="2138">
        <v>9</v>
      </c>
      <c r="E301" s="2138">
        <v>9000</v>
      </c>
    </row>
    <row r="302" spans="1:5">
      <c r="A302" s="2119" t="s">
        <v>1185</v>
      </c>
      <c r="B302" s="2138" t="s">
        <v>1419</v>
      </c>
      <c r="C302" s="2130" t="s">
        <v>1420</v>
      </c>
      <c r="D302" s="2138"/>
      <c r="E302" s="2138">
        <v>792.5</v>
      </c>
    </row>
    <row r="303" spans="1:5">
      <c r="A303" s="2123" t="s">
        <v>271</v>
      </c>
      <c r="B303" s="2138"/>
      <c r="C303" s="2130"/>
      <c r="D303" s="2138"/>
      <c r="E303" s="2138"/>
    </row>
    <row r="304" spans="1:5">
      <c r="A304" s="2119" t="s">
        <v>1421</v>
      </c>
      <c r="B304" s="2138" t="s">
        <v>1422</v>
      </c>
      <c r="C304" s="2130" t="s">
        <v>1423</v>
      </c>
      <c r="D304" s="2138"/>
      <c r="E304" s="2138">
        <v>9000</v>
      </c>
    </row>
    <row r="305" spans="1:5">
      <c r="A305" s="2119" t="s">
        <v>1421</v>
      </c>
      <c r="B305" s="2138" t="s">
        <v>1424</v>
      </c>
      <c r="C305" s="2130" t="s">
        <v>1423</v>
      </c>
      <c r="D305" s="2138"/>
      <c r="E305" s="2138">
        <v>9000</v>
      </c>
    </row>
    <row r="306" spans="1:5">
      <c r="A306" s="2123" t="s">
        <v>272</v>
      </c>
      <c r="B306" s="2138"/>
      <c r="C306" s="2130"/>
      <c r="D306" s="2138"/>
      <c r="E306" s="2138"/>
    </row>
    <row r="307" spans="1:5">
      <c r="A307" s="2119" t="s">
        <v>1416</v>
      </c>
      <c r="B307" s="2138" t="s">
        <v>1425</v>
      </c>
      <c r="C307" s="2130" t="s">
        <v>1426</v>
      </c>
      <c r="D307" s="2138">
        <v>5</v>
      </c>
      <c r="E307" s="2138">
        <v>6000</v>
      </c>
    </row>
    <row r="308" spans="1:5">
      <c r="A308" s="2119" t="s">
        <v>1427</v>
      </c>
      <c r="B308" s="2138" t="s">
        <v>1428</v>
      </c>
      <c r="C308" s="2130" t="s">
        <v>1429</v>
      </c>
      <c r="D308" s="2138">
        <v>3</v>
      </c>
      <c r="E308" s="2138">
        <v>7200</v>
      </c>
    </row>
    <row r="309" spans="1:5">
      <c r="A309" s="2119" t="s">
        <v>1427</v>
      </c>
      <c r="B309" s="2138" t="s">
        <v>1428</v>
      </c>
      <c r="C309" s="2130" t="s">
        <v>1430</v>
      </c>
      <c r="D309" s="2138">
        <v>6</v>
      </c>
      <c r="E309" s="2138">
        <v>12711.86</v>
      </c>
    </row>
    <row r="310" spans="1:5" ht="23.25">
      <c r="A310" s="2119" t="s">
        <v>1156</v>
      </c>
      <c r="B310" s="2138" t="s">
        <v>1431</v>
      </c>
      <c r="C310" s="2143" t="s">
        <v>1432</v>
      </c>
      <c r="D310" s="2138">
        <v>1</v>
      </c>
      <c r="E310" s="2138">
        <v>1391.81</v>
      </c>
    </row>
    <row r="311" spans="1:5">
      <c r="A311" s="2123" t="s">
        <v>1433</v>
      </c>
      <c r="B311" s="2140"/>
      <c r="C311" s="2140"/>
      <c r="D311" s="2140">
        <f>D296+D298+D301+D304+D305+D307+D308+D309+D310+D302</f>
        <v>27</v>
      </c>
      <c r="E311" s="2140">
        <f>E296+E298+E301+E304+E305+E307+E308+E309+E310+E302</f>
        <v>59786.85</v>
      </c>
    </row>
    <row r="312" spans="1:5">
      <c r="A312" s="2123" t="s">
        <v>1307</v>
      </c>
      <c r="B312" s="2119"/>
      <c r="C312" s="2119"/>
      <c r="D312" s="2119"/>
      <c r="E312" s="2138"/>
    </row>
    <row r="313" spans="1:5">
      <c r="A313" s="2119" t="s">
        <v>1434</v>
      </c>
      <c r="B313" s="2119" t="s">
        <v>1435</v>
      </c>
      <c r="C313" s="2119" t="s">
        <v>1436</v>
      </c>
      <c r="D313" s="2119"/>
      <c r="E313" s="2138">
        <v>1697.03</v>
      </c>
    </row>
    <row r="314" spans="1:5">
      <c r="A314" s="2123" t="s">
        <v>273</v>
      </c>
      <c r="B314" s="2119"/>
      <c r="C314" s="2119"/>
      <c r="D314" s="2119"/>
      <c r="E314" s="2138"/>
    </row>
    <row r="315" spans="1:5" ht="23.25">
      <c r="A315" s="2119" t="s">
        <v>1437</v>
      </c>
      <c r="B315" s="2119" t="s">
        <v>1438</v>
      </c>
      <c r="C315" s="2144" t="s">
        <v>1439</v>
      </c>
      <c r="D315" s="2119">
        <v>1</v>
      </c>
      <c r="E315" s="2138">
        <v>4237.29</v>
      </c>
    </row>
    <row r="316" spans="1:5" ht="23.25">
      <c r="A316" s="2144" t="s">
        <v>1440</v>
      </c>
      <c r="B316" s="2119" t="s">
        <v>1441</v>
      </c>
      <c r="C316" s="2119" t="s">
        <v>1442</v>
      </c>
      <c r="D316" s="2119">
        <v>2</v>
      </c>
      <c r="E316" s="2138">
        <v>3000</v>
      </c>
    </row>
    <row r="317" spans="1:5" ht="23.25">
      <c r="A317" s="2144" t="s">
        <v>1440</v>
      </c>
      <c r="B317" s="2119" t="s">
        <v>1443</v>
      </c>
      <c r="C317" s="2119" t="s">
        <v>1444</v>
      </c>
      <c r="D317" s="2119">
        <v>3.5</v>
      </c>
      <c r="E317" s="2138">
        <v>5250</v>
      </c>
    </row>
    <row r="318" spans="1:5">
      <c r="A318" s="2122" t="s">
        <v>1445</v>
      </c>
      <c r="B318" s="2119"/>
      <c r="C318" s="2119"/>
      <c r="D318" s="2119"/>
      <c r="E318" s="2140">
        <f>E315+E316+E317</f>
        <v>12487.29</v>
      </c>
    </row>
    <row r="319" spans="1:5">
      <c r="A319" s="2125" t="s">
        <v>1446</v>
      </c>
      <c r="B319" s="2119" t="s">
        <v>1447</v>
      </c>
      <c r="C319" s="2119" t="s">
        <v>1448</v>
      </c>
      <c r="D319" s="2119">
        <v>40</v>
      </c>
      <c r="E319" s="2138">
        <v>40680</v>
      </c>
    </row>
    <row r="320" spans="1:5">
      <c r="A320" s="2125" t="s">
        <v>1446</v>
      </c>
      <c r="B320" s="2119" t="s">
        <v>1447</v>
      </c>
      <c r="C320" s="2119" t="s">
        <v>1449</v>
      </c>
      <c r="D320" s="2119">
        <v>40</v>
      </c>
      <c r="E320" s="2138">
        <v>40680</v>
      </c>
    </row>
    <row r="321" spans="1:5">
      <c r="A321" s="2119" t="s">
        <v>1450</v>
      </c>
      <c r="B321" s="2119" t="s">
        <v>1451</v>
      </c>
      <c r="C321" s="2119" t="s">
        <v>1452</v>
      </c>
      <c r="D321" s="2119">
        <v>2</v>
      </c>
      <c r="E321" s="2138">
        <v>2400</v>
      </c>
    </row>
    <row r="322" spans="1:5" ht="23.25">
      <c r="A322" s="2144" t="s">
        <v>1453</v>
      </c>
      <c r="B322" s="2119" t="s">
        <v>1454</v>
      </c>
      <c r="C322" s="2119" t="s">
        <v>1455</v>
      </c>
      <c r="D322" s="2119">
        <v>1</v>
      </c>
      <c r="E322" s="2138">
        <v>1500</v>
      </c>
    </row>
    <row r="323" spans="1:5">
      <c r="A323" s="2125" t="s">
        <v>1446</v>
      </c>
      <c r="B323" s="2119" t="s">
        <v>1456</v>
      </c>
      <c r="C323" s="2119" t="s">
        <v>1448</v>
      </c>
      <c r="D323" s="2119">
        <v>40</v>
      </c>
      <c r="E323" s="2138">
        <v>40680</v>
      </c>
    </row>
    <row r="324" spans="1:5">
      <c r="A324" s="2125" t="s">
        <v>1446</v>
      </c>
      <c r="B324" s="2119" t="s">
        <v>1456</v>
      </c>
      <c r="C324" s="2119" t="s">
        <v>1449</v>
      </c>
      <c r="D324" s="2119">
        <v>40</v>
      </c>
      <c r="E324" s="2138">
        <v>40680</v>
      </c>
    </row>
    <row r="325" spans="1:5">
      <c r="A325" s="2119" t="s">
        <v>1457</v>
      </c>
      <c r="B325" s="2119" t="s">
        <v>1458</v>
      </c>
      <c r="C325" s="2119" t="s">
        <v>1459</v>
      </c>
      <c r="D325" s="2119">
        <v>2</v>
      </c>
      <c r="E325" s="2138">
        <v>3000</v>
      </c>
    </row>
    <row r="326" spans="1:5">
      <c r="A326" s="2119" t="s">
        <v>1156</v>
      </c>
      <c r="B326" s="2119" t="s">
        <v>1460</v>
      </c>
      <c r="C326" s="2119" t="s">
        <v>1461</v>
      </c>
      <c r="D326" s="2119">
        <v>3</v>
      </c>
      <c r="E326" s="2138">
        <v>4034.16</v>
      </c>
    </row>
    <row r="327" spans="1:5" ht="23.25">
      <c r="A327" s="2144" t="s">
        <v>1453</v>
      </c>
      <c r="B327" s="2119" t="s">
        <v>1462</v>
      </c>
      <c r="C327" s="2119" t="s">
        <v>1463</v>
      </c>
      <c r="D327" s="2119">
        <v>2</v>
      </c>
      <c r="E327" s="2138">
        <v>3000</v>
      </c>
    </row>
    <row r="328" spans="1:5">
      <c r="A328" s="2123" t="s">
        <v>1445</v>
      </c>
      <c r="B328" s="2123"/>
      <c r="C328" s="2123"/>
      <c r="D328" s="2123">
        <f>SUM(D319:D327)</f>
        <v>170</v>
      </c>
      <c r="E328" s="2140">
        <f>SUM(E319:E327)</f>
        <v>176654.16</v>
      </c>
    </row>
    <row r="329" spans="1:5">
      <c r="A329" s="2123" t="s">
        <v>1464</v>
      </c>
      <c r="B329" s="2123"/>
      <c r="C329" s="2123"/>
      <c r="D329" s="2123">
        <f>D311+D313+D318+D328</f>
        <v>197</v>
      </c>
      <c r="E329" s="2140">
        <f>E311+E313+E318+E328</f>
        <v>250625.33000000002</v>
      </c>
    </row>
    <row r="330" spans="1:5">
      <c r="A330" s="2119" t="s">
        <v>46</v>
      </c>
      <c r="B330" s="5658"/>
      <c r="C330" s="5659"/>
      <c r="D330" s="5659"/>
      <c r="E330" s="2119">
        <f>SUM(E296+E298+E301+E302+E304+E305+E307+E308+E309+E310+E313+E315+E316+E325+E326)</f>
        <v>75755.33</v>
      </c>
    </row>
    <row r="331" spans="1:5">
      <c r="A331" s="2119" t="s">
        <v>47</v>
      </c>
      <c r="B331" s="5659"/>
      <c r="C331" s="5659"/>
      <c r="D331" s="5659"/>
      <c r="E331" s="2145">
        <f>SUM(E317+E319+E320+E321+E322+E323+E324+E327)</f>
        <v>174870</v>
      </c>
    </row>
    <row r="332" spans="1:5">
      <c r="A332" s="2123" t="s">
        <v>1465</v>
      </c>
      <c r="B332" s="5659"/>
      <c r="C332" s="5659"/>
      <c r="D332" s="5659"/>
      <c r="E332" s="2146">
        <f>SUM(E329/9*12)</f>
        <v>334167.10666666669</v>
      </c>
    </row>
    <row r="333" spans="1:5">
      <c r="A333" s="2122" t="s">
        <v>46</v>
      </c>
      <c r="B333" s="5659"/>
      <c r="C333" s="5659"/>
      <c r="D333" s="5659"/>
      <c r="E333" s="2145">
        <f>SUM(E330/E329)*E332</f>
        <v>101007.10666666666</v>
      </c>
    </row>
    <row r="334" spans="1:5">
      <c r="A334" s="2122" t="s">
        <v>47</v>
      </c>
      <c r="B334" s="5659"/>
      <c r="C334" s="5659"/>
      <c r="D334" s="5659"/>
      <c r="E334" s="2147">
        <f>SUM(E331/E329)*E332</f>
        <v>233160</v>
      </c>
    </row>
    <row r="335" spans="1:5">
      <c r="A335" s="5660" t="s">
        <v>1467</v>
      </c>
      <c r="B335" s="5661"/>
      <c r="C335" s="5661"/>
      <c r="D335" s="5661"/>
      <c r="E335" s="5661"/>
    </row>
    <row r="336" spans="1:5">
      <c r="A336" s="2122" t="s">
        <v>1466</v>
      </c>
      <c r="B336" s="5659"/>
      <c r="C336" s="5659"/>
      <c r="D336" s="5659"/>
      <c r="E336" s="2147">
        <v>0</v>
      </c>
    </row>
    <row r="337" spans="1:5">
      <c r="A337" s="2122" t="s">
        <v>46</v>
      </c>
      <c r="B337" s="5659"/>
      <c r="C337" s="5659"/>
      <c r="D337" s="5659"/>
      <c r="E337" s="2145">
        <v>0</v>
      </c>
    </row>
    <row r="338" spans="1:5">
      <c r="A338" s="2122" t="s">
        <v>47</v>
      </c>
      <c r="B338" s="5659"/>
      <c r="C338" s="5659"/>
      <c r="D338" s="5659"/>
      <c r="E338" s="2145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0000"/>
  </sheetPr>
  <dimension ref="A1:J37"/>
  <sheetViews>
    <sheetView topLeftCell="A16" zoomScaleNormal="100" workbookViewId="0">
      <selection sqref="A1:J36"/>
    </sheetView>
  </sheetViews>
  <sheetFormatPr defaultRowHeight="12.75"/>
  <cols>
    <col min="1" max="1" width="29.140625" customWidth="1"/>
    <col min="2" max="2" width="12.28515625" customWidth="1"/>
    <col min="3" max="3" width="9.7109375" customWidth="1"/>
    <col min="4" max="4" width="15.85546875" customWidth="1"/>
    <col min="5" max="5" width="12.28515625" customWidth="1"/>
    <col min="6" max="6" width="9.7109375" customWidth="1"/>
    <col min="7" max="7" width="17.28515625" customWidth="1"/>
    <col min="8" max="8" width="11" customWidth="1"/>
    <col min="10" max="10" width="15.85546875" customWidth="1"/>
  </cols>
  <sheetData>
    <row r="1" spans="1:7" ht="13.5" thickBot="1">
      <c r="F1" t="s">
        <v>1541</v>
      </c>
    </row>
    <row r="2" spans="1:7" ht="18.75" thickBot="1">
      <c r="A2" s="5666" t="s">
        <v>844</v>
      </c>
      <c r="B2" s="5666"/>
      <c r="C2" s="5666"/>
      <c r="D2" s="5666"/>
      <c r="E2" s="5667"/>
      <c r="F2" s="5667"/>
      <c r="G2" s="5667"/>
    </row>
    <row r="3" spans="1:7" ht="13.5" thickBot="1">
      <c r="A3" s="5668" t="s">
        <v>297</v>
      </c>
      <c r="B3" s="5668"/>
      <c r="C3" s="5668"/>
      <c r="D3" s="5668"/>
      <c r="E3" s="5669"/>
      <c r="F3" s="5669"/>
      <c r="G3" s="5669"/>
    </row>
    <row r="4" spans="1:7" ht="16.5" thickBot="1">
      <c r="A4" s="5662" t="s">
        <v>657</v>
      </c>
      <c r="B4" s="5662"/>
      <c r="C4" s="5662"/>
      <c r="D4" s="5662"/>
      <c r="E4" s="5662" t="s">
        <v>664</v>
      </c>
      <c r="F4" s="5662"/>
      <c r="G4" s="5662"/>
    </row>
    <row r="5" spans="1:7" ht="38.25">
      <c r="A5" s="840" t="s">
        <v>374</v>
      </c>
      <c r="B5" s="841" t="s">
        <v>414</v>
      </c>
      <c r="C5" s="841" t="s">
        <v>665</v>
      </c>
      <c r="D5" s="842" t="s">
        <v>416</v>
      </c>
      <c r="E5" s="840" t="s">
        <v>414</v>
      </c>
      <c r="F5" s="841" t="s">
        <v>665</v>
      </c>
      <c r="G5" s="842" t="s">
        <v>416</v>
      </c>
    </row>
    <row r="6" spans="1:7" ht="15" customHeight="1">
      <c r="A6" s="821" t="s">
        <v>666</v>
      </c>
      <c r="B6" s="822">
        <f>объемы!J38</f>
        <v>5800.03</v>
      </c>
      <c r="C6" s="823"/>
      <c r="D6" s="824"/>
      <c r="E6" s="843">
        <f>SUM(объемы!T38)</f>
        <v>5757.92</v>
      </c>
      <c r="F6" s="823"/>
      <c r="G6" s="824"/>
    </row>
    <row r="7" spans="1:7" ht="15" customHeight="1">
      <c r="A7" s="821" t="s">
        <v>24</v>
      </c>
      <c r="B7" s="822">
        <f>объемы!J49</f>
        <v>2800</v>
      </c>
      <c r="C7" s="823">
        <v>70</v>
      </c>
      <c r="D7" s="826">
        <f>B7*C7/1000</f>
        <v>196</v>
      </c>
      <c r="E7" s="843">
        <f>SUM(объемы!T49)</f>
        <v>2428.56</v>
      </c>
      <c r="F7" s="823">
        <v>93</v>
      </c>
      <c r="G7" s="826">
        <f>E7*F7/1000</f>
        <v>225.85607999999999</v>
      </c>
    </row>
    <row r="8" spans="1:7" ht="15" customHeight="1">
      <c r="A8" s="821" t="s">
        <v>265</v>
      </c>
      <c r="B8" s="822">
        <f>объемы!J51</f>
        <v>1192</v>
      </c>
      <c r="C8" s="823">
        <v>306</v>
      </c>
      <c r="D8" s="826">
        <f>B8*C8/1000</f>
        <v>364.75200000000001</v>
      </c>
      <c r="E8" s="843">
        <f>SUM(объемы!T51+объемы!T50+объемы!T52)</f>
        <v>1582.077</v>
      </c>
      <c r="F8" s="823">
        <v>341</v>
      </c>
      <c r="G8" s="826">
        <f>E8*F8/1000</f>
        <v>539.48825699999998</v>
      </c>
    </row>
    <row r="9" spans="1:7" ht="15" customHeight="1">
      <c r="A9" s="821" t="s">
        <v>410</v>
      </c>
      <c r="B9" s="822">
        <f>объемы!J41</f>
        <v>754</v>
      </c>
      <c r="C9" s="823">
        <v>306</v>
      </c>
      <c r="D9" s="826">
        <f>B9*C9/1000</f>
        <v>230.72399999999999</v>
      </c>
      <c r="E9" s="843">
        <f>SUM(объемы!T41)</f>
        <v>750</v>
      </c>
      <c r="F9" s="823">
        <v>341</v>
      </c>
      <c r="G9" s="826">
        <f>E9*F9/1000</f>
        <v>255.75</v>
      </c>
    </row>
    <row r="10" spans="1:7" ht="15" customHeight="1">
      <c r="A10" s="821" t="s">
        <v>411</v>
      </c>
      <c r="B10" s="822">
        <f>объемы!J46</f>
        <v>1007.9</v>
      </c>
      <c r="C10" s="823"/>
      <c r="D10" s="826"/>
      <c r="E10" s="843">
        <f>SUM(объемы!T46)</f>
        <v>997.3</v>
      </c>
      <c r="F10" s="823"/>
      <c r="G10" s="826"/>
    </row>
    <row r="11" spans="1:7" ht="15" customHeight="1">
      <c r="A11" s="821" t="s">
        <v>412</v>
      </c>
      <c r="B11" s="825">
        <f>B10*B7/(B7+B8)</f>
        <v>706.94388777555105</v>
      </c>
      <c r="C11" s="823">
        <f>C7</f>
        <v>70</v>
      </c>
      <c r="D11" s="826">
        <f>B11*C11/1000</f>
        <v>49.48607214428857</v>
      </c>
      <c r="E11" s="821">
        <f>E10*E7/(E7+E8)</f>
        <v>603.89481471397187</v>
      </c>
      <c r="F11" s="823">
        <v>93</v>
      </c>
      <c r="G11" s="826">
        <f>E11*F11/1000</f>
        <v>56.162217768399387</v>
      </c>
    </row>
    <row r="12" spans="1:7" ht="15" customHeight="1">
      <c r="A12" s="821" t="s">
        <v>413</v>
      </c>
      <c r="B12" s="822">
        <f>B10-B11</f>
        <v>300.95611222444893</v>
      </c>
      <c r="C12" s="823">
        <v>306</v>
      </c>
      <c r="D12" s="826">
        <f>B12*C12/1000</f>
        <v>92.092570340681377</v>
      </c>
      <c r="E12" s="843">
        <f>E10-E11</f>
        <v>393.40518528602809</v>
      </c>
      <c r="F12" s="823">
        <v>341</v>
      </c>
      <c r="G12" s="826">
        <f>E12*F12/1000</f>
        <v>134.1511681825356</v>
      </c>
    </row>
    <row r="13" spans="1:7" ht="15" customHeight="1" thickBot="1">
      <c r="A13" s="844" t="s">
        <v>867</v>
      </c>
      <c r="B13" s="847"/>
      <c r="C13" s="845"/>
      <c r="D13" s="846">
        <f>SUM(D7:D12)</f>
        <v>933.0546424849698</v>
      </c>
      <c r="E13" s="844"/>
      <c r="F13" s="845"/>
      <c r="G13" s="846">
        <f>SUM(G7:G12)</f>
        <v>1211.4077229509351</v>
      </c>
    </row>
    <row r="14" spans="1:7" ht="58.5" customHeight="1">
      <c r="A14" s="1368" t="s">
        <v>868</v>
      </c>
      <c r="B14" s="1369"/>
      <c r="C14" s="1370"/>
      <c r="D14" s="1371"/>
      <c r="E14" s="1370"/>
      <c r="F14" s="1370"/>
      <c r="G14" s="1372">
        <v>1455.14</v>
      </c>
    </row>
    <row r="15" spans="1:7" ht="58.5" customHeight="1" thickBot="1">
      <c r="A15" s="1373" t="s">
        <v>868</v>
      </c>
      <c r="B15" s="1374"/>
      <c r="C15" s="1375"/>
      <c r="D15" s="1376"/>
      <c r="E15" s="1375"/>
      <c r="F15" s="1375"/>
      <c r="G15" s="1377">
        <v>60.06</v>
      </c>
    </row>
    <row r="16" spans="1:7" ht="58.5" customHeight="1" thickBot="1">
      <c r="A16" s="1647" t="s">
        <v>869</v>
      </c>
      <c r="B16" s="1648"/>
      <c r="C16" s="1649"/>
      <c r="D16" s="1650"/>
      <c r="E16" s="1649"/>
      <c r="F16" s="1649"/>
      <c r="G16" s="1651">
        <f>SUM(G14:G15)</f>
        <v>1515.2</v>
      </c>
    </row>
    <row r="17" spans="1:10" ht="15" customHeight="1" thickBot="1">
      <c r="A17" s="5663" t="s">
        <v>417</v>
      </c>
      <c r="B17" s="5664"/>
      <c r="C17" s="5664"/>
      <c r="D17" s="5664"/>
      <c r="E17" s="5664"/>
      <c r="F17" s="5664"/>
      <c r="G17" s="5664"/>
      <c r="H17" s="5664"/>
      <c r="I17" s="5664"/>
      <c r="J17" s="5665"/>
    </row>
    <row r="18" spans="1:10" ht="38.25" hidden="1" customHeight="1">
      <c r="A18" s="1652" t="s">
        <v>374</v>
      </c>
      <c r="B18" s="1653" t="s">
        <v>414</v>
      </c>
      <c r="C18" s="1653" t="s">
        <v>665</v>
      </c>
      <c r="D18" s="1654" t="s">
        <v>416</v>
      </c>
      <c r="E18" s="1652" t="s">
        <v>414</v>
      </c>
      <c r="F18" s="1653" t="s">
        <v>665</v>
      </c>
      <c r="G18" s="1654" t="s">
        <v>416</v>
      </c>
    </row>
    <row r="19" spans="1:10" ht="15" hidden="1" customHeight="1">
      <c r="A19" s="827" t="s">
        <v>666</v>
      </c>
      <c r="B19" s="828">
        <f>объемы!K38</f>
        <v>5561.39</v>
      </c>
      <c r="C19" s="829"/>
      <c r="D19" s="400"/>
      <c r="E19" s="837">
        <f>SUM(объемы!U38)</f>
        <v>5654.317</v>
      </c>
      <c r="F19" s="829"/>
      <c r="G19" s="400"/>
    </row>
    <row r="20" spans="1:10" ht="15" hidden="1" customHeight="1">
      <c r="A20" s="827" t="s">
        <v>24</v>
      </c>
      <c r="B20" s="828">
        <v>2800</v>
      </c>
      <c r="C20" s="829">
        <v>70</v>
      </c>
      <c r="D20" s="830">
        <f>B20*C20/1000</f>
        <v>196</v>
      </c>
      <c r="E20" s="837">
        <f>SUM(объемы!U49)</f>
        <v>2428.56</v>
      </c>
      <c r="F20" s="829">
        <v>93</v>
      </c>
      <c r="G20" s="830">
        <f>E20*F20/1000</f>
        <v>225.85607999999999</v>
      </c>
    </row>
    <row r="21" spans="1:10" ht="15" hidden="1" customHeight="1">
      <c r="A21" s="827" t="s">
        <v>265</v>
      </c>
      <c r="B21" s="828">
        <v>1206.27</v>
      </c>
      <c r="C21" s="829">
        <v>258</v>
      </c>
      <c r="D21" s="830">
        <f>B21*C21/1000</f>
        <v>311.21765999999997</v>
      </c>
      <c r="E21" s="837">
        <f>SUM(объемы!U51+объемы!U50+объемы!U52)</f>
        <v>1560.6570000000002</v>
      </c>
      <c r="F21" s="829">
        <v>341</v>
      </c>
      <c r="G21" s="830">
        <f>E21*F21/1000</f>
        <v>532.18403699999999</v>
      </c>
    </row>
    <row r="22" spans="1:10" ht="15" hidden="1" customHeight="1">
      <c r="A22" s="827" t="s">
        <v>410</v>
      </c>
      <c r="B22" s="828">
        <f>объемы!K41</f>
        <v>557.12</v>
      </c>
      <c r="C22" s="829">
        <v>258</v>
      </c>
      <c r="D22" s="830">
        <f>B22*C22/1000</f>
        <v>143.73695999999998</v>
      </c>
      <c r="E22" s="837">
        <f>SUM(объемы!U41)</f>
        <v>686.4</v>
      </c>
      <c r="F22" s="829">
        <v>341</v>
      </c>
      <c r="G22" s="830">
        <f>E22*F22/1000</f>
        <v>234.0624</v>
      </c>
    </row>
    <row r="23" spans="1:10" ht="15" hidden="1" customHeight="1">
      <c r="A23" s="827" t="s">
        <v>411</v>
      </c>
      <c r="B23" s="828">
        <f>объемы!K46</f>
        <v>998</v>
      </c>
      <c r="C23" s="829"/>
      <c r="D23" s="830"/>
      <c r="E23" s="837">
        <f>SUM(объемы!U46)</f>
        <v>978.7</v>
      </c>
      <c r="F23" s="829"/>
      <c r="G23" s="830"/>
    </row>
    <row r="24" spans="1:10" ht="15" hidden="1" customHeight="1">
      <c r="A24" s="827" t="s">
        <v>412</v>
      </c>
      <c r="B24" s="829">
        <f>B23*B20/(B20+B21)</f>
        <v>697.50665831309425</v>
      </c>
      <c r="C24" s="829">
        <f>C20</f>
        <v>70</v>
      </c>
      <c r="D24" s="830">
        <f>B24*C24/1000</f>
        <v>48.825466081916595</v>
      </c>
      <c r="E24" s="838">
        <f>E23*E20/(E20+E21)</f>
        <v>595.81408381644826</v>
      </c>
      <c r="F24" s="829">
        <f>F20</f>
        <v>93</v>
      </c>
      <c r="G24" s="830">
        <f>E24*F24/1000</f>
        <v>55.410709794929687</v>
      </c>
    </row>
    <row r="25" spans="1:10" ht="15" hidden="1" customHeight="1">
      <c r="A25" s="827" t="s">
        <v>413</v>
      </c>
      <c r="B25" s="828">
        <f>B23-B24</f>
        <v>300.49334168690575</v>
      </c>
      <c r="C25" s="829">
        <v>258</v>
      </c>
      <c r="D25" s="830">
        <f>B25*C25/1000</f>
        <v>77.527282155221684</v>
      </c>
      <c r="E25" s="837">
        <f>E23-E24</f>
        <v>382.88591618355179</v>
      </c>
      <c r="F25" s="829">
        <v>341</v>
      </c>
      <c r="G25" s="830">
        <f>E25*F25/1000</f>
        <v>130.56409741859116</v>
      </c>
    </row>
    <row r="26" spans="1:10" ht="15" hidden="1" customHeight="1" thickBot="1">
      <c r="A26" s="831" t="s">
        <v>415</v>
      </c>
      <c r="B26" s="832"/>
      <c r="C26" s="832"/>
      <c r="D26" s="833">
        <f>SUM(D20:D25)</f>
        <v>777.30736823713823</v>
      </c>
      <c r="E26" s="839"/>
      <c r="F26" s="832"/>
      <c r="G26" s="833">
        <f>SUM(G20:G25)</f>
        <v>1178.077324213521</v>
      </c>
    </row>
    <row r="27" spans="1:10" ht="16.5" thickBot="1">
      <c r="A27" s="5662" t="s">
        <v>664</v>
      </c>
      <c r="B27" s="5662"/>
      <c r="C27" s="5662"/>
      <c r="D27" s="5662"/>
      <c r="E27" s="5662" t="s">
        <v>887</v>
      </c>
      <c r="F27" s="5662"/>
      <c r="G27" s="5662"/>
      <c r="H27" s="5662" t="s">
        <v>888</v>
      </c>
      <c r="I27" s="5662"/>
      <c r="J27" s="5662"/>
    </row>
    <row r="28" spans="1:10" ht="38.25">
      <c r="A28" s="834" t="s">
        <v>374</v>
      </c>
      <c r="B28" s="835" t="s">
        <v>414</v>
      </c>
      <c r="C28" s="835" t="s">
        <v>665</v>
      </c>
      <c r="D28" s="836" t="s">
        <v>416</v>
      </c>
      <c r="E28" s="834" t="s">
        <v>414</v>
      </c>
      <c r="F28" s="835" t="s">
        <v>665</v>
      </c>
      <c r="G28" s="836" t="s">
        <v>416</v>
      </c>
      <c r="H28" s="834" t="s">
        <v>414</v>
      </c>
      <c r="I28" s="835" t="s">
        <v>665</v>
      </c>
      <c r="J28" s="836" t="s">
        <v>416</v>
      </c>
    </row>
    <row r="29" spans="1:10">
      <c r="A29" s="1655" t="s">
        <v>666</v>
      </c>
      <c r="B29" s="1656" t="e">
        <f>объемы!#REF!</f>
        <v>#REF!</v>
      </c>
      <c r="C29" s="1657"/>
      <c r="D29" s="1658"/>
      <c r="E29" s="1659" t="e">
        <f>SUM(объемы!#REF!)</f>
        <v>#REF!</v>
      </c>
      <c r="F29" s="1657"/>
      <c r="G29" s="1658"/>
      <c r="H29" s="1659" t="e">
        <f>SUM(объемы!#REF!)</f>
        <v>#REF!</v>
      </c>
      <c r="I29" s="1657"/>
      <c r="J29" s="1658"/>
    </row>
    <row r="30" spans="1:10">
      <c r="A30" s="1655" t="s">
        <v>24</v>
      </c>
      <c r="B30" s="1656">
        <f>объемы!U49</f>
        <v>2428.56</v>
      </c>
      <c r="C30" s="1657">
        <v>93</v>
      </c>
      <c r="D30" s="1660">
        <f>B30*C30/1000</f>
        <v>225.85607999999999</v>
      </c>
      <c r="E30" s="1659">
        <f>B30</f>
        <v>2428.56</v>
      </c>
      <c r="F30" s="1657">
        <f>107</f>
        <v>107</v>
      </c>
      <c r="G30" s="1660">
        <f>E30*F30/1000</f>
        <v>259.85591999999997</v>
      </c>
      <c r="H30" s="1659">
        <f>E30</f>
        <v>2428.56</v>
      </c>
      <c r="I30" s="1657">
        <v>122</v>
      </c>
      <c r="J30" s="1660">
        <f>H30*I30/1000</f>
        <v>296.28431999999998</v>
      </c>
    </row>
    <row r="31" spans="1:10">
      <c r="A31" s="1655" t="s">
        <v>265</v>
      </c>
      <c r="B31" s="1656">
        <f>объемы!U51+объемы!V50+объемы!U52</f>
        <v>1582.077</v>
      </c>
      <c r="C31" s="1657">
        <v>341</v>
      </c>
      <c r="D31" s="1660">
        <f>B31*C31/1000</f>
        <v>539.48825699999998</v>
      </c>
      <c r="E31" s="1659">
        <f t="shared" ref="E31:E35" si="0">B31</f>
        <v>1582.077</v>
      </c>
      <c r="F31" s="1657">
        <v>392</v>
      </c>
      <c r="G31" s="1660">
        <f>E31*F31/1000</f>
        <v>620.17418399999997</v>
      </c>
      <c r="H31" s="1659">
        <f t="shared" ref="H31:H35" si="1">E31</f>
        <v>1582.077</v>
      </c>
      <c r="I31" s="1657">
        <v>452</v>
      </c>
      <c r="J31" s="1660">
        <f>H31*I31/1000</f>
        <v>715.09880399999997</v>
      </c>
    </row>
    <row r="32" spans="1:10">
      <c r="A32" s="1655" t="s">
        <v>410</v>
      </c>
      <c r="B32" s="1656">
        <f>объемы!U41</f>
        <v>686.4</v>
      </c>
      <c r="C32" s="1657">
        <v>341</v>
      </c>
      <c r="D32" s="1660">
        <f>B32*C32/1000</f>
        <v>234.0624</v>
      </c>
      <c r="E32" s="1659">
        <f t="shared" si="0"/>
        <v>686.4</v>
      </c>
      <c r="F32" s="1657">
        <f>F31</f>
        <v>392</v>
      </c>
      <c r="G32" s="1660">
        <f>E32*F32/1000</f>
        <v>269.06880000000001</v>
      </c>
      <c r="H32" s="1659">
        <f t="shared" si="1"/>
        <v>686.4</v>
      </c>
      <c r="I32" s="1657">
        <f>I31</f>
        <v>452</v>
      </c>
      <c r="J32" s="1660">
        <f>H32*I32/1000</f>
        <v>310.25279999999998</v>
      </c>
    </row>
    <row r="33" spans="1:10">
      <c r="A33" s="1655" t="s">
        <v>411</v>
      </c>
      <c r="B33" s="1656">
        <f>объемы!U46</f>
        <v>978.7</v>
      </c>
      <c r="C33" s="1657"/>
      <c r="D33" s="1660"/>
      <c r="E33" s="1659">
        <f t="shared" si="0"/>
        <v>978.7</v>
      </c>
      <c r="F33" s="1657"/>
      <c r="G33" s="1660"/>
      <c r="H33" s="1659">
        <f t="shared" si="1"/>
        <v>978.7</v>
      </c>
      <c r="I33" s="1657"/>
      <c r="J33" s="1660"/>
    </row>
    <row r="34" spans="1:10">
      <c r="A34" s="1655" t="s">
        <v>412</v>
      </c>
      <c r="B34" s="1656">
        <f>B33*B30/(B30+B31)</f>
        <v>592.63196145649692</v>
      </c>
      <c r="C34" s="1657">
        <f>C30</f>
        <v>93</v>
      </c>
      <c r="D34" s="1660">
        <f>B34*C34/1000</f>
        <v>55.114772415454219</v>
      </c>
      <c r="E34" s="1659">
        <f t="shared" si="0"/>
        <v>592.63196145649692</v>
      </c>
      <c r="F34" s="1657">
        <f>F30</f>
        <v>107</v>
      </c>
      <c r="G34" s="1660">
        <f>E34*F34/1000</f>
        <v>63.411619875845169</v>
      </c>
      <c r="H34" s="1659">
        <f t="shared" si="1"/>
        <v>592.63196145649692</v>
      </c>
      <c r="I34" s="1657">
        <f>I30</f>
        <v>122</v>
      </c>
      <c r="J34" s="1660">
        <f>H34*I34/1000</f>
        <v>72.301099297692616</v>
      </c>
    </row>
    <row r="35" spans="1:10">
      <c r="A35" s="1655" t="s">
        <v>413</v>
      </c>
      <c r="B35" s="1656">
        <f>B33-B34</f>
        <v>386.06803854350312</v>
      </c>
      <c r="C35" s="1657">
        <v>341</v>
      </c>
      <c r="D35" s="1660">
        <f>B35*C35/1000</f>
        <v>131.64920114333455</v>
      </c>
      <c r="E35" s="1659">
        <f t="shared" si="0"/>
        <v>386.06803854350312</v>
      </c>
      <c r="F35" s="1657">
        <f>F32</f>
        <v>392</v>
      </c>
      <c r="G35" s="1660">
        <f>E35*F35/1000</f>
        <v>151.33867110905322</v>
      </c>
      <c r="H35" s="1659">
        <f t="shared" si="1"/>
        <v>386.06803854350312</v>
      </c>
      <c r="I35" s="1657">
        <f>I32</f>
        <v>452</v>
      </c>
      <c r="J35" s="1660">
        <f>H35*I35/1000</f>
        <v>174.50275342166341</v>
      </c>
    </row>
    <row r="36" spans="1:10" ht="13.5" thickBot="1">
      <c r="A36" s="831" t="s">
        <v>867</v>
      </c>
      <c r="B36" s="1661"/>
      <c r="C36" s="1662"/>
      <c r="D36" s="1663">
        <f>SUM(D30:D35)</f>
        <v>1186.1707105587886</v>
      </c>
      <c r="E36" s="831"/>
      <c r="F36" s="1662"/>
      <c r="G36" s="1663">
        <f>SUM(G30:G35)</f>
        <v>1363.8491949848983</v>
      </c>
      <c r="H36" s="831"/>
      <c r="I36" s="1662"/>
      <c r="J36" s="1663">
        <f>SUM(J30:J35)</f>
        <v>1568.4397767193559</v>
      </c>
    </row>
    <row r="37" spans="1:10">
      <c r="G37" s="1998">
        <f>G36/D36</f>
        <v>1.1497916639186005</v>
      </c>
      <c r="J37" s="1998">
        <f>J36/G36</f>
        <v>1.1500096803127291</v>
      </c>
    </row>
  </sheetData>
  <mergeCells count="8">
    <mergeCell ref="A27:D27"/>
    <mergeCell ref="E27:G27"/>
    <mergeCell ref="H27:J27"/>
    <mergeCell ref="A17:J17"/>
    <mergeCell ref="A2:G2"/>
    <mergeCell ref="A3:G3"/>
    <mergeCell ref="A4:D4"/>
    <mergeCell ref="E4:G4"/>
  </mergeCells>
  <phoneticPr fontId="7" type="noConversion"/>
  <printOptions horizontalCentered="1"/>
  <pageMargins left="0.35433070866141736" right="0.35433070866141736" top="0.74803149606299213" bottom="0.55118110236220474" header="0.51181102362204722" footer="0.51181102362204722"/>
  <pageSetup paperSize="9" scale="8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15"/>
  <sheetViews>
    <sheetView topLeftCell="A11" zoomScaleNormal="100" zoomScaleSheetLayoutView="75" workbookViewId="0">
      <selection activeCell="G2" sqref="G2:M10"/>
    </sheetView>
  </sheetViews>
  <sheetFormatPr defaultRowHeight="15"/>
  <cols>
    <col min="1" max="1" width="23.42578125" style="2049" customWidth="1"/>
    <col min="2" max="2" width="10.140625" style="2049" customWidth="1"/>
    <col min="3" max="3" width="16.5703125" style="2049" customWidth="1"/>
    <col min="4" max="4" width="15.85546875" style="2049" customWidth="1"/>
    <col min="5" max="5" width="14.85546875" style="2049" customWidth="1"/>
    <col min="6" max="6" width="16.5703125" style="2049" customWidth="1"/>
    <col min="7" max="7" width="21.42578125" style="2049" customWidth="1"/>
    <col min="8" max="8" width="9.140625" style="2049"/>
    <col min="9" max="11" width="14.7109375" style="2049" customWidth="1"/>
    <col min="12" max="12" width="17.5703125" style="2049" customWidth="1"/>
    <col min="13" max="13" width="31.5703125" style="2049" customWidth="1"/>
    <col min="14" max="16384" width="9.140625" style="2049"/>
  </cols>
  <sheetData>
    <row r="1" spans="1:13">
      <c r="E1" s="2295" t="s">
        <v>1542</v>
      </c>
    </row>
    <row r="2" spans="1:13" ht="33.75" customHeight="1">
      <c r="A2" s="5674" t="s">
        <v>1005</v>
      </c>
      <c r="B2" s="5674"/>
      <c r="C2" s="5674"/>
      <c r="D2" s="5674"/>
      <c r="E2" s="5674"/>
      <c r="F2" s="5674"/>
      <c r="G2" s="5675" t="s">
        <v>1701</v>
      </c>
      <c r="H2" s="5675"/>
      <c r="I2" s="5675"/>
      <c r="J2" s="5675"/>
      <c r="K2" s="5675"/>
      <c r="L2" s="5675"/>
      <c r="M2" s="5675"/>
    </row>
    <row r="3" spans="1:13">
      <c r="A3" s="5670" t="s">
        <v>1006</v>
      </c>
      <c r="B3" s="5670" t="s">
        <v>1007</v>
      </c>
      <c r="C3" s="2153" t="s">
        <v>362</v>
      </c>
      <c r="D3" s="2153" t="s">
        <v>352</v>
      </c>
      <c r="E3" s="2153" t="s">
        <v>1478</v>
      </c>
      <c r="F3" s="5672" t="s">
        <v>246</v>
      </c>
      <c r="G3" s="5676" t="s">
        <v>1006</v>
      </c>
      <c r="H3" s="5676" t="s">
        <v>1007</v>
      </c>
      <c r="I3" s="3477" t="s">
        <v>362</v>
      </c>
      <c r="J3" s="3477" t="s">
        <v>352</v>
      </c>
      <c r="K3" s="3477" t="s">
        <v>1478</v>
      </c>
      <c r="L3" s="5680" t="s">
        <v>1700</v>
      </c>
      <c r="M3" s="5678" t="s">
        <v>246</v>
      </c>
    </row>
    <row r="4" spans="1:13" ht="27" customHeight="1">
      <c r="A4" s="5671"/>
      <c r="B4" s="5671"/>
      <c r="C4" s="2153" t="s">
        <v>1008</v>
      </c>
      <c r="D4" s="2153" t="s">
        <v>1008</v>
      </c>
      <c r="E4" s="2153" t="s">
        <v>1008</v>
      </c>
      <c r="F4" s="5673"/>
      <c r="G4" s="5677"/>
      <c r="H4" s="5677"/>
      <c r="I4" s="3477" t="s">
        <v>1008</v>
      </c>
      <c r="J4" s="3477" t="s">
        <v>1008</v>
      </c>
      <c r="K4" s="3477" t="s">
        <v>1008</v>
      </c>
      <c r="L4" s="5681"/>
      <c r="M4" s="5679"/>
    </row>
    <row r="5" spans="1:13" ht="30">
      <c r="A5" s="2052" t="s">
        <v>1469</v>
      </c>
      <c r="B5" s="2050" t="s">
        <v>1009</v>
      </c>
      <c r="C5" s="2053">
        <v>94861.048999999999</v>
      </c>
      <c r="D5" s="2152">
        <v>71225.517999999996</v>
      </c>
      <c r="E5" s="2152">
        <v>3130.4870000000001</v>
      </c>
      <c r="F5" s="2050" t="s">
        <v>1476</v>
      </c>
      <c r="G5" s="3478" t="s">
        <v>1704</v>
      </c>
      <c r="H5" s="3479" t="s">
        <v>1009</v>
      </c>
      <c r="I5" s="3480">
        <f>94861.05+(L5/2)</f>
        <v>95000.930000000008</v>
      </c>
      <c r="J5" s="3481">
        <f>71225.52+(L5/2)</f>
        <v>71365.400000000009</v>
      </c>
      <c r="K5" s="3481">
        <v>3130.49</v>
      </c>
      <c r="L5" s="3482">
        <v>279.76</v>
      </c>
      <c r="M5" s="3483"/>
    </row>
    <row r="6" spans="1:13" ht="42.75" customHeight="1">
      <c r="A6" s="2150" t="s">
        <v>1475</v>
      </c>
      <c r="B6" s="2050" t="s">
        <v>1009</v>
      </c>
      <c r="C6" s="2152">
        <v>1106.2370000000001</v>
      </c>
      <c r="D6" s="2152">
        <v>1538.848</v>
      </c>
      <c r="E6" s="2152">
        <v>99.817999999999998</v>
      </c>
      <c r="F6" s="2151" t="s">
        <v>1476</v>
      </c>
      <c r="G6" s="3484" t="s">
        <v>1702</v>
      </c>
      <c r="H6" s="3479" t="s">
        <v>1009</v>
      </c>
      <c r="I6" s="3481">
        <f>SUM(106026.87-102197.89+90000)</f>
        <v>93828.98</v>
      </c>
      <c r="J6" s="3481">
        <f>118846.33-119658.42+1900</f>
        <v>1087.9100000000035</v>
      </c>
      <c r="K6" s="3481">
        <v>100</v>
      </c>
      <c r="L6" s="3482">
        <v>0</v>
      </c>
      <c r="M6" s="3485" t="s">
        <v>1703</v>
      </c>
    </row>
    <row r="7" spans="1:13" ht="45">
      <c r="A7" s="2052" t="s">
        <v>1477</v>
      </c>
      <c r="B7" s="2050" t="s">
        <v>1009</v>
      </c>
      <c r="C7" s="2053">
        <f>6102.07/3*4</f>
        <v>8136.0933333333332</v>
      </c>
      <c r="D7" s="2152">
        <f>3628.35/3*4</f>
        <v>4837.8</v>
      </c>
      <c r="E7" s="2152">
        <f>'ОХР '!AI23/3*4</f>
        <v>150.02666666666667</v>
      </c>
      <c r="F7" s="2050" t="s">
        <v>1479</v>
      </c>
      <c r="G7" s="3478" t="s">
        <v>1477</v>
      </c>
      <c r="H7" s="3479" t="s">
        <v>1009</v>
      </c>
      <c r="I7" s="3480">
        <f>8850.23+4473.91+ (L7/2)</f>
        <v>13334.654999999999</v>
      </c>
      <c r="J7" s="3481">
        <f>5124.24-4723.94+(L7/2)</f>
        <v>410.81500000000017</v>
      </c>
      <c r="K7" s="3481">
        <v>96.79</v>
      </c>
      <c r="L7" s="3482">
        <v>21.03</v>
      </c>
      <c r="M7" s="3483"/>
    </row>
    <row r="8" spans="1:13" ht="30">
      <c r="A8" s="2052" t="s">
        <v>1010</v>
      </c>
      <c r="B8" s="2050" t="s">
        <v>1009</v>
      </c>
      <c r="C8" s="2053">
        <f>C5+C6-C7</f>
        <v>87831.192666666655</v>
      </c>
      <c r="D8" s="2053">
        <f>D5+D6-D7</f>
        <v>67926.565999999992</v>
      </c>
      <c r="E8" s="2053">
        <f>E5+E6-E7</f>
        <v>3080.2783333333336</v>
      </c>
      <c r="F8" s="2051"/>
      <c r="G8" s="3478" t="s">
        <v>1705</v>
      </c>
      <c r="H8" s="3479" t="s">
        <v>1009</v>
      </c>
      <c r="I8" s="3480">
        <f>I5+I6-I7+(L8/2)</f>
        <v>175624.62</v>
      </c>
      <c r="J8" s="3480">
        <f>J5+J6-J7+(L8/2)</f>
        <v>72171.860000000015</v>
      </c>
      <c r="K8" s="3480">
        <f>K5+K6-K7</f>
        <v>3133.7</v>
      </c>
      <c r="L8" s="3480">
        <f>L5+L6-L7</f>
        <v>258.73</v>
      </c>
      <c r="M8" s="3486"/>
    </row>
    <row r="9" spans="1:13" ht="30">
      <c r="A9" s="2052" t="s">
        <v>1011</v>
      </c>
      <c r="B9" s="2050" t="s">
        <v>1009</v>
      </c>
      <c r="C9" s="2053">
        <f>C8</f>
        <v>87831.192666666655</v>
      </c>
      <c r="D9" s="2053">
        <f>D8</f>
        <v>67926.565999999992</v>
      </c>
      <c r="E9" s="2053">
        <f>E8</f>
        <v>3080.2783333333336</v>
      </c>
      <c r="F9" s="2051"/>
      <c r="G9" s="3478" t="s">
        <v>1013</v>
      </c>
      <c r="H9" s="3479" t="s">
        <v>44</v>
      </c>
      <c r="I9" s="3487">
        <v>2.2000000000000002</v>
      </c>
      <c r="J9" s="3487">
        <v>2.2000000000000002</v>
      </c>
      <c r="K9" s="3487">
        <v>2.2000000000000002</v>
      </c>
      <c r="L9" s="3487">
        <v>2.2000000000000002</v>
      </c>
      <c r="M9" s="3486"/>
    </row>
    <row r="10" spans="1:13" ht="45">
      <c r="A10" s="2150" t="s">
        <v>1475</v>
      </c>
      <c r="B10" s="2151"/>
      <c r="C10" s="2152">
        <v>0</v>
      </c>
      <c r="D10" s="2152">
        <v>0</v>
      </c>
      <c r="E10" s="2152">
        <v>0</v>
      </c>
      <c r="F10" s="2153"/>
      <c r="G10" s="3478" t="s">
        <v>1706</v>
      </c>
      <c r="H10" s="3479" t="s">
        <v>1009</v>
      </c>
      <c r="I10" s="3480">
        <f>SUM(I8*I9)/100</f>
        <v>3863.7416400000006</v>
      </c>
      <c r="J10" s="3480">
        <f t="shared" ref="J10:L10" si="0">SUM(J8*J9)/100</f>
        <v>1587.7809200000004</v>
      </c>
      <c r="K10" s="3480">
        <f t="shared" si="0"/>
        <v>68.941400000000002</v>
      </c>
      <c r="L10" s="3480">
        <f t="shared" si="0"/>
        <v>5.6920600000000015</v>
      </c>
      <c r="M10" s="3488"/>
    </row>
    <row r="11" spans="1:13" ht="45">
      <c r="A11" s="2052" t="s">
        <v>1477</v>
      </c>
      <c r="B11" s="2050" t="s">
        <v>1009</v>
      </c>
      <c r="C11" s="2053">
        <f>Аморт!V25</f>
        <v>8136.0933333333332</v>
      </c>
      <c r="D11" s="2053">
        <f>Аморт!V30</f>
        <v>4822.1000000000004</v>
      </c>
      <c r="E11" s="2053">
        <f>'ОХР '!AR23</f>
        <v>193.7</v>
      </c>
      <c r="F11" s="2050" t="s">
        <v>393</v>
      </c>
      <c r="G11" s="3478"/>
      <c r="H11" s="3479"/>
      <c r="I11" s="3480"/>
      <c r="J11" s="3480"/>
      <c r="K11" s="3480"/>
      <c r="L11" s="3480"/>
      <c r="M11" s="3483" t="s">
        <v>393</v>
      </c>
    </row>
    <row r="12" spans="1:13" ht="30">
      <c r="A12" s="2052" t="s">
        <v>1012</v>
      </c>
      <c r="B12" s="2050" t="s">
        <v>1009</v>
      </c>
      <c r="C12" s="2053">
        <f>C9-C11</f>
        <v>79695.099333333317</v>
      </c>
      <c r="D12" s="2053">
        <f>D9-D11</f>
        <v>63104.465999999993</v>
      </c>
      <c r="E12" s="2053">
        <f>E9-E11</f>
        <v>2886.5783333333338</v>
      </c>
      <c r="F12" s="2051"/>
      <c r="G12" s="3478"/>
      <c r="H12" s="3479"/>
      <c r="I12" s="3480"/>
      <c r="J12" s="3480"/>
      <c r="K12" s="3480"/>
      <c r="L12" s="3482"/>
      <c r="M12" s="3486"/>
    </row>
    <row r="13" spans="1:13" ht="45">
      <c r="A13" s="2052" t="s">
        <v>1470</v>
      </c>
      <c r="B13" s="2050" t="s">
        <v>1009</v>
      </c>
      <c r="C13" s="2053">
        <f>(C9+C12)/2</f>
        <v>83763.145999999979</v>
      </c>
      <c r="D13" s="2053">
        <f>(D9+D12)/2</f>
        <v>65515.515999999989</v>
      </c>
      <c r="E13" s="2053">
        <f>(E9+E12)/2</f>
        <v>2983.4283333333337</v>
      </c>
      <c r="F13" s="2051"/>
      <c r="G13" s="3478"/>
      <c r="H13" s="3479"/>
      <c r="I13" s="3480"/>
      <c r="J13" s="3480"/>
      <c r="K13" s="3480"/>
      <c r="L13" s="3482"/>
      <c r="M13" s="3489"/>
    </row>
    <row r="14" spans="1:13">
      <c r="A14" s="2052" t="s">
        <v>1013</v>
      </c>
      <c r="B14" s="2050" t="s">
        <v>44</v>
      </c>
      <c r="C14" s="2054">
        <v>2.2000000000000002</v>
      </c>
      <c r="D14" s="2054">
        <v>2.2000000000000002</v>
      </c>
      <c r="E14" s="2054">
        <v>2.2000000000000002</v>
      </c>
      <c r="F14" s="2051"/>
      <c r="G14" s="3478" t="s">
        <v>1013</v>
      </c>
      <c r="H14" s="3479" t="s">
        <v>44</v>
      </c>
      <c r="I14" s="3487">
        <v>2.2000000000000002</v>
      </c>
      <c r="J14" s="3487">
        <v>2.2000000000000002</v>
      </c>
      <c r="K14" s="3487">
        <v>2.2000000000000002</v>
      </c>
      <c r="L14" s="3487">
        <v>2.2000000000000002</v>
      </c>
      <c r="M14" s="3489"/>
    </row>
    <row r="15" spans="1:13" ht="45">
      <c r="A15" s="2052" t="s">
        <v>1471</v>
      </c>
      <c r="B15" s="2050" t="s">
        <v>1009</v>
      </c>
      <c r="C15" s="2053">
        <f>C13*C14/100</f>
        <v>1842.7892119999999</v>
      </c>
      <c r="D15" s="2053">
        <f>D13*D14/100</f>
        <v>1441.3413519999999</v>
      </c>
      <c r="E15" s="2053">
        <f>E13*E14/100</f>
        <v>65.63542333333335</v>
      </c>
      <c r="F15" s="2051"/>
      <c r="G15" s="3478" t="s">
        <v>1471</v>
      </c>
      <c r="H15" s="3479" t="s">
        <v>1009</v>
      </c>
      <c r="I15" s="3480">
        <f>SUM(I9*I14)/100</f>
        <v>4.8400000000000006E-2</v>
      </c>
      <c r="J15" s="3480">
        <f>SUM(J9*J14)/100</f>
        <v>4.8400000000000006E-2</v>
      </c>
      <c r="K15" s="3480">
        <f>SUM(K9*K14)/100</f>
        <v>4.8400000000000006E-2</v>
      </c>
      <c r="L15" s="3480">
        <f>SUM(L9*L14)/100</f>
        <v>4.8400000000000006E-2</v>
      </c>
      <c r="M15" s="3489"/>
    </row>
  </sheetData>
  <mergeCells count="9">
    <mergeCell ref="B3:B4"/>
    <mergeCell ref="A3:A4"/>
    <mergeCell ref="F3:F4"/>
    <mergeCell ref="A2:F2"/>
    <mergeCell ref="G2:M2"/>
    <mergeCell ref="G3:G4"/>
    <mergeCell ref="H3:H4"/>
    <mergeCell ref="M3:M4"/>
    <mergeCell ref="L3:L4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activeCell="E11" sqref="E1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1526</v>
      </c>
    </row>
    <row r="2" spans="1:7" ht="29.25" customHeight="1">
      <c r="A2" s="5684" t="s">
        <v>966</v>
      </c>
      <c r="B2" s="5684"/>
      <c r="C2" s="5684"/>
      <c r="D2" s="5684"/>
      <c r="E2" s="5684"/>
      <c r="F2" s="5684"/>
      <c r="G2" s="5684"/>
    </row>
    <row r="4" spans="1:7" ht="15.75" customHeight="1">
      <c r="A4" s="5685" t="s">
        <v>909</v>
      </c>
      <c r="B4" s="5685" t="s">
        <v>374</v>
      </c>
      <c r="C4" s="5685" t="s">
        <v>910</v>
      </c>
      <c r="D4" s="5686" t="s">
        <v>393</v>
      </c>
      <c r="E4" s="5687"/>
      <c r="F4" s="5688"/>
      <c r="G4" s="5689" t="s">
        <v>911</v>
      </c>
    </row>
    <row r="5" spans="1:7" ht="15.75">
      <c r="A5" s="5685"/>
      <c r="B5" s="5685"/>
      <c r="C5" s="5685"/>
      <c r="D5" s="1941" t="s">
        <v>833</v>
      </c>
      <c r="E5" s="1941" t="s">
        <v>912</v>
      </c>
      <c r="F5" s="1941" t="s">
        <v>913</v>
      </c>
      <c r="G5" s="5690"/>
    </row>
    <row r="6" spans="1:7" s="1946" customFormat="1" ht="21.75" customHeight="1">
      <c r="A6" s="1942"/>
      <c r="B6" s="1943" t="s">
        <v>914</v>
      </c>
      <c r="C6" s="5682" t="s">
        <v>915</v>
      </c>
      <c r="D6" s="5683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20"/>
      <c r="D7" s="4417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21"/>
      <c r="D8" s="4418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130130.57185020775</v>
      </c>
      <c r="E9" s="1951">
        <f>E10+E21+E23+E27</f>
        <v>131185.59302194096</v>
      </c>
      <c r="F9" s="1951">
        <f>F10+F21+F23+F27</f>
        <v>137276.94177829602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111940.96646089327</v>
      </c>
      <c r="E10" s="1956">
        <f>E11+E12+E13</f>
        <v>116732.41519587727</v>
      </c>
      <c r="F10" s="1956">
        <f>F11+F12+F13</f>
        <v>122533.69972573925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вода!BI111+вода!BI112+вода!BI113+вода!BI114+вода!BI115+вода!BI117-D14-D16-'цех вода'!AG18-'ОХР '!AS20-'ОХР '!AS16-'ОХР '!AS23</f>
        <v>93024.157639357698</v>
      </c>
      <c r="E11" s="1961">
        <f>D11*(1-E6)*(1+E7)*(1+E8)</f>
        <v>98908.865851623472</v>
      </c>
      <c r="F11" s="1961">
        <f>E11*(1-F6)*(1+F7)*(1+F8)</f>
        <v>103599.12427030745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вода!BI109+'цех вода'!AG18+'ОХР '!AS20+'ОХР '!AS16</f>
        <v>13383.894959795218</v>
      </c>
      <c r="E12" s="1961">
        <f>'электр 2017-2018'!BJ51+'цех вода'!AG18*1.06+'ОХР '!AS16*1.025+'ОХР '!AS20*1.066</f>
        <v>13888.068781878361</v>
      </c>
      <c r="F12" s="1961">
        <f>'электр 2017-2018'!BP51+'цех вода'!AG18*1.06*1.051+'ОХР '!AS16*1.025*1.03+'ОХР '!AS20*1.066*1.067</f>
        <v>14746.788242182742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5532.9138617403496</v>
      </c>
      <c r="E13" s="1961">
        <f t="shared" ref="E13:F13" si="0">E14+E15+E16+E17+E20</f>
        <v>3935.4805623754396</v>
      </c>
      <c r="F13" s="1961">
        <f t="shared" si="0"/>
        <v>4187.7872132490666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f>'цех вода'!AG24</f>
        <v>27.1</v>
      </c>
      <c r="E14" s="1966">
        <v>28.8</v>
      </c>
      <c r="F14" s="1966">
        <v>30.17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вода!BI116</f>
        <v>3107.8150351902632</v>
      </c>
      <c r="E15" s="1966">
        <f>вод.налог!G36+вода!BI45+вода!BI46+вода!BI47</f>
        <v>3285.4935196163729</v>
      </c>
      <c r="F15" s="1966">
        <f>вод.налог!J36+вода!BI45+вода!BI46+вода!BI47</f>
        <v>3490.0841013508307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f>'цех вода'!AG30+'цех вода'!AG41</f>
        <v>216.27343999999999</v>
      </c>
      <c r="E16" s="1966">
        <f>D16</f>
        <v>216.27343999999999</v>
      </c>
      <c r="F16" s="1966">
        <f>E16</f>
        <v>216.27343999999999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f>вода!BI118</f>
        <v>395.92538655008684</v>
      </c>
      <c r="E17" s="1966">
        <f>'Резерв ДЗ'!F17</f>
        <v>404.91360275906646</v>
      </c>
      <c r="F17" s="1966">
        <f>'Резерв ДЗ'!F27</f>
        <v>451.25967189823564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f>вода!BI119</f>
        <v>1785.8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вода!BI110+'ОХР '!AS23</f>
        <v>8206.2448250188718</v>
      </c>
      <c r="E21" s="1956">
        <f>D21</f>
        <v>8206.2448250188718</v>
      </c>
      <c r="F21" s="1956">
        <f>E21</f>
        <v>8206.2448250188718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2219">
        <f>D23/(D10+D21)*100</f>
        <v>3.3092736464256207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3976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f>вода!BI57</f>
        <v>3976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f>вода!BI54</f>
        <v>6007.360564295609</v>
      </c>
      <c r="E27" s="1956">
        <f>(E10+E21)*0.05</f>
        <v>6246.9330010448075</v>
      </c>
      <c r="F27" s="1956">
        <f>(F10+F21)*0.05</f>
        <v>6536.9972275379068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объемы!U48</f>
        <v>3989.2170000000001</v>
      </c>
      <c r="E28" s="1951">
        <f>объемы!Y48</f>
        <v>3896.5802784767593</v>
      </c>
      <c r="F28" s="1951">
        <f>E28</f>
        <v>3896.5802784767593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f>объемы!U49</f>
        <v>2428.56</v>
      </c>
      <c r="E29" s="1951">
        <f>объемы!Y49</f>
        <v>2388.7333333333331</v>
      </c>
      <c r="F29" s="1951">
        <f>E29</f>
        <v>2388.7333333333331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32.620579890792541</v>
      </c>
      <c r="E30" s="1977">
        <f>E9/E28</f>
        <v>33.666852379908796</v>
      </c>
      <c r="F30" s="1977">
        <f>F9/F28</f>
        <v>35.230107419206043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f>вода!BI101</f>
        <v>31.52</v>
      </c>
      <c r="E31" s="1977">
        <f>D32</f>
        <v>33.721159781585087</v>
      </c>
      <c r="F31" s="1977">
        <f>E32</f>
        <v>33.612544978232506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33.721159781585087</v>
      </c>
      <c r="E32" s="1977">
        <f>E30*2-E31</f>
        <v>33.612544978232506</v>
      </c>
      <c r="F32" s="1977">
        <f>F30*2-F31</f>
        <v>36.847669860179579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106.98337494157705</v>
      </c>
      <c r="E35" s="1977">
        <f>E32/E31*100</f>
        <v>99.677903120604128</v>
      </c>
      <c r="F35" s="1977">
        <f>F32/F31*100</f>
        <v>109.62475434110132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1982">
        <v>25.95</v>
      </c>
      <c r="E38" s="2258">
        <f>D39</f>
        <v>27.796610169491526</v>
      </c>
      <c r="F38" s="2258">
        <f>E39</f>
        <v>29.381016949152542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32.8/1.18</f>
        <v>27.796610169491526</v>
      </c>
      <c r="E39" s="2257">
        <f>E38*1.057</f>
        <v>29.381016949152542</v>
      </c>
      <c r="F39" s="2257">
        <f>F38*1.046</f>
        <v>30.73254372881356</v>
      </c>
      <c r="G39" s="1982"/>
    </row>
    <row r="40" spans="1:7" ht="15.75">
      <c r="A40" s="1982"/>
      <c r="B40" s="1983" t="s">
        <v>364</v>
      </c>
      <c r="C40" s="1984" t="s">
        <v>44</v>
      </c>
      <c r="D40" s="1982">
        <f>D39/D38*100</f>
        <v>107.11603148166292</v>
      </c>
      <c r="E40" s="1982">
        <f>E39/E38*100</f>
        <v>105.69999999999999</v>
      </c>
      <c r="F40" s="1982">
        <f>F39/F38*100</f>
        <v>104.60000000000001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13957.601702972968</v>
      </c>
      <c r="E41" s="1982">
        <f>(E31-E38)*E29/2+(E32-E39)*E29/2</f>
        <v>12130.080598696284</v>
      </c>
      <c r="F41" s="1982">
        <f>(F31-F38)*F29/2+(F32-F39)*F29/2</f>
        <v>12357.698840764666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1527</v>
      </c>
    </row>
    <row r="2" spans="1:7" ht="29.25" customHeight="1">
      <c r="A2" s="5684" t="s">
        <v>1002</v>
      </c>
      <c r="B2" s="5684"/>
      <c r="C2" s="5684"/>
      <c r="D2" s="5684"/>
      <c r="E2" s="5684"/>
      <c r="F2" s="5684"/>
      <c r="G2" s="5684"/>
    </row>
    <row r="4" spans="1:7" ht="15.75" customHeight="1">
      <c r="A4" s="5685" t="s">
        <v>909</v>
      </c>
      <c r="B4" s="5685" t="s">
        <v>374</v>
      </c>
      <c r="C4" s="5685" t="s">
        <v>910</v>
      </c>
      <c r="D4" s="5686" t="s">
        <v>393</v>
      </c>
      <c r="E4" s="5687"/>
      <c r="F4" s="5688"/>
      <c r="G4" s="5689" t="s">
        <v>911</v>
      </c>
    </row>
    <row r="5" spans="1:7" ht="15.75">
      <c r="A5" s="5685"/>
      <c r="B5" s="5685"/>
      <c r="C5" s="5685"/>
      <c r="D5" s="1941" t="s">
        <v>833</v>
      </c>
      <c r="E5" s="1941" t="s">
        <v>912</v>
      </c>
      <c r="F5" s="1941" t="s">
        <v>913</v>
      </c>
      <c r="G5" s="5690"/>
    </row>
    <row r="6" spans="1:7" s="1946" customFormat="1" ht="21.75" customHeight="1">
      <c r="A6" s="1942"/>
      <c r="B6" s="1943" t="s">
        <v>914</v>
      </c>
      <c r="C6" s="5682" t="s">
        <v>915</v>
      </c>
      <c r="D6" s="5683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20"/>
      <c r="D7" s="4417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21"/>
      <c r="D8" s="4418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343.9835261858193</v>
      </c>
      <c r="E9" s="1951">
        <f>E10+E21+E23+E27</f>
        <v>365.47057324836703</v>
      </c>
      <c r="F9" s="1951">
        <f>F10+F21+F23+F27</f>
        <v>383.9150064552764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308.73219768114552</v>
      </c>
      <c r="E10" s="1956">
        <f>E11+E12+E13</f>
        <v>330.21924474369331</v>
      </c>
      <c r="F10" s="1956">
        <f>F11+F12+F13</f>
        <v>348.66367795060262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вода!BJ111+вода!BJ112+вода!BJ113+вода!BJ114+вода!BJ115+вода!BJ117</f>
        <v>270.46955781056386</v>
      </c>
      <c r="E11" s="1961">
        <f>D11*(1-E6)*(1+E7)*(1+E8)</f>
        <v>287.57946203766011</v>
      </c>
      <c r="F11" s="1961">
        <f>E11*(1-F6)*(1+F7)*(1+F8)</f>
        <v>301.21648012748597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вода!BJ109</f>
        <v>20.640199168723029</v>
      </c>
      <c r="E12" s="1961">
        <f>D12*1.084</f>
        <v>22.373975898895765</v>
      </c>
      <c r="F12" s="1961">
        <f>E12*1.079</f>
        <v>24.141519994908528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17.622440701858665</v>
      </c>
      <c r="E13" s="1961">
        <f t="shared" ref="E13:F13" si="0">E14+E15+E16+E17+E20</f>
        <v>20.265806807137462</v>
      </c>
      <c r="F13" s="1961">
        <f t="shared" si="0"/>
        <v>23.305677828208079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v>0</v>
      </c>
      <c r="E14" s="1966">
        <v>0</v>
      </c>
      <c r="F14" s="1966">
        <f>E14*1.079</f>
        <v>0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вода!BJ116</f>
        <v>17.622440701858665</v>
      </c>
      <c r="E15" s="1966">
        <f>D15*1.15</f>
        <v>20.265806807137462</v>
      </c>
      <c r="F15" s="1966">
        <f>E15*1.15</f>
        <v>23.305677828208079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v>0</v>
      </c>
      <c r="E16" s="1966">
        <f>D16</f>
        <v>0</v>
      </c>
      <c r="F16" s="1966">
        <f>E16</f>
        <v>0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v>0</v>
      </c>
      <c r="E17" s="1966">
        <v>0</v>
      </c>
      <c r="F17" s="1966">
        <v>0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v>0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вода!BJ110</f>
        <v>35.251328504673751</v>
      </c>
      <c r="E21" s="1956">
        <f>D21</f>
        <v>35.251328504673751</v>
      </c>
      <c r="F21" s="1956">
        <f>E21</f>
        <v>35.251328504673751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0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v>0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v>0</v>
      </c>
      <c r="E27" s="1956">
        <v>0</v>
      </c>
      <c r="F27" s="1956">
        <v>0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объемы!V38</f>
        <v>21.419999999999998</v>
      </c>
      <c r="E28" s="1951">
        <f>D28</f>
        <v>21.419999999999998</v>
      </c>
      <c r="F28" s="1951">
        <f>E28</f>
        <v>21.419999999999998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v>0</v>
      </c>
      <c r="E29" s="1951">
        <v>0</v>
      </c>
      <c r="F29" s="1951">
        <f>E29</f>
        <v>0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16.058988150598474</v>
      </c>
      <c r="E30" s="1977">
        <f>E9/E28</f>
        <v>17.062118265563356</v>
      </c>
      <c r="F30" s="1977">
        <f>F9/F28</f>
        <v>17.923202915745865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18.420000000000002</v>
      </c>
      <c r="E31" s="1977">
        <f>D32</f>
        <v>13.697976301196945</v>
      </c>
      <c r="F31" s="1977">
        <f>E32</f>
        <v>20.426260229929767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13.697976301196945</v>
      </c>
      <c r="E32" s="1977">
        <f>E30*2-E31</f>
        <v>20.426260229929767</v>
      </c>
      <c r="F32" s="1977">
        <f>F30*2-F31</f>
        <v>15.420145601561963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74.364692188908492</v>
      </c>
      <c r="E35" s="1977">
        <f>E32/E31*100</f>
        <v>149.11881712151083</v>
      </c>
      <c r="F35" s="1977">
        <f>F32/F31*100</f>
        <v>75.491771024083263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1982"/>
      <c r="E38" s="1985">
        <f>D39</f>
        <v>0</v>
      </c>
      <c r="F38" s="1985">
        <f>E39</f>
        <v>0</v>
      </c>
      <c r="G38" s="1982"/>
    </row>
    <row r="39" spans="1:7" ht="15.75">
      <c r="A39" s="1982"/>
      <c r="B39" s="1983" t="s">
        <v>960</v>
      </c>
      <c r="C39" s="1984" t="s">
        <v>964</v>
      </c>
      <c r="D39" s="1982"/>
      <c r="E39" s="1982"/>
      <c r="F39" s="1982"/>
      <c r="G39" s="1982"/>
    </row>
    <row r="40" spans="1:7" ht="15.75">
      <c r="A40" s="1982"/>
      <c r="B40" s="1983" t="s">
        <v>364</v>
      </c>
      <c r="C40" s="1984" t="s">
        <v>44</v>
      </c>
      <c r="D40" s="1982" t="e">
        <f>D39/D38*100</f>
        <v>#DIV/0!</v>
      </c>
      <c r="E40" s="1982" t="e">
        <f>E39/E38*100</f>
        <v>#DIV/0!</v>
      </c>
      <c r="F40" s="1982" t="e">
        <f>F39/F38*100</f>
        <v>#DIV/0!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0</v>
      </c>
      <c r="E41" s="1982">
        <f>(E31-E38)*E29/2+(E32-E39)*E29/2</f>
        <v>0</v>
      </c>
      <c r="F41" s="1982">
        <f>(F31-F38)*F29/2+(F32-F39)*F29/2</f>
        <v>0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topLeftCell="A21" zoomScale="75" zoomScaleSheetLayoutView="75" workbookViewId="0">
      <selection activeCell="D20" sqref="D20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1529</v>
      </c>
    </row>
    <row r="2" spans="1:7" ht="29.25" customHeight="1">
      <c r="A2" s="5684" t="s">
        <v>1003</v>
      </c>
      <c r="B2" s="5684"/>
      <c r="C2" s="5684"/>
      <c r="D2" s="5684"/>
      <c r="E2" s="5684"/>
      <c r="F2" s="5684"/>
      <c r="G2" s="5684"/>
    </row>
    <row r="4" spans="1:7" ht="15.75" customHeight="1">
      <c r="A4" s="5685" t="s">
        <v>909</v>
      </c>
      <c r="B4" s="5685" t="s">
        <v>374</v>
      </c>
      <c r="C4" s="5685" t="s">
        <v>910</v>
      </c>
      <c r="D4" s="5686" t="s">
        <v>393</v>
      </c>
      <c r="E4" s="5687"/>
      <c r="F4" s="5688"/>
      <c r="G4" s="5689" t="s">
        <v>911</v>
      </c>
    </row>
    <row r="5" spans="1:7" ht="15.75">
      <c r="A5" s="5685"/>
      <c r="B5" s="5685"/>
      <c r="C5" s="5685"/>
      <c r="D5" s="1941" t="s">
        <v>833</v>
      </c>
      <c r="E5" s="1941" t="s">
        <v>912</v>
      </c>
      <c r="F5" s="1941" t="s">
        <v>913</v>
      </c>
      <c r="G5" s="5690"/>
    </row>
    <row r="6" spans="1:7" s="1946" customFormat="1" ht="21.75" customHeight="1">
      <c r="A6" s="1942"/>
      <c r="B6" s="1943" t="s">
        <v>914</v>
      </c>
      <c r="C6" s="5682" t="s">
        <v>915</v>
      </c>
      <c r="D6" s="5683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20"/>
      <c r="D7" s="4417"/>
      <c r="E7" s="1947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21"/>
      <c r="D8" s="4418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85119.655094018468</v>
      </c>
      <c r="E9" s="1951">
        <f>E10+E21+E23+E27</f>
        <v>90133.689127036545</v>
      </c>
      <c r="F9" s="1951">
        <f>F10+F21+F23+F27</f>
        <v>94243.210850660835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76161.379824975069</v>
      </c>
      <c r="E10" s="1956">
        <f>E11+E12+E13</f>
        <v>80937.507475468476</v>
      </c>
      <c r="F10" s="1956">
        <f>F11+F12+F13</f>
        <v>84851.337688443993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стоки!BE76+стоки!BE77+стоки!BE78+стоки!BE80+стоки!BE79+стоки!BE82-D14-D16-'цех стоки'!AH19-'ОХР '!AT20-'ОХР '!AT16-'ОХР '!AT23</f>
        <v>65769.141399448839</v>
      </c>
      <c r="E11" s="1961">
        <f>D11*(1-E6)*(1+E7)*(1+E8)</f>
        <v>69929.69728437798</v>
      </c>
      <c r="F11" s="1961">
        <f>E11*(1-F6)*(1+F7)*(1+F8)</f>
        <v>73245.763529603195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стоки!BE74+'цех стоки'!AH19+'ОХР '!AT20+'ОХР '!AT16</f>
        <v>7932.8598693269896</v>
      </c>
      <c r="E12" s="1961">
        <f>'электр 2017-2018'!BJ55+'цех стоки'!AH19*1.06+'ОХР '!AT16*1.025+'ОХР '!AT20*1.066</f>
        <v>8487.4846372203374</v>
      </c>
      <c r="F12" s="1961">
        <f>'электр 2017-2018'!BP55+'цех стоки'!AH19*1.06*1.051+'ОХР '!AT16*1.025*1.03+'ОХР '!AT20*1.066*1.067</f>
        <v>9049.0266013567143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2459.3785561992449</v>
      </c>
      <c r="E13" s="1961">
        <f t="shared" ref="E13:F13" si="0">E14+E15+E16+E17+E20</f>
        <v>2520.3255538701665</v>
      </c>
      <c r="F13" s="1961">
        <f t="shared" si="0"/>
        <v>2556.5475574840766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f>'цех стоки'!AH38</f>
        <v>318.05</v>
      </c>
      <c r="E14" s="1966">
        <v>337.9</v>
      </c>
      <c r="F14" s="1966">
        <v>353.77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стоки!BE81</f>
        <v>1676.7689960276371</v>
      </c>
      <c r="E15" s="1966">
        <f>D15</f>
        <v>1676.7689960276371</v>
      </c>
      <c r="F15" s="1966">
        <f>E15</f>
        <v>1676.7689960276371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f>'цех стоки'!AH43+'цех стоки'!AH29</f>
        <v>152.0548</v>
      </c>
      <c r="E16" s="1966">
        <f>D16</f>
        <v>152.0548</v>
      </c>
      <c r="F16" s="1966">
        <f>E16</f>
        <v>152.0548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f>стоки!BE83</f>
        <v>286.40476017160813</v>
      </c>
      <c r="E17" s="1966">
        <f>'Резерв ДЗ'!F22</f>
        <v>353.60175784252925</v>
      </c>
      <c r="F17" s="1966">
        <f>'Резерв ДЗ'!F32</f>
        <v>373.95376145643951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/>
      <c r="E18" s="1966"/>
      <c r="F18" s="1966"/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/>
      <c r="E19" s="1966"/>
      <c r="F19" s="1966"/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f>стоки!BE84</f>
        <v>26.100000000000009</v>
      </c>
      <c r="E20" s="1966"/>
      <c r="F20" s="1966"/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стоки!BE75+'ОХР '!AT23</f>
        <v>4904.1012169472751</v>
      </c>
      <c r="E21" s="1956">
        <f>D21</f>
        <v>4904.1012169472751</v>
      </c>
      <c r="F21" s="1956">
        <f>E21</f>
        <v>4904.1012169472751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1.1102136056339103E-3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0.9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f>стоки!BE92</f>
        <v>0.9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f>стоки!BE89</f>
        <v>4053.2740520961179</v>
      </c>
      <c r="E27" s="1956">
        <f>(E10+E21)*0.05</f>
        <v>4292.0804346207879</v>
      </c>
      <c r="F27" s="1956">
        <f>(F10+F21)*0.05</f>
        <v>4487.7719452695637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объемы!U57</f>
        <v>3445</v>
      </c>
      <c r="E28" s="1951">
        <f>D28</f>
        <v>3445</v>
      </c>
      <c r="F28" s="1951">
        <f>E28</f>
        <v>3445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f>объемы!U58</f>
        <v>2448</v>
      </c>
      <c r="E29" s="1951">
        <f>D29</f>
        <v>2448</v>
      </c>
      <c r="F29" s="1951">
        <f>E29</f>
        <v>2448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24.708172741369658</v>
      </c>
      <c r="E30" s="1977">
        <f>E9/E28</f>
        <v>26.163625290866921</v>
      </c>
      <c r="F30" s="1977">
        <f>F9/F28</f>
        <v>27.356519840540155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24.29</v>
      </c>
      <c r="E31" s="1977">
        <f>D32</f>
        <v>25.126345482739318</v>
      </c>
      <c r="F31" s="1977">
        <f>E32</f>
        <v>27.200905098994525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25.126345482739318</v>
      </c>
      <c r="E32" s="1977">
        <f>E30*2-E31</f>
        <v>27.200905098994525</v>
      </c>
      <c r="F32" s="1977">
        <f>F30*2-F31</f>
        <v>27.512134582085785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103.44316789929732</v>
      </c>
      <c r="E35" s="1977">
        <f>E32/E31*100</f>
        <v>108.2565115475322</v>
      </c>
      <c r="F35" s="1977">
        <f>F32/F31*100</f>
        <v>101.14418796712307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2257">
        <v>21.01</v>
      </c>
      <c r="E38" s="2258">
        <f>D39</f>
        <v>22.500000000000004</v>
      </c>
      <c r="F38" s="2258">
        <f>E39</f>
        <v>23.782500000000002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26.55/1.18</f>
        <v>22.500000000000004</v>
      </c>
      <c r="E39" s="2257">
        <f>E38*1.057</f>
        <v>23.782500000000002</v>
      </c>
      <c r="F39" s="2257">
        <f>F38*1.047</f>
        <v>24.900277500000001</v>
      </c>
      <c r="G39" s="1982"/>
    </row>
    <row r="40" spans="1:7" ht="15.75">
      <c r="A40" s="1982"/>
      <c r="B40" s="1983" t="s">
        <v>364</v>
      </c>
      <c r="C40" s="1984" t="s">
        <v>44</v>
      </c>
      <c r="D40" s="1982">
        <f>D39/D38*100</f>
        <v>107.09186101856261</v>
      </c>
      <c r="E40" s="1982">
        <f>E39/E38*100</f>
        <v>105.69999999999999</v>
      </c>
      <c r="F40" s="1982">
        <f>F39/F38*100</f>
        <v>104.69999999999999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7229.3668708729174</v>
      </c>
      <c r="E41" s="1982">
        <f>(E31-E38)*E29/2+(E32-E39)*E29/2</f>
        <v>7398.7747120422155</v>
      </c>
      <c r="F41" s="1982">
        <f>(F31-F38)*F29/2+(F32-F39)*F29/2</f>
        <v>7381.0409096422954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940" customWidth="1"/>
    <col min="2" max="2" width="81.85546875" style="1979" customWidth="1"/>
    <col min="3" max="3" width="12.7109375" style="1940" customWidth="1"/>
    <col min="4" max="4" width="12.42578125" style="1940" customWidth="1"/>
    <col min="5" max="5" width="14.5703125" style="1940" customWidth="1"/>
    <col min="6" max="6" width="12.28515625" style="1940" customWidth="1"/>
    <col min="7" max="7" width="38.140625" style="1940" customWidth="1"/>
    <col min="8" max="8" width="46.85546875" style="1940" customWidth="1"/>
    <col min="9" max="11" width="12.7109375" style="1940" customWidth="1"/>
    <col min="12" max="12" width="9.28515625" style="1940" customWidth="1"/>
    <col min="13" max="13" width="13.5703125" style="1940" customWidth="1"/>
    <col min="14" max="14" width="10.28515625" style="1940" customWidth="1"/>
    <col min="15" max="15" width="12.85546875" style="1940" customWidth="1"/>
    <col min="16" max="16" width="9.140625" style="1940" customWidth="1"/>
    <col min="17" max="17" width="9.7109375" style="1940" customWidth="1"/>
    <col min="18" max="18" width="9.28515625" style="1940" customWidth="1"/>
    <col min="19" max="19" width="9.42578125" style="1940" customWidth="1"/>
    <col min="20" max="20" width="10.5703125" style="1940" customWidth="1"/>
    <col min="21" max="21" width="12.42578125" style="1940" customWidth="1"/>
    <col min="22" max="22" width="14.5703125" style="1940" customWidth="1"/>
    <col min="23" max="23" width="12.28515625" style="1940" customWidth="1"/>
    <col min="24" max="24" width="25.85546875" style="1940" customWidth="1"/>
    <col min="25" max="256" width="0.85546875" style="1940"/>
    <col min="257" max="257" width="9.85546875" style="1940" customWidth="1"/>
    <col min="258" max="258" width="81.85546875" style="1940" customWidth="1"/>
    <col min="259" max="259" width="12.7109375" style="1940" customWidth="1"/>
    <col min="260" max="260" width="12.42578125" style="1940" customWidth="1"/>
    <col min="261" max="261" width="14.5703125" style="1940" customWidth="1"/>
    <col min="262" max="262" width="12.28515625" style="1940" customWidth="1"/>
    <col min="263" max="263" width="38.140625" style="1940" customWidth="1"/>
    <col min="264" max="264" width="46.85546875" style="1940" customWidth="1"/>
    <col min="265" max="267" width="12.7109375" style="1940" customWidth="1"/>
    <col min="268" max="268" width="9.28515625" style="1940" customWidth="1"/>
    <col min="269" max="269" width="13.5703125" style="1940" customWidth="1"/>
    <col min="270" max="270" width="10.28515625" style="1940" customWidth="1"/>
    <col min="271" max="271" width="12.85546875" style="1940" customWidth="1"/>
    <col min="272" max="272" width="9.140625" style="1940" customWidth="1"/>
    <col min="273" max="273" width="9.7109375" style="1940" customWidth="1"/>
    <col min="274" max="274" width="9.28515625" style="1940" customWidth="1"/>
    <col min="275" max="275" width="9.42578125" style="1940" customWidth="1"/>
    <col min="276" max="276" width="10.5703125" style="1940" customWidth="1"/>
    <col min="277" max="277" width="12.42578125" style="1940" customWidth="1"/>
    <col min="278" max="278" width="14.5703125" style="1940" customWidth="1"/>
    <col min="279" max="279" width="12.28515625" style="1940" customWidth="1"/>
    <col min="280" max="280" width="25.85546875" style="1940" customWidth="1"/>
    <col min="281" max="512" width="0.85546875" style="1940"/>
    <col min="513" max="513" width="9.85546875" style="1940" customWidth="1"/>
    <col min="514" max="514" width="81.85546875" style="1940" customWidth="1"/>
    <col min="515" max="515" width="12.7109375" style="1940" customWidth="1"/>
    <col min="516" max="516" width="12.42578125" style="1940" customWidth="1"/>
    <col min="517" max="517" width="14.5703125" style="1940" customWidth="1"/>
    <col min="518" max="518" width="12.28515625" style="1940" customWidth="1"/>
    <col min="519" max="519" width="38.140625" style="1940" customWidth="1"/>
    <col min="520" max="520" width="46.85546875" style="1940" customWidth="1"/>
    <col min="521" max="523" width="12.7109375" style="1940" customWidth="1"/>
    <col min="524" max="524" width="9.28515625" style="1940" customWidth="1"/>
    <col min="525" max="525" width="13.5703125" style="1940" customWidth="1"/>
    <col min="526" max="526" width="10.28515625" style="1940" customWidth="1"/>
    <col min="527" max="527" width="12.85546875" style="1940" customWidth="1"/>
    <col min="528" max="528" width="9.140625" style="1940" customWidth="1"/>
    <col min="529" max="529" width="9.7109375" style="1940" customWidth="1"/>
    <col min="530" max="530" width="9.28515625" style="1940" customWidth="1"/>
    <col min="531" max="531" width="9.42578125" style="1940" customWidth="1"/>
    <col min="532" max="532" width="10.5703125" style="1940" customWidth="1"/>
    <col min="533" max="533" width="12.42578125" style="1940" customWidth="1"/>
    <col min="534" max="534" width="14.5703125" style="1940" customWidth="1"/>
    <col min="535" max="535" width="12.28515625" style="1940" customWidth="1"/>
    <col min="536" max="536" width="25.85546875" style="1940" customWidth="1"/>
    <col min="537" max="768" width="0.85546875" style="1940"/>
    <col min="769" max="769" width="9.85546875" style="1940" customWidth="1"/>
    <col min="770" max="770" width="81.85546875" style="1940" customWidth="1"/>
    <col min="771" max="771" width="12.7109375" style="1940" customWidth="1"/>
    <col min="772" max="772" width="12.42578125" style="1940" customWidth="1"/>
    <col min="773" max="773" width="14.5703125" style="1940" customWidth="1"/>
    <col min="774" max="774" width="12.28515625" style="1940" customWidth="1"/>
    <col min="775" max="775" width="38.140625" style="1940" customWidth="1"/>
    <col min="776" max="776" width="46.85546875" style="1940" customWidth="1"/>
    <col min="777" max="779" width="12.7109375" style="1940" customWidth="1"/>
    <col min="780" max="780" width="9.28515625" style="1940" customWidth="1"/>
    <col min="781" max="781" width="13.5703125" style="1940" customWidth="1"/>
    <col min="782" max="782" width="10.28515625" style="1940" customWidth="1"/>
    <col min="783" max="783" width="12.85546875" style="1940" customWidth="1"/>
    <col min="784" max="784" width="9.140625" style="1940" customWidth="1"/>
    <col min="785" max="785" width="9.7109375" style="1940" customWidth="1"/>
    <col min="786" max="786" width="9.28515625" style="1940" customWidth="1"/>
    <col min="787" max="787" width="9.42578125" style="1940" customWidth="1"/>
    <col min="788" max="788" width="10.5703125" style="1940" customWidth="1"/>
    <col min="789" max="789" width="12.42578125" style="1940" customWidth="1"/>
    <col min="790" max="790" width="14.5703125" style="1940" customWidth="1"/>
    <col min="791" max="791" width="12.28515625" style="1940" customWidth="1"/>
    <col min="792" max="792" width="25.85546875" style="1940" customWidth="1"/>
    <col min="793" max="1024" width="0.85546875" style="1940"/>
    <col min="1025" max="1025" width="9.85546875" style="1940" customWidth="1"/>
    <col min="1026" max="1026" width="81.85546875" style="1940" customWidth="1"/>
    <col min="1027" max="1027" width="12.7109375" style="1940" customWidth="1"/>
    <col min="1028" max="1028" width="12.42578125" style="1940" customWidth="1"/>
    <col min="1029" max="1029" width="14.5703125" style="1940" customWidth="1"/>
    <col min="1030" max="1030" width="12.28515625" style="1940" customWidth="1"/>
    <col min="1031" max="1031" width="38.140625" style="1940" customWidth="1"/>
    <col min="1032" max="1032" width="46.85546875" style="1940" customWidth="1"/>
    <col min="1033" max="1035" width="12.7109375" style="1940" customWidth="1"/>
    <col min="1036" max="1036" width="9.28515625" style="1940" customWidth="1"/>
    <col min="1037" max="1037" width="13.5703125" style="1940" customWidth="1"/>
    <col min="1038" max="1038" width="10.28515625" style="1940" customWidth="1"/>
    <col min="1039" max="1039" width="12.85546875" style="1940" customWidth="1"/>
    <col min="1040" max="1040" width="9.140625" style="1940" customWidth="1"/>
    <col min="1041" max="1041" width="9.7109375" style="1940" customWidth="1"/>
    <col min="1042" max="1042" width="9.28515625" style="1940" customWidth="1"/>
    <col min="1043" max="1043" width="9.42578125" style="1940" customWidth="1"/>
    <col min="1044" max="1044" width="10.5703125" style="1940" customWidth="1"/>
    <col min="1045" max="1045" width="12.42578125" style="1940" customWidth="1"/>
    <col min="1046" max="1046" width="14.5703125" style="1940" customWidth="1"/>
    <col min="1047" max="1047" width="12.28515625" style="1940" customWidth="1"/>
    <col min="1048" max="1048" width="25.85546875" style="1940" customWidth="1"/>
    <col min="1049" max="1280" width="0.85546875" style="1940"/>
    <col min="1281" max="1281" width="9.85546875" style="1940" customWidth="1"/>
    <col min="1282" max="1282" width="81.85546875" style="1940" customWidth="1"/>
    <col min="1283" max="1283" width="12.7109375" style="1940" customWidth="1"/>
    <col min="1284" max="1284" width="12.42578125" style="1940" customWidth="1"/>
    <col min="1285" max="1285" width="14.5703125" style="1940" customWidth="1"/>
    <col min="1286" max="1286" width="12.28515625" style="1940" customWidth="1"/>
    <col min="1287" max="1287" width="38.140625" style="1940" customWidth="1"/>
    <col min="1288" max="1288" width="46.85546875" style="1940" customWidth="1"/>
    <col min="1289" max="1291" width="12.7109375" style="1940" customWidth="1"/>
    <col min="1292" max="1292" width="9.28515625" style="1940" customWidth="1"/>
    <col min="1293" max="1293" width="13.5703125" style="1940" customWidth="1"/>
    <col min="1294" max="1294" width="10.28515625" style="1940" customWidth="1"/>
    <col min="1295" max="1295" width="12.85546875" style="1940" customWidth="1"/>
    <col min="1296" max="1296" width="9.140625" style="1940" customWidth="1"/>
    <col min="1297" max="1297" width="9.7109375" style="1940" customWidth="1"/>
    <col min="1298" max="1298" width="9.28515625" style="1940" customWidth="1"/>
    <col min="1299" max="1299" width="9.42578125" style="1940" customWidth="1"/>
    <col min="1300" max="1300" width="10.5703125" style="1940" customWidth="1"/>
    <col min="1301" max="1301" width="12.42578125" style="1940" customWidth="1"/>
    <col min="1302" max="1302" width="14.5703125" style="1940" customWidth="1"/>
    <col min="1303" max="1303" width="12.28515625" style="1940" customWidth="1"/>
    <col min="1304" max="1304" width="25.85546875" style="1940" customWidth="1"/>
    <col min="1305" max="1536" width="0.85546875" style="1940"/>
    <col min="1537" max="1537" width="9.85546875" style="1940" customWidth="1"/>
    <col min="1538" max="1538" width="81.85546875" style="1940" customWidth="1"/>
    <col min="1539" max="1539" width="12.7109375" style="1940" customWidth="1"/>
    <col min="1540" max="1540" width="12.42578125" style="1940" customWidth="1"/>
    <col min="1541" max="1541" width="14.5703125" style="1940" customWidth="1"/>
    <col min="1542" max="1542" width="12.28515625" style="1940" customWidth="1"/>
    <col min="1543" max="1543" width="38.140625" style="1940" customWidth="1"/>
    <col min="1544" max="1544" width="46.85546875" style="1940" customWidth="1"/>
    <col min="1545" max="1547" width="12.7109375" style="1940" customWidth="1"/>
    <col min="1548" max="1548" width="9.28515625" style="1940" customWidth="1"/>
    <col min="1549" max="1549" width="13.5703125" style="1940" customWidth="1"/>
    <col min="1550" max="1550" width="10.28515625" style="1940" customWidth="1"/>
    <col min="1551" max="1551" width="12.85546875" style="1940" customWidth="1"/>
    <col min="1552" max="1552" width="9.140625" style="1940" customWidth="1"/>
    <col min="1553" max="1553" width="9.7109375" style="1940" customWidth="1"/>
    <col min="1554" max="1554" width="9.28515625" style="1940" customWidth="1"/>
    <col min="1555" max="1555" width="9.42578125" style="1940" customWidth="1"/>
    <col min="1556" max="1556" width="10.5703125" style="1940" customWidth="1"/>
    <col min="1557" max="1557" width="12.42578125" style="1940" customWidth="1"/>
    <col min="1558" max="1558" width="14.5703125" style="1940" customWidth="1"/>
    <col min="1559" max="1559" width="12.28515625" style="1940" customWidth="1"/>
    <col min="1560" max="1560" width="25.85546875" style="1940" customWidth="1"/>
    <col min="1561" max="1792" width="0.85546875" style="1940"/>
    <col min="1793" max="1793" width="9.85546875" style="1940" customWidth="1"/>
    <col min="1794" max="1794" width="81.85546875" style="1940" customWidth="1"/>
    <col min="1795" max="1795" width="12.7109375" style="1940" customWidth="1"/>
    <col min="1796" max="1796" width="12.42578125" style="1940" customWidth="1"/>
    <col min="1797" max="1797" width="14.5703125" style="1940" customWidth="1"/>
    <col min="1798" max="1798" width="12.28515625" style="1940" customWidth="1"/>
    <col min="1799" max="1799" width="38.140625" style="1940" customWidth="1"/>
    <col min="1800" max="1800" width="46.85546875" style="1940" customWidth="1"/>
    <col min="1801" max="1803" width="12.7109375" style="1940" customWidth="1"/>
    <col min="1804" max="1804" width="9.28515625" style="1940" customWidth="1"/>
    <col min="1805" max="1805" width="13.5703125" style="1940" customWidth="1"/>
    <col min="1806" max="1806" width="10.28515625" style="1940" customWidth="1"/>
    <col min="1807" max="1807" width="12.85546875" style="1940" customWidth="1"/>
    <col min="1808" max="1808" width="9.140625" style="1940" customWidth="1"/>
    <col min="1809" max="1809" width="9.7109375" style="1940" customWidth="1"/>
    <col min="1810" max="1810" width="9.28515625" style="1940" customWidth="1"/>
    <col min="1811" max="1811" width="9.42578125" style="1940" customWidth="1"/>
    <col min="1812" max="1812" width="10.5703125" style="1940" customWidth="1"/>
    <col min="1813" max="1813" width="12.42578125" style="1940" customWidth="1"/>
    <col min="1814" max="1814" width="14.5703125" style="1940" customWidth="1"/>
    <col min="1815" max="1815" width="12.28515625" style="1940" customWidth="1"/>
    <col min="1816" max="1816" width="25.85546875" style="1940" customWidth="1"/>
    <col min="1817" max="2048" width="0.85546875" style="1940"/>
    <col min="2049" max="2049" width="9.85546875" style="1940" customWidth="1"/>
    <col min="2050" max="2050" width="81.85546875" style="1940" customWidth="1"/>
    <col min="2051" max="2051" width="12.7109375" style="1940" customWidth="1"/>
    <col min="2052" max="2052" width="12.42578125" style="1940" customWidth="1"/>
    <col min="2053" max="2053" width="14.5703125" style="1940" customWidth="1"/>
    <col min="2054" max="2054" width="12.28515625" style="1940" customWidth="1"/>
    <col min="2055" max="2055" width="38.140625" style="1940" customWidth="1"/>
    <col min="2056" max="2056" width="46.85546875" style="1940" customWidth="1"/>
    <col min="2057" max="2059" width="12.7109375" style="1940" customWidth="1"/>
    <col min="2060" max="2060" width="9.28515625" style="1940" customWidth="1"/>
    <col min="2061" max="2061" width="13.5703125" style="1940" customWidth="1"/>
    <col min="2062" max="2062" width="10.28515625" style="1940" customWidth="1"/>
    <col min="2063" max="2063" width="12.85546875" style="1940" customWidth="1"/>
    <col min="2064" max="2064" width="9.140625" style="1940" customWidth="1"/>
    <col min="2065" max="2065" width="9.7109375" style="1940" customWidth="1"/>
    <col min="2066" max="2066" width="9.28515625" style="1940" customWidth="1"/>
    <col min="2067" max="2067" width="9.42578125" style="1940" customWidth="1"/>
    <col min="2068" max="2068" width="10.5703125" style="1940" customWidth="1"/>
    <col min="2069" max="2069" width="12.42578125" style="1940" customWidth="1"/>
    <col min="2070" max="2070" width="14.5703125" style="1940" customWidth="1"/>
    <col min="2071" max="2071" width="12.28515625" style="1940" customWidth="1"/>
    <col min="2072" max="2072" width="25.85546875" style="1940" customWidth="1"/>
    <col min="2073" max="2304" width="0.85546875" style="1940"/>
    <col min="2305" max="2305" width="9.85546875" style="1940" customWidth="1"/>
    <col min="2306" max="2306" width="81.85546875" style="1940" customWidth="1"/>
    <col min="2307" max="2307" width="12.7109375" style="1940" customWidth="1"/>
    <col min="2308" max="2308" width="12.42578125" style="1940" customWidth="1"/>
    <col min="2309" max="2309" width="14.5703125" style="1940" customWidth="1"/>
    <col min="2310" max="2310" width="12.28515625" style="1940" customWidth="1"/>
    <col min="2311" max="2311" width="38.140625" style="1940" customWidth="1"/>
    <col min="2312" max="2312" width="46.85546875" style="1940" customWidth="1"/>
    <col min="2313" max="2315" width="12.7109375" style="1940" customWidth="1"/>
    <col min="2316" max="2316" width="9.28515625" style="1940" customWidth="1"/>
    <col min="2317" max="2317" width="13.5703125" style="1940" customWidth="1"/>
    <col min="2318" max="2318" width="10.28515625" style="1940" customWidth="1"/>
    <col min="2319" max="2319" width="12.85546875" style="1940" customWidth="1"/>
    <col min="2320" max="2320" width="9.140625" style="1940" customWidth="1"/>
    <col min="2321" max="2321" width="9.7109375" style="1940" customWidth="1"/>
    <col min="2322" max="2322" width="9.28515625" style="1940" customWidth="1"/>
    <col min="2323" max="2323" width="9.42578125" style="1940" customWidth="1"/>
    <col min="2324" max="2324" width="10.5703125" style="1940" customWidth="1"/>
    <col min="2325" max="2325" width="12.42578125" style="1940" customWidth="1"/>
    <col min="2326" max="2326" width="14.5703125" style="1940" customWidth="1"/>
    <col min="2327" max="2327" width="12.28515625" style="1940" customWidth="1"/>
    <col min="2328" max="2328" width="25.85546875" style="1940" customWidth="1"/>
    <col min="2329" max="2560" width="0.85546875" style="1940"/>
    <col min="2561" max="2561" width="9.85546875" style="1940" customWidth="1"/>
    <col min="2562" max="2562" width="81.85546875" style="1940" customWidth="1"/>
    <col min="2563" max="2563" width="12.7109375" style="1940" customWidth="1"/>
    <col min="2564" max="2564" width="12.42578125" style="1940" customWidth="1"/>
    <col min="2565" max="2565" width="14.5703125" style="1940" customWidth="1"/>
    <col min="2566" max="2566" width="12.28515625" style="1940" customWidth="1"/>
    <col min="2567" max="2567" width="38.140625" style="1940" customWidth="1"/>
    <col min="2568" max="2568" width="46.85546875" style="1940" customWidth="1"/>
    <col min="2569" max="2571" width="12.7109375" style="1940" customWidth="1"/>
    <col min="2572" max="2572" width="9.28515625" style="1940" customWidth="1"/>
    <col min="2573" max="2573" width="13.5703125" style="1940" customWidth="1"/>
    <col min="2574" max="2574" width="10.28515625" style="1940" customWidth="1"/>
    <col min="2575" max="2575" width="12.85546875" style="1940" customWidth="1"/>
    <col min="2576" max="2576" width="9.140625" style="1940" customWidth="1"/>
    <col min="2577" max="2577" width="9.7109375" style="1940" customWidth="1"/>
    <col min="2578" max="2578" width="9.28515625" style="1940" customWidth="1"/>
    <col min="2579" max="2579" width="9.42578125" style="1940" customWidth="1"/>
    <col min="2580" max="2580" width="10.5703125" style="1940" customWidth="1"/>
    <col min="2581" max="2581" width="12.42578125" style="1940" customWidth="1"/>
    <col min="2582" max="2582" width="14.5703125" style="1940" customWidth="1"/>
    <col min="2583" max="2583" width="12.28515625" style="1940" customWidth="1"/>
    <col min="2584" max="2584" width="25.85546875" style="1940" customWidth="1"/>
    <col min="2585" max="2816" width="0.85546875" style="1940"/>
    <col min="2817" max="2817" width="9.85546875" style="1940" customWidth="1"/>
    <col min="2818" max="2818" width="81.85546875" style="1940" customWidth="1"/>
    <col min="2819" max="2819" width="12.7109375" style="1940" customWidth="1"/>
    <col min="2820" max="2820" width="12.42578125" style="1940" customWidth="1"/>
    <col min="2821" max="2821" width="14.5703125" style="1940" customWidth="1"/>
    <col min="2822" max="2822" width="12.28515625" style="1940" customWidth="1"/>
    <col min="2823" max="2823" width="38.140625" style="1940" customWidth="1"/>
    <col min="2824" max="2824" width="46.85546875" style="1940" customWidth="1"/>
    <col min="2825" max="2827" width="12.7109375" style="1940" customWidth="1"/>
    <col min="2828" max="2828" width="9.28515625" style="1940" customWidth="1"/>
    <col min="2829" max="2829" width="13.5703125" style="1940" customWidth="1"/>
    <col min="2830" max="2830" width="10.28515625" style="1940" customWidth="1"/>
    <col min="2831" max="2831" width="12.85546875" style="1940" customWidth="1"/>
    <col min="2832" max="2832" width="9.140625" style="1940" customWidth="1"/>
    <col min="2833" max="2833" width="9.7109375" style="1940" customWidth="1"/>
    <col min="2834" max="2834" width="9.28515625" style="1940" customWidth="1"/>
    <col min="2835" max="2835" width="9.42578125" style="1940" customWidth="1"/>
    <col min="2836" max="2836" width="10.5703125" style="1940" customWidth="1"/>
    <col min="2837" max="2837" width="12.42578125" style="1940" customWidth="1"/>
    <col min="2838" max="2838" width="14.5703125" style="1940" customWidth="1"/>
    <col min="2839" max="2839" width="12.28515625" style="1940" customWidth="1"/>
    <col min="2840" max="2840" width="25.85546875" style="1940" customWidth="1"/>
    <col min="2841" max="3072" width="0.85546875" style="1940"/>
    <col min="3073" max="3073" width="9.85546875" style="1940" customWidth="1"/>
    <col min="3074" max="3074" width="81.85546875" style="1940" customWidth="1"/>
    <col min="3075" max="3075" width="12.7109375" style="1940" customWidth="1"/>
    <col min="3076" max="3076" width="12.42578125" style="1940" customWidth="1"/>
    <col min="3077" max="3077" width="14.5703125" style="1940" customWidth="1"/>
    <col min="3078" max="3078" width="12.28515625" style="1940" customWidth="1"/>
    <col min="3079" max="3079" width="38.140625" style="1940" customWidth="1"/>
    <col min="3080" max="3080" width="46.85546875" style="1940" customWidth="1"/>
    <col min="3081" max="3083" width="12.7109375" style="1940" customWidth="1"/>
    <col min="3084" max="3084" width="9.28515625" style="1940" customWidth="1"/>
    <col min="3085" max="3085" width="13.5703125" style="1940" customWidth="1"/>
    <col min="3086" max="3086" width="10.28515625" style="1940" customWidth="1"/>
    <col min="3087" max="3087" width="12.85546875" style="1940" customWidth="1"/>
    <col min="3088" max="3088" width="9.140625" style="1940" customWidth="1"/>
    <col min="3089" max="3089" width="9.7109375" style="1940" customWidth="1"/>
    <col min="3090" max="3090" width="9.28515625" style="1940" customWidth="1"/>
    <col min="3091" max="3091" width="9.42578125" style="1940" customWidth="1"/>
    <col min="3092" max="3092" width="10.5703125" style="1940" customWidth="1"/>
    <col min="3093" max="3093" width="12.42578125" style="1940" customWidth="1"/>
    <col min="3094" max="3094" width="14.5703125" style="1940" customWidth="1"/>
    <col min="3095" max="3095" width="12.28515625" style="1940" customWidth="1"/>
    <col min="3096" max="3096" width="25.85546875" style="1940" customWidth="1"/>
    <col min="3097" max="3328" width="0.85546875" style="1940"/>
    <col min="3329" max="3329" width="9.85546875" style="1940" customWidth="1"/>
    <col min="3330" max="3330" width="81.85546875" style="1940" customWidth="1"/>
    <col min="3331" max="3331" width="12.7109375" style="1940" customWidth="1"/>
    <col min="3332" max="3332" width="12.42578125" style="1940" customWidth="1"/>
    <col min="3333" max="3333" width="14.5703125" style="1940" customWidth="1"/>
    <col min="3334" max="3334" width="12.28515625" style="1940" customWidth="1"/>
    <col min="3335" max="3335" width="38.140625" style="1940" customWidth="1"/>
    <col min="3336" max="3336" width="46.85546875" style="1940" customWidth="1"/>
    <col min="3337" max="3339" width="12.7109375" style="1940" customWidth="1"/>
    <col min="3340" max="3340" width="9.28515625" style="1940" customWidth="1"/>
    <col min="3341" max="3341" width="13.5703125" style="1940" customWidth="1"/>
    <col min="3342" max="3342" width="10.28515625" style="1940" customWidth="1"/>
    <col min="3343" max="3343" width="12.85546875" style="1940" customWidth="1"/>
    <col min="3344" max="3344" width="9.140625" style="1940" customWidth="1"/>
    <col min="3345" max="3345" width="9.7109375" style="1940" customWidth="1"/>
    <col min="3346" max="3346" width="9.28515625" style="1940" customWidth="1"/>
    <col min="3347" max="3347" width="9.42578125" style="1940" customWidth="1"/>
    <col min="3348" max="3348" width="10.5703125" style="1940" customWidth="1"/>
    <col min="3349" max="3349" width="12.42578125" style="1940" customWidth="1"/>
    <col min="3350" max="3350" width="14.5703125" style="1940" customWidth="1"/>
    <col min="3351" max="3351" width="12.28515625" style="1940" customWidth="1"/>
    <col min="3352" max="3352" width="25.85546875" style="1940" customWidth="1"/>
    <col min="3353" max="3584" width="0.85546875" style="1940"/>
    <col min="3585" max="3585" width="9.85546875" style="1940" customWidth="1"/>
    <col min="3586" max="3586" width="81.85546875" style="1940" customWidth="1"/>
    <col min="3587" max="3587" width="12.7109375" style="1940" customWidth="1"/>
    <col min="3588" max="3588" width="12.42578125" style="1940" customWidth="1"/>
    <col min="3589" max="3589" width="14.5703125" style="1940" customWidth="1"/>
    <col min="3590" max="3590" width="12.28515625" style="1940" customWidth="1"/>
    <col min="3591" max="3591" width="38.140625" style="1940" customWidth="1"/>
    <col min="3592" max="3592" width="46.85546875" style="1940" customWidth="1"/>
    <col min="3593" max="3595" width="12.7109375" style="1940" customWidth="1"/>
    <col min="3596" max="3596" width="9.28515625" style="1940" customWidth="1"/>
    <col min="3597" max="3597" width="13.5703125" style="1940" customWidth="1"/>
    <col min="3598" max="3598" width="10.28515625" style="1940" customWidth="1"/>
    <col min="3599" max="3599" width="12.85546875" style="1940" customWidth="1"/>
    <col min="3600" max="3600" width="9.140625" style="1940" customWidth="1"/>
    <col min="3601" max="3601" width="9.7109375" style="1940" customWidth="1"/>
    <col min="3602" max="3602" width="9.28515625" style="1940" customWidth="1"/>
    <col min="3603" max="3603" width="9.42578125" style="1940" customWidth="1"/>
    <col min="3604" max="3604" width="10.5703125" style="1940" customWidth="1"/>
    <col min="3605" max="3605" width="12.42578125" style="1940" customWidth="1"/>
    <col min="3606" max="3606" width="14.5703125" style="1940" customWidth="1"/>
    <col min="3607" max="3607" width="12.28515625" style="1940" customWidth="1"/>
    <col min="3608" max="3608" width="25.85546875" style="1940" customWidth="1"/>
    <col min="3609" max="3840" width="0.85546875" style="1940"/>
    <col min="3841" max="3841" width="9.85546875" style="1940" customWidth="1"/>
    <col min="3842" max="3842" width="81.85546875" style="1940" customWidth="1"/>
    <col min="3843" max="3843" width="12.7109375" style="1940" customWidth="1"/>
    <col min="3844" max="3844" width="12.42578125" style="1940" customWidth="1"/>
    <col min="3845" max="3845" width="14.5703125" style="1940" customWidth="1"/>
    <col min="3846" max="3846" width="12.28515625" style="1940" customWidth="1"/>
    <col min="3847" max="3847" width="38.140625" style="1940" customWidth="1"/>
    <col min="3848" max="3848" width="46.85546875" style="1940" customWidth="1"/>
    <col min="3849" max="3851" width="12.7109375" style="1940" customWidth="1"/>
    <col min="3852" max="3852" width="9.28515625" style="1940" customWidth="1"/>
    <col min="3853" max="3853" width="13.5703125" style="1940" customWidth="1"/>
    <col min="3854" max="3854" width="10.28515625" style="1940" customWidth="1"/>
    <col min="3855" max="3855" width="12.85546875" style="1940" customWidth="1"/>
    <col min="3856" max="3856" width="9.140625" style="1940" customWidth="1"/>
    <col min="3857" max="3857" width="9.7109375" style="1940" customWidth="1"/>
    <col min="3858" max="3858" width="9.28515625" style="1940" customWidth="1"/>
    <col min="3859" max="3859" width="9.42578125" style="1940" customWidth="1"/>
    <col min="3860" max="3860" width="10.5703125" style="1940" customWidth="1"/>
    <col min="3861" max="3861" width="12.42578125" style="1940" customWidth="1"/>
    <col min="3862" max="3862" width="14.5703125" style="1940" customWidth="1"/>
    <col min="3863" max="3863" width="12.28515625" style="1940" customWidth="1"/>
    <col min="3864" max="3864" width="25.85546875" style="1940" customWidth="1"/>
    <col min="3865" max="4096" width="0.85546875" style="1940"/>
    <col min="4097" max="4097" width="9.85546875" style="1940" customWidth="1"/>
    <col min="4098" max="4098" width="81.85546875" style="1940" customWidth="1"/>
    <col min="4099" max="4099" width="12.7109375" style="1940" customWidth="1"/>
    <col min="4100" max="4100" width="12.42578125" style="1940" customWidth="1"/>
    <col min="4101" max="4101" width="14.5703125" style="1940" customWidth="1"/>
    <col min="4102" max="4102" width="12.28515625" style="1940" customWidth="1"/>
    <col min="4103" max="4103" width="38.140625" style="1940" customWidth="1"/>
    <col min="4104" max="4104" width="46.85546875" style="1940" customWidth="1"/>
    <col min="4105" max="4107" width="12.7109375" style="1940" customWidth="1"/>
    <col min="4108" max="4108" width="9.28515625" style="1940" customWidth="1"/>
    <col min="4109" max="4109" width="13.5703125" style="1940" customWidth="1"/>
    <col min="4110" max="4110" width="10.28515625" style="1940" customWidth="1"/>
    <col min="4111" max="4111" width="12.85546875" style="1940" customWidth="1"/>
    <col min="4112" max="4112" width="9.140625" style="1940" customWidth="1"/>
    <col min="4113" max="4113" width="9.7109375" style="1940" customWidth="1"/>
    <col min="4114" max="4114" width="9.28515625" style="1940" customWidth="1"/>
    <col min="4115" max="4115" width="9.42578125" style="1940" customWidth="1"/>
    <col min="4116" max="4116" width="10.5703125" style="1940" customWidth="1"/>
    <col min="4117" max="4117" width="12.42578125" style="1940" customWidth="1"/>
    <col min="4118" max="4118" width="14.5703125" style="1940" customWidth="1"/>
    <col min="4119" max="4119" width="12.28515625" style="1940" customWidth="1"/>
    <col min="4120" max="4120" width="25.85546875" style="1940" customWidth="1"/>
    <col min="4121" max="4352" width="0.85546875" style="1940"/>
    <col min="4353" max="4353" width="9.85546875" style="1940" customWidth="1"/>
    <col min="4354" max="4354" width="81.85546875" style="1940" customWidth="1"/>
    <col min="4355" max="4355" width="12.7109375" style="1940" customWidth="1"/>
    <col min="4356" max="4356" width="12.42578125" style="1940" customWidth="1"/>
    <col min="4357" max="4357" width="14.5703125" style="1940" customWidth="1"/>
    <col min="4358" max="4358" width="12.28515625" style="1940" customWidth="1"/>
    <col min="4359" max="4359" width="38.140625" style="1940" customWidth="1"/>
    <col min="4360" max="4360" width="46.85546875" style="1940" customWidth="1"/>
    <col min="4361" max="4363" width="12.7109375" style="1940" customWidth="1"/>
    <col min="4364" max="4364" width="9.28515625" style="1940" customWidth="1"/>
    <col min="4365" max="4365" width="13.5703125" style="1940" customWidth="1"/>
    <col min="4366" max="4366" width="10.28515625" style="1940" customWidth="1"/>
    <col min="4367" max="4367" width="12.85546875" style="1940" customWidth="1"/>
    <col min="4368" max="4368" width="9.140625" style="1940" customWidth="1"/>
    <col min="4369" max="4369" width="9.7109375" style="1940" customWidth="1"/>
    <col min="4370" max="4370" width="9.28515625" style="1940" customWidth="1"/>
    <col min="4371" max="4371" width="9.42578125" style="1940" customWidth="1"/>
    <col min="4372" max="4372" width="10.5703125" style="1940" customWidth="1"/>
    <col min="4373" max="4373" width="12.42578125" style="1940" customWidth="1"/>
    <col min="4374" max="4374" width="14.5703125" style="1940" customWidth="1"/>
    <col min="4375" max="4375" width="12.28515625" style="1940" customWidth="1"/>
    <col min="4376" max="4376" width="25.85546875" style="1940" customWidth="1"/>
    <col min="4377" max="4608" width="0.85546875" style="1940"/>
    <col min="4609" max="4609" width="9.85546875" style="1940" customWidth="1"/>
    <col min="4610" max="4610" width="81.85546875" style="1940" customWidth="1"/>
    <col min="4611" max="4611" width="12.7109375" style="1940" customWidth="1"/>
    <col min="4612" max="4612" width="12.42578125" style="1940" customWidth="1"/>
    <col min="4613" max="4613" width="14.5703125" style="1940" customWidth="1"/>
    <col min="4614" max="4614" width="12.28515625" style="1940" customWidth="1"/>
    <col min="4615" max="4615" width="38.140625" style="1940" customWidth="1"/>
    <col min="4616" max="4616" width="46.85546875" style="1940" customWidth="1"/>
    <col min="4617" max="4619" width="12.7109375" style="1940" customWidth="1"/>
    <col min="4620" max="4620" width="9.28515625" style="1940" customWidth="1"/>
    <col min="4621" max="4621" width="13.5703125" style="1940" customWidth="1"/>
    <col min="4622" max="4622" width="10.28515625" style="1940" customWidth="1"/>
    <col min="4623" max="4623" width="12.85546875" style="1940" customWidth="1"/>
    <col min="4624" max="4624" width="9.140625" style="1940" customWidth="1"/>
    <col min="4625" max="4625" width="9.7109375" style="1940" customWidth="1"/>
    <col min="4626" max="4626" width="9.28515625" style="1940" customWidth="1"/>
    <col min="4627" max="4627" width="9.42578125" style="1940" customWidth="1"/>
    <col min="4628" max="4628" width="10.5703125" style="1940" customWidth="1"/>
    <col min="4629" max="4629" width="12.42578125" style="1940" customWidth="1"/>
    <col min="4630" max="4630" width="14.5703125" style="1940" customWidth="1"/>
    <col min="4631" max="4631" width="12.28515625" style="1940" customWidth="1"/>
    <col min="4632" max="4632" width="25.85546875" style="1940" customWidth="1"/>
    <col min="4633" max="4864" width="0.85546875" style="1940"/>
    <col min="4865" max="4865" width="9.85546875" style="1940" customWidth="1"/>
    <col min="4866" max="4866" width="81.85546875" style="1940" customWidth="1"/>
    <col min="4867" max="4867" width="12.7109375" style="1940" customWidth="1"/>
    <col min="4868" max="4868" width="12.42578125" style="1940" customWidth="1"/>
    <col min="4869" max="4869" width="14.5703125" style="1940" customWidth="1"/>
    <col min="4870" max="4870" width="12.28515625" style="1940" customWidth="1"/>
    <col min="4871" max="4871" width="38.140625" style="1940" customWidth="1"/>
    <col min="4872" max="4872" width="46.85546875" style="1940" customWidth="1"/>
    <col min="4873" max="4875" width="12.7109375" style="1940" customWidth="1"/>
    <col min="4876" max="4876" width="9.28515625" style="1940" customWidth="1"/>
    <col min="4877" max="4877" width="13.5703125" style="1940" customWidth="1"/>
    <col min="4878" max="4878" width="10.28515625" style="1940" customWidth="1"/>
    <col min="4879" max="4879" width="12.85546875" style="1940" customWidth="1"/>
    <col min="4880" max="4880" width="9.140625" style="1940" customWidth="1"/>
    <col min="4881" max="4881" width="9.7109375" style="1940" customWidth="1"/>
    <col min="4882" max="4882" width="9.28515625" style="1940" customWidth="1"/>
    <col min="4883" max="4883" width="9.42578125" style="1940" customWidth="1"/>
    <col min="4884" max="4884" width="10.5703125" style="1940" customWidth="1"/>
    <col min="4885" max="4885" width="12.42578125" style="1940" customWidth="1"/>
    <col min="4886" max="4886" width="14.5703125" style="1940" customWidth="1"/>
    <col min="4887" max="4887" width="12.28515625" style="1940" customWidth="1"/>
    <col min="4888" max="4888" width="25.85546875" style="1940" customWidth="1"/>
    <col min="4889" max="5120" width="0.85546875" style="1940"/>
    <col min="5121" max="5121" width="9.85546875" style="1940" customWidth="1"/>
    <col min="5122" max="5122" width="81.85546875" style="1940" customWidth="1"/>
    <col min="5123" max="5123" width="12.7109375" style="1940" customWidth="1"/>
    <col min="5124" max="5124" width="12.42578125" style="1940" customWidth="1"/>
    <col min="5125" max="5125" width="14.5703125" style="1940" customWidth="1"/>
    <col min="5126" max="5126" width="12.28515625" style="1940" customWidth="1"/>
    <col min="5127" max="5127" width="38.140625" style="1940" customWidth="1"/>
    <col min="5128" max="5128" width="46.85546875" style="1940" customWidth="1"/>
    <col min="5129" max="5131" width="12.7109375" style="1940" customWidth="1"/>
    <col min="5132" max="5132" width="9.28515625" style="1940" customWidth="1"/>
    <col min="5133" max="5133" width="13.5703125" style="1940" customWidth="1"/>
    <col min="5134" max="5134" width="10.28515625" style="1940" customWidth="1"/>
    <col min="5135" max="5135" width="12.85546875" style="1940" customWidth="1"/>
    <col min="5136" max="5136" width="9.140625" style="1940" customWidth="1"/>
    <col min="5137" max="5137" width="9.7109375" style="1940" customWidth="1"/>
    <col min="5138" max="5138" width="9.28515625" style="1940" customWidth="1"/>
    <col min="5139" max="5139" width="9.42578125" style="1940" customWidth="1"/>
    <col min="5140" max="5140" width="10.5703125" style="1940" customWidth="1"/>
    <col min="5141" max="5141" width="12.42578125" style="1940" customWidth="1"/>
    <col min="5142" max="5142" width="14.5703125" style="1940" customWidth="1"/>
    <col min="5143" max="5143" width="12.28515625" style="1940" customWidth="1"/>
    <col min="5144" max="5144" width="25.85546875" style="1940" customWidth="1"/>
    <col min="5145" max="5376" width="0.85546875" style="1940"/>
    <col min="5377" max="5377" width="9.85546875" style="1940" customWidth="1"/>
    <col min="5378" max="5378" width="81.85546875" style="1940" customWidth="1"/>
    <col min="5379" max="5379" width="12.7109375" style="1940" customWidth="1"/>
    <col min="5380" max="5380" width="12.42578125" style="1940" customWidth="1"/>
    <col min="5381" max="5381" width="14.5703125" style="1940" customWidth="1"/>
    <col min="5382" max="5382" width="12.28515625" style="1940" customWidth="1"/>
    <col min="5383" max="5383" width="38.140625" style="1940" customWidth="1"/>
    <col min="5384" max="5384" width="46.85546875" style="1940" customWidth="1"/>
    <col min="5385" max="5387" width="12.7109375" style="1940" customWidth="1"/>
    <col min="5388" max="5388" width="9.28515625" style="1940" customWidth="1"/>
    <col min="5389" max="5389" width="13.5703125" style="1940" customWidth="1"/>
    <col min="5390" max="5390" width="10.28515625" style="1940" customWidth="1"/>
    <col min="5391" max="5391" width="12.85546875" style="1940" customWidth="1"/>
    <col min="5392" max="5392" width="9.140625" style="1940" customWidth="1"/>
    <col min="5393" max="5393" width="9.7109375" style="1940" customWidth="1"/>
    <col min="5394" max="5394" width="9.28515625" style="1940" customWidth="1"/>
    <col min="5395" max="5395" width="9.42578125" style="1940" customWidth="1"/>
    <col min="5396" max="5396" width="10.5703125" style="1940" customWidth="1"/>
    <col min="5397" max="5397" width="12.42578125" style="1940" customWidth="1"/>
    <col min="5398" max="5398" width="14.5703125" style="1940" customWidth="1"/>
    <col min="5399" max="5399" width="12.28515625" style="1940" customWidth="1"/>
    <col min="5400" max="5400" width="25.85546875" style="1940" customWidth="1"/>
    <col min="5401" max="5632" width="0.85546875" style="1940"/>
    <col min="5633" max="5633" width="9.85546875" style="1940" customWidth="1"/>
    <col min="5634" max="5634" width="81.85546875" style="1940" customWidth="1"/>
    <col min="5635" max="5635" width="12.7109375" style="1940" customWidth="1"/>
    <col min="5636" max="5636" width="12.42578125" style="1940" customWidth="1"/>
    <col min="5637" max="5637" width="14.5703125" style="1940" customWidth="1"/>
    <col min="5638" max="5638" width="12.28515625" style="1940" customWidth="1"/>
    <col min="5639" max="5639" width="38.140625" style="1940" customWidth="1"/>
    <col min="5640" max="5640" width="46.85546875" style="1940" customWidth="1"/>
    <col min="5641" max="5643" width="12.7109375" style="1940" customWidth="1"/>
    <col min="5644" max="5644" width="9.28515625" style="1940" customWidth="1"/>
    <col min="5645" max="5645" width="13.5703125" style="1940" customWidth="1"/>
    <col min="5646" max="5646" width="10.28515625" style="1940" customWidth="1"/>
    <col min="5647" max="5647" width="12.85546875" style="1940" customWidth="1"/>
    <col min="5648" max="5648" width="9.140625" style="1940" customWidth="1"/>
    <col min="5649" max="5649" width="9.7109375" style="1940" customWidth="1"/>
    <col min="5650" max="5650" width="9.28515625" style="1940" customWidth="1"/>
    <col min="5651" max="5651" width="9.42578125" style="1940" customWidth="1"/>
    <col min="5652" max="5652" width="10.5703125" style="1940" customWidth="1"/>
    <col min="5653" max="5653" width="12.42578125" style="1940" customWidth="1"/>
    <col min="5654" max="5654" width="14.5703125" style="1940" customWidth="1"/>
    <col min="5655" max="5655" width="12.28515625" style="1940" customWidth="1"/>
    <col min="5656" max="5656" width="25.85546875" style="1940" customWidth="1"/>
    <col min="5657" max="5888" width="0.85546875" style="1940"/>
    <col min="5889" max="5889" width="9.85546875" style="1940" customWidth="1"/>
    <col min="5890" max="5890" width="81.85546875" style="1940" customWidth="1"/>
    <col min="5891" max="5891" width="12.7109375" style="1940" customWidth="1"/>
    <col min="5892" max="5892" width="12.42578125" style="1940" customWidth="1"/>
    <col min="5893" max="5893" width="14.5703125" style="1940" customWidth="1"/>
    <col min="5894" max="5894" width="12.28515625" style="1940" customWidth="1"/>
    <col min="5895" max="5895" width="38.140625" style="1940" customWidth="1"/>
    <col min="5896" max="5896" width="46.85546875" style="1940" customWidth="1"/>
    <col min="5897" max="5899" width="12.7109375" style="1940" customWidth="1"/>
    <col min="5900" max="5900" width="9.28515625" style="1940" customWidth="1"/>
    <col min="5901" max="5901" width="13.5703125" style="1940" customWidth="1"/>
    <col min="5902" max="5902" width="10.28515625" style="1940" customWidth="1"/>
    <col min="5903" max="5903" width="12.85546875" style="1940" customWidth="1"/>
    <col min="5904" max="5904" width="9.140625" style="1940" customWidth="1"/>
    <col min="5905" max="5905" width="9.7109375" style="1940" customWidth="1"/>
    <col min="5906" max="5906" width="9.28515625" style="1940" customWidth="1"/>
    <col min="5907" max="5907" width="9.42578125" style="1940" customWidth="1"/>
    <col min="5908" max="5908" width="10.5703125" style="1940" customWidth="1"/>
    <col min="5909" max="5909" width="12.42578125" style="1940" customWidth="1"/>
    <col min="5910" max="5910" width="14.5703125" style="1940" customWidth="1"/>
    <col min="5911" max="5911" width="12.28515625" style="1940" customWidth="1"/>
    <col min="5912" max="5912" width="25.85546875" style="1940" customWidth="1"/>
    <col min="5913" max="6144" width="0.85546875" style="1940"/>
    <col min="6145" max="6145" width="9.85546875" style="1940" customWidth="1"/>
    <col min="6146" max="6146" width="81.85546875" style="1940" customWidth="1"/>
    <col min="6147" max="6147" width="12.7109375" style="1940" customWidth="1"/>
    <col min="6148" max="6148" width="12.42578125" style="1940" customWidth="1"/>
    <col min="6149" max="6149" width="14.5703125" style="1940" customWidth="1"/>
    <col min="6150" max="6150" width="12.28515625" style="1940" customWidth="1"/>
    <col min="6151" max="6151" width="38.140625" style="1940" customWidth="1"/>
    <col min="6152" max="6152" width="46.85546875" style="1940" customWidth="1"/>
    <col min="6153" max="6155" width="12.7109375" style="1940" customWidth="1"/>
    <col min="6156" max="6156" width="9.28515625" style="1940" customWidth="1"/>
    <col min="6157" max="6157" width="13.5703125" style="1940" customWidth="1"/>
    <col min="6158" max="6158" width="10.28515625" style="1940" customWidth="1"/>
    <col min="6159" max="6159" width="12.85546875" style="1940" customWidth="1"/>
    <col min="6160" max="6160" width="9.140625" style="1940" customWidth="1"/>
    <col min="6161" max="6161" width="9.7109375" style="1940" customWidth="1"/>
    <col min="6162" max="6162" width="9.28515625" style="1940" customWidth="1"/>
    <col min="6163" max="6163" width="9.42578125" style="1940" customWidth="1"/>
    <col min="6164" max="6164" width="10.5703125" style="1940" customWidth="1"/>
    <col min="6165" max="6165" width="12.42578125" style="1940" customWidth="1"/>
    <col min="6166" max="6166" width="14.5703125" style="1940" customWidth="1"/>
    <col min="6167" max="6167" width="12.28515625" style="1940" customWidth="1"/>
    <col min="6168" max="6168" width="25.85546875" style="1940" customWidth="1"/>
    <col min="6169" max="6400" width="0.85546875" style="1940"/>
    <col min="6401" max="6401" width="9.85546875" style="1940" customWidth="1"/>
    <col min="6402" max="6402" width="81.85546875" style="1940" customWidth="1"/>
    <col min="6403" max="6403" width="12.7109375" style="1940" customWidth="1"/>
    <col min="6404" max="6404" width="12.42578125" style="1940" customWidth="1"/>
    <col min="6405" max="6405" width="14.5703125" style="1940" customWidth="1"/>
    <col min="6406" max="6406" width="12.28515625" style="1940" customWidth="1"/>
    <col min="6407" max="6407" width="38.140625" style="1940" customWidth="1"/>
    <col min="6408" max="6408" width="46.85546875" style="1940" customWidth="1"/>
    <col min="6409" max="6411" width="12.7109375" style="1940" customWidth="1"/>
    <col min="6412" max="6412" width="9.28515625" style="1940" customWidth="1"/>
    <col min="6413" max="6413" width="13.5703125" style="1940" customWidth="1"/>
    <col min="6414" max="6414" width="10.28515625" style="1940" customWidth="1"/>
    <col min="6415" max="6415" width="12.85546875" style="1940" customWidth="1"/>
    <col min="6416" max="6416" width="9.140625" style="1940" customWidth="1"/>
    <col min="6417" max="6417" width="9.7109375" style="1940" customWidth="1"/>
    <col min="6418" max="6418" width="9.28515625" style="1940" customWidth="1"/>
    <col min="6419" max="6419" width="9.42578125" style="1940" customWidth="1"/>
    <col min="6420" max="6420" width="10.5703125" style="1940" customWidth="1"/>
    <col min="6421" max="6421" width="12.42578125" style="1940" customWidth="1"/>
    <col min="6422" max="6422" width="14.5703125" style="1940" customWidth="1"/>
    <col min="6423" max="6423" width="12.28515625" style="1940" customWidth="1"/>
    <col min="6424" max="6424" width="25.85546875" style="1940" customWidth="1"/>
    <col min="6425" max="6656" width="0.85546875" style="1940"/>
    <col min="6657" max="6657" width="9.85546875" style="1940" customWidth="1"/>
    <col min="6658" max="6658" width="81.85546875" style="1940" customWidth="1"/>
    <col min="6659" max="6659" width="12.7109375" style="1940" customWidth="1"/>
    <col min="6660" max="6660" width="12.42578125" style="1940" customWidth="1"/>
    <col min="6661" max="6661" width="14.5703125" style="1940" customWidth="1"/>
    <col min="6662" max="6662" width="12.28515625" style="1940" customWidth="1"/>
    <col min="6663" max="6663" width="38.140625" style="1940" customWidth="1"/>
    <col min="6664" max="6664" width="46.85546875" style="1940" customWidth="1"/>
    <col min="6665" max="6667" width="12.7109375" style="1940" customWidth="1"/>
    <col min="6668" max="6668" width="9.28515625" style="1940" customWidth="1"/>
    <col min="6669" max="6669" width="13.5703125" style="1940" customWidth="1"/>
    <col min="6670" max="6670" width="10.28515625" style="1940" customWidth="1"/>
    <col min="6671" max="6671" width="12.85546875" style="1940" customWidth="1"/>
    <col min="6672" max="6672" width="9.140625" style="1940" customWidth="1"/>
    <col min="6673" max="6673" width="9.7109375" style="1940" customWidth="1"/>
    <col min="6674" max="6674" width="9.28515625" style="1940" customWidth="1"/>
    <col min="6675" max="6675" width="9.42578125" style="1940" customWidth="1"/>
    <col min="6676" max="6676" width="10.5703125" style="1940" customWidth="1"/>
    <col min="6677" max="6677" width="12.42578125" style="1940" customWidth="1"/>
    <col min="6678" max="6678" width="14.5703125" style="1940" customWidth="1"/>
    <col min="6679" max="6679" width="12.28515625" style="1940" customWidth="1"/>
    <col min="6680" max="6680" width="25.85546875" style="1940" customWidth="1"/>
    <col min="6681" max="6912" width="0.85546875" style="1940"/>
    <col min="6913" max="6913" width="9.85546875" style="1940" customWidth="1"/>
    <col min="6914" max="6914" width="81.85546875" style="1940" customWidth="1"/>
    <col min="6915" max="6915" width="12.7109375" style="1940" customWidth="1"/>
    <col min="6916" max="6916" width="12.42578125" style="1940" customWidth="1"/>
    <col min="6917" max="6917" width="14.5703125" style="1940" customWidth="1"/>
    <col min="6918" max="6918" width="12.28515625" style="1940" customWidth="1"/>
    <col min="6919" max="6919" width="38.140625" style="1940" customWidth="1"/>
    <col min="6920" max="6920" width="46.85546875" style="1940" customWidth="1"/>
    <col min="6921" max="6923" width="12.7109375" style="1940" customWidth="1"/>
    <col min="6924" max="6924" width="9.28515625" style="1940" customWidth="1"/>
    <col min="6925" max="6925" width="13.5703125" style="1940" customWidth="1"/>
    <col min="6926" max="6926" width="10.28515625" style="1940" customWidth="1"/>
    <col min="6927" max="6927" width="12.85546875" style="1940" customWidth="1"/>
    <col min="6928" max="6928" width="9.140625" style="1940" customWidth="1"/>
    <col min="6929" max="6929" width="9.7109375" style="1940" customWidth="1"/>
    <col min="6930" max="6930" width="9.28515625" style="1940" customWidth="1"/>
    <col min="6931" max="6931" width="9.42578125" style="1940" customWidth="1"/>
    <col min="6932" max="6932" width="10.5703125" style="1940" customWidth="1"/>
    <col min="6933" max="6933" width="12.42578125" style="1940" customWidth="1"/>
    <col min="6934" max="6934" width="14.5703125" style="1940" customWidth="1"/>
    <col min="6935" max="6935" width="12.28515625" style="1940" customWidth="1"/>
    <col min="6936" max="6936" width="25.85546875" style="1940" customWidth="1"/>
    <col min="6937" max="7168" width="0.85546875" style="1940"/>
    <col min="7169" max="7169" width="9.85546875" style="1940" customWidth="1"/>
    <col min="7170" max="7170" width="81.85546875" style="1940" customWidth="1"/>
    <col min="7171" max="7171" width="12.7109375" style="1940" customWidth="1"/>
    <col min="7172" max="7172" width="12.42578125" style="1940" customWidth="1"/>
    <col min="7173" max="7173" width="14.5703125" style="1940" customWidth="1"/>
    <col min="7174" max="7174" width="12.28515625" style="1940" customWidth="1"/>
    <col min="7175" max="7175" width="38.140625" style="1940" customWidth="1"/>
    <col min="7176" max="7176" width="46.85546875" style="1940" customWidth="1"/>
    <col min="7177" max="7179" width="12.7109375" style="1940" customWidth="1"/>
    <col min="7180" max="7180" width="9.28515625" style="1940" customWidth="1"/>
    <col min="7181" max="7181" width="13.5703125" style="1940" customWidth="1"/>
    <col min="7182" max="7182" width="10.28515625" style="1940" customWidth="1"/>
    <col min="7183" max="7183" width="12.85546875" style="1940" customWidth="1"/>
    <col min="7184" max="7184" width="9.140625" style="1940" customWidth="1"/>
    <col min="7185" max="7185" width="9.7109375" style="1940" customWidth="1"/>
    <col min="7186" max="7186" width="9.28515625" style="1940" customWidth="1"/>
    <col min="7187" max="7187" width="9.42578125" style="1940" customWidth="1"/>
    <col min="7188" max="7188" width="10.5703125" style="1940" customWidth="1"/>
    <col min="7189" max="7189" width="12.42578125" style="1940" customWidth="1"/>
    <col min="7190" max="7190" width="14.5703125" style="1940" customWidth="1"/>
    <col min="7191" max="7191" width="12.28515625" style="1940" customWidth="1"/>
    <col min="7192" max="7192" width="25.85546875" style="1940" customWidth="1"/>
    <col min="7193" max="7424" width="0.85546875" style="1940"/>
    <col min="7425" max="7425" width="9.85546875" style="1940" customWidth="1"/>
    <col min="7426" max="7426" width="81.85546875" style="1940" customWidth="1"/>
    <col min="7427" max="7427" width="12.7109375" style="1940" customWidth="1"/>
    <col min="7428" max="7428" width="12.42578125" style="1940" customWidth="1"/>
    <col min="7429" max="7429" width="14.5703125" style="1940" customWidth="1"/>
    <col min="7430" max="7430" width="12.28515625" style="1940" customWidth="1"/>
    <col min="7431" max="7431" width="38.140625" style="1940" customWidth="1"/>
    <col min="7432" max="7432" width="46.85546875" style="1940" customWidth="1"/>
    <col min="7433" max="7435" width="12.7109375" style="1940" customWidth="1"/>
    <col min="7436" max="7436" width="9.28515625" style="1940" customWidth="1"/>
    <col min="7437" max="7437" width="13.5703125" style="1940" customWidth="1"/>
    <col min="7438" max="7438" width="10.28515625" style="1940" customWidth="1"/>
    <col min="7439" max="7439" width="12.85546875" style="1940" customWidth="1"/>
    <col min="7440" max="7440" width="9.140625" style="1940" customWidth="1"/>
    <col min="7441" max="7441" width="9.7109375" style="1940" customWidth="1"/>
    <col min="7442" max="7442" width="9.28515625" style="1940" customWidth="1"/>
    <col min="7443" max="7443" width="9.42578125" style="1940" customWidth="1"/>
    <col min="7444" max="7444" width="10.5703125" style="1940" customWidth="1"/>
    <col min="7445" max="7445" width="12.42578125" style="1940" customWidth="1"/>
    <col min="7446" max="7446" width="14.5703125" style="1940" customWidth="1"/>
    <col min="7447" max="7447" width="12.28515625" style="1940" customWidth="1"/>
    <col min="7448" max="7448" width="25.85546875" style="1940" customWidth="1"/>
    <col min="7449" max="7680" width="0.85546875" style="1940"/>
    <col min="7681" max="7681" width="9.85546875" style="1940" customWidth="1"/>
    <col min="7682" max="7682" width="81.85546875" style="1940" customWidth="1"/>
    <col min="7683" max="7683" width="12.7109375" style="1940" customWidth="1"/>
    <col min="7684" max="7684" width="12.42578125" style="1940" customWidth="1"/>
    <col min="7685" max="7685" width="14.5703125" style="1940" customWidth="1"/>
    <col min="7686" max="7686" width="12.28515625" style="1940" customWidth="1"/>
    <col min="7687" max="7687" width="38.140625" style="1940" customWidth="1"/>
    <col min="7688" max="7688" width="46.85546875" style="1940" customWidth="1"/>
    <col min="7689" max="7691" width="12.7109375" style="1940" customWidth="1"/>
    <col min="7692" max="7692" width="9.28515625" style="1940" customWidth="1"/>
    <col min="7693" max="7693" width="13.5703125" style="1940" customWidth="1"/>
    <col min="7694" max="7694" width="10.28515625" style="1940" customWidth="1"/>
    <col min="7695" max="7695" width="12.85546875" style="1940" customWidth="1"/>
    <col min="7696" max="7696" width="9.140625" style="1940" customWidth="1"/>
    <col min="7697" max="7697" width="9.7109375" style="1940" customWidth="1"/>
    <col min="7698" max="7698" width="9.28515625" style="1940" customWidth="1"/>
    <col min="7699" max="7699" width="9.42578125" style="1940" customWidth="1"/>
    <col min="7700" max="7700" width="10.5703125" style="1940" customWidth="1"/>
    <col min="7701" max="7701" width="12.42578125" style="1940" customWidth="1"/>
    <col min="7702" max="7702" width="14.5703125" style="1940" customWidth="1"/>
    <col min="7703" max="7703" width="12.28515625" style="1940" customWidth="1"/>
    <col min="7704" max="7704" width="25.85546875" style="1940" customWidth="1"/>
    <col min="7705" max="7936" width="0.85546875" style="1940"/>
    <col min="7937" max="7937" width="9.85546875" style="1940" customWidth="1"/>
    <col min="7938" max="7938" width="81.85546875" style="1940" customWidth="1"/>
    <col min="7939" max="7939" width="12.7109375" style="1940" customWidth="1"/>
    <col min="7940" max="7940" width="12.42578125" style="1940" customWidth="1"/>
    <col min="7941" max="7941" width="14.5703125" style="1940" customWidth="1"/>
    <col min="7942" max="7942" width="12.28515625" style="1940" customWidth="1"/>
    <col min="7943" max="7943" width="38.140625" style="1940" customWidth="1"/>
    <col min="7944" max="7944" width="46.85546875" style="1940" customWidth="1"/>
    <col min="7945" max="7947" width="12.7109375" style="1940" customWidth="1"/>
    <col min="7948" max="7948" width="9.28515625" style="1940" customWidth="1"/>
    <col min="7949" max="7949" width="13.5703125" style="1940" customWidth="1"/>
    <col min="7950" max="7950" width="10.28515625" style="1940" customWidth="1"/>
    <col min="7951" max="7951" width="12.85546875" style="1940" customWidth="1"/>
    <col min="7952" max="7952" width="9.140625" style="1940" customWidth="1"/>
    <col min="7953" max="7953" width="9.7109375" style="1940" customWidth="1"/>
    <col min="7954" max="7954" width="9.28515625" style="1940" customWidth="1"/>
    <col min="7955" max="7955" width="9.42578125" style="1940" customWidth="1"/>
    <col min="7956" max="7956" width="10.5703125" style="1940" customWidth="1"/>
    <col min="7957" max="7957" width="12.42578125" style="1940" customWidth="1"/>
    <col min="7958" max="7958" width="14.5703125" style="1940" customWidth="1"/>
    <col min="7959" max="7959" width="12.28515625" style="1940" customWidth="1"/>
    <col min="7960" max="7960" width="25.85546875" style="1940" customWidth="1"/>
    <col min="7961" max="8192" width="0.85546875" style="1940"/>
    <col min="8193" max="8193" width="9.85546875" style="1940" customWidth="1"/>
    <col min="8194" max="8194" width="81.85546875" style="1940" customWidth="1"/>
    <col min="8195" max="8195" width="12.7109375" style="1940" customWidth="1"/>
    <col min="8196" max="8196" width="12.42578125" style="1940" customWidth="1"/>
    <col min="8197" max="8197" width="14.5703125" style="1940" customWidth="1"/>
    <col min="8198" max="8198" width="12.28515625" style="1940" customWidth="1"/>
    <col min="8199" max="8199" width="38.140625" style="1940" customWidth="1"/>
    <col min="8200" max="8200" width="46.85546875" style="1940" customWidth="1"/>
    <col min="8201" max="8203" width="12.7109375" style="1940" customWidth="1"/>
    <col min="8204" max="8204" width="9.28515625" style="1940" customWidth="1"/>
    <col min="8205" max="8205" width="13.5703125" style="1940" customWidth="1"/>
    <col min="8206" max="8206" width="10.28515625" style="1940" customWidth="1"/>
    <col min="8207" max="8207" width="12.85546875" style="1940" customWidth="1"/>
    <col min="8208" max="8208" width="9.140625" style="1940" customWidth="1"/>
    <col min="8209" max="8209" width="9.7109375" style="1940" customWidth="1"/>
    <col min="8210" max="8210" width="9.28515625" style="1940" customWidth="1"/>
    <col min="8211" max="8211" width="9.42578125" style="1940" customWidth="1"/>
    <col min="8212" max="8212" width="10.5703125" style="1940" customWidth="1"/>
    <col min="8213" max="8213" width="12.42578125" style="1940" customWidth="1"/>
    <col min="8214" max="8214" width="14.5703125" style="1940" customWidth="1"/>
    <col min="8215" max="8215" width="12.28515625" style="1940" customWidth="1"/>
    <col min="8216" max="8216" width="25.85546875" style="1940" customWidth="1"/>
    <col min="8217" max="8448" width="0.85546875" style="1940"/>
    <col min="8449" max="8449" width="9.85546875" style="1940" customWidth="1"/>
    <col min="8450" max="8450" width="81.85546875" style="1940" customWidth="1"/>
    <col min="8451" max="8451" width="12.7109375" style="1940" customWidth="1"/>
    <col min="8452" max="8452" width="12.42578125" style="1940" customWidth="1"/>
    <col min="8453" max="8453" width="14.5703125" style="1940" customWidth="1"/>
    <col min="8454" max="8454" width="12.28515625" style="1940" customWidth="1"/>
    <col min="8455" max="8455" width="38.140625" style="1940" customWidth="1"/>
    <col min="8456" max="8456" width="46.85546875" style="1940" customWidth="1"/>
    <col min="8457" max="8459" width="12.7109375" style="1940" customWidth="1"/>
    <col min="8460" max="8460" width="9.28515625" style="1940" customWidth="1"/>
    <col min="8461" max="8461" width="13.5703125" style="1940" customWidth="1"/>
    <col min="8462" max="8462" width="10.28515625" style="1940" customWidth="1"/>
    <col min="8463" max="8463" width="12.85546875" style="1940" customWidth="1"/>
    <col min="8464" max="8464" width="9.140625" style="1940" customWidth="1"/>
    <col min="8465" max="8465" width="9.7109375" style="1940" customWidth="1"/>
    <col min="8466" max="8466" width="9.28515625" style="1940" customWidth="1"/>
    <col min="8467" max="8467" width="9.42578125" style="1940" customWidth="1"/>
    <col min="8468" max="8468" width="10.5703125" style="1940" customWidth="1"/>
    <col min="8469" max="8469" width="12.42578125" style="1940" customWidth="1"/>
    <col min="8470" max="8470" width="14.5703125" style="1940" customWidth="1"/>
    <col min="8471" max="8471" width="12.28515625" style="1940" customWidth="1"/>
    <col min="8472" max="8472" width="25.85546875" style="1940" customWidth="1"/>
    <col min="8473" max="8704" width="0.85546875" style="1940"/>
    <col min="8705" max="8705" width="9.85546875" style="1940" customWidth="1"/>
    <col min="8706" max="8706" width="81.85546875" style="1940" customWidth="1"/>
    <col min="8707" max="8707" width="12.7109375" style="1940" customWidth="1"/>
    <col min="8708" max="8708" width="12.42578125" style="1940" customWidth="1"/>
    <col min="8709" max="8709" width="14.5703125" style="1940" customWidth="1"/>
    <col min="8710" max="8710" width="12.28515625" style="1940" customWidth="1"/>
    <col min="8711" max="8711" width="38.140625" style="1940" customWidth="1"/>
    <col min="8712" max="8712" width="46.85546875" style="1940" customWidth="1"/>
    <col min="8713" max="8715" width="12.7109375" style="1940" customWidth="1"/>
    <col min="8716" max="8716" width="9.28515625" style="1940" customWidth="1"/>
    <col min="8717" max="8717" width="13.5703125" style="1940" customWidth="1"/>
    <col min="8718" max="8718" width="10.28515625" style="1940" customWidth="1"/>
    <col min="8719" max="8719" width="12.85546875" style="1940" customWidth="1"/>
    <col min="8720" max="8720" width="9.140625" style="1940" customWidth="1"/>
    <col min="8721" max="8721" width="9.7109375" style="1940" customWidth="1"/>
    <col min="8722" max="8722" width="9.28515625" style="1940" customWidth="1"/>
    <col min="8723" max="8723" width="9.42578125" style="1940" customWidth="1"/>
    <col min="8724" max="8724" width="10.5703125" style="1940" customWidth="1"/>
    <col min="8725" max="8725" width="12.42578125" style="1940" customWidth="1"/>
    <col min="8726" max="8726" width="14.5703125" style="1940" customWidth="1"/>
    <col min="8727" max="8727" width="12.28515625" style="1940" customWidth="1"/>
    <col min="8728" max="8728" width="25.85546875" style="1940" customWidth="1"/>
    <col min="8729" max="8960" width="0.85546875" style="1940"/>
    <col min="8961" max="8961" width="9.85546875" style="1940" customWidth="1"/>
    <col min="8962" max="8962" width="81.85546875" style="1940" customWidth="1"/>
    <col min="8963" max="8963" width="12.7109375" style="1940" customWidth="1"/>
    <col min="8964" max="8964" width="12.42578125" style="1940" customWidth="1"/>
    <col min="8965" max="8965" width="14.5703125" style="1940" customWidth="1"/>
    <col min="8966" max="8966" width="12.28515625" style="1940" customWidth="1"/>
    <col min="8967" max="8967" width="38.140625" style="1940" customWidth="1"/>
    <col min="8968" max="8968" width="46.85546875" style="1940" customWidth="1"/>
    <col min="8969" max="8971" width="12.7109375" style="1940" customWidth="1"/>
    <col min="8972" max="8972" width="9.28515625" style="1940" customWidth="1"/>
    <col min="8973" max="8973" width="13.5703125" style="1940" customWidth="1"/>
    <col min="8974" max="8974" width="10.28515625" style="1940" customWidth="1"/>
    <col min="8975" max="8975" width="12.85546875" style="1940" customWidth="1"/>
    <col min="8976" max="8976" width="9.140625" style="1940" customWidth="1"/>
    <col min="8977" max="8977" width="9.7109375" style="1940" customWidth="1"/>
    <col min="8978" max="8978" width="9.28515625" style="1940" customWidth="1"/>
    <col min="8979" max="8979" width="9.42578125" style="1940" customWidth="1"/>
    <col min="8980" max="8980" width="10.5703125" style="1940" customWidth="1"/>
    <col min="8981" max="8981" width="12.42578125" style="1940" customWidth="1"/>
    <col min="8982" max="8982" width="14.5703125" style="1940" customWidth="1"/>
    <col min="8983" max="8983" width="12.28515625" style="1940" customWidth="1"/>
    <col min="8984" max="8984" width="25.85546875" style="1940" customWidth="1"/>
    <col min="8985" max="9216" width="0.85546875" style="1940"/>
    <col min="9217" max="9217" width="9.85546875" style="1940" customWidth="1"/>
    <col min="9218" max="9218" width="81.85546875" style="1940" customWidth="1"/>
    <col min="9219" max="9219" width="12.7109375" style="1940" customWidth="1"/>
    <col min="9220" max="9220" width="12.42578125" style="1940" customWidth="1"/>
    <col min="9221" max="9221" width="14.5703125" style="1940" customWidth="1"/>
    <col min="9222" max="9222" width="12.28515625" style="1940" customWidth="1"/>
    <col min="9223" max="9223" width="38.140625" style="1940" customWidth="1"/>
    <col min="9224" max="9224" width="46.85546875" style="1940" customWidth="1"/>
    <col min="9225" max="9227" width="12.7109375" style="1940" customWidth="1"/>
    <col min="9228" max="9228" width="9.28515625" style="1940" customWidth="1"/>
    <col min="9229" max="9229" width="13.5703125" style="1940" customWidth="1"/>
    <col min="9230" max="9230" width="10.28515625" style="1940" customWidth="1"/>
    <col min="9231" max="9231" width="12.85546875" style="1940" customWidth="1"/>
    <col min="9232" max="9232" width="9.140625" style="1940" customWidth="1"/>
    <col min="9233" max="9233" width="9.7109375" style="1940" customWidth="1"/>
    <col min="9234" max="9234" width="9.28515625" style="1940" customWidth="1"/>
    <col min="9235" max="9235" width="9.42578125" style="1940" customWidth="1"/>
    <col min="9236" max="9236" width="10.5703125" style="1940" customWidth="1"/>
    <col min="9237" max="9237" width="12.42578125" style="1940" customWidth="1"/>
    <col min="9238" max="9238" width="14.5703125" style="1940" customWidth="1"/>
    <col min="9239" max="9239" width="12.28515625" style="1940" customWidth="1"/>
    <col min="9240" max="9240" width="25.85546875" style="1940" customWidth="1"/>
    <col min="9241" max="9472" width="0.85546875" style="1940"/>
    <col min="9473" max="9473" width="9.85546875" style="1940" customWidth="1"/>
    <col min="9474" max="9474" width="81.85546875" style="1940" customWidth="1"/>
    <col min="9475" max="9475" width="12.7109375" style="1940" customWidth="1"/>
    <col min="9476" max="9476" width="12.42578125" style="1940" customWidth="1"/>
    <col min="9477" max="9477" width="14.5703125" style="1940" customWidth="1"/>
    <col min="9478" max="9478" width="12.28515625" style="1940" customWidth="1"/>
    <col min="9479" max="9479" width="38.140625" style="1940" customWidth="1"/>
    <col min="9480" max="9480" width="46.85546875" style="1940" customWidth="1"/>
    <col min="9481" max="9483" width="12.7109375" style="1940" customWidth="1"/>
    <col min="9484" max="9484" width="9.28515625" style="1940" customWidth="1"/>
    <col min="9485" max="9485" width="13.5703125" style="1940" customWidth="1"/>
    <col min="9486" max="9486" width="10.28515625" style="1940" customWidth="1"/>
    <col min="9487" max="9487" width="12.85546875" style="1940" customWidth="1"/>
    <col min="9488" max="9488" width="9.140625" style="1940" customWidth="1"/>
    <col min="9489" max="9489" width="9.7109375" style="1940" customWidth="1"/>
    <col min="9490" max="9490" width="9.28515625" style="1940" customWidth="1"/>
    <col min="9491" max="9491" width="9.42578125" style="1940" customWidth="1"/>
    <col min="9492" max="9492" width="10.5703125" style="1940" customWidth="1"/>
    <col min="9493" max="9493" width="12.42578125" style="1940" customWidth="1"/>
    <col min="9494" max="9494" width="14.5703125" style="1940" customWidth="1"/>
    <col min="9495" max="9495" width="12.28515625" style="1940" customWidth="1"/>
    <col min="9496" max="9496" width="25.85546875" style="1940" customWidth="1"/>
    <col min="9497" max="9728" width="0.85546875" style="1940"/>
    <col min="9729" max="9729" width="9.85546875" style="1940" customWidth="1"/>
    <col min="9730" max="9730" width="81.85546875" style="1940" customWidth="1"/>
    <col min="9731" max="9731" width="12.7109375" style="1940" customWidth="1"/>
    <col min="9732" max="9732" width="12.42578125" style="1940" customWidth="1"/>
    <col min="9733" max="9733" width="14.5703125" style="1940" customWidth="1"/>
    <col min="9734" max="9734" width="12.28515625" style="1940" customWidth="1"/>
    <col min="9735" max="9735" width="38.140625" style="1940" customWidth="1"/>
    <col min="9736" max="9736" width="46.85546875" style="1940" customWidth="1"/>
    <col min="9737" max="9739" width="12.7109375" style="1940" customWidth="1"/>
    <col min="9740" max="9740" width="9.28515625" style="1940" customWidth="1"/>
    <col min="9741" max="9741" width="13.5703125" style="1940" customWidth="1"/>
    <col min="9742" max="9742" width="10.28515625" style="1940" customWidth="1"/>
    <col min="9743" max="9743" width="12.85546875" style="1940" customWidth="1"/>
    <col min="9744" max="9744" width="9.140625" style="1940" customWidth="1"/>
    <col min="9745" max="9745" width="9.7109375" style="1940" customWidth="1"/>
    <col min="9746" max="9746" width="9.28515625" style="1940" customWidth="1"/>
    <col min="9747" max="9747" width="9.42578125" style="1940" customWidth="1"/>
    <col min="9748" max="9748" width="10.5703125" style="1940" customWidth="1"/>
    <col min="9749" max="9749" width="12.42578125" style="1940" customWidth="1"/>
    <col min="9750" max="9750" width="14.5703125" style="1940" customWidth="1"/>
    <col min="9751" max="9751" width="12.28515625" style="1940" customWidth="1"/>
    <col min="9752" max="9752" width="25.85546875" style="1940" customWidth="1"/>
    <col min="9753" max="9984" width="0.85546875" style="1940"/>
    <col min="9985" max="9985" width="9.85546875" style="1940" customWidth="1"/>
    <col min="9986" max="9986" width="81.85546875" style="1940" customWidth="1"/>
    <col min="9987" max="9987" width="12.7109375" style="1940" customWidth="1"/>
    <col min="9988" max="9988" width="12.42578125" style="1940" customWidth="1"/>
    <col min="9989" max="9989" width="14.5703125" style="1940" customWidth="1"/>
    <col min="9990" max="9990" width="12.28515625" style="1940" customWidth="1"/>
    <col min="9991" max="9991" width="38.140625" style="1940" customWidth="1"/>
    <col min="9992" max="9992" width="46.85546875" style="1940" customWidth="1"/>
    <col min="9993" max="9995" width="12.7109375" style="1940" customWidth="1"/>
    <col min="9996" max="9996" width="9.28515625" style="1940" customWidth="1"/>
    <col min="9997" max="9997" width="13.5703125" style="1940" customWidth="1"/>
    <col min="9998" max="9998" width="10.28515625" style="1940" customWidth="1"/>
    <col min="9999" max="9999" width="12.85546875" style="1940" customWidth="1"/>
    <col min="10000" max="10000" width="9.140625" style="1940" customWidth="1"/>
    <col min="10001" max="10001" width="9.7109375" style="1940" customWidth="1"/>
    <col min="10002" max="10002" width="9.28515625" style="1940" customWidth="1"/>
    <col min="10003" max="10003" width="9.42578125" style="1940" customWidth="1"/>
    <col min="10004" max="10004" width="10.5703125" style="1940" customWidth="1"/>
    <col min="10005" max="10005" width="12.42578125" style="1940" customWidth="1"/>
    <col min="10006" max="10006" width="14.5703125" style="1940" customWidth="1"/>
    <col min="10007" max="10007" width="12.28515625" style="1940" customWidth="1"/>
    <col min="10008" max="10008" width="25.85546875" style="1940" customWidth="1"/>
    <col min="10009" max="10240" width="0.85546875" style="1940"/>
    <col min="10241" max="10241" width="9.85546875" style="1940" customWidth="1"/>
    <col min="10242" max="10242" width="81.85546875" style="1940" customWidth="1"/>
    <col min="10243" max="10243" width="12.7109375" style="1940" customWidth="1"/>
    <col min="10244" max="10244" width="12.42578125" style="1940" customWidth="1"/>
    <col min="10245" max="10245" width="14.5703125" style="1940" customWidth="1"/>
    <col min="10246" max="10246" width="12.28515625" style="1940" customWidth="1"/>
    <col min="10247" max="10247" width="38.140625" style="1940" customWidth="1"/>
    <col min="10248" max="10248" width="46.85546875" style="1940" customWidth="1"/>
    <col min="10249" max="10251" width="12.7109375" style="1940" customWidth="1"/>
    <col min="10252" max="10252" width="9.28515625" style="1940" customWidth="1"/>
    <col min="10253" max="10253" width="13.5703125" style="1940" customWidth="1"/>
    <col min="10254" max="10254" width="10.28515625" style="1940" customWidth="1"/>
    <col min="10255" max="10255" width="12.85546875" style="1940" customWidth="1"/>
    <col min="10256" max="10256" width="9.140625" style="1940" customWidth="1"/>
    <col min="10257" max="10257" width="9.7109375" style="1940" customWidth="1"/>
    <col min="10258" max="10258" width="9.28515625" style="1940" customWidth="1"/>
    <col min="10259" max="10259" width="9.42578125" style="1940" customWidth="1"/>
    <col min="10260" max="10260" width="10.5703125" style="1940" customWidth="1"/>
    <col min="10261" max="10261" width="12.42578125" style="1940" customWidth="1"/>
    <col min="10262" max="10262" width="14.5703125" style="1940" customWidth="1"/>
    <col min="10263" max="10263" width="12.28515625" style="1940" customWidth="1"/>
    <col min="10264" max="10264" width="25.85546875" style="1940" customWidth="1"/>
    <col min="10265" max="10496" width="0.85546875" style="1940"/>
    <col min="10497" max="10497" width="9.85546875" style="1940" customWidth="1"/>
    <col min="10498" max="10498" width="81.85546875" style="1940" customWidth="1"/>
    <col min="10499" max="10499" width="12.7109375" style="1940" customWidth="1"/>
    <col min="10500" max="10500" width="12.42578125" style="1940" customWidth="1"/>
    <col min="10501" max="10501" width="14.5703125" style="1940" customWidth="1"/>
    <col min="10502" max="10502" width="12.28515625" style="1940" customWidth="1"/>
    <col min="10503" max="10503" width="38.140625" style="1940" customWidth="1"/>
    <col min="10504" max="10504" width="46.85546875" style="1940" customWidth="1"/>
    <col min="10505" max="10507" width="12.7109375" style="1940" customWidth="1"/>
    <col min="10508" max="10508" width="9.28515625" style="1940" customWidth="1"/>
    <col min="10509" max="10509" width="13.5703125" style="1940" customWidth="1"/>
    <col min="10510" max="10510" width="10.28515625" style="1940" customWidth="1"/>
    <col min="10511" max="10511" width="12.85546875" style="1940" customWidth="1"/>
    <col min="10512" max="10512" width="9.140625" style="1940" customWidth="1"/>
    <col min="10513" max="10513" width="9.7109375" style="1940" customWidth="1"/>
    <col min="10514" max="10514" width="9.28515625" style="1940" customWidth="1"/>
    <col min="10515" max="10515" width="9.42578125" style="1940" customWidth="1"/>
    <col min="10516" max="10516" width="10.5703125" style="1940" customWidth="1"/>
    <col min="10517" max="10517" width="12.42578125" style="1940" customWidth="1"/>
    <col min="10518" max="10518" width="14.5703125" style="1940" customWidth="1"/>
    <col min="10519" max="10519" width="12.28515625" style="1940" customWidth="1"/>
    <col min="10520" max="10520" width="25.85546875" style="1940" customWidth="1"/>
    <col min="10521" max="10752" width="0.85546875" style="1940"/>
    <col min="10753" max="10753" width="9.85546875" style="1940" customWidth="1"/>
    <col min="10754" max="10754" width="81.85546875" style="1940" customWidth="1"/>
    <col min="10755" max="10755" width="12.7109375" style="1940" customWidth="1"/>
    <col min="10756" max="10756" width="12.42578125" style="1940" customWidth="1"/>
    <col min="10757" max="10757" width="14.5703125" style="1940" customWidth="1"/>
    <col min="10758" max="10758" width="12.28515625" style="1940" customWidth="1"/>
    <col min="10759" max="10759" width="38.140625" style="1940" customWidth="1"/>
    <col min="10760" max="10760" width="46.85546875" style="1940" customWidth="1"/>
    <col min="10761" max="10763" width="12.7109375" style="1940" customWidth="1"/>
    <col min="10764" max="10764" width="9.28515625" style="1940" customWidth="1"/>
    <col min="10765" max="10765" width="13.5703125" style="1940" customWidth="1"/>
    <col min="10766" max="10766" width="10.28515625" style="1940" customWidth="1"/>
    <col min="10767" max="10767" width="12.85546875" style="1940" customWidth="1"/>
    <col min="10768" max="10768" width="9.140625" style="1940" customWidth="1"/>
    <col min="10769" max="10769" width="9.7109375" style="1940" customWidth="1"/>
    <col min="10770" max="10770" width="9.28515625" style="1940" customWidth="1"/>
    <col min="10771" max="10771" width="9.42578125" style="1940" customWidth="1"/>
    <col min="10772" max="10772" width="10.5703125" style="1940" customWidth="1"/>
    <col min="10773" max="10773" width="12.42578125" style="1940" customWidth="1"/>
    <col min="10774" max="10774" width="14.5703125" style="1940" customWidth="1"/>
    <col min="10775" max="10775" width="12.28515625" style="1940" customWidth="1"/>
    <col min="10776" max="10776" width="25.85546875" style="1940" customWidth="1"/>
    <col min="10777" max="11008" width="0.85546875" style="1940"/>
    <col min="11009" max="11009" width="9.85546875" style="1940" customWidth="1"/>
    <col min="11010" max="11010" width="81.85546875" style="1940" customWidth="1"/>
    <col min="11011" max="11011" width="12.7109375" style="1940" customWidth="1"/>
    <col min="11012" max="11012" width="12.42578125" style="1940" customWidth="1"/>
    <col min="11013" max="11013" width="14.5703125" style="1940" customWidth="1"/>
    <col min="11014" max="11014" width="12.28515625" style="1940" customWidth="1"/>
    <col min="11015" max="11015" width="38.140625" style="1940" customWidth="1"/>
    <col min="11016" max="11016" width="46.85546875" style="1940" customWidth="1"/>
    <col min="11017" max="11019" width="12.7109375" style="1940" customWidth="1"/>
    <col min="11020" max="11020" width="9.28515625" style="1940" customWidth="1"/>
    <col min="11021" max="11021" width="13.5703125" style="1940" customWidth="1"/>
    <col min="11022" max="11022" width="10.28515625" style="1940" customWidth="1"/>
    <col min="11023" max="11023" width="12.85546875" style="1940" customWidth="1"/>
    <col min="11024" max="11024" width="9.140625" style="1940" customWidth="1"/>
    <col min="11025" max="11025" width="9.7109375" style="1940" customWidth="1"/>
    <col min="11026" max="11026" width="9.28515625" style="1940" customWidth="1"/>
    <col min="11027" max="11027" width="9.42578125" style="1940" customWidth="1"/>
    <col min="11028" max="11028" width="10.5703125" style="1940" customWidth="1"/>
    <col min="11029" max="11029" width="12.42578125" style="1940" customWidth="1"/>
    <col min="11030" max="11030" width="14.5703125" style="1940" customWidth="1"/>
    <col min="11031" max="11031" width="12.28515625" style="1940" customWidth="1"/>
    <col min="11032" max="11032" width="25.85546875" style="1940" customWidth="1"/>
    <col min="11033" max="11264" width="0.85546875" style="1940"/>
    <col min="11265" max="11265" width="9.85546875" style="1940" customWidth="1"/>
    <col min="11266" max="11266" width="81.85546875" style="1940" customWidth="1"/>
    <col min="11267" max="11267" width="12.7109375" style="1940" customWidth="1"/>
    <col min="11268" max="11268" width="12.42578125" style="1940" customWidth="1"/>
    <col min="11269" max="11269" width="14.5703125" style="1940" customWidth="1"/>
    <col min="11270" max="11270" width="12.28515625" style="1940" customWidth="1"/>
    <col min="11271" max="11271" width="38.140625" style="1940" customWidth="1"/>
    <col min="11272" max="11272" width="46.85546875" style="1940" customWidth="1"/>
    <col min="11273" max="11275" width="12.7109375" style="1940" customWidth="1"/>
    <col min="11276" max="11276" width="9.28515625" style="1940" customWidth="1"/>
    <col min="11277" max="11277" width="13.5703125" style="1940" customWidth="1"/>
    <col min="11278" max="11278" width="10.28515625" style="1940" customWidth="1"/>
    <col min="11279" max="11279" width="12.85546875" style="1940" customWidth="1"/>
    <col min="11280" max="11280" width="9.140625" style="1940" customWidth="1"/>
    <col min="11281" max="11281" width="9.7109375" style="1940" customWidth="1"/>
    <col min="11282" max="11282" width="9.28515625" style="1940" customWidth="1"/>
    <col min="11283" max="11283" width="9.42578125" style="1940" customWidth="1"/>
    <col min="11284" max="11284" width="10.5703125" style="1940" customWidth="1"/>
    <col min="11285" max="11285" width="12.42578125" style="1940" customWidth="1"/>
    <col min="11286" max="11286" width="14.5703125" style="1940" customWidth="1"/>
    <col min="11287" max="11287" width="12.28515625" style="1940" customWidth="1"/>
    <col min="11288" max="11288" width="25.85546875" style="1940" customWidth="1"/>
    <col min="11289" max="11520" width="0.85546875" style="1940"/>
    <col min="11521" max="11521" width="9.85546875" style="1940" customWidth="1"/>
    <col min="11522" max="11522" width="81.85546875" style="1940" customWidth="1"/>
    <col min="11523" max="11523" width="12.7109375" style="1940" customWidth="1"/>
    <col min="11524" max="11524" width="12.42578125" style="1940" customWidth="1"/>
    <col min="11525" max="11525" width="14.5703125" style="1940" customWidth="1"/>
    <col min="11526" max="11526" width="12.28515625" style="1940" customWidth="1"/>
    <col min="11527" max="11527" width="38.140625" style="1940" customWidth="1"/>
    <col min="11528" max="11528" width="46.85546875" style="1940" customWidth="1"/>
    <col min="11529" max="11531" width="12.7109375" style="1940" customWidth="1"/>
    <col min="11532" max="11532" width="9.28515625" style="1940" customWidth="1"/>
    <col min="11533" max="11533" width="13.5703125" style="1940" customWidth="1"/>
    <col min="11534" max="11534" width="10.28515625" style="1940" customWidth="1"/>
    <col min="11535" max="11535" width="12.85546875" style="1940" customWidth="1"/>
    <col min="11536" max="11536" width="9.140625" style="1940" customWidth="1"/>
    <col min="11537" max="11537" width="9.7109375" style="1940" customWidth="1"/>
    <col min="11538" max="11538" width="9.28515625" style="1940" customWidth="1"/>
    <col min="11539" max="11539" width="9.42578125" style="1940" customWidth="1"/>
    <col min="11540" max="11540" width="10.5703125" style="1940" customWidth="1"/>
    <col min="11541" max="11541" width="12.42578125" style="1940" customWidth="1"/>
    <col min="11542" max="11542" width="14.5703125" style="1940" customWidth="1"/>
    <col min="11543" max="11543" width="12.28515625" style="1940" customWidth="1"/>
    <col min="11544" max="11544" width="25.85546875" style="1940" customWidth="1"/>
    <col min="11545" max="11776" width="0.85546875" style="1940"/>
    <col min="11777" max="11777" width="9.85546875" style="1940" customWidth="1"/>
    <col min="11778" max="11778" width="81.85546875" style="1940" customWidth="1"/>
    <col min="11779" max="11779" width="12.7109375" style="1940" customWidth="1"/>
    <col min="11780" max="11780" width="12.42578125" style="1940" customWidth="1"/>
    <col min="11781" max="11781" width="14.5703125" style="1940" customWidth="1"/>
    <col min="11782" max="11782" width="12.28515625" style="1940" customWidth="1"/>
    <col min="11783" max="11783" width="38.140625" style="1940" customWidth="1"/>
    <col min="11784" max="11784" width="46.85546875" style="1940" customWidth="1"/>
    <col min="11785" max="11787" width="12.7109375" style="1940" customWidth="1"/>
    <col min="11788" max="11788" width="9.28515625" style="1940" customWidth="1"/>
    <col min="11789" max="11789" width="13.5703125" style="1940" customWidth="1"/>
    <col min="11790" max="11790" width="10.28515625" style="1940" customWidth="1"/>
    <col min="11791" max="11791" width="12.85546875" style="1940" customWidth="1"/>
    <col min="11792" max="11792" width="9.140625" style="1940" customWidth="1"/>
    <col min="11793" max="11793" width="9.7109375" style="1940" customWidth="1"/>
    <col min="11794" max="11794" width="9.28515625" style="1940" customWidth="1"/>
    <col min="11795" max="11795" width="9.42578125" style="1940" customWidth="1"/>
    <col min="11796" max="11796" width="10.5703125" style="1940" customWidth="1"/>
    <col min="11797" max="11797" width="12.42578125" style="1940" customWidth="1"/>
    <col min="11798" max="11798" width="14.5703125" style="1940" customWidth="1"/>
    <col min="11799" max="11799" width="12.28515625" style="1940" customWidth="1"/>
    <col min="11800" max="11800" width="25.85546875" style="1940" customWidth="1"/>
    <col min="11801" max="12032" width="0.85546875" style="1940"/>
    <col min="12033" max="12033" width="9.85546875" style="1940" customWidth="1"/>
    <col min="12034" max="12034" width="81.85546875" style="1940" customWidth="1"/>
    <col min="12035" max="12035" width="12.7109375" style="1940" customWidth="1"/>
    <col min="12036" max="12036" width="12.42578125" style="1940" customWidth="1"/>
    <col min="12037" max="12037" width="14.5703125" style="1940" customWidth="1"/>
    <col min="12038" max="12038" width="12.28515625" style="1940" customWidth="1"/>
    <col min="12039" max="12039" width="38.140625" style="1940" customWidth="1"/>
    <col min="12040" max="12040" width="46.85546875" style="1940" customWidth="1"/>
    <col min="12041" max="12043" width="12.7109375" style="1940" customWidth="1"/>
    <col min="12044" max="12044" width="9.28515625" style="1940" customWidth="1"/>
    <col min="12045" max="12045" width="13.5703125" style="1940" customWidth="1"/>
    <col min="12046" max="12046" width="10.28515625" style="1940" customWidth="1"/>
    <col min="12047" max="12047" width="12.85546875" style="1940" customWidth="1"/>
    <col min="12048" max="12048" width="9.140625" style="1940" customWidth="1"/>
    <col min="12049" max="12049" width="9.7109375" style="1940" customWidth="1"/>
    <col min="12050" max="12050" width="9.28515625" style="1940" customWidth="1"/>
    <col min="12051" max="12051" width="9.42578125" style="1940" customWidth="1"/>
    <col min="12052" max="12052" width="10.5703125" style="1940" customWidth="1"/>
    <col min="12053" max="12053" width="12.42578125" style="1940" customWidth="1"/>
    <col min="12054" max="12054" width="14.5703125" style="1940" customWidth="1"/>
    <col min="12055" max="12055" width="12.28515625" style="1940" customWidth="1"/>
    <col min="12056" max="12056" width="25.85546875" style="1940" customWidth="1"/>
    <col min="12057" max="12288" width="0.85546875" style="1940"/>
    <col min="12289" max="12289" width="9.85546875" style="1940" customWidth="1"/>
    <col min="12290" max="12290" width="81.85546875" style="1940" customWidth="1"/>
    <col min="12291" max="12291" width="12.7109375" style="1940" customWidth="1"/>
    <col min="12292" max="12292" width="12.42578125" style="1940" customWidth="1"/>
    <col min="12293" max="12293" width="14.5703125" style="1940" customWidth="1"/>
    <col min="12294" max="12294" width="12.28515625" style="1940" customWidth="1"/>
    <col min="12295" max="12295" width="38.140625" style="1940" customWidth="1"/>
    <col min="12296" max="12296" width="46.85546875" style="1940" customWidth="1"/>
    <col min="12297" max="12299" width="12.7109375" style="1940" customWidth="1"/>
    <col min="12300" max="12300" width="9.28515625" style="1940" customWidth="1"/>
    <col min="12301" max="12301" width="13.5703125" style="1940" customWidth="1"/>
    <col min="12302" max="12302" width="10.28515625" style="1940" customWidth="1"/>
    <col min="12303" max="12303" width="12.85546875" style="1940" customWidth="1"/>
    <col min="12304" max="12304" width="9.140625" style="1940" customWidth="1"/>
    <col min="12305" max="12305" width="9.7109375" style="1940" customWidth="1"/>
    <col min="12306" max="12306" width="9.28515625" style="1940" customWidth="1"/>
    <col min="12307" max="12307" width="9.42578125" style="1940" customWidth="1"/>
    <col min="12308" max="12308" width="10.5703125" style="1940" customWidth="1"/>
    <col min="12309" max="12309" width="12.42578125" style="1940" customWidth="1"/>
    <col min="12310" max="12310" width="14.5703125" style="1940" customWidth="1"/>
    <col min="12311" max="12311" width="12.28515625" style="1940" customWidth="1"/>
    <col min="12312" max="12312" width="25.85546875" style="1940" customWidth="1"/>
    <col min="12313" max="12544" width="0.85546875" style="1940"/>
    <col min="12545" max="12545" width="9.85546875" style="1940" customWidth="1"/>
    <col min="12546" max="12546" width="81.85546875" style="1940" customWidth="1"/>
    <col min="12547" max="12547" width="12.7109375" style="1940" customWidth="1"/>
    <col min="12548" max="12548" width="12.42578125" style="1940" customWidth="1"/>
    <col min="12549" max="12549" width="14.5703125" style="1940" customWidth="1"/>
    <col min="12550" max="12550" width="12.28515625" style="1940" customWidth="1"/>
    <col min="12551" max="12551" width="38.140625" style="1940" customWidth="1"/>
    <col min="12552" max="12552" width="46.85546875" style="1940" customWidth="1"/>
    <col min="12553" max="12555" width="12.7109375" style="1940" customWidth="1"/>
    <col min="12556" max="12556" width="9.28515625" style="1940" customWidth="1"/>
    <col min="12557" max="12557" width="13.5703125" style="1940" customWidth="1"/>
    <col min="12558" max="12558" width="10.28515625" style="1940" customWidth="1"/>
    <col min="12559" max="12559" width="12.85546875" style="1940" customWidth="1"/>
    <col min="12560" max="12560" width="9.140625" style="1940" customWidth="1"/>
    <col min="12561" max="12561" width="9.7109375" style="1940" customWidth="1"/>
    <col min="12562" max="12562" width="9.28515625" style="1940" customWidth="1"/>
    <col min="12563" max="12563" width="9.42578125" style="1940" customWidth="1"/>
    <col min="12564" max="12564" width="10.5703125" style="1940" customWidth="1"/>
    <col min="12565" max="12565" width="12.42578125" style="1940" customWidth="1"/>
    <col min="12566" max="12566" width="14.5703125" style="1940" customWidth="1"/>
    <col min="12567" max="12567" width="12.28515625" style="1940" customWidth="1"/>
    <col min="12568" max="12568" width="25.85546875" style="1940" customWidth="1"/>
    <col min="12569" max="12800" width="0.85546875" style="1940"/>
    <col min="12801" max="12801" width="9.85546875" style="1940" customWidth="1"/>
    <col min="12802" max="12802" width="81.85546875" style="1940" customWidth="1"/>
    <col min="12803" max="12803" width="12.7109375" style="1940" customWidth="1"/>
    <col min="12804" max="12804" width="12.42578125" style="1940" customWidth="1"/>
    <col min="12805" max="12805" width="14.5703125" style="1940" customWidth="1"/>
    <col min="12806" max="12806" width="12.28515625" style="1940" customWidth="1"/>
    <col min="12807" max="12807" width="38.140625" style="1940" customWidth="1"/>
    <col min="12808" max="12808" width="46.85546875" style="1940" customWidth="1"/>
    <col min="12809" max="12811" width="12.7109375" style="1940" customWidth="1"/>
    <col min="12812" max="12812" width="9.28515625" style="1940" customWidth="1"/>
    <col min="12813" max="12813" width="13.5703125" style="1940" customWidth="1"/>
    <col min="12814" max="12814" width="10.28515625" style="1940" customWidth="1"/>
    <col min="12815" max="12815" width="12.85546875" style="1940" customWidth="1"/>
    <col min="12816" max="12816" width="9.140625" style="1940" customWidth="1"/>
    <col min="12817" max="12817" width="9.7109375" style="1940" customWidth="1"/>
    <col min="12818" max="12818" width="9.28515625" style="1940" customWidth="1"/>
    <col min="12819" max="12819" width="9.42578125" style="1940" customWidth="1"/>
    <col min="12820" max="12820" width="10.5703125" style="1940" customWidth="1"/>
    <col min="12821" max="12821" width="12.42578125" style="1940" customWidth="1"/>
    <col min="12822" max="12822" width="14.5703125" style="1940" customWidth="1"/>
    <col min="12823" max="12823" width="12.28515625" style="1940" customWidth="1"/>
    <col min="12824" max="12824" width="25.85546875" style="1940" customWidth="1"/>
    <col min="12825" max="13056" width="0.85546875" style="1940"/>
    <col min="13057" max="13057" width="9.85546875" style="1940" customWidth="1"/>
    <col min="13058" max="13058" width="81.85546875" style="1940" customWidth="1"/>
    <col min="13059" max="13059" width="12.7109375" style="1940" customWidth="1"/>
    <col min="13060" max="13060" width="12.42578125" style="1940" customWidth="1"/>
    <col min="13061" max="13061" width="14.5703125" style="1940" customWidth="1"/>
    <col min="13062" max="13062" width="12.28515625" style="1940" customWidth="1"/>
    <col min="13063" max="13063" width="38.140625" style="1940" customWidth="1"/>
    <col min="13064" max="13064" width="46.85546875" style="1940" customWidth="1"/>
    <col min="13065" max="13067" width="12.7109375" style="1940" customWidth="1"/>
    <col min="13068" max="13068" width="9.28515625" style="1940" customWidth="1"/>
    <col min="13069" max="13069" width="13.5703125" style="1940" customWidth="1"/>
    <col min="13070" max="13070" width="10.28515625" style="1940" customWidth="1"/>
    <col min="13071" max="13071" width="12.85546875" style="1940" customWidth="1"/>
    <col min="13072" max="13072" width="9.140625" style="1940" customWidth="1"/>
    <col min="13073" max="13073" width="9.7109375" style="1940" customWidth="1"/>
    <col min="13074" max="13074" width="9.28515625" style="1940" customWidth="1"/>
    <col min="13075" max="13075" width="9.42578125" style="1940" customWidth="1"/>
    <col min="13076" max="13076" width="10.5703125" style="1940" customWidth="1"/>
    <col min="13077" max="13077" width="12.42578125" style="1940" customWidth="1"/>
    <col min="13078" max="13078" width="14.5703125" style="1940" customWidth="1"/>
    <col min="13079" max="13079" width="12.28515625" style="1940" customWidth="1"/>
    <col min="13080" max="13080" width="25.85546875" style="1940" customWidth="1"/>
    <col min="13081" max="13312" width="0.85546875" style="1940"/>
    <col min="13313" max="13313" width="9.85546875" style="1940" customWidth="1"/>
    <col min="13314" max="13314" width="81.85546875" style="1940" customWidth="1"/>
    <col min="13315" max="13315" width="12.7109375" style="1940" customWidth="1"/>
    <col min="13316" max="13316" width="12.42578125" style="1940" customWidth="1"/>
    <col min="13317" max="13317" width="14.5703125" style="1940" customWidth="1"/>
    <col min="13318" max="13318" width="12.28515625" style="1940" customWidth="1"/>
    <col min="13319" max="13319" width="38.140625" style="1940" customWidth="1"/>
    <col min="13320" max="13320" width="46.85546875" style="1940" customWidth="1"/>
    <col min="13321" max="13323" width="12.7109375" style="1940" customWidth="1"/>
    <col min="13324" max="13324" width="9.28515625" style="1940" customWidth="1"/>
    <col min="13325" max="13325" width="13.5703125" style="1940" customWidth="1"/>
    <col min="13326" max="13326" width="10.28515625" style="1940" customWidth="1"/>
    <col min="13327" max="13327" width="12.85546875" style="1940" customWidth="1"/>
    <col min="13328" max="13328" width="9.140625" style="1940" customWidth="1"/>
    <col min="13329" max="13329" width="9.7109375" style="1940" customWidth="1"/>
    <col min="13330" max="13330" width="9.28515625" style="1940" customWidth="1"/>
    <col min="13331" max="13331" width="9.42578125" style="1940" customWidth="1"/>
    <col min="13332" max="13332" width="10.5703125" style="1940" customWidth="1"/>
    <col min="13333" max="13333" width="12.42578125" style="1940" customWidth="1"/>
    <col min="13334" max="13334" width="14.5703125" style="1940" customWidth="1"/>
    <col min="13335" max="13335" width="12.28515625" style="1940" customWidth="1"/>
    <col min="13336" max="13336" width="25.85546875" style="1940" customWidth="1"/>
    <col min="13337" max="13568" width="0.85546875" style="1940"/>
    <col min="13569" max="13569" width="9.85546875" style="1940" customWidth="1"/>
    <col min="13570" max="13570" width="81.85546875" style="1940" customWidth="1"/>
    <col min="13571" max="13571" width="12.7109375" style="1940" customWidth="1"/>
    <col min="13572" max="13572" width="12.42578125" style="1940" customWidth="1"/>
    <col min="13573" max="13573" width="14.5703125" style="1940" customWidth="1"/>
    <col min="13574" max="13574" width="12.28515625" style="1940" customWidth="1"/>
    <col min="13575" max="13575" width="38.140625" style="1940" customWidth="1"/>
    <col min="13576" max="13576" width="46.85546875" style="1940" customWidth="1"/>
    <col min="13577" max="13579" width="12.7109375" style="1940" customWidth="1"/>
    <col min="13580" max="13580" width="9.28515625" style="1940" customWidth="1"/>
    <col min="13581" max="13581" width="13.5703125" style="1940" customWidth="1"/>
    <col min="13582" max="13582" width="10.28515625" style="1940" customWidth="1"/>
    <col min="13583" max="13583" width="12.85546875" style="1940" customWidth="1"/>
    <col min="13584" max="13584" width="9.140625" style="1940" customWidth="1"/>
    <col min="13585" max="13585" width="9.7109375" style="1940" customWidth="1"/>
    <col min="13586" max="13586" width="9.28515625" style="1940" customWidth="1"/>
    <col min="13587" max="13587" width="9.42578125" style="1940" customWidth="1"/>
    <col min="13588" max="13588" width="10.5703125" style="1940" customWidth="1"/>
    <col min="13589" max="13589" width="12.42578125" style="1940" customWidth="1"/>
    <col min="13590" max="13590" width="14.5703125" style="1940" customWidth="1"/>
    <col min="13591" max="13591" width="12.28515625" style="1940" customWidth="1"/>
    <col min="13592" max="13592" width="25.85546875" style="1940" customWidth="1"/>
    <col min="13593" max="13824" width="0.85546875" style="1940"/>
    <col min="13825" max="13825" width="9.85546875" style="1940" customWidth="1"/>
    <col min="13826" max="13826" width="81.85546875" style="1940" customWidth="1"/>
    <col min="13827" max="13827" width="12.7109375" style="1940" customWidth="1"/>
    <col min="13828" max="13828" width="12.42578125" style="1940" customWidth="1"/>
    <col min="13829" max="13829" width="14.5703125" style="1940" customWidth="1"/>
    <col min="13830" max="13830" width="12.28515625" style="1940" customWidth="1"/>
    <col min="13831" max="13831" width="38.140625" style="1940" customWidth="1"/>
    <col min="13832" max="13832" width="46.85546875" style="1940" customWidth="1"/>
    <col min="13833" max="13835" width="12.7109375" style="1940" customWidth="1"/>
    <col min="13836" max="13836" width="9.28515625" style="1940" customWidth="1"/>
    <col min="13837" max="13837" width="13.5703125" style="1940" customWidth="1"/>
    <col min="13838" max="13838" width="10.28515625" style="1940" customWidth="1"/>
    <col min="13839" max="13839" width="12.85546875" style="1940" customWidth="1"/>
    <col min="13840" max="13840" width="9.140625" style="1940" customWidth="1"/>
    <col min="13841" max="13841" width="9.7109375" style="1940" customWidth="1"/>
    <col min="13842" max="13842" width="9.28515625" style="1940" customWidth="1"/>
    <col min="13843" max="13843" width="9.42578125" style="1940" customWidth="1"/>
    <col min="13844" max="13844" width="10.5703125" style="1940" customWidth="1"/>
    <col min="13845" max="13845" width="12.42578125" style="1940" customWidth="1"/>
    <col min="13846" max="13846" width="14.5703125" style="1940" customWidth="1"/>
    <col min="13847" max="13847" width="12.28515625" style="1940" customWidth="1"/>
    <col min="13848" max="13848" width="25.85546875" style="1940" customWidth="1"/>
    <col min="13849" max="14080" width="0.85546875" style="1940"/>
    <col min="14081" max="14081" width="9.85546875" style="1940" customWidth="1"/>
    <col min="14082" max="14082" width="81.85546875" style="1940" customWidth="1"/>
    <col min="14083" max="14083" width="12.7109375" style="1940" customWidth="1"/>
    <col min="14084" max="14084" width="12.42578125" style="1940" customWidth="1"/>
    <col min="14085" max="14085" width="14.5703125" style="1940" customWidth="1"/>
    <col min="14086" max="14086" width="12.28515625" style="1940" customWidth="1"/>
    <col min="14087" max="14087" width="38.140625" style="1940" customWidth="1"/>
    <col min="14088" max="14088" width="46.85546875" style="1940" customWidth="1"/>
    <col min="14089" max="14091" width="12.7109375" style="1940" customWidth="1"/>
    <col min="14092" max="14092" width="9.28515625" style="1940" customWidth="1"/>
    <col min="14093" max="14093" width="13.5703125" style="1940" customWidth="1"/>
    <col min="14094" max="14094" width="10.28515625" style="1940" customWidth="1"/>
    <col min="14095" max="14095" width="12.85546875" style="1940" customWidth="1"/>
    <col min="14096" max="14096" width="9.140625" style="1940" customWidth="1"/>
    <col min="14097" max="14097" width="9.7109375" style="1940" customWidth="1"/>
    <col min="14098" max="14098" width="9.28515625" style="1940" customWidth="1"/>
    <col min="14099" max="14099" width="9.42578125" style="1940" customWidth="1"/>
    <col min="14100" max="14100" width="10.5703125" style="1940" customWidth="1"/>
    <col min="14101" max="14101" width="12.42578125" style="1940" customWidth="1"/>
    <col min="14102" max="14102" width="14.5703125" style="1940" customWidth="1"/>
    <col min="14103" max="14103" width="12.28515625" style="1940" customWidth="1"/>
    <col min="14104" max="14104" width="25.85546875" style="1940" customWidth="1"/>
    <col min="14105" max="14336" width="0.85546875" style="1940"/>
    <col min="14337" max="14337" width="9.85546875" style="1940" customWidth="1"/>
    <col min="14338" max="14338" width="81.85546875" style="1940" customWidth="1"/>
    <col min="14339" max="14339" width="12.7109375" style="1940" customWidth="1"/>
    <col min="14340" max="14340" width="12.42578125" style="1940" customWidth="1"/>
    <col min="14341" max="14341" width="14.5703125" style="1940" customWidth="1"/>
    <col min="14342" max="14342" width="12.28515625" style="1940" customWidth="1"/>
    <col min="14343" max="14343" width="38.140625" style="1940" customWidth="1"/>
    <col min="14344" max="14344" width="46.85546875" style="1940" customWidth="1"/>
    <col min="14345" max="14347" width="12.7109375" style="1940" customWidth="1"/>
    <col min="14348" max="14348" width="9.28515625" style="1940" customWidth="1"/>
    <col min="14349" max="14349" width="13.5703125" style="1940" customWidth="1"/>
    <col min="14350" max="14350" width="10.28515625" style="1940" customWidth="1"/>
    <col min="14351" max="14351" width="12.85546875" style="1940" customWidth="1"/>
    <col min="14352" max="14352" width="9.140625" style="1940" customWidth="1"/>
    <col min="14353" max="14353" width="9.7109375" style="1940" customWidth="1"/>
    <col min="14354" max="14354" width="9.28515625" style="1940" customWidth="1"/>
    <col min="14355" max="14355" width="9.42578125" style="1940" customWidth="1"/>
    <col min="14356" max="14356" width="10.5703125" style="1940" customWidth="1"/>
    <col min="14357" max="14357" width="12.42578125" style="1940" customWidth="1"/>
    <col min="14358" max="14358" width="14.5703125" style="1940" customWidth="1"/>
    <col min="14359" max="14359" width="12.28515625" style="1940" customWidth="1"/>
    <col min="14360" max="14360" width="25.85546875" style="1940" customWidth="1"/>
    <col min="14361" max="14592" width="0.85546875" style="1940"/>
    <col min="14593" max="14593" width="9.85546875" style="1940" customWidth="1"/>
    <col min="14594" max="14594" width="81.85546875" style="1940" customWidth="1"/>
    <col min="14595" max="14595" width="12.7109375" style="1940" customWidth="1"/>
    <col min="14596" max="14596" width="12.42578125" style="1940" customWidth="1"/>
    <col min="14597" max="14597" width="14.5703125" style="1940" customWidth="1"/>
    <col min="14598" max="14598" width="12.28515625" style="1940" customWidth="1"/>
    <col min="14599" max="14599" width="38.140625" style="1940" customWidth="1"/>
    <col min="14600" max="14600" width="46.85546875" style="1940" customWidth="1"/>
    <col min="14601" max="14603" width="12.7109375" style="1940" customWidth="1"/>
    <col min="14604" max="14604" width="9.28515625" style="1940" customWidth="1"/>
    <col min="14605" max="14605" width="13.5703125" style="1940" customWidth="1"/>
    <col min="14606" max="14606" width="10.28515625" style="1940" customWidth="1"/>
    <col min="14607" max="14607" width="12.85546875" style="1940" customWidth="1"/>
    <col min="14608" max="14608" width="9.140625" style="1940" customWidth="1"/>
    <col min="14609" max="14609" width="9.7109375" style="1940" customWidth="1"/>
    <col min="14610" max="14610" width="9.28515625" style="1940" customWidth="1"/>
    <col min="14611" max="14611" width="9.42578125" style="1940" customWidth="1"/>
    <col min="14612" max="14612" width="10.5703125" style="1940" customWidth="1"/>
    <col min="14613" max="14613" width="12.42578125" style="1940" customWidth="1"/>
    <col min="14614" max="14614" width="14.5703125" style="1940" customWidth="1"/>
    <col min="14615" max="14615" width="12.28515625" style="1940" customWidth="1"/>
    <col min="14616" max="14616" width="25.85546875" style="1940" customWidth="1"/>
    <col min="14617" max="14848" width="0.85546875" style="1940"/>
    <col min="14849" max="14849" width="9.85546875" style="1940" customWidth="1"/>
    <col min="14850" max="14850" width="81.85546875" style="1940" customWidth="1"/>
    <col min="14851" max="14851" width="12.7109375" style="1940" customWidth="1"/>
    <col min="14852" max="14852" width="12.42578125" style="1940" customWidth="1"/>
    <col min="14853" max="14853" width="14.5703125" style="1940" customWidth="1"/>
    <col min="14854" max="14854" width="12.28515625" style="1940" customWidth="1"/>
    <col min="14855" max="14855" width="38.140625" style="1940" customWidth="1"/>
    <col min="14856" max="14856" width="46.85546875" style="1940" customWidth="1"/>
    <col min="14857" max="14859" width="12.7109375" style="1940" customWidth="1"/>
    <col min="14860" max="14860" width="9.28515625" style="1940" customWidth="1"/>
    <col min="14861" max="14861" width="13.5703125" style="1940" customWidth="1"/>
    <col min="14862" max="14862" width="10.28515625" style="1940" customWidth="1"/>
    <col min="14863" max="14863" width="12.85546875" style="1940" customWidth="1"/>
    <col min="14864" max="14864" width="9.140625" style="1940" customWidth="1"/>
    <col min="14865" max="14865" width="9.7109375" style="1940" customWidth="1"/>
    <col min="14866" max="14866" width="9.28515625" style="1940" customWidth="1"/>
    <col min="14867" max="14867" width="9.42578125" style="1940" customWidth="1"/>
    <col min="14868" max="14868" width="10.5703125" style="1940" customWidth="1"/>
    <col min="14869" max="14869" width="12.42578125" style="1940" customWidth="1"/>
    <col min="14870" max="14870" width="14.5703125" style="1940" customWidth="1"/>
    <col min="14871" max="14871" width="12.28515625" style="1940" customWidth="1"/>
    <col min="14872" max="14872" width="25.85546875" style="1940" customWidth="1"/>
    <col min="14873" max="15104" width="0.85546875" style="1940"/>
    <col min="15105" max="15105" width="9.85546875" style="1940" customWidth="1"/>
    <col min="15106" max="15106" width="81.85546875" style="1940" customWidth="1"/>
    <col min="15107" max="15107" width="12.7109375" style="1940" customWidth="1"/>
    <col min="15108" max="15108" width="12.42578125" style="1940" customWidth="1"/>
    <col min="15109" max="15109" width="14.5703125" style="1940" customWidth="1"/>
    <col min="15110" max="15110" width="12.28515625" style="1940" customWidth="1"/>
    <col min="15111" max="15111" width="38.140625" style="1940" customWidth="1"/>
    <col min="15112" max="15112" width="46.85546875" style="1940" customWidth="1"/>
    <col min="15113" max="15115" width="12.7109375" style="1940" customWidth="1"/>
    <col min="15116" max="15116" width="9.28515625" style="1940" customWidth="1"/>
    <col min="15117" max="15117" width="13.5703125" style="1940" customWidth="1"/>
    <col min="15118" max="15118" width="10.28515625" style="1940" customWidth="1"/>
    <col min="15119" max="15119" width="12.85546875" style="1940" customWidth="1"/>
    <col min="15120" max="15120" width="9.140625" style="1940" customWidth="1"/>
    <col min="15121" max="15121" width="9.7109375" style="1940" customWidth="1"/>
    <col min="15122" max="15122" width="9.28515625" style="1940" customWidth="1"/>
    <col min="15123" max="15123" width="9.42578125" style="1940" customWidth="1"/>
    <col min="15124" max="15124" width="10.5703125" style="1940" customWidth="1"/>
    <col min="15125" max="15125" width="12.42578125" style="1940" customWidth="1"/>
    <col min="15126" max="15126" width="14.5703125" style="1940" customWidth="1"/>
    <col min="15127" max="15127" width="12.28515625" style="1940" customWidth="1"/>
    <col min="15128" max="15128" width="25.85546875" style="1940" customWidth="1"/>
    <col min="15129" max="15360" width="0.85546875" style="1940"/>
    <col min="15361" max="15361" width="9.85546875" style="1940" customWidth="1"/>
    <col min="15362" max="15362" width="81.85546875" style="1940" customWidth="1"/>
    <col min="15363" max="15363" width="12.7109375" style="1940" customWidth="1"/>
    <col min="15364" max="15364" width="12.42578125" style="1940" customWidth="1"/>
    <col min="15365" max="15365" width="14.5703125" style="1940" customWidth="1"/>
    <col min="15366" max="15366" width="12.28515625" style="1940" customWidth="1"/>
    <col min="15367" max="15367" width="38.140625" style="1940" customWidth="1"/>
    <col min="15368" max="15368" width="46.85546875" style="1940" customWidth="1"/>
    <col min="15369" max="15371" width="12.7109375" style="1940" customWidth="1"/>
    <col min="15372" max="15372" width="9.28515625" style="1940" customWidth="1"/>
    <col min="15373" max="15373" width="13.5703125" style="1940" customWidth="1"/>
    <col min="15374" max="15374" width="10.28515625" style="1940" customWidth="1"/>
    <col min="15375" max="15375" width="12.85546875" style="1940" customWidth="1"/>
    <col min="15376" max="15376" width="9.140625" style="1940" customWidth="1"/>
    <col min="15377" max="15377" width="9.7109375" style="1940" customWidth="1"/>
    <col min="15378" max="15378" width="9.28515625" style="1940" customWidth="1"/>
    <col min="15379" max="15379" width="9.42578125" style="1940" customWidth="1"/>
    <col min="15380" max="15380" width="10.5703125" style="1940" customWidth="1"/>
    <col min="15381" max="15381" width="12.42578125" style="1940" customWidth="1"/>
    <col min="15382" max="15382" width="14.5703125" style="1940" customWidth="1"/>
    <col min="15383" max="15383" width="12.28515625" style="1940" customWidth="1"/>
    <col min="15384" max="15384" width="25.85546875" style="1940" customWidth="1"/>
    <col min="15385" max="15616" width="0.85546875" style="1940"/>
    <col min="15617" max="15617" width="9.85546875" style="1940" customWidth="1"/>
    <col min="15618" max="15618" width="81.85546875" style="1940" customWidth="1"/>
    <col min="15619" max="15619" width="12.7109375" style="1940" customWidth="1"/>
    <col min="15620" max="15620" width="12.42578125" style="1940" customWidth="1"/>
    <col min="15621" max="15621" width="14.5703125" style="1940" customWidth="1"/>
    <col min="15622" max="15622" width="12.28515625" style="1940" customWidth="1"/>
    <col min="15623" max="15623" width="38.140625" style="1940" customWidth="1"/>
    <col min="15624" max="15624" width="46.85546875" style="1940" customWidth="1"/>
    <col min="15625" max="15627" width="12.7109375" style="1940" customWidth="1"/>
    <col min="15628" max="15628" width="9.28515625" style="1940" customWidth="1"/>
    <col min="15629" max="15629" width="13.5703125" style="1940" customWidth="1"/>
    <col min="15630" max="15630" width="10.28515625" style="1940" customWidth="1"/>
    <col min="15631" max="15631" width="12.85546875" style="1940" customWidth="1"/>
    <col min="15632" max="15632" width="9.140625" style="1940" customWidth="1"/>
    <col min="15633" max="15633" width="9.7109375" style="1940" customWidth="1"/>
    <col min="15634" max="15634" width="9.28515625" style="1940" customWidth="1"/>
    <col min="15635" max="15635" width="9.42578125" style="1940" customWidth="1"/>
    <col min="15636" max="15636" width="10.5703125" style="1940" customWidth="1"/>
    <col min="15637" max="15637" width="12.42578125" style="1940" customWidth="1"/>
    <col min="15638" max="15638" width="14.5703125" style="1940" customWidth="1"/>
    <col min="15639" max="15639" width="12.28515625" style="1940" customWidth="1"/>
    <col min="15640" max="15640" width="25.85546875" style="1940" customWidth="1"/>
    <col min="15641" max="15872" width="0.85546875" style="1940"/>
    <col min="15873" max="15873" width="9.85546875" style="1940" customWidth="1"/>
    <col min="15874" max="15874" width="81.85546875" style="1940" customWidth="1"/>
    <col min="15875" max="15875" width="12.7109375" style="1940" customWidth="1"/>
    <col min="15876" max="15876" width="12.42578125" style="1940" customWidth="1"/>
    <col min="15877" max="15877" width="14.5703125" style="1940" customWidth="1"/>
    <col min="15878" max="15878" width="12.28515625" style="1940" customWidth="1"/>
    <col min="15879" max="15879" width="38.140625" style="1940" customWidth="1"/>
    <col min="15880" max="15880" width="46.85546875" style="1940" customWidth="1"/>
    <col min="15881" max="15883" width="12.7109375" style="1940" customWidth="1"/>
    <col min="15884" max="15884" width="9.28515625" style="1940" customWidth="1"/>
    <col min="15885" max="15885" width="13.5703125" style="1940" customWidth="1"/>
    <col min="15886" max="15886" width="10.28515625" style="1940" customWidth="1"/>
    <col min="15887" max="15887" width="12.85546875" style="1940" customWidth="1"/>
    <col min="15888" max="15888" width="9.140625" style="1940" customWidth="1"/>
    <col min="15889" max="15889" width="9.7109375" style="1940" customWidth="1"/>
    <col min="15890" max="15890" width="9.28515625" style="1940" customWidth="1"/>
    <col min="15891" max="15891" width="9.42578125" style="1940" customWidth="1"/>
    <col min="15892" max="15892" width="10.5703125" style="1940" customWidth="1"/>
    <col min="15893" max="15893" width="12.42578125" style="1940" customWidth="1"/>
    <col min="15894" max="15894" width="14.5703125" style="1940" customWidth="1"/>
    <col min="15895" max="15895" width="12.28515625" style="1940" customWidth="1"/>
    <col min="15896" max="15896" width="25.85546875" style="1940" customWidth="1"/>
    <col min="15897" max="16128" width="0.85546875" style="1940"/>
    <col min="16129" max="16129" width="9.85546875" style="1940" customWidth="1"/>
    <col min="16130" max="16130" width="81.85546875" style="1940" customWidth="1"/>
    <col min="16131" max="16131" width="12.7109375" style="1940" customWidth="1"/>
    <col min="16132" max="16132" width="12.42578125" style="1940" customWidth="1"/>
    <col min="16133" max="16133" width="14.5703125" style="1940" customWidth="1"/>
    <col min="16134" max="16134" width="12.28515625" style="1940" customWidth="1"/>
    <col min="16135" max="16135" width="38.140625" style="1940" customWidth="1"/>
    <col min="16136" max="16136" width="46.85546875" style="1940" customWidth="1"/>
    <col min="16137" max="16139" width="12.7109375" style="1940" customWidth="1"/>
    <col min="16140" max="16140" width="9.28515625" style="1940" customWidth="1"/>
    <col min="16141" max="16141" width="13.5703125" style="1940" customWidth="1"/>
    <col min="16142" max="16142" width="10.28515625" style="1940" customWidth="1"/>
    <col min="16143" max="16143" width="12.85546875" style="1940" customWidth="1"/>
    <col min="16144" max="16144" width="9.140625" style="1940" customWidth="1"/>
    <col min="16145" max="16145" width="9.7109375" style="1940" customWidth="1"/>
    <col min="16146" max="16146" width="9.28515625" style="1940" customWidth="1"/>
    <col min="16147" max="16147" width="9.42578125" style="1940" customWidth="1"/>
    <col min="16148" max="16148" width="10.5703125" style="1940" customWidth="1"/>
    <col min="16149" max="16149" width="12.42578125" style="1940" customWidth="1"/>
    <col min="16150" max="16150" width="14.5703125" style="1940" customWidth="1"/>
    <col min="16151" max="16151" width="12.28515625" style="1940" customWidth="1"/>
    <col min="16152" max="16152" width="25.85546875" style="1940" customWidth="1"/>
    <col min="16153" max="16384" width="0.85546875" style="1940"/>
  </cols>
  <sheetData>
    <row r="1" spans="1:7">
      <c r="G1" s="1940" t="s">
        <v>1530</v>
      </c>
    </row>
    <row r="2" spans="1:7" ht="29.25" customHeight="1">
      <c r="A2" s="5684" t="s">
        <v>1523</v>
      </c>
      <c r="B2" s="5684"/>
      <c r="C2" s="5684"/>
      <c r="D2" s="5684"/>
      <c r="E2" s="5684"/>
      <c r="F2" s="5684"/>
      <c r="G2" s="5684"/>
    </row>
    <row r="4" spans="1:7" ht="15.75" customHeight="1">
      <c r="A4" s="5685" t="s">
        <v>909</v>
      </c>
      <c r="B4" s="5685" t="s">
        <v>374</v>
      </c>
      <c r="C4" s="5685" t="s">
        <v>910</v>
      </c>
      <c r="D4" s="5686" t="s">
        <v>393</v>
      </c>
      <c r="E4" s="5687"/>
      <c r="F4" s="5688"/>
      <c r="G4" s="5689" t="s">
        <v>911</v>
      </c>
    </row>
    <row r="5" spans="1:7" ht="15.75">
      <c r="A5" s="5685"/>
      <c r="B5" s="5685"/>
      <c r="C5" s="5685"/>
      <c r="D5" s="1941" t="s">
        <v>833</v>
      </c>
      <c r="E5" s="1941" t="s">
        <v>912</v>
      </c>
      <c r="F5" s="1941" t="s">
        <v>913</v>
      </c>
      <c r="G5" s="5690"/>
    </row>
    <row r="6" spans="1:7" s="1946" customFormat="1" ht="21.75" customHeight="1">
      <c r="A6" s="1942"/>
      <c r="B6" s="1943" t="s">
        <v>914</v>
      </c>
      <c r="C6" s="5682" t="s">
        <v>915</v>
      </c>
      <c r="D6" s="5683" t="s">
        <v>915</v>
      </c>
      <c r="E6" s="1944">
        <v>0.01</v>
      </c>
      <c r="F6" s="1944">
        <v>0.01</v>
      </c>
      <c r="G6" s="1945"/>
    </row>
    <row r="7" spans="1:7" s="1946" customFormat="1" ht="21.75" customHeight="1">
      <c r="A7" s="1942"/>
      <c r="B7" s="1943" t="s">
        <v>916</v>
      </c>
      <c r="C7" s="4420"/>
      <c r="D7" s="4417"/>
      <c r="E7" s="1944">
        <v>7.3999999999999996E-2</v>
      </c>
      <c r="F7" s="1947">
        <v>5.8000000000000003E-2</v>
      </c>
      <c r="G7" s="1945"/>
    </row>
    <row r="8" spans="1:7" s="1946" customFormat="1" ht="21.75" customHeight="1">
      <c r="A8" s="1942"/>
      <c r="B8" s="1943" t="s">
        <v>917</v>
      </c>
      <c r="C8" s="4421"/>
      <c r="D8" s="4418"/>
      <c r="E8" s="1948">
        <v>0</v>
      </c>
      <c r="F8" s="1948">
        <v>0</v>
      </c>
      <c r="G8" s="1945"/>
    </row>
    <row r="9" spans="1:7" s="1953" customFormat="1" ht="15.75">
      <c r="A9" s="1949">
        <v>1</v>
      </c>
      <c r="B9" s="1950" t="s">
        <v>918</v>
      </c>
      <c r="C9" s="1949" t="s">
        <v>919</v>
      </c>
      <c r="D9" s="1951">
        <f>D10+D21+D23+D27</f>
        <v>265.75743212512054</v>
      </c>
      <c r="E9" s="1951">
        <f>E10+E21+E23+E27</f>
        <v>281.82030984385193</v>
      </c>
      <c r="F9" s="1951">
        <f>F10+F21+F23+F27</f>
        <v>295.23924291073467</v>
      </c>
      <c r="G9" s="1952"/>
    </row>
    <row r="10" spans="1:7" s="1958" customFormat="1" ht="15.75">
      <c r="A10" s="1954" t="s">
        <v>920</v>
      </c>
      <c r="B10" s="1955" t="s">
        <v>921</v>
      </c>
      <c r="C10" s="1954" t="s">
        <v>919</v>
      </c>
      <c r="D10" s="1956">
        <f>D11+D12+D13</f>
        <v>260.50529871223728</v>
      </c>
      <c r="E10" s="1956">
        <f>E11+E12+E13</f>
        <v>276.56817643096866</v>
      </c>
      <c r="F10" s="1956">
        <f>F11+F12+F13</f>
        <v>289.98710949785141</v>
      </c>
      <c r="G10" s="1957"/>
    </row>
    <row r="11" spans="1:7" s="1963" customFormat="1" ht="21.75" customHeight="1">
      <c r="A11" s="1959" t="s">
        <v>922</v>
      </c>
      <c r="B11" s="1960" t="s">
        <v>923</v>
      </c>
      <c r="C11" s="1959" t="s">
        <v>919</v>
      </c>
      <c r="D11" s="1961">
        <f>стоки!BF76+стоки!BF77+стоки!BF78+стоки!BF79+стоки!BF80+стоки!BF82</f>
        <v>219.74324894173816</v>
      </c>
      <c r="E11" s="1961">
        <f>D11*(1-E6)*(1+E7)*(1+E8)</f>
        <v>233.64420686979253</v>
      </c>
      <c r="F11" s="1961">
        <f>E11*(1-F6)*(1+F7)*(1+F8)</f>
        <v>244.72361515955811</v>
      </c>
      <c r="G11" s="1962"/>
    </row>
    <row r="12" spans="1:7" s="1963" customFormat="1" ht="33" customHeight="1">
      <c r="A12" s="1959" t="s">
        <v>924</v>
      </c>
      <c r="B12" s="1960" t="s">
        <v>925</v>
      </c>
      <c r="C12" s="1959" t="s">
        <v>919</v>
      </c>
      <c r="D12" s="1961">
        <f>стоки!BF74</f>
        <v>32.756360464803038</v>
      </c>
      <c r="E12" s="1961">
        <f>D12*1.066</f>
        <v>34.918280255480042</v>
      </c>
      <c r="F12" s="1961">
        <f>E12*1.067</f>
        <v>37.257805032597204</v>
      </c>
      <c r="G12" s="1962" t="s">
        <v>250</v>
      </c>
    </row>
    <row r="13" spans="1:7" s="1963" customFormat="1" ht="15.75">
      <c r="A13" s="1959" t="s">
        <v>926</v>
      </c>
      <c r="B13" s="1960" t="s">
        <v>927</v>
      </c>
      <c r="C13" s="1959" t="s">
        <v>919</v>
      </c>
      <c r="D13" s="1961">
        <f>D14+D15+D16+D17+D20</f>
        <v>8.0056893056960661</v>
      </c>
      <c r="E13" s="1961">
        <f t="shared" ref="E13:F13" si="0">E14+E15+E16+E17+E20</f>
        <v>8.0056893056960661</v>
      </c>
      <c r="F13" s="1961">
        <f t="shared" si="0"/>
        <v>8.0056893056960661</v>
      </c>
      <c r="G13" s="1962"/>
    </row>
    <row r="14" spans="1:7" s="1968" customFormat="1" ht="26.25" customHeight="1">
      <c r="A14" s="1964" t="s">
        <v>928</v>
      </c>
      <c r="B14" s="1965" t="s">
        <v>929</v>
      </c>
      <c r="C14" s="1964" t="s">
        <v>919</v>
      </c>
      <c r="D14" s="1966">
        <v>0</v>
      </c>
      <c r="E14" s="1966">
        <f>D14*1.084</f>
        <v>0</v>
      </c>
      <c r="F14" s="1966">
        <f>E14*1.079</f>
        <v>0</v>
      </c>
      <c r="G14" s="1967"/>
    </row>
    <row r="15" spans="1:7" s="1968" customFormat="1" ht="41.25" customHeight="1">
      <c r="A15" s="1964" t="s">
        <v>930</v>
      </c>
      <c r="B15" s="1965" t="s">
        <v>931</v>
      </c>
      <c r="C15" s="1964" t="s">
        <v>919</v>
      </c>
      <c r="D15" s="1966">
        <f>стоки!BF42</f>
        <v>8.0056893056960661</v>
      </c>
      <c r="E15" s="1966">
        <f>D15</f>
        <v>8.0056893056960661</v>
      </c>
      <c r="F15" s="1966">
        <f>E15</f>
        <v>8.0056893056960661</v>
      </c>
      <c r="G15" s="1967"/>
    </row>
    <row r="16" spans="1:7" s="1968" customFormat="1" ht="18" customHeight="1">
      <c r="A16" s="1964" t="s">
        <v>932</v>
      </c>
      <c r="B16" s="1965" t="s">
        <v>933</v>
      </c>
      <c r="C16" s="1964" t="s">
        <v>919</v>
      </c>
      <c r="D16" s="1966">
        <v>0</v>
      </c>
      <c r="E16" s="1966">
        <f>D16</f>
        <v>0</v>
      </c>
      <c r="F16" s="1966">
        <f>E16</f>
        <v>0</v>
      </c>
      <c r="G16" s="1967"/>
    </row>
    <row r="17" spans="1:7" s="1968" customFormat="1" ht="32.25" customHeight="1">
      <c r="A17" s="1964" t="s">
        <v>934</v>
      </c>
      <c r="B17" s="1965" t="s">
        <v>935</v>
      </c>
      <c r="C17" s="1964" t="s">
        <v>919</v>
      </c>
      <c r="D17" s="1966">
        <v>0</v>
      </c>
      <c r="E17" s="1966">
        <v>0</v>
      </c>
      <c r="F17" s="1966">
        <v>0</v>
      </c>
      <c r="G17" s="1967"/>
    </row>
    <row r="18" spans="1:7" s="1968" customFormat="1" ht="12.75">
      <c r="A18" s="1964" t="s">
        <v>936</v>
      </c>
      <c r="B18" s="1965" t="s">
        <v>937</v>
      </c>
      <c r="C18" s="1964" t="s">
        <v>919</v>
      </c>
      <c r="D18" s="1966">
        <v>0</v>
      </c>
      <c r="E18" s="1966">
        <v>0</v>
      </c>
      <c r="F18" s="1966">
        <v>0</v>
      </c>
      <c r="G18" s="1967"/>
    </row>
    <row r="19" spans="1:7" s="1968" customFormat="1" ht="12.75">
      <c r="A19" s="1964" t="s">
        <v>938</v>
      </c>
      <c r="B19" s="1965" t="s">
        <v>939</v>
      </c>
      <c r="C19" s="1964" t="s">
        <v>919</v>
      </c>
      <c r="D19" s="1966">
        <v>0</v>
      </c>
      <c r="E19" s="1966">
        <v>0</v>
      </c>
      <c r="F19" s="1966">
        <v>0</v>
      </c>
      <c r="G19" s="1967"/>
    </row>
    <row r="20" spans="1:7" s="1968" customFormat="1" ht="30.75" customHeight="1">
      <c r="A20" s="1964" t="s">
        <v>940</v>
      </c>
      <c r="B20" s="1965" t="s">
        <v>941</v>
      </c>
      <c r="C20" s="1964" t="s">
        <v>919</v>
      </c>
      <c r="D20" s="1966">
        <v>0</v>
      </c>
      <c r="E20" s="1966">
        <v>0</v>
      </c>
      <c r="F20" s="1966">
        <v>0</v>
      </c>
      <c r="G20" s="1967"/>
    </row>
    <row r="21" spans="1:7" s="1958" customFormat="1" ht="15.75">
      <c r="A21" s="1954" t="s">
        <v>942</v>
      </c>
      <c r="B21" s="1955" t="s">
        <v>2</v>
      </c>
      <c r="C21" s="1954" t="s">
        <v>919</v>
      </c>
      <c r="D21" s="1956">
        <f>стоки!BF75</f>
        <v>5.2521334128832677</v>
      </c>
      <c r="E21" s="1956">
        <f>D21</f>
        <v>5.2521334128832677</v>
      </c>
      <c r="F21" s="1956">
        <f>E21</f>
        <v>5.2521334128832677</v>
      </c>
      <c r="G21" s="1957"/>
    </row>
    <row r="22" spans="1:7" s="1973" customFormat="1" ht="15.75">
      <c r="A22" s="1969" t="s">
        <v>202</v>
      </c>
      <c r="B22" s="1970" t="s">
        <v>943</v>
      </c>
      <c r="C22" s="1971" t="s">
        <v>44</v>
      </c>
      <c r="D22" s="1972">
        <f>D23/(D10+D21)*100</f>
        <v>0</v>
      </c>
      <c r="E22" s="1972">
        <f t="shared" ref="E22:F22" si="1">E23/(E10+E21)*100</f>
        <v>0</v>
      </c>
      <c r="F22" s="1972">
        <f t="shared" si="1"/>
        <v>0</v>
      </c>
      <c r="G22" s="1971"/>
    </row>
    <row r="23" spans="1:7" s="1958" customFormat="1" ht="15.75">
      <c r="A23" s="1954" t="s">
        <v>944</v>
      </c>
      <c r="B23" s="1955" t="s">
        <v>945</v>
      </c>
      <c r="C23" s="1954" t="s">
        <v>919</v>
      </c>
      <c r="D23" s="1956">
        <f>D24+D25+D26</f>
        <v>0</v>
      </c>
      <c r="E23" s="1956">
        <f t="shared" ref="E23:F23" si="2">E24+E25+E26</f>
        <v>0</v>
      </c>
      <c r="F23" s="1956">
        <f t="shared" si="2"/>
        <v>0</v>
      </c>
      <c r="G23" s="1957"/>
    </row>
    <row r="24" spans="1:7" s="1963" customFormat="1" ht="24" customHeight="1">
      <c r="A24" s="1959" t="s">
        <v>946</v>
      </c>
      <c r="B24" s="1960" t="s">
        <v>947</v>
      </c>
      <c r="C24" s="1959" t="s">
        <v>919</v>
      </c>
      <c r="D24" s="1961">
        <v>0</v>
      </c>
      <c r="E24" s="1961">
        <v>0</v>
      </c>
      <c r="F24" s="1961">
        <v>0</v>
      </c>
      <c r="G24" s="1962"/>
    </row>
    <row r="25" spans="1:7" s="1963" customFormat="1" ht="56.25" customHeight="1">
      <c r="A25" s="1959" t="s">
        <v>948</v>
      </c>
      <c r="B25" s="1960" t="s">
        <v>949</v>
      </c>
      <c r="C25" s="1959" t="s">
        <v>919</v>
      </c>
      <c r="D25" s="1961"/>
      <c r="E25" s="1961"/>
      <c r="F25" s="1961"/>
      <c r="G25" s="1962"/>
    </row>
    <row r="26" spans="1:7" s="1963" customFormat="1" ht="37.5" customHeight="1">
      <c r="A26" s="1959" t="s">
        <v>950</v>
      </c>
      <c r="B26" s="1960" t="s">
        <v>951</v>
      </c>
      <c r="C26" s="1959" t="s">
        <v>919</v>
      </c>
      <c r="D26" s="1961"/>
      <c r="E26" s="1961"/>
      <c r="F26" s="1961"/>
      <c r="G26" s="1962"/>
    </row>
    <row r="27" spans="1:7" s="1958" customFormat="1" ht="38.25" customHeight="1">
      <c r="A27" s="1954" t="s">
        <v>203</v>
      </c>
      <c r="B27" s="1955" t="s">
        <v>952</v>
      </c>
      <c r="C27" s="1954" t="s">
        <v>919</v>
      </c>
      <c r="D27" s="1956">
        <v>0</v>
      </c>
      <c r="E27" s="1956">
        <v>0</v>
      </c>
      <c r="F27" s="1956">
        <v>0</v>
      </c>
      <c r="G27" s="1957"/>
    </row>
    <row r="28" spans="1:7" s="1953" customFormat="1" ht="15.75">
      <c r="A28" s="1949">
        <v>2</v>
      </c>
      <c r="B28" s="1950" t="s">
        <v>953</v>
      </c>
      <c r="C28" s="1949" t="s">
        <v>954</v>
      </c>
      <c r="D28" s="1951">
        <f>объемы!V57</f>
        <v>18.933333333333334</v>
      </c>
      <c r="E28" s="1951">
        <f>D28</f>
        <v>18.933333333333334</v>
      </c>
      <c r="F28" s="1951">
        <f>E28</f>
        <v>18.933333333333334</v>
      </c>
      <c r="G28" s="1952"/>
    </row>
    <row r="29" spans="1:7" s="1953" customFormat="1" ht="15.75">
      <c r="A29" s="1949" t="s">
        <v>196</v>
      </c>
      <c r="B29" s="1974" t="s">
        <v>955</v>
      </c>
      <c r="C29" s="1949" t="s">
        <v>954</v>
      </c>
      <c r="D29" s="1951">
        <v>0</v>
      </c>
      <c r="E29" s="1951">
        <f>D29</f>
        <v>0</v>
      </c>
      <c r="F29" s="1951">
        <f>E29</f>
        <v>0</v>
      </c>
      <c r="G29" s="1952"/>
    </row>
    <row r="30" spans="1:7" s="1946" customFormat="1" ht="15.75">
      <c r="A30" s="1975" t="s">
        <v>956</v>
      </c>
      <c r="B30" s="1976" t="s">
        <v>957</v>
      </c>
      <c r="C30" s="1975" t="s">
        <v>958</v>
      </c>
      <c r="D30" s="1977">
        <f>D9/D28</f>
        <v>14.036484091115522</v>
      </c>
      <c r="E30" s="1977">
        <f>E9/E28</f>
        <v>14.884875519921756</v>
      </c>
      <c r="F30" s="1977">
        <f>F9/F28</f>
        <v>15.593621984721901</v>
      </c>
      <c r="G30" s="1945"/>
    </row>
    <row r="31" spans="1:7" s="1946" customFormat="1" ht="15.75">
      <c r="A31" s="1975"/>
      <c r="B31" s="1978" t="s">
        <v>959</v>
      </c>
      <c r="C31" s="1975" t="s">
        <v>958</v>
      </c>
      <c r="D31" s="1977">
        <v>13.79</v>
      </c>
      <c r="E31" s="1977">
        <f>D32</f>
        <v>14.282968182231045</v>
      </c>
      <c r="F31" s="1977">
        <f>E32</f>
        <v>15.486782857612468</v>
      </c>
      <c r="G31" s="1945"/>
    </row>
    <row r="32" spans="1:7" s="1946" customFormat="1" ht="15.75">
      <c r="A32" s="1975"/>
      <c r="B32" s="1978" t="s">
        <v>960</v>
      </c>
      <c r="C32" s="1975" t="s">
        <v>958</v>
      </c>
      <c r="D32" s="1977">
        <f>D30*2-D31</f>
        <v>14.282968182231045</v>
      </c>
      <c r="E32" s="1977">
        <f>E30*2-E31</f>
        <v>15.486782857612468</v>
      </c>
      <c r="F32" s="1977">
        <f>F30*2-F31</f>
        <v>15.700461111831334</v>
      </c>
      <c r="G32" s="1945"/>
    </row>
    <row r="33" spans="1:7" s="1946" customFormat="1" ht="15.75">
      <c r="A33" s="1975"/>
      <c r="B33" s="1976" t="s">
        <v>961</v>
      </c>
      <c r="C33" s="1975"/>
      <c r="D33" s="1977"/>
      <c r="E33" s="1977"/>
      <c r="F33" s="1977"/>
      <c r="G33" s="1945"/>
    </row>
    <row r="34" spans="1:7" s="1946" customFormat="1" ht="15.75">
      <c r="A34" s="1975"/>
      <c r="B34" s="1978" t="s">
        <v>959</v>
      </c>
      <c r="C34" s="1975" t="s">
        <v>44</v>
      </c>
      <c r="D34" s="1977"/>
      <c r="E34" s="1977">
        <f>E31/D32*100</f>
        <v>100</v>
      </c>
      <c r="F34" s="1977">
        <f>F31/E32*100</f>
        <v>100</v>
      </c>
      <c r="G34" s="1945"/>
    </row>
    <row r="35" spans="1:7" s="1946" customFormat="1" ht="15.75">
      <c r="A35" s="1975"/>
      <c r="B35" s="1978" t="s">
        <v>960</v>
      </c>
      <c r="C35" s="1975" t="s">
        <v>44</v>
      </c>
      <c r="D35" s="1977">
        <f>D32/D31*100</f>
        <v>103.5748236564978</v>
      </c>
      <c r="E35" s="1977">
        <f>E32/E31*100</f>
        <v>108.42832288094746</v>
      </c>
      <c r="F35" s="1977">
        <f>F32/F31*100</f>
        <v>101.37974591742814</v>
      </c>
      <c r="G35" s="1945"/>
    </row>
    <row r="36" spans="1:7" ht="9" customHeight="1"/>
    <row r="37" spans="1:7" ht="15.75">
      <c r="A37" s="1980" t="s">
        <v>962</v>
      </c>
      <c r="B37" s="1981" t="s">
        <v>963</v>
      </c>
      <c r="C37" s="1982"/>
      <c r="D37" s="1982"/>
      <c r="E37" s="1982"/>
      <c r="F37" s="1982"/>
      <c r="G37" s="1982"/>
    </row>
    <row r="38" spans="1:7" ht="15.75">
      <c r="A38" s="1982"/>
      <c r="B38" s="1983" t="s">
        <v>959</v>
      </c>
      <c r="C38" s="1984" t="s">
        <v>964</v>
      </c>
      <c r="D38" s="2257">
        <v>13.79</v>
      </c>
      <c r="E38" s="2258">
        <f>D39</f>
        <v>14.282968182231045</v>
      </c>
      <c r="F38" s="2258">
        <f>E39</f>
        <v>15.486782857612468</v>
      </c>
      <c r="G38" s="1982"/>
    </row>
    <row r="39" spans="1:7" ht="15.75">
      <c r="A39" s="1982"/>
      <c r="B39" s="1983" t="s">
        <v>960</v>
      </c>
      <c r="C39" s="1984" t="s">
        <v>964</v>
      </c>
      <c r="D39" s="2257">
        <f>D32</f>
        <v>14.282968182231045</v>
      </c>
      <c r="E39" s="2257">
        <f>E32</f>
        <v>15.486782857612468</v>
      </c>
      <c r="F39" s="2257">
        <f>F32</f>
        <v>15.700461111831334</v>
      </c>
      <c r="G39" s="1982"/>
    </row>
    <row r="40" spans="1:7" ht="15.75">
      <c r="A40" s="1982"/>
      <c r="B40" s="1983" t="s">
        <v>364</v>
      </c>
      <c r="C40" s="1984" t="s">
        <v>44</v>
      </c>
      <c r="D40" s="2257">
        <f>D39/D38*100</f>
        <v>103.5748236564978</v>
      </c>
      <c r="E40" s="2257">
        <f>E39/E38*100</f>
        <v>108.42832288094746</v>
      </c>
      <c r="F40" s="2257">
        <f>F39/F38*100</f>
        <v>101.37974591742814</v>
      </c>
      <c r="G40" s="1982"/>
    </row>
    <row r="41" spans="1:7" ht="15.75">
      <c r="A41" s="1982"/>
      <c r="B41" s="1981" t="s">
        <v>965</v>
      </c>
      <c r="C41" s="1984" t="s">
        <v>919</v>
      </c>
      <c r="D41" s="1982">
        <f>(D31-D38)*D29/2+(D32-D39)*D29/2</f>
        <v>0</v>
      </c>
      <c r="E41" s="1982">
        <f>(E31-E38)*E29/2+(E32-E39)*E29/2</f>
        <v>0</v>
      </c>
      <c r="F41" s="1982">
        <f>(F31-F38)*F29/2+(F32-F39)*F29/2</f>
        <v>0</v>
      </c>
      <c r="G41" s="1982"/>
    </row>
    <row r="42" spans="1:7">
      <c r="C42" s="1986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X168"/>
  <sheetViews>
    <sheetView topLeftCell="A135" zoomScale="73" zoomScaleNormal="73" zoomScalePageLayoutView="64" workbookViewId="0">
      <selection activeCell="E132" sqref="E132"/>
    </sheetView>
  </sheetViews>
  <sheetFormatPr defaultRowHeight="12.75"/>
  <cols>
    <col min="1" max="1" width="17.42578125" style="1530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>
      <c r="V1" t="s">
        <v>1546</v>
      </c>
    </row>
    <row r="2" spans="1:24" ht="27" thickBot="1">
      <c r="A2" s="5764" t="s">
        <v>876</v>
      </c>
      <c r="B2" s="5765"/>
      <c r="C2" s="5765"/>
      <c r="D2" s="5765"/>
      <c r="E2" s="5765"/>
      <c r="F2" s="5765"/>
      <c r="G2" s="5765"/>
      <c r="H2" s="5765"/>
      <c r="I2" s="5765"/>
      <c r="J2" s="5765"/>
      <c r="K2" s="5765"/>
      <c r="L2" s="5765"/>
      <c r="M2" s="5765"/>
      <c r="N2" s="5765"/>
      <c r="O2" s="5765"/>
      <c r="P2" s="5765"/>
      <c r="Q2" s="5765"/>
      <c r="R2" s="5765"/>
      <c r="S2" s="5765"/>
      <c r="T2" s="5765"/>
      <c r="U2" s="5765"/>
      <c r="V2" s="5765"/>
      <c r="W2" s="5765"/>
      <c r="X2" s="5766"/>
    </row>
    <row r="3" spans="1:24" ht="15" customHeight="1" thickBot="1">
      <c r="A3" s="5084">
        <v>2015</v>
      </c>
      <c r="B3" s="5741" t="s">
        <v>403</v>
      </c>
      <c r="C3" s="5741"/>
      <c r="D3" s="5741"/>
      <c r="E3" s="5741"/>
      <c r="F3" s="5741"/>
      <c r="G3" s="5741"/>
      <c r="H3" s="5741"/>
      <c r="I3" s="5741"/>
      <c r="J3" s="5741"/>
      <c r="K3" s="5741"/>
      <c r="L3" s="5741"/>
      <c r="M3" s="5741"/>
      <c r="N3" s="5741"/>
      <c r="O3" s="5741"/>
      <c r="P3" s="5742"/>
      <c r="Q3" s="5743" t="s">
        <v>407</v>
      </c>
      <c r="R3" s="5744"/>
      <c r="S3" s="5744"/>
      <c r="T3" s="5745"/>
      <c r="U3" s="5743" t="s">
        <v>408</v>
      </c>
      <c r="V3" s="5744"/>
      <c r="W3" s="5744"/>
      <c r="X3" s="5745"/>
    </row>
    <row r="4" spans="1:24" ht="15" customHeight="1" thickBot="1">
      <c r="A4" s="5739"/>
      <c r="B4" s="5749" t="s">
        <v>404</v>
      </c>
      <c r="C4" s="5750"/>
      <c r="D4" s="5750"/>
      <c r="E4" s="5750"/>
      <c r="F4" s="5751"/>
      <c r="G4" s="5752" t="s">
        <v>405</v>
      </c>
      <c r="H4" s="5753"/>
      <c r="I4" s="5753"/>
      <c r="J4" s="5753"/>
      <c r="K4" s="4996"/>
      <c r="L4" s="5752" t="s">
        <v>380</v>
      </c>
      <c r="M4" s="5753"/>
      <c r="N4" s="5753"/>
      <c r="O4" s="5753"/>
      <c r="P4" s="5754"/>
      <c r="Q4" s="5746"/>
      <c r="R4" s="5747"/>
      <c r="S4" s="5747"/>
      <c r="T4" s="5748"/>
      <c r="U4" s="5746"/>
      <c r="V4" s="5747"/>
      <c r="W4" s="5747"/>
      <c r="X4" s="5748"/>
    </row>
    <row r="5" spans="1:24" ht="15" customHeight="1">
      <c r="A5" s="5739"/>
      <c r="B5" s="5755" t="s">
        <v>301</v>
      </c>
      <c r="C5" s="5758" t="s">
        <v>50</v>
      </c>
      <c r="D5" s="5758"/>
      <c r="E5" s="5758"/>
      <c r="F5" s="5759"/>
      <c r="G5" s="5257" t="s">
        <v>301</v>
      </c>
      <c r="H5" s="5760" t="s">
        <v>50</v>
      </c>
      <c r="I5" s="5760"/>
      <c r="J5" s="5760"/>
      <c r="K5" s="5761"/>
      <c r="L5" s="5257" t="s">
        <v>301</v>
      </c>
      <c r="M5" s="5760" t="s">
        <v>50</v>
      </c>
      <c r="N5" s="5760"/>
      <c r="O5" s="5760"/>
      <c r="P5" s="5761"/>
      <c r="Q5" s="5257" t="s">
        <v>301</v>
      </c>
      <c r="R5" s="5762" t="s">
        <v>50</v>
      </c>
      <c r="S5" s="5762"/>
      <c r="T5" s="5763"/>
      <c r="U5" s="5257" t="s">
        <v>301</v>
      </c>
      <c r="V5" s="5762" t="s">
        <v>50</v>
      </c>
      <c r="W5" s="5762"/>
      <c r="X5" s="5763"/>
    </row>
    <row r="6" spans="1:24" ht="15" customHeight="1">
      <c r="A6" s="5739"/>
      <c r="B6" s="5756"/>
      <c r="C6" s="5733" t="s">
        <v>384</v>
      </c>
      <c r="D6" s="5735" t="s">
        <v>239</v>
      </c>
      <c r="E6" s="5735"/>
      <c r="F6" s="5804" t="s">
        <v>873</v>
      </c>
      <c r="G6" s="5756"/>
      <c r="H6" s="5733" t="s">
        <v>384</v>
      </c>
      <c r="I6" s="5735" t="s">
        <v>239</v>
      </c>
      <c r="J6" s="5735"/>
      <c r="K6" s="5804" t="s">
        <v>873</v>
      </c>
      <c r="L6" s="5756"/>
      <c r="M6" s="5733" t="s">
        <v>384</v>
      </c>
      <c r="N6" s="5735" t="s">
        <v>239</v>
      </c>
      <c r="O6" s="5735"/>
      <c r="P6" s="5804" t="s">
        <v>873</v>
      </c>
      <c r="Q6" s="5756"/>
      <c r="R6" s="5733" t="s">
        <v>384</v>
      </c>
      <c r="S6" s="5733"/>
      <c r="T6" s="5806" t="s">
        <v>873</v>
      </c>
      <c r="U6" s="5756"/>
      <c r="V6" s="5733" t="s">
        <v>384</v>
      </c>
      <c r="W6" s="5733"/>
      <c r="X6" s="5806" t="s">
        <v>873</v>
      </c>
    </row>
    <row r="7" spans="1:24" ht="15" customHeight="1" thickBot="1">
      <c r="A7" s="5740"/>
      <c r="B7" s="5757"/>
      <c r="C7" s="5734"/>
      <c r="D7" s="1551" t="s">
        <v>264</v>
      </c>
      <c r="E7" s="1551" t="s">
        <v>300</v>
      </c>
      <c r="F7" s="5805"/>
      <c r="G7" s="5757"/>
      <c r="H7" s="5734"/>
      <c r="I7" s="1551" t="s">
        <v>264</v>
      </c>
      <c r="J7" s="1551" t="s">
        <v>300</v>
      </c>
      <c r="K7" s="5805"/>
      <c r="L7" s="5757"/>
      <c r="M7" s="5734"/>
      <c r="N7" s="1551" t="s">
        <v>264</v>
      </c>
      <c r="O7" s="1551" t="s">
        <v>300</v>
      </c>
      <c r="P7" s="5805"/>
      <c r="Q7" s="5757"/>
      <c r="R7" s="1556" t="s">
        <v>874</v>
      </c>
      <c r="S7" s="1556" t="s">
        <v>264</v>
      </c>
      <c r="T7" s="5805"/>
      <c r="U7" s="5757"/>
      <c r="V7" s="1556" t="s">
        <v>874</v>
      </c>
      <c r="W7" s="1556" t="s">
        <v>264</v>
      </c>
      <c r="X7" s="5805"/>
    </row>
    <row r="8" spans="1:24" ht="30" customHeight="1">
      <c r="A8" s="1555" t="s">
        <v>397</v>
      </c>
      <c r="B8" s="1552">
        <f>объемы!K48/2</f>
        <v>2026.2000000000003</v>
      </c>
      <c r="C8" s="1553">
        <f>SUM(D8:E8)</f>
        <v>2003.135</v>
      </c>
      <c r="D8" s="1553">
        <f>SUM(объемы!K49/2)</f>
        <v>1222.711</v>
      </c>
      <c r="E8" s="1553">
        <f>SUM(объемы!K51+объемы!K52)/2</f>
        <v>780.42399999999998</v>
      </c>
      <c r="F8" s="1554">
        <f>SUM(объемы!K50/2)</f>
        <v>23.065000000000001</v>
      </c>
      <c r="G8" s="1552">
        <f>B8</f>
        <v>2026.2000000000003</v>
      </c>
      <c r="H8" s="1553">
        <f>C8</f>
        <v>2003.135</v>
      </c>
      <c r="I8" s="1553">
        <f>D8</f>
        <v>1222.711</v>
      </c>
      <c r="J8" s="1553">
        <f>E8</f>
        <v>780.42399999999998</v>
      </c>
      <c r="K8" s="1554">
        <f>F8</f>
        <v>23.065000000000001</v>
      </c>
      <c r="L8" s="1552">
        <f>SUM(B8+G8)</f>
        <v>4052.4000000000005</v>
      </c>
      <c r="M8" s="1553">
        <f>SUM(C8+H8)</f>
        <v>4006.27</v>
      </c>
      <c r="N8" s="1553">
        <f>SUM(D8+I8)</f>
        <v>2445.422</v>
      </c>
      <c r="O8" s="1553">
        <f>SUM(E8+J8)</f>
        <v>1560.848</v>
      </c>
      <c r="P8" s="1554">
        <f>SUM(F8+K8)</f>
        <v>46.13</v>
      </c>
      <c r="Q8" s="1552"/>
      <c r="R8" s="1557"/>
      <c r="S8" s="1557"/>
      <c r="T8" s="1558"/>
      <c r="U8" s="1559"/>
      <c r="V8" s="1557"/>
      <c r="W8" s="1557"/>
      <c r="X8" s="1558"/>
    </row>
    <row r="9" spans="1:24" ht="30" customHeight="1">
      <c r="A9" s="1538" t="s">
        <v>398</v>
      </c>
      <c r="B9" s="1544">
        <f>SUM(B10/B8)</f>
        <v>29.868180485638138</v>
      </c>
      <c r="C9" s="1545">
        <f>SUM(C10/C8)</f>
        <v>30</v>
      </c>
      <c r="D9" s="1545">
        <v>22.66</v>
      </c>
      <c r="E9" s="1545">
        <v>30</v>
      </c>
      <c r="F9" s="1546">
        <v>18.420000000000002</v>
      </c>
      <c r="G9" s="1544">
        <f>SUM(G10/G8)</f>
        <v>31.364031716518024</v>
      </c>
      <c r="H9" s="1545">
        <f>H10/H8</f>
        <v>31.503581355211516</v>
      </c>
      <c r="I9" s="1545">
        <f>D9*1.145</f>
        <v>25.945700000000002</v>
      </c>
      <c r="J9" s="1545">
        <f>SUM(H9)</f>
        <v>31.503581355211516</v>
      </c>
      <c r="K9" s="1546">
        <v>20.11</v>
      </c>
      <c r="L9" s="1544">
        <f>SUM(L10/L8)</f>
        <v>30.616106101078081</v>
      </c>
      <c r="M9" s="1545">
        <f>SUM(M10/M8)</f>
        <v>30.751790677605758</v>
      </c>
      <c r="N9" s="1545">
        <f>SUM(N10/N8)</f>
        <v>24.302850000000003</v>
      </c>
      <c r="O9" s="1545">
        <f>SUM(O10/O8)</f>
        <v>30.751790677605758</v>
      </c>
      <c r="P9" s="1546">
        <f>SUM(P10/P8)</f>
        <v>18.832255062588615</v>
      </c>
      <c r="Q9" s="1547">
        <f>SUM(G9/B9)</f>
        <v>1.0500817661658082</v>
      </c>
      <c r="R9" s="1533">
        <f>SUM(H9/C9)</f>
        <v>1.0501193785070506</v>
      </c>
      <c r="S9" s="1533">
        <f>I9/D9</f>
        <v>1.145</v>
      </c>
      <c r="T9" s="1540">
        <f>SUM(K9/F9)</f>
        <v>1.0917480998914222</v>
      </c>
      <c r="U9" s="1542" t="e">
        <f>SUM(L9/вода!AA59)</f>
        <v>#REF!</v>
      </c>
      <c r="V9" s="1534" t="e">
        <f>SUM(M9/вода!AC59)</f>
        <v>#REF!</v>
      </c>
      <c r="W9" s="1534">
        <f>SUM(N9/20.9)</f>
        <v>1.1628157894736844</v>
      </c>
      <c r="X9" s="1535" t="e">
        <f>SUM(P9/вода!AD59)</f>
        <v>#REF!</v>
      </c>
    </row>
    <row r="10" spans="1:24" ht="30" customHeight="1">
      <c r="A10" s="1538" t="s">
        <v>399</v>
      </c>
      <c r="B10" s="1544">
        <f>SUM(C10+F10)</f>
        <v>60518.907300000006</v>
      </c>
      <c r="C10" s="1545">
        <f>SUM(D10:E10)+D11</f>
        <v>60094.05</v>
      </c>
      <c r="D10" s="1545">
        <f>D9*D8</f>
        <v>27706.631260000002</v>
      </c>
      <c r="E10" s="1545">
        <f>E9*E8</f>
        <v>23412.720000000001</v>
      </c>
      <c r="F10" s="1546">
        <f>F9*F8</f>
        <v>424.85730000000007</v>
      </c>
      <c r="G10" s="1544">
        <f>SUM(L10-B10)</f>
        <v>63549.801064008832</v>
      </c>
      <c r="H10" s="1545">
        <f>SUM(M10-C10)</f>
        <v>63105.926437971619</v>
      </c>
      <c r="I10" s="1545">
        <f>I9*I8</f>
        <v>31724.092792700005</v>
      </c>
      <c r="J10" s="1545">
        <f>SUM(J8*J9)</f>
        <v>24586.150975559591</v>
      </c>
      <c r="K10" s="1546">
        <f>SUM(P10-F10)</f>
        <v>443.87462603721275</v>
      </c>
      <c r="L10" s="1544">
        <f>SUM(вода!AL58)</f>
        <v>124068.70836400884</v>
      </c>
      <c r="M10" s="1545">
        <f>SUM(вода!AN58)</f>
        <v>123199.97643797162</v>
      </c>
      <c r="N10" s="1545">
        <f>SUM(D10+I10)</f>
        <v>59430.72405270001</v>
      </c>
      <c r="O10" s="1545">
        <f>SUM(E10+J10)</f>
        <v>47998.870975559592</v>
      </c>
      <c r="P10" s="1546">
        <f>SUM(вода!AO58)</f>
        <v>868.73192603721282</v>
      </c>
      <c r="Q10" s="1544"/>
      <c r="R10" s="1531"/>
      <c r="S10" s="1531"/>
      <c r="T10" s="1532"/>
      <c r="U10" s="1541"/>
      <c r="V10" s="1531"/>
      <c r="W10" s="1531"/>
      <c r="X10" s="1532"/>
    </row>
    <row r="11" spans="1:24" ht="30" customHeight="1" thickBot="1">
      <c r="A11" s="1539" t="s">
        <v>401</v>
      </c>
      <c r="B11" s="1548">
        <f>SUM(C11:F11)</f>
        <v>8974.6987399999998</v>
      </c>
      <c r="C11" s="1549">
        <v>0</v>
      </c>
      <c r="D11" s="1549">
        <f>SUM(E9-D9)*D8</f>
        <v>8974.6987399999998</v>
      </c>
      <c r="E11" s="1549">
        <v>0</v>
      </c>
      <c r="F11" s="1550">
        <v>0</v>
      </c>
      <c r="G11" s="1548">
        <f>SUM(H11:K11)</f>
        <v>6795.682669712025</v>
      </c>
      <c r="H11" s="1549">
        <v>0</v>
      </c>
      <c r="I11" s="1549">
        <f>SUM(H9-I9)*I8</f>
        <v>6795.682669712025</v>
      </c>
      <c r="J11" s="1549">
        <v>0</v>
      </c>
      <c r="K11" s="1550">
        <v>0</v>
      </c>
      <c r="L11" s="1548">
        <f>SUM(M11:P11)</f>
        <v>15770.381409712025</v>
      </c>
      <c r="M11" s="1549">
        <v>0</v>
      </c>
      <c r="N11" s="1549">
        <f>SUM(B11+G11)</f>
        <v>15770.381409712025</v>
      </c>
      <c r="O11" s="1549">
        <v>0</v>
      </c>
      <c r="P11" s="1550">
        <v>0</v>
      </c>
      <c r="Q11" s="1548"/>
      <c r="R11" s="1536"/>
      <c r="S11" s="1536"/>
      <c r="T11" s="1537"/>
      <c r="U11" s="1543"/>
      <c r="V11" s="1536"/>
      <c r="W11" s="1536"/>
      <c r="X11" s="1537"/>
    </row>
    <row r="12" spans="1:24" ht="15" customHeight="1" thickBot="1">
      <c r="A12" s="5736"/>
      <c r="B12" s="5737"/>
      <c r="C12" s="5737"/>
      <c r="D12" s="5737"/>
      <c r="E12" s="5737"/>
      <c r="F12" s="5737"/>
      <c r="G12" s="5737"/>
      <c r="H12" s="5737"/>
      <c r="I12" s="5737"/>
      <c r="J12" s="5737"/>
      <c r="K12" s="5737"/>
      <c r="L12" s="5737"/>
      <c r="M12" s="5737"/>
      <c r="N12" s="5737"/>
      <c r="O12" s="5737"/>
      <c r="P12" s="5737"/>
      <c r="Q12" s="5737"/>
      <c r="R12" s="5737"/>
      <c r="S12" s="5737"/>
      <c r="T12" s="5737"/>
      <c r="U12" s="5737"/>
      <c r="V12" s="5737"/>
      <c r="W12" s="5737"/>
      <c r="X12" s="5738"/>
    </row>
    <row r="13" spans="1:24" ht="15" customHeight="1" thickBot="1">
      <c r="A13" s="5084">
        <v>2015</v>
      </c>
      <c r="B13" s="5741" t="s">
        <v>400</v>
      </c>
      <c r="C13" s="5741"/>
      <c r="D13" s="5741"/>
      <c r="E13" s="5741"/>
      <c r="F13" s="5741"/>
      <c r="G13" s="5741"/>
      <c r="H13" s="5741"/>
      <c r="I13" s="5741"/>
      <c r="J13" s="5741"/>
      <c r="K13" s="5741"/>
      <c r="L13" s="5741"/>
      <c r="M13" s="5741"/>
      <c r="N13" s="5741"/>
      <c r="O13" s="5741"/>
      <c r="P13" s="5742"/>
      <c r="Q13" s="5743" t="s">
        <v>407</v>
      </c>
      <c r="R13" s="5744"/>
      <c r="S13" s="5744"/>
      <c r="T13" s="5745"/>
      <c r="U13" s="5743" t="s">
        <v>408</v>
      </c>
      <c r="V13" s="5744"/>
      <c r="W13" s="5744"/>
      <c r="X13" s="5745"/>
    </row>
    <row r="14" spans="1:24" ht="15" customHeight="1" thickBot="1">
      <c r="A14" s="5739"/>
      <c r="B14" s="5749" t="s">
        <v>404</v>
      </c>
      <c r="C14" s="5750"/>
      <c r="D14" s="5750"/>
      <c r="E14" s="5750"/>
      <c r="F14" s="5751"/>
      <c r="G14" s="5752" t="s">
        <v>405</v>
      </c>
      <c r="H14" s="5753"/>
      <c r="I14" s="5753"/>
      <c r="J14" s="5753"/>
      <c r="K14" s="4996"/>
      <c r="L14" s="5752" t="s">
        <v>380</v>
      </c>
      <c r="M14" s="5753"/>
      <c r="N14" s="5753"/>
      <c r="O14" s="5753"/>
      <c r="P14" s="5754"/>
      <c r="Q14" s="5746"/>
      <c r="R14" s="5747"/>
      <c r="S14" s="5747"/>
      <c r="T14" s="5748"/>
      <c r="U14" s="5746"/>
      <c r="V14" s="5747"/>
      <c r="W14" s="5747"/>
      <c r="X14" s="5748"/>
    </row>
    <row r="15" spans="1:24" ht="15" customHeight="1">
      <c r="A15" s="5739"/>
      <c r="B15" s="5755" t="s">
        <v>301</v>
      </c>
      <c r="C15" s="5758" t="s">
        <v>50</v>
      </c>
      <c r="D15" s="5758"/>
      <c r="E15" s="5758"/>
      <c r="F15" s="5759"/>
      <c r="G15" s="5257" t="s">
        <v>301</v>
      </c>
      <c r="H15" s="5760" t="s">
        <v>50</v>
      </c>
      <c r="I15" s="5760"/>
      <c r="J15" s="5760"/>
      <c r="K15" s="5761"/>
      <c r="L15" s="5257" t="s">
        <v>301</v>
      </c>
      <c r="M15" s="5760" t="s">
        <v>50</v>
      </c>
      <c r="N15" s="5760"/>
      <c r="O15" s="5760"/>
      <c r="P15" s="5761"/>
      <c r="Q15" s="5257" t="s">
        <v>301</v>
      </c>
      <c r="R15" s="5762" t="s">
        <v>50</v>
      </c>
      <c r="S15" s="5762"/>
      <c r="T15" s="5763"/>
      <c r="U15" s="5257" t="s">
        <v>301</v>
      </c>
      <c r="V15" s="5762" t="s">
        <v>50</v>
      </c>
      <c r="W15" s="5762"/>
      <c r="X15" s="5763"/>
    </row>
    <row r="16" spans="1:24" ht="15" customHeight="1">
      <c r="A16" s="5739"/>
      <c r="B16" s="5756"/>
      <c r="C16" s="5733" t="s">
        <v>384</v>
      </c>
      <c r="D16" s="5735" t="s">
        <v>239</v>
      </c>
      <c r="E16" s="5735"/>
      <c r="F16" s="5804" t="s">
        <v>873</v>
      </c>
      <c r="G16" s="5756"/>
      <c r="H16" s="5733" t="s">
        <v>384</v>
      </c>
      <c r="I16" s="5735" t="s">
        <v>239</v>
      </c>
      <c r="J16" s="5735"/>
      <c r="K16" s="5804" t="s">
        <v>873</v>
      </c>
      <c r="L16" s="5756"/>
      <c r="M16" s="5733" t="s">
        <v>384</v>
      </c>
      <c r="N16" s="5735" t="s">
        <v>239</v>
      </c>
      <c r="O16" s="5735"/>
      <c r="P16" s="5804" t="s">
        <v>873</v>
      </c>
      <c r="Q16" s="5756"/>
      <c r="R16" s="5733" t="s">
        <v>384</v>
      </c>
      <c r="S16" s="5733"/>
      <c r="T16" s="5806" t="s">
        <v>873</v>
      </c>
      <c r="U16" s="5756"/>
      <c r="V16" s="5733" t="s">
        <v>384</v>
      </c>
      <c r="W16" s="5733"/>
      <c r="X16" s="5806" t="s">
        <v>873</v>
      </c>
    </row>
    <row r="17" spans="1:24" ht="15" customHeight="1" thickBot="1">
      <c r="A17" s="5740"/>
      <c r="B17" s="5757"/>
      <c r="C17" s="5734"/>
      <c r="D17" s="1551" t="s">
        <v>264</v>
      </c>
      <c r="E17" s="1551" t="s">
        <v>300</v>
      </c>
      <c r="F17" s="5805"/>
      <c r="G17" s="5757"/>
      <c r="H17" s="5734"/>
      <c r="I17" s="1551" t="s">
        <v>264</v>
      </c>
      <c r="J17" s="1551" t="s">
        <v>300</v>
      </c>
      <c r="K17" s="5805"/>
      <c r="L17" s="5757"/>
      <c r="M17" s="5734"/>
      <c r="N17" s="1551" t="s">
        <v>264</v>
      </c>
      <c r="O17" s="1551" t="s">
        <v>300</v>
      </c>
      <c r="P17" s="5805"/>
      <c r="Q17" s="5757"/>
      <c r="R17" s="1556" t="s">
        <v>874</v>
      </c>
      <c r="S17" s="1556" t="s">
        <v>264</v>
      </c>
      <c r="T17" s="5805"/>
      <c r="U17" s="5757"/>
      <c r="V17" s="1556" t="s">
        <v>874</v>
      </c>
      <c r="W17" s="1556" t="s">
        <v>264</v>
      </c>
      <c r="X17" s="5805"/>
    </row>
    <row r="18" spans="1:24" ht="30" customHeight="1">
      <c r="A18" s="1555" t="s">
        <v>397</v>
      </c>
      <c r="B18" s="1552">
        <f>SUM(B8)</f>
        <v>2026.2000000000003</v>
      </c>
      <c r="C18" s="1553">
        <f t="shared" ref="C18:P18" si="0">SUM(C8)</f>
        <v>2003.135</v>
      </c>
      <c r="D18" s="1553">
        <f t="shared" si="0"/>
        <v>1222.711</v>
      </c>
      <c r="E18" s="1553">
        <f t="shared" si="0"/>
        <v>780.42399999999998</v>
      </c>
      <c r="F18" s="1554">
        <f t="shared" si="0"/>
        <v>23.065000000000001</v>
      </c>
      <c r="G18" s="1552">
        <f t="shared" si="0"/>
        <v>2026.2000000000003</v>
      </c>
      <c r="H18" s="1553">
        <f t="shared" si="0"/>
        <v>2003.135</v>
      </c>
      <c r="I18" s="1553">
        <f t="shared" si="0"/>
        <v>1222.711</v>
      </c>
      <c r="J18" s="1553">
        <f t="shared" si="0"/>
        <v>780.42399999999998</v>
      </c>
      <c r="K18" s="1554">
        <f t="shared" si="0"/>
        <v>23.065000000000001</v>
      </c>
      <c r="L18" s="1552">
        <f t="shared" si="0"/>
        <v>4052.4000000000005</v>
      </c>
      <c r="M18" s="1553">
        <f t="shared" si="0"/>
        <v>4006.27</v>
      </c>
      <c r="N18" s="1553">
        <f t="shared" si="0"/>
        <v>2445.422</v>
      </c>
      <c r="O18" s="1553">
        <f t="shared" si="0"/>
        <v>1560.848</v>
      </c>
      <c r="P18" s="1554">
        <f t="shared" si="0"/>
        <v>46.13</v>
      </c>
      <c r="Q18" s="1552"/>
      <c r="R18" s="1557"/>
      <c r="S18" s="1557"/>
      <c r="T18" s="1558"/>
      <c r="U18" s="1559"/>
      <c r="V18" s="1557"/>
      <c r="W18" s="1557"/>
      <c r="X18" s="1558"/>
    </row>
    <row r="19" spans="1:24" ht="30" customHeight="1">
      <c r="A19" s="1538" t="s">
        <v>398</v>
      </c>
      <c r="B19" s="1544">
        <f>SUM(B20/B18)</f>
        <v>27.535045257131575</v>
      </c>
      <c r="C19" s="1545">
        <f>SUM(C20/C18)</f>
        <v>27.64</v>
      </c>
      <c r="D19" s="1545">
        <v>22.66</v>
      </c>
      <c r="E19" s="1545">
        <v>27.64</v>
      </c>
      <c r="F19" s="1546">
        <v>18.420000000000002</v>
      </c>
      <c r="G19" s="1544">
        <f>SUM(G20/G18)</f>
        <v>31.50389875827106</v>
      </c>
      <c r="H19" s="1545">
        <f>H20/H18</f>
        <v>31.645058889177026</v>
      </c>
      <c r="I19" s="1545">
        <f>D19*1.145</f>
        <v>25.945700000000002</v>
      </c>
      <c r="J19" s="1545">
        <f>SUM(H19)</f>
        <v>31.645058889177026</v>
      </c>
      <c r="K19" s="1546">
        <v>20.11</v>
      </c>
      <c r="L19" s="1544">
        <f>SUM(L20/L18)</f>
        <v>29.519472007701317</v>
      </c>
      <c r="M19" s="1545">
        <f>SUM(M20/M18)</f>
        <v>29.642529444588511</v>
      </c>
      <c r="N19" s="1545">
        <f>SUM(N20/N18)</f>
        <v>24.302850000000003</v>
      </c>
      <c r="O19" s="1545">
        <f>SUM(O20/O18)</f>
        <v>29.642529444588511</v>
      </c>
      <c r="P19" s="1546">
        <f>SUM(P20/P18)</f>
        <v>18.832255062588615</v>
      </c>
      <c r="Q19" s="1547">
        <f>SUM(G19/B19)</f>
        <v>1.1441382595916219</v>
      </c>
      <c r="R19" s="1533">
        <f>SUM(H19/C19)</f>
        <v>1.1449008281178374</v>
      </c>
      <c r="S19" s="1533">
        <f>I19/D19</f>
        <v>1.145</v>
      </c>
      <c r="T19" s="1540">
        <f>SUM(K19/F19)</f>
        <v>1.0917480998914222</v>
      </c>
      <c r="U19" s="1542" t="e">
        <f>SUM(L19/вода!AA56)</f>
        <v>#REF!</v>
      </c>
      <c r="V19" s="1534" t="e">
        <f>SUM(M19/вода!AC56)</f>
        <v>#REF!</v>
      </c>
      <c r="W19" s="1534">
        <f>SUM(N19/20.9)</f>
        <v>1.1628157894736844</v>
      </c>
      <c r="X19" s="1535" t="e">
        <f>SUM(P19/вода!AD56)</f>
        <v>#REF!</v>
      </c>
    </row>
    <row r="20" spans="1:24" ht="30" customHeight="1">
      <c r="A20" s="1538" t="s">
        <v>399</v>
      </c>
      <c r="B20" s="1544">
        <f>SUM(C20+F20)</f>
        <v>55791.508700000006</v>
      </c>
      <c r="C20" s="1545">
        <f>SUM(D20:E20)+D21</f>
        <v>55366.651400000002</v>
      </c>
      <c r="D20" s="1545">
        <f>D19*D18</f>
        <v>27706.631260000002</v>
      </c>
      <c r="E20" s="1545">
        <f>E19*E18</f>
        <v>21570.91936</v>
      </c>
      <c r="F20" s="1546">
        <f>F19*F18</f>
        <v>424.85730000000007</v>
      </c>
      <c r="G20" s="1544">
        <f>SUM(L20-B20)</f>
        <v>63833.199664008833</v>
      </c>
      <c r="H20" s="1545">
        <f>SUM(M20-C20)</f>
        <v>63389.325037971619</v>
      </c>
      <c r="I20" s="1545">
        <f>I19*I18</f>
        <v>31724.092792700005</v>
      </c>
      <c r="J20" s="1545">
        <f>SUM(J18*J19)</f>
        <v>24696.56343852709</v>
      </c>
      <c r="K20" s="1546">
        <f>SUM(P20-F20)</f>
        <v>443.87462603721275</v>
      </c>
      <c r="L20" s="1544">
        <f>SUM(вода!AL55)</f>
        <v>119624.70836400884</v>
      </c>
      <c r="M20" s="1545">
        <f>SUM(вода!AN55)</f>
        <v>118755.97643797162</v>
      </c>
      <c r="N20" s="1545">
        <f>SUM(D20+I20)</f>
        <v>59430.72405270001</v>
      </c>
      <c r="O20" s="1545">
        <f>SUM(E20+J20)</f>
        <v>46267.482798527089</v>
      </c>
      <c r="P20" s="1546">
        <f>SUM(вода!AO55)</f>
        <v>868.73192603721282</v>
      </c>
      <c r="Q20" s="1544"/>
      <c r="R20" s="1531"/>
      <c r="S20" s="1531"/>
      <c r="T20" s="1532"/>
      <c r="U20" s="1541"/>
      <c r="V20" s="1531"/>
      <c r="W20" s="1531"/>
      <c r="X20" s="1532"/>
    </row>
    <row r="21" spans="1:24" ht="30" customHeight="1" thickBot="1">
      <c r="A21" s="1539" t="s">
        <v>401</v>
      </c>
      <c r="B21" s="1548">
        <f>SUM(C21:F21)</f>
        <v>6089.1007800000007</v>
      </c>
      <c r="C21" s="1549">
        <v>0</v>
      </c>
      <c r="D21" s="1549">
        <f>SUM(E19-D19)*D18</f>
        <v>6089.1007800000007</v>
      </c>
      <c r="E21" s="1549">
        <v>0</v>
      </c>
      <c r="F21" s="1550">
        <v>0</v>
      </c>
      <c r="G21" s="1548">
        <f>SUM(H21:K21)</f>
        <v>6968.6688067445275</v>
      </c>
      <c r="H21" s="1549">
        <v>0</v>
      </c>
      <c r="I21" s="1549">
        <f>SUM(H19-I19)*I18</f>
        <v>6968.6688067445275</v>
      </c>
      <c r="J21" s="1549">
        <v>0</v>
      </c>
      <c r="K21" s="1550">
        <v>0</v>
      </c>
      <c r="L21" s="1548">
        <f>SUM(M21:P21)</f>
        <v>13057.769586744529</v>
      </c>
      <c r="M21" s="1549">
        <v>0</v>
      </c>
      <c r="N21" s="1549">
        <f>SUM(B21+G21)</f>
        <v>13057.769586744529</v>
      </c>
      <c r="O21" s="1549">
        <v>0</v>
      </c>
      <c r="P21" s="1550">
        <v>0</v>
      </c>
      <c r="Q21" s="1548"/>
      <c r="R21" s="1536"/>
      <c r="S21" s="1536"/>
      <c r="T21" s="1537"/>
      <c r="U21" s="1543"/>
      <c r="V21" s="1536"/>
      <c r="W21" s="1536"/>
      <c r="X21" s="1537"/>
    </row>
    <row r="22" spans="1:24" ht="26.25" customHeight="1" thickBot="1">
      <c r="A22" s="5764" t="s">
        <v>877</v>
      </c>
      <c r="B22" s="5765"/>
      <c r="C22" s="5765"/>
      <c r="D22" s="5765"/>
      <c r="E22" s="5765"/>
      <c r="F22" s="5765"/>
      <c r="G22" s="5765"/>
      <c r="H22" s="5765"/>
      <c r="I22" s="5765"/>
      <c r="J22" s="5765"/>
      <c r="K22" s="5765"/>
      <c r="L22" s="5765"/>
      <c r="M22" s="5765"/>
      <c r="N22" s="5765"/>
      <c r="O22" s="5765"/>
      <c r="P22" s="5765"/>
      <c r="Q22" s="5765"/>
      <c r="R22" s="5765"/>
      <c r="S22" s="5765"/>
      <c r="T22" s="5765"/>
      <c r="U22" s="5765"/>
      <c r="V22" s="5765"/>
      <c r="W22" s="5765"/>
      <c r="X22" s="5766"/>
    </row>
    <row r="23" spans="1:24" ht="15" customHeight="1" thickBot="1">
      <c r="A23" s="5084">
        <v>2016</v>
      </c>
      <c r="B23" s="5741" t="s">
        <v>403</v>
      </c>
      <c r="C23" s="5741"/>
      <c r="D23" s="5741"/>
      <c r="E23" s="5741"/>
      <c r="F23" s="5741"/>
      <c r="G23" s="5741"/>
      <c r="H23" s="5741"/>
      <c r="I23" s="5741"/>
      <c r="J23" s="5741"/>
      <c r="K23" s="5741"/>
      <c r="L23" s="5741"/>
      <c r="M23" s="5741"/>
      <c r="N23" s="5741"/>
      <c r="O23" s="5741"/>
      <c r="P23" s="5742"/>
      <c r="Q23" s="5743" t="s">
        <v>407</v>
      </c>
      <c r="R23" s="5744"/>
      <c r="S23" s="5744"/>
      <c r="T23" s="5745"/>
      <c r="U23" s="5743" t="s">
        <v>408</v>
      </c>
      <c r="V23" s="5744"/>
      <c r="W23" s="5744"/>
      <c r="X23" s="5745"/>
    </row>
    <row r="24" spans="1:24" ht="15" customHeight="1" thickBot="1">
      <c r="A24" s="5739"/>
      <c r="B24" s="5749" t="s">
        <v>871</v>
      </c>
      <c r="C24" s="5750"/>
      <c r="D24" s="5750"/>
      <c r="E24" s="5750"/>
      <c r="F24" s="5751"/>
      <c r="G24" s="5752" t="s">
        <v>872</v>
      </c>
      <c r="H24" s="5753"/>
      <c r="I24" s="5753"/>
      <c r="J24" s="5753"/>
      <c r="K24" s="4996"/>
      <c r="L24" s="5752" t="s">
        <v>833</v>
      </c>
      <c r="M24" s="5753"/>
      <c r="N24" s="5753"/>
      <c r="O24" s="5753"/>
      <c r="P24" s="5754"/>
      <c r="Q24" s="5746"/>
      <c r="R24" s="5747"/>
      <c r="S24" s="5747"/>
      <c r="T24" s="5748"/>
      <c r="U24" s="5746"/>
      <c r="V24" s="5747"/>
      <c r="W24" s="5747"/>
      <c r="X24" s="5748"/>
    </row>
    <row r="25" spans="1:24" ht="15" customHeight="1">
      <c r="A25" s="5739"/>
      <c r="B25" s="5755" t="s">
        <v>301</v>
      </c>
      <c r="C25" s="5758" t="s">
        <v>50</v>
      </c>
      <c r="D25" s="5758"/>
      <c r="E25" s="5758"/>
      <c r="F25" s="5759"/>
      <c r="G25" s="5257" t="s">
        <v>301</v>
      </c>
      <c r="H25" s="5760" t="s">
        <v>50</v>
      </c>
      <c r="I25" s="5760"/>
      <c r="J25" s="5760"/>
      <c r="K25" s="5761"/>
      <c r="L25" s="5257" t="s">
        <v>301</v>
      </c>
      <c r="M25" s="5760" t="s">
        <v>50</v>
      </c>
      <c r="N25" s="5760"/>
      <c r="O25" s="5760"/>
      <c r="P25" s="5761"/>
      <c r="Q25" s="5257" t="s">
        <v>301</v>
      </c>
      <c r="R25" s="5762" t="s">
        <v>50</v>
      </c>
      <c r="S25" s="5762"/>
      <c r="T25" s="5763"/>
      <c r="U25" s="5257" t="s">
        <v>301</v>
      </c>
      <c r="V25" s="5762" t="s">
        <v>50</v>
      </c>
      <c r="W25" s="5762"/>
      <c r="X25" s="5763"/>
    </row>
    <row r="26" spans="1:24" ht="15" customHeight="1">
      <c r="A26" s="5739"/>
      <c r="B26" s="5756"/>
      <c r="C26" s="5733" t="s">
        <v>384</v>
      </c>
      <c r="D26" s="5735" t="s">
        <v>239</v>
      </c>
      <c r="E26" s="5735"/>
      <c r="F26" s="5804" t="s">
        <v>873</v>
      </c>
      <c r="G26" s="5756"/>
      <c r="H26" s="5733" t="s">
        <v>384</v>
      </c>
      <c r="I26" s="5735" t="s">
        <v>239</v>
      </c>
      <c r="J26" s="5735"/>
      <c r="K26" s="5804" t="s">
        <v>873</v>
      </c>
      <c r="L26" s="5756"/>
      <c r="M26" s="5733" t="s">
        <v>384</v>
      </c>
      <c r="N26" s="5735" t="s">
        <v>239</v>
      </c>
      <c r="O26" s="5735"/>
      <c r="P26" s="5804" t="s">
        <v>873</v>
      </c>
      <c r="Q26" s="5756"/>
      <c r="R26" s="5733" t="s">
        <v>384</v>
      </c>
      <c r="S26" s="5733"/>
      <c r="T26" s="5806" t="s">
        <v>873</v>
      </c>
      <c r="U26" s="5756"/>
      <c r="V26" s="5733" t="s">
        <v>384</v>
      </c>
      <c r="W26" s="5733"/>
      <c r="X26" s="5806" t="s">
        <v>873</v>
      </c>
    </row>
    <row r="27" spans="1:24" ht="15" customHeight="1" thickBot="1">
      <c r="A27" s="5740"/>
      <c r="B27" s="5757"/>
      <c r="C27" s="5734"/>
      <c r="D27" s="1551" t="s">
        <v>264</v>
      </c>
      <c r="E27" s="1551" t="s">
        <v>300</v>
      </c>
      <c r="F27" s="5805"/>
      <c r="G27" s="5757"/>
      <c r="H27" s="5734"/>
      <c r="I27" s="1551" t="s">
        <v>264</v>
      </c>
      <c r="J27" s="1551" t="s">
        <v>300</v>
      </c>
      <c r="K27" s="5805"/>
      <c r="L27" s="5757"/>
      <c r="M27" s="5734"/>
      <c r="N27" s="1551" t="s">
        <v>264</v>
      </c>
      <c r="O27" s="1551" t="s">
        <v>300</v>
      </c>
      <c r="P27" s="5805"/>
      <c r="Q27" s="5757"/>
      <c r="R27" s="1556" t="s">
        <v>874</v>
      </c>
      <c r="S27" s="1556" t="s">
        <v>264</v>
      </c>
      <c r="T27" s="5805"/>
      <c r="U27" s="5757"/>
      <c r="V27" s="1556" t="s">
        <v>874</v>
      </c>
      <c r="W27" s="1556" t="s">
        <v>264</v>
      </c>
      <c r="X27" s="5805"/>
    </row>
    <row r="28" spans="1:24" ht="30" customHeight="1">
      <c r="A28" s="1555" t="s">
        <v>397</v>
      </c>
      <c r="B28" s="1552">
        <f>SUM(объемы!T48/2)</f>
        <v>2005.3184999999999</v>
      </c>
      <c r="C28" s="1553">
        <f>SUM(D28:E28)</f>
        <v>1994.6085</v>
      </c>
      <c r="D28" s="1553">
        <f>SUM(объемы!T49/2)</f>
        <v>1214.28</v>
      </c>
      <c r="E28" s="1553">
        <f>SUM(объемы!T51+объемы!T52)/2</f>
        <v>780.32850000000008</v>
      </c>
      <c r="F28" s="1554">
        <f>SUM(объемы!T50/2)</f>
        <v>10.71</v>
      </c>
      <c r="G28" s="1552">
        <f>B28</f>
        <v>2005.3184999999999</v>
      </c>
      <c r="H28" s="1553">
        <f>C28</f>
        <v>1994.6085</v>
      </c>
      <c r="I28" s="1553">
        <f>D28</f>
        <v>1214.28</v>
      </c>
      <c r="J28" s="1553">
        <f>E28</f>
        <v>780.32850000000008</v>
      </c>
      <c r="K28" s="1554">
        <f>F28</f>
        <v>10.71</v>
      </c>
      <c r="L28" s="1552">
        <f>SUM(B28+G28)</f>
        <v>4010.6369999999997</v>
      </c>
      <c r="M28" s="1553">
        <f>SUM(C28+H28)</f>
        <v>3989.2170000000001</v>
      </c>
      <c r="N28" s="1553">
        <f>SUM(D28+I28)</f>
        <v>2428.56</v>
      </c>
      <c r="O28" s="1553">
        <f>SUM(E28+J28)</f>
        <v>1560.6570000000002</v>
      </c>
      <c r="P28" s="1554">
        <f>SUM(F28+K28)</f>
        <v>21.42</v>
      </c>
      <c r="Q28" s="1552"/>
      <c r="R28" s="1557"/>
      <c r="S28" s="1557"/>
      <c r="T28" s="1558"/>
      <c r="U28" s="1559"/>
      <c r="V28" s="1557"/>
      <c r="W28" s="1557"/>
      <c r="X28" s="1558"/>
    </row>
    <row r="29" spans="1:24" ht="30" customHeight="1">
      <c r="A29" s="1538" t="s">
        <v>398</v>
      </c>
      <c r="B29" s="1544">
        <f>SUM(B30/B28)</f>
        <v>31.442730544572555</v>
      </c>
      <c r="C29" s="1545">
        <f>SUM(C30/C28)</f>
        <v>31.503581355211516</v>
      </c>
      <c r="D29" s="1545">
        <f>SUM(I9)</f>
        <v>25.945700000000002</v>
      </c>
      <c r="E29" s="1545">
        <f>SUM(J9)</f>
        <v>31.503581355211516</v>
      </c>
      <c r="F29" s="1546">
        <f>SUM(K9)</f>
        <v>20.11</v>
      </c>
      <c r="G29" s="1544">
        <f>SUM(G30/G28)</f>
        <v>41.338733443360752</v>
      </c>
      <c r="H29" s="1545">
        <f>H30/H28</f>
        <v>41.424581941572896</v>
      </c>
      <c r="I29" s="1545">
        <f>D29*1.2</f>
        <v>31.134840000000001</v>
      </c>
      <c r="J29" s="1545">
        <f>SUM(H29)</f>
        <v>41.424581941572896</v>
      </c>
      <c r="K29" s="1546">
        <f t="shared" ref="K29:P29" si="1">SUM(K30/K28)</f>
        <v>25.350484680875475</v>
      </c>
      <c r="L29" s="1544">
        <f t="shared" si="1"/>
        <v>36.390731993966654</v>
      </c>
      <c r="M29" s="1545">
        <f t="shared" si="1"/>
        <v>36.464081648392202</v>
      </c>
      <c r="N29" s="1545">
        <f t="shared" si="1"/>
        <v>28.540270000000003</v>
      </c>
      <c r="O29" s="1545">
        <f t="shared" si="1"/>
        <v>36.464081648392209</v>
      </c>
      <c r="P29" s="1546">
        <f t="shared" si="1"/>
        <v>22.730242340437737</v>
      </c>
      <c r="Q29" s="1547">
        <f>SUM(G29/B29)</f>
        <v>1.3147310277254651</v>
      </c>
      <c r="R29" s="1533">
        <f>SUM(H29/C29)</f>
        <v>1.3149165954974891</v>
      </c>
      <c r="S29" s="1533">
        <f>I29/D29</f>
        <v>1.2</v>
      </c>
      <c r="T29" s="1540">
        <f>SUM(K29/F29)</f>
        <v>1.2605909836337879</v>
      </c>
      <c r="U29" s="1542">
        <f>SUM(L29/L9)</f>
        <v>1.1886139887882488</v>
      </c>
      <c r="V29" s="1534">
        <f>SUM(M29/M9)</f>
        <v>1.1857547428919735</v>
      </c>
      <c r="W29" s="1534">
        <f>SUM(N29/N9)</f>
        <v>1.1743589743589744</v>
      </c>
      <c r="X29" s="1535">
        <f>SUM(P29/P9)</f>
        <v>1.2069846263707793</v>
      </c>
    </row>
    <row r="30" spans="1:24" ht="30" customHeight="1">
      <c r="A30" s="1538" t="s">
        <v>399</v>
      </c>
      <c r="B30" s="1544">
        <f>SUM(C30+F30)</f>
        <v>63052.689251546413</v>
      </c>
      <c r="C30" s="1545">
        <f>SUM(D30:E30)+D31</f>
        <v>62837.311151546412</v>
      </c>
      <c r="D30" s="1545">
        <f>D29*D28</f>
        <v>31505.344596000003</v>
      </c>
      <c r="E30" s="1545">
        <f>E29*E28</f>
        <v>24583.142383540173</v>
      </c>
      <c r="F30" s="1546">
        <f>F29*F28</f>
        <v>215.37810000000002</v>
      </c>
      <c r="G30" s="1544">
        <f>SUM(L30-B30)</f>
        <v>82897.326940540006</v>
      </c>
      <c r="H30" s="1545">
        <f>SUM(M30-C30)</f>
        <v>82625.823249607798</v>
      </c>
      <c r="I30" s="1545">
        <f>I29*I28</f>
        <v>37806.413515200002</v>
      </c>
      <c r="J30" s="1545">
        <f>SUM(J28*J29)</f>
        <v>32324.781889594669</v>
      </c>
      <c r="K30" s="1546">
        <f>SUM(P30-F30)</f>
        <v>271.50369093217637</v>
      </c>
      <c r="L30" s="1544">
        <f>SUM(вода!BC58)</f>
        <v>145950.01619208642</v>
      </c>
      <c r="M30" s="1545">
        <f>SUM(вода!BE58)</f>
        <v>145463.13440115421</v>
      </c>
      <c r="N30" s="1545">
        <f>SUM(D30+I30)</f>
        <v>69311.758111200004</v>
      </c>
      <c r="O30" s="1545">
        <f>SUM(E30+J30)</f>
        <v>56907.924273134842</v>
      </c>
      <c r="P30" s="1546">
        <f>SUM(вода!BF58)</f>
        <v>486.88179093217639</v>
      </c>
      <c r="Q30" s="1544"/>
      <c r="R30" s="1531"/>
      <c r="S30" s="1531"/>
      <c r="T30" s="1532"/>
      <c r="U30" s="1541"/>
      <c r="V30" s="1531"/>
      <c r="W30" s="1531"/>
      <c r="X30" s="1532"/>
    </row>
    <row r="31" spans="1:24" ht="30" customHeight="1" thickBot="1">
      <c r="A31" s="1539" t="s">
        <v>401</v>
      </c>
      <c r="B31" s="1548">
        <f>SUM(C31:F31)</f>
        <v>6748.8241720062369</v>
      </c>
      <c r="C31" s="1549">
        <v>0</v>
      </c>
      <c r="D31" s="1549">
        <f>SUM(E29-D29)*D28</f>
        <v>6748.8241720062369</v>
      </c>
      <c r="E31" s="1549">
        <v>0</v>
      </c>
      <c r="F31" s="1550">
        <v>0</v>
      </c>
      <c r="G31" s="1548">
        <f>SUM(H31:K31)</f>
        <v>12494.627844813136</v>
      </c>
      <c r="H31" s="1549">
        <v>0</v>
      </c>
      <c r="I31" s="1549">
        <f>SUM(H29-I29)*I28</f>
        <v>12494.627844813136</v>
      </c>
      <c r="J31" s="1549">
        <v>0</v>
      </c>
      <c r="K31" s="1550">
        <v>0</v>
      </c>
      <c r="L31" s="1548">
        <f>SUM(M31:P31)</f>
        <v>19243.452016819374</v>
      </c>
      <c r="M31" s="1549">
        <v>0</v>
      </c>
      <c r="N31" s="1549">
        <f>SUM(B31+G31)</f>
        <v>19243.452016819374</v>
      </c>
      <c r="O31" s="1549">
        <v>0</v>
      </c>
      <c r="P31" s="1550">
        <v>0</v>
      </c>
      <c r="Q31" s="1548"/>
      <c r="R31" s="1536"/>
      <c r="S31" s="1536"/>
      <c r="T31" s="1537"/>
      <c r="U31" s="1543"/>
      <c r="V31" s="1536"/>
      <c r="W31" s="1536"/>
      <c r="X31" s="1537"/>
    </row>
    <row r="32" spans="1:24" ht="15" customHeight="1" thickBot="1">
      <c r="A32" s="5736"/>
      <c r="B32" s="5737"/>
      <c r="C32" s="5737"/>
      <c r="D32" s="5737"/>
      <c r="E32" s="5737"/>
      <c r="F32" s="5737"/>
      <c r="G32" s="5737"/>
      <c r="H32" s="5737"/>
      <c r="I32" s="5737"/>
      <c r="J32" s="5737"/>
      <c r="K32" s="5737"/>
      <c r="L32" s="5737"/>
      <c r="M32" s="5737"/>
      <c r="N32" s="5737"/>
      <c r="O32" s="5737"/>
      <c r="P32" s="5737"/>
      <c r="Q32" s="5737"/>
      <c r="R32" s="5737"/>
      <c r="S32" s="5737"/>
      <c r="T32" s="5737"/>
      <c r="U32" s="5737"/>
      <c r="V32" s="5737"/>
      <c r="W32" s="5737"/>
      <c r="X32" s="5738"/>
    </row>
    <row r="33" spans="1:24" ht="15" customHeight="1" thickBot="1">
      <c r="A33" s="5084">
        <v>2016</v>
      </c>
      <c r="B33" s="5741" t="s">
        <v>400</v>
      </c>
      <c r="C33" s="5741"/>
      <c r="D33" s="5741"/>
      <c r="E33" s="5741"/>
      <c r="F33" s="5741"/>
      <c r="G33" s="5741"/>
      <c r="H33" s="5741"/>
      <c r="I33" s="5741"/>
      <c r="J33" s="5741"/>
      <c r="K33" s="5741"/>
      <c r="L33" s="5741"/>
      <c r="M33" s="5741"/>
      <c r="N33" s="5741"/>
      <c r="O33" s="5741"/>
      <c r="P33" s="5742"/>
      <c r="Q33" s="5743" t="s">
        <v>407</v>
      </c>
      <c r="R33" s="5744"/>
      <c r="S33" s="5744"/>
      <c r="T33" s="5745"/>
      <c r="U33" s="5743" t="s">
        <v>408</v>
      </c>
      <c r="V33" s="5744"/>
      <c r="W33" s="5744"/>
      <c r="X33" s="5745"/>
    </row>
    <row r="34" spans="1:24" ht="15" customHeight="1" thickBot="1">
      <c r="A34" s="5739"/>
      <c r="B34" s="5749" t="s">
        <v>871</v>
      </c>
      <c r="C34" s="5750"/>
      <c r="D34" s="5750"/>
      <c r="E34" s="5750"/>
      <c r="F34" s="5751"/>
      <c r="G34" s="5752" t="s">
        <v>872</v>
      </c>
      <c r="H34" s="5753"/>
      <c r="I34" s="5753"/>
      <c r="J34" s="5753"/>
      <c r="K34" s="4996"/>
      <c r="L34" s="5752" t="s">
        <v>833</v>
      </c>
      <c r="M34" s="5753"/>
      <c r="N34" s="5753"/>
      <c r="O34" s="5753"/>
      <c r="P34" s="5754"/>
      <c r="Q34" s="5746"/>
      <c r="R34" s="5747"/>
      <c r="S34" s="5747"/>
      <c r="T34" s="5748"/>
      <c r="U34" s="5746"/>
      <c r="V34" s="5747"/>
      <c r="W34" s="5747"/>
      <c r="X34" s="5748"/>
    </row>
    <row r="35" spans="1:24" ht="15" customHeight="1">
      <c r="A35" s="5739"/>
      <c r="B35" s="5755" t="s">
        <v>301</v>
      </c>
      <c r="C35" s="5758" t="s">
        <v>50</v>
      </c>
      <c r="D35" s="5758"/>
      <c r="E35" s="5758"/>
      <c r="F35" s="5759"/>
      <c r="G35" s="5257" t="s">
        <v>301</v>
      </c>
      <c r="H35" s="5760" t="s">
        <v>50</v>
      </c>
      <c r="I35" s="5760"/>
      <c r="J35" s="5760"/>
      <c r="K35" s="5761"/>
      <c r="L35" s="5257" t="s">
        <v>301</v>
      </c>
      <c r="M35" s="5760" t="s">
        <v>50</v>
      </c>
      <c r="N35" s="5760"/>
      <c r="O35" s="5760"/>
      <c r="P35" s="5761"/>
      <c r="Q35" s="5257" t="s">
        <v>301</v>
      </c>
      <c r="R35" s="5762" t="s">
        <v>50</v>
      </c>
      <c r="S35" s="5762"/>
      <c r="T35" s="5763"/>
      <c r="U35" s="5257" t="s">
        <v>301</v>
      </c>
      <c r="V35" s="5762" t="s">
        <v>50</v>
      </c>
      <c r="W35" s="5762"/>
      <c r="X35" s="5763"/>
    </row>
    <row r="36" spans="1:24" ht="15" customHeight="1">
      <c r="A36" s="5739"/>
      <c r="B36" s="5756"/>
      <c r="C36" s="5733" t="s">
        <v>384</v>
      </c>
      <c r="D36" s="5735" t="s">
        <v>239</v>
      </c>
      <c r="E36" s="5735"/>
      <c r="F36" s="5804" t="s">
        <v>873</v>
      </c>
      <c r="G36" s="5756"/>
      <c r="H36" s="5733" t="s">
        <v>384</v>
      </c>
      <c r="I36" s="5735" t="s">
        <v>239</v>
      </c>
      <c r="J36" s="5735"/>
      <c r="K36" s="5804" t="s">
        <v>873</v>
      </c>
      <c r="L36" s="5756"/>
      <c r="M36" s="5733" t="s">
        <v>384</v>
      </c>
      <c r="N36" s="5735" t="s">
        <v>239</v>
      </c>
      <c r="O36" s="5735"/>
      <c r="P36" s="5804" t="s">
        <v>873</v>
      </c>
      <c r="Q36" s="5756"/>
      <c r="R36" s="5733" t="s">
        <v>384</v>
      </c>
      <c r="S36" s="5733"/>
      <c r="T36" s="5806" t="s">
        <v>873</v>
      </c>
      <c r="U36" s="5756"/>
      <c r="V36" s="5733" t="s">
        <v>384</v>
      </c>
      <c r="W36" s="5733"/>
      <c r="X36" s="5806" t="s">
        <v>873</v>
      </c>
    </row>
    <row r="37" spans="1:24" ht="15" customHeight="1" thickBot="1">
      <c r="A37" s="5740"/>
      <c r="B37" s="5757"/>
      <c r="C37" s="5734"/>
      <c r="D37" s="1551" t="s">
        <v>264</v>
      </c>
      <c r="E37" s="1551" t="s">
        <v>300</v>
      </c>
      <c r="F37" s="5805"/>
      <c r="G37" s="5757"/>
      <c r="H37" s="5734"/>
      <c r="I37" s="1551" t="s">
        <v>264</v>
      </c>
      <c r="J37" s="1551" t="s">
        <v>300</v>
      </c>
      <c r="K37" s="5805"/>
      <c r="L37" s="5757"/>
      <c r="M37" s="5734"/>
      <c r="N37" s="1551" t="s">
        <v>264</v>
      </c>
      <c r="O37" s="1551" t="s">
        <v>300</v>
      </c>
      <c r="P37" s="5805"/>
      <c r="Q37" s="5757"/>
      <c r="R37" s="1556" t="s">
        <v>874</v>
      </c>
      <c r="S37" s="1556" t="s">
        <v>264</v>
      </c>
      <c r="T37" s="5805"/>
      <c r="U37" s="5757"/>
      <c r="V37" s="1556" t="s">
        <v>874</v>
      </c>
      <c r="W37" s="1556" t="s">
        <v>264</v>
      </c>
      <c r="X37" s="5805"/>
    </row>
    <row r="38" spans="1:24" ht="30" customHeight="1">
      <c r="A38" s="1555" t="s">
        <v>397</v>
      </c>
      <c r="B38" s="1552">
        <f>SUM(B28)</f>
        <v>2005.3184999999999</v>
      </c>
      <c r="C38" s="1553">
        <f t="shared" ref="C38:P38" si="2">SUM(C28)</f>
        <v>1994.6085</v>
      </c>
      <c r="D38" s="1553">
        <f t="shared" si="2"/>
        <v>1214.28</v>
      </c>
      <c r="E38" s="1553">
        <f t="shared" si="2"/>
        <v>780.32850000000008</v>
      </c>
      <c r="F38" s="1554">
        <f t="shared" si="2"/>
        <v>10.71</v>
      </c>
      <c r="G38" s="1552">
        <f t="shared" si="2"/>
        <v>2005.3184999999999</v>
      </c>
      <c r="H38" s="1553">
        <f t="shared" si="2"/>
        <v>1994.6085</v>
      </c>
      <c r="I38" s="1553">
        <f t="shared" si="2"/>
        <v>1214.28</v>
      </c>
      <c r="J38" s="1553">
        <f t="shared" si="2"/>
        <v>780.32850000000008</v>
      </c>
      <c r="K38" s="1554">
        <f t="shared" si="2"/>
        <v>10.71</v>
      </c>
      <c r="L38" s="1552">
        <f t="shared" si="2"/>
        <v>4010.6369999999997</v>
      </c>
      <c r="M38" s="1553">
        <f t="shared" si="2"/>
        <v>3989.2170000000001</v>
      </c>
      <c r="N38" s="1553">
        <f t="shared" si="2"/>
        <v>2428.56</v>
      </c>
      <c r="O38" s="1553">
        <f t="shared" si="2"/>
        <v>1560.6570000000002</v>
      </c>
      <c r="P38" s="1554">
        <f t="shared" si="2"/>
        <v>21.42</v>
      </c>
      <c r="Q38" s="1552"/>
      <c r="R38" s="1557"/>
      <c r="S38" s="1557"/>
      <c r="T38" s="1558"/>
      <c r="U38" s="1559"/>
      <c r="V38" s="1557"/>
      <c r="W38" s="1557"/>
      <c r="X38" s="1558"/>
    </row>
    <row r="39" spans="1:24" ht="30" customHeight="1">
      <c r="A39" s="1538" t="s">
        <v>398</v>
      </c>
      <c r="B39" s="1544">
        <f>SUM(B40/B38)</f>
        <v>31.583452475680577</v>
      </c>
      <c r="C39" s="1545">
        <f>SUM(C40/C38)</f>
        <v>31.645058889177026</v>
      </c>
      <c r="D39" s="1545">
        <f>SUM(I19)</f>
        <v>25.945700000000002</v>
      </c>
      <c r="E39" s="1545">
        <f>SUM(J19)</f>
        <v>31.645058889177026</v>
      </c>
      <c r="F39" s="1546">
        <f>SUM(K19)</f>
        <v>20.11</v>
      </c>
      <c r="G39" s="1544">
        <f>SUM(G40/G38)</f>
        <v>39.215284080176474</v>
      </c>
      <c r="H39" s="1545">
        <f>H40/H38</f>
        <v>39.289730770625489</v>
      </c>
      <c r="I39" s="1545">
        <f>D39*1.2</f>
        <v>31.134840000000001</v>
      </c>
      <c r="J39" s="1545">
        <f>SUM(H39)</f>
        <v>39.289730770625489</v>
      </c>
      <c r="K39" s="1546">
        <f t="shared" ref="K39:P39" si="3">SUM(K40/K38)</f>
        <v>25.350484680875475</v>
      </c>
      <c r="L39" s="1544">
        <f t="shared" si="3"/>
        <v>35.399368277928524</v>
      </c>
      <c r="M39" s="1545">
        <f t="shared" si="3"/>
        <v>35.467394829901259</v>
      </c>
      <c r="N39" s="1545">
        <f t="shared" si="3"/>
        <v>28.540270000000003</v>
      </c>
      <c r="O39" s="1545">
        <f t="shared" si="3"/>
        <v>35.467394829901259</v>
      </c>
      <c r="P39" s="1546">
        <f t="shared" si="3"/>
        <v>22.730242340437737</v>
      </c>
      <c r="Q39" s="1547">
        <f>SUM(G39/B39)</f>
        <v>1.2416401946675224</v>
      </c>
      <c r="R39" s="1533">
        <f>SUM(H39/C39)</f>
        <v>1.2415755302658966</v>
      </c>
      <c r="S39" s="1533">
        <f>I39/D39</f>
        <v>1.2</v>
      </c>
      <c r="T39" s="1540">
        <f>SUM(K39/F39)</f>
        <v>1.2605909836337879</v>
      </c>
      <c r="U39" s="1542">
        <f>SUM(L39/L19)</f>
        <v>1.1991870406317973</v>
      </c>
      <c r="V39" s="1534">
        <f>SUM(M39/M19)</f>
        <v>1.1965036552026138</v>
      </c>
      <c r="W39" s="1534">
        <f>SUM(N39/N19)</f>
        <v>1.1743589743589744</v>
      </c>
      <c r="X39" s="1535">
        <f>SUM(P39/P19)</f>
        <v>1.2069846263707793</v>
      </c>
    </row>
    <row r="40" spans="1:24" ht="30" customHeight="1">
      <c r="A40" s="1538" t="s">
        <v>399</v>
      </c>
      <c r="B40" s="1544">
        <f>SUM(C40+F40)</f>
        <v>63334.881543353054</v>
      </c>
      <c r="C40" s="1545">
        <f>SUM(D40:E40)+D41</f>
        <v>63119.503443353053</v>
      </c>
      <c r="D40" s="1545">
        <f>D39*D38</f>
        <v>31505.344596000003</v>
      </c>
      <c r="E40" s="1545">
        <f>E39*E38</f>
        <v>24693.541335403177</v>
      </c>
      <c r="F40" s="1546">
        <f>F39*F38</f>
        <v>215.37810000000002</v>
      </c>
      <c r="G40" s="1544">
        <f>SUM(L40-B40)</f>
        <v>78639.134648733365</v>
      </c>
      <c r="H40" s="1545">
        <f>SUM(M40-C40)</f>
        <v>78367.630957801157</v>
      </c>
      <c r="I40" s="1545">
        <f>I39*I38</f>
        <v>37806.413515200002</v>
      </c>
      <c r="J40" s="1545">
        <f>SUM(J38*J39)</f>
        <v>30658.896677646037</v>
      </c>
      <c r="K40" s="1546">
        <f>SUM(P40-F40)</f>
        <v>271.50369093217637</v>
      </c>
      <c r="L40" s="1544">
        <f>SUM(вода!BC55)</f>
        <v>141974.01619208642</v>
      </c>
      <c r="M40" s="1545">
        <f>SUM(вода!BE55)</f>
        <v>141487.13440115421</v>
      </c>
      <c r="N40" s="1545">
        <f>SUM(D40+I40)</f>
        <v>69311.758111200004</v>
      </c>
      <c r="O40" s="1545">
        <f>SUM(E40+J40)</f>
        <v>55352.438013049214</v>
      </c>
      <c r="P40" s="1546">
        <f>SUM(вода!BF55)</f>
        <v>486.88179093217639</v>
      </c>
      <c r="Q40" s="1544"/>
      <c r="R40" s="1531"/>
      <c r="S40" s="1531"/>
      <c r="T40" s="1532"/>
      <c r="U40" s="1541"/>
      <c r="V40" s="1531"/>
      <c r="W40" s="1531"/>
      <c r="X40" s="1532"/>
    </row>
    <row r="41" spans="1:24" ht="30" customHeight="1" thickBot="1">
      <c r="A41" s="1539" t="s">
        <v>401</v>
      </c>
      <c r="B41" s="1548">
        <f>SUM(C41:F41)</f>
        <v>6920.6175119498766</v>
      </c>
      <c r="C41" s="1549">
        <v>0</v>
      </c>
      <c r="D41" s="1549">
        <f>SUM(E39-D39)*D38</f>
        <v>6920.6175119498766</v>
      </c>
      <c r="E41" s="1549">
        <v>0</v>
      </c>
      <c r="F41" s="1550">
        <v>0</v>
      </c>
      <c r="G41" s="1548">
        <f>SUM(H41:K41)</f>
        <v>9902.3207649551186</v>
      </c>
      <c r="H41" s="1549">
        <v>0</v>
      </c>
      <c r="I41" s="1549">
        <f>SUM(H39-I39)*I38</f>
        <v>9902.3207649551186</v>
      </c>
      <c r="J41" s="1549">
        <v>0</v>
      </c>
      <c r="K41" s="1550">
        <v>0</v>
      </c>
      <c r="L41" s="1548">
        <f>SUM(M41:P41)</f>
        <v>16822.938276904995</v>
      </c>
      <c r="M41" s="1549">
        <v>0</v>
      </c>
      <c r="N41" s="1549">
        <f>SUM(B41+G41)</f>
        <v>16822.938276904995</v>
      </c>
      <c r="O41" s="1549">
        <v>0</v>
      </c>
      <c r="P41" s="1550">
        <v>0</v>
      </c>
      <c r="Q41" s="1548"/>
      <c r="R41" s="1536"/>
      <c r="S41" s="1536"/>
      <c r="T41" s="1537"/>
      <c r="U41" s="1543"/>
      <c r="V41" s="1536"/>
      <c r="W41" s="1536"/>
      <c r="X41" s="1537"/>
    </row>
    <row r="42" spans="1:24" ht="26.25" customHeight="1" thickBot="1">
      <c r="A42" s="5801" t="s">
        <v>875</v>
      </c>
      <c r="B42" s="5802"/>
      <c r="C42" s="5802"/>
      <c r="D42" s="5802"/>
      <c r="E42" s="5802"/>
      <c r="F42" s="5802"/>
      <c r="G42" s="5802"/>
      <c r="H42" s="5802"/>
      <c r="I42" s="5802"/>
      <c r="J42" s="5802"/>
      <c r="K42" s="5802"/>
      <c r="L42" s="5802"/>
      <c r="M42" s="5802"/>
      <c r="N42" s="5802"/>
      <c r="O42" s="5802"/>
      <c r="P42" s="5802"/>
      <c r="Q42" s="5802"/>
      <c r="R42" s="5802"/>
      <c r="S42" s="5802"/>
      <c r="T42" s="5802"/>
      <c r="U42" s="5802"/>
      <c r="V42" s="5802"/>
      <c r="W42" s="5802"/>
      <c r="X42" s="5803"/>
    </row>
    <row r="43" spans="1:24" ht="15" customHeight="1" thickBot="1">
      <c r="A43" s="5775">
        <v>2016</v>
      </c>
      <c r="B43" s="5778" t="s">
        <v>403</v>
      </c>
      <c r="C43" s="5778"/>
      <c r="D43" s="5778"/>
      <c r="E43" s="5778"/>
      <c r="F43" s="5778"/>
      <c r="G43" s="5778"/>
      <c r="H43" s="5778"/>
      <c r="I43" s="5778"/>
      <c r="J43" s="5778"/>
      <c r="K43" s="5778"/>
      <c r="L43" s="5778"/>
      <c r="M43" s="5778"/>
      <c r="N43" s="5778"/>
      <c r="O43" s="5778"/>
      <c r="P43" s="5779"/>
      <c r="Q43" s="5780" t="s">
        <v>407</v>
      </c>
      <c r="R43" s="5781"/>
      <c r="S43" s="5781"/>
      <c r="T43" s="5782"/>
      <c r="U43" s="5780" t="s">
        <v>408</v>
      </c>
      <c r="V43" s="5781"/>
      <c r="W43" s="5781"/>
      <c r="X43" s="5782"/>
    </row>
    <row r="44" spans="1:24" ht="15" customHeight="1" thickBot="1">
      <c r="A44" s="5776"/>
      <c r="B44" s="5786" t="s">
        <v>871</v>
      </c>
      <c r="C44" s="5787"/>
      <c r="D44" s="5787"/>
      <c r="E44" s="5787"/>
      <c r="F44" s="5788"/>
      <c r="G44" s="5789" t="s">
        <v>872</v>
      </c>
      <c r="H44" s="5790"/>
      <c r="I44" s="5790"/>
      <c r="J44" s="5790"/>
      <c r="K44" s="5791"/>
      <c r="L44" s="5789" t="s">
        <v>833</v>
      </c>
      <c r="M44" s="5790"/>
      <c r="N44" s="5790"/>
      <c r="O44" s="5790"/>
      <c r="P44" s="5792"/>
      <c r="Q44" s="5783"/>
      <c r="R44" s="5784"/>
      <c r="S44" s="5784"/>
      <c r="T44" s="5785"/>
      <c r="U44" s="5783"/>
      <c r="V44" s="5784"/>
      <c r="W44" s="5784"/>
      <c r="X44" s="5785"/>
    </row>
    <row r="45" spans="1:24" ht="15" customHeight="1">
      <c r="A45" s="5776"/>
      <c r="B45" s="5793" t="s">
        <v>301</v>
      </c>
      <c r="C45" s="5796" t="s">
        <v>50</v>
      </c>
      <c r="D45" s="5796"/>
      <c r="E45" s="5796"/>
      <c r="F45" s="5797"/>
      <c r="G45" s="5798" t="s">
        <v>301</v>
      </c>
      <c r="H45" s="5799" t="s">
        <v>50</v>
      </c>
      <c r="I45" s="5799"/>
      <c r="J45" s="5799"/>
      <c r="K45" s="5800"/>
      <c r="L45" s="5798" t="s">
        <v>301</v>
      </c>
      <c r="M45" s="5799" t="s">
        <v>50</v>
      </c>
      <c r="N45" s="5799"/>
      <c r="O45" s="5799"/>
      <c r="P45" s="5800"/>
      <c r="Q45" s="5798" t="s">
        <v>301</v>
      </c>
      <c r="R45" s="5767" t="s">
        <v>50</v>
      </c>
      <c r="S45" s="5767"/>
      <c r="T45" s="5768"/>
      <c r="U45" s="5798" t="s">
        <v>301</v>
      </c>
      <c r="V45" s="5767" t="s">
        <v>50</v>
      </c>
      <c r="W45" s="5767"/>
      <c r="X45" s="5768"/>
    </row>
    <row r="46" spans="1:24" ht="15" customHeight="1">
      <c r="A46" s="5776"/>
      <c r="B46" s="5794"/>
      <c r="C46" s="5769" t="s">
        <v>384</v>
      </c>
      <c r="D46" s="5771" t="s">
        <v>239</v>
      </c>
      <c r="E46" s="5771"/>
      <c r="F46" s="5772" t="s">
        <v>873</v>
      </c>
      <c r="G46" s="5794"/>
      <c r="H46" s="5769" t="s">
        <v>384</v>
      </c>
      <c r="I46" s="5771" t="s">
        <v>239</v>
      </c>
      <c r="J46" s="5771"/>
      <c r="K46" s="5772" t="s">
        <v>873</v>
      </c>
      <c r="L46" s="5794"/>
      <c r="M46" s="5769" t="s">
        <v>384</v>
      </c>
      <c r="N46" s="5771" t="s">
        <v>239</v>
      </c>
      <c r="O46" s="5771"/>
      <c r="P46" s="5772" t="s">
        <v>873</v>
      </c>
      <c r="Q46" s="5794"/>
      <c r="R46" s="5769" t="s">
        <v>384</v>
      </c>
      <c r="S46" s="5769"/>
      <c r="T46" s="5774" t="s">
        <v>873</v>
      </c>
      <c r="U46" s="5794"/>
      <c r="V46" s="5769" t="s">
        <v>384</v>
      </c>
      <c r="W46" s="5769"/>
      <c r="X46" s="5774" t="s">
        <v>873</v>
      </c>
    </row>
    <row r="47" spans="1:24" ht="15" customHeight="1" thickBot="1">
      <c r="A47" s="5777"/>
      <c r="B47" s="5795"/>
      <c r="C47" s="5770"/>
      <c r="D47" s="1560" t="s">
        <v>264</v>
      </c>
      <c r="E47" s="1560" t="s">
        <v>300</v>
      </c>
      <c r="F47" s="5773"/>
      <c r="G47" s="5795"/>
      <c r="H47" s="5770"/>
      <c r="I47" s="1560" t="s">
        <v>264</v>
      </c>
      <c r="J47" s="1560" t="s">
        <v>300</v>
      </c>
      <c r="K47" s="5773"/>
      <c r="L47" s="5795"/>
      <c r="M47" s="5770"/>
      <c r="N47" s="1560" t="s">
        <v>264</v>
      </c>
      <c r="O47" s="1560" t="s">
        <v>300</v>
      </c>
      <c r="P47" s="5773"/>
      <c r="Q47" s="5795"/>
      <c r="R47" s="1560" t="s">
        <v>874</v>
      </c>
      <c r="S47" s="1560" t="s">
        <v>264</v>
      </c>
      <c r="T47" s="5773"/>
      <c r="U47" s="5795"/>
      <c r="V47" s="1560" t="s">
        <v>874</v>
      </c>
      <c r="W47" s="1560" t="s">
        <v>264</v>
      </c>
      <c r="X47" s="5773"/>
    </row>
    <row r="48" spans="1:24" ht="30" customHeight="1">
      <c r="A48" s="1561" t="s">
        <v>397</v>
      </c>
      <c r="B48" s="1562">
        <f>SUM(объемы!T48/2)</f>
        <v>2005.3184999999999</v>
      </c>
      <c r="C48" s="1563">
        <f>SUM(D48:E48)</f>
        <v>1994.6085</v>
      </c>
      <c r="D48" s="1563">
        <f>SUM(объемы!U49/2)</f>
        <v>1214.28</v>
      </c>
      <c r="E48" s="1563">
        <f>SUM(объемы!U51+объемы!U52)/2</f>
        <v>780.32850000000008</v>
      </c>
      <c r="F48" s="1564">
        <f>SUM(объемы!V50/2)</f>
        <v>10.709999999999999</v>
      </c>
      <c r="G48" s="1562">
        <f>B48</f>
        <v>2005.3184999999999</v>
      </c>
      <c r="H48" s="1563">
        <f>C48</f>
        <v>1994.6085</v>
      </c>
      <c r="I48" s="1563">
        <f>D48</f>
        <v>1214.28</v>
      </c>
      <c r="J48" s="1563">
        <f>E48</f>
        <v>780.32850000000008</v>
      </c>
      <c r="K48" s="1564">
        <f>F48</f>
        <v>10.709999999999999</v>
      </c>
      <c r="L48" s="1562">
        <f>SUM(B48+G48)</f>
        <v>4010.6369999999997</v>
      </c>
      <c r="M48" s="1563">
        <f>SUM(C48+H48)</f>
        <v>3989.2170000000001</v>
      </c>
      <c r="N48" s="1563">
        <f>SUM(D48+I48)</f>
        <v>2428.56</v>
      </c>
      <c r="O48" s="1563">
        <f>SUM(E48+J48)</f>
        <v>1560.6570000000002</v>
      </c>
      <c r="P48" s="1564">
        <f>SUM(F48+K48)</f>
        <v>21.419999999999998</v>
      </c>
      <c r="Q48" s="1562"/>
      <c r="R48" s="1565"/>
      <c r="S48" s="1565"/>
      <c r="T48" s="1566"/>
      <c r="U48" s="1567"/>
      <c r="V48" s="1565"/>
      <c r="W48" s="1565"/>
      <c r="X48" s="1566"/>
    </row>
    <row r="49" spans="1:24" ht="30" customHeight="1">
      <c r="A49" s="1568" t="s">
        <v>398</v>
      </c>
      <c r="B49" s="1569">
        <f>SUM(B50/B48)</f>
        <v>31.43743127089288</v>
      </c>
      <c r="C49" s="1570">
        <f>SUM(C50/C48)</f>
        <v>31.52</v>
      </c>
      <c r="D49" s="1570">
        <v>25.95</v>
      </c>
      <c r="E49" s="1570">
        <v>31.52</v>
      </c>
      <c r="F49" s="1571">
        <v>16.059999999999999</v>
      </c>
      <c r="G49" s="1569">
        <f>SUM(G50/G48)</f>
        <v>33.626824295688493</v>
      </c>
      <c r="H49" s="1570">
        <f>H50/H48</f>
        <v>33.721159781585101</v>
      </c>
      <c r="I49" s="1570">
        <v>27.8</v>
      </c>
      <c r="J49" s="1570">
        <f>SUM(H49)</f>
        <v>33.721159781585101</v>
      </c>
      <c r="K49" s="1571">
        <f t="shared" ref="K49:P49" si="4">SUM(K50/K48)</f>
        <v>16.057976301196952</v>
      </c>
      <c r="L49" s="1569">
        <f t="shared" si="4"/>
        <v>32.53212778329069</v>
      </c>
      <c r="M49" s="1570">
        <f t="shared" si="4"/>
        <v>32.620579890792548</v>
      </c>
      <c r="N49" s="1570">
        <f t="shared" si="4"/>
        <v>26.875</v>
      </c>
      <c r="O49" s="1570">
        <f t="shared" si="4"/>
        <v>32.620579890792548</v>
      </c>
      <c r="P49" s="1571">
        <f t="shared" si="4"/>
        <v>16.058988150598474</v>
      </c>
      <c r="Q49" s="1572">
        <f>SUM(G49/B49)</f>
        <v>1.069642872724869</v>
      </c>
      <c r="R49" s="1573">
        <f>SUM(H49/C49)</f>
        <v>1.069833749415771</v>
      </c>
      <c r="S49" s="1573">
        <f>I49/D49</f>
        <v>1.071290944123314</v>
      </c>
      <c r="T49" s="1574">
        <f>SUM(K49/F49)</f>
        <v>0.99987399135721999</v>
      </c>
      <c r="U49" s="1575">
        <f>SUM(L49/L9)</f>
        <v>1.0625821479677044</v>
      </c>
      <c r="V49" s="1576">
        <f>SUM(M49/M9)</f>
        <v>1.0607700940988678</v>
      </c>
      <c r="W49" s="1576">
        <f>SUM(N49/N9)</f>
        <v>1.1058373812124913</v>
      </c>
      <c r="X49" s="1577">
        <f>SUM(P49/P9)</f>
        <v>0.85273845841757956</v>
      </c>
    </row>
    <row r="50" spans="1:24" ht="30" customHeight="1">
      <c r="A50" s="1568" t="s">
        <v>399</v>
      </c>
      <c r="B50" s="1569">
        <f>SUM(C50+F50)</f>
        <v>63042.062519999999</v>
      </c>
      <c r="C50" s="1570">
        <f>SUM(D50:E50)+D51</f>
        <v>62870.05992</v>
      </c>
      <c r="D50" s="1570">
        <f>D49*D48</f>
        <v>31510.565999999999</v>
      </c>
      <c r="E50" s="1570">
        <f>E49*E48</f>
        <v>24595.954320000001</v>
      </c>
      <c r="F50" s="1571">
        <f>F49*F48</f>
        <v>172.00259999999997</v>
      </c>
      <c r="G50" s="1569">
        <f>SUM(L50-B50)</f>
        <v>67432.492856393597</v>
      </c>
      <c r="H50" s="1570">
        <f>SUM(M50-C50)</f>
        <v>67260.51193020778</v>
      </c>
      <c r="I50" s="1570">
        <f>I49*I48</f>
        <v>33756.983999999997</v>
      </c>
      <c r="J50" s="1570">
        <f>SUM(J48*J49)</f>
        <v>26313.582030624631</v>
      </c>
      <c r="K50" s="1571">
        <f>SUM(P50-F50)</f>
        <v>171.98092618581933</v>
      </c>
      <c r="L50" s="1569">
        <f>SUM(вода!BG58)</f>
        <v>130474.5553763936</v>
      </c>
      <c r="M50" s="1570">
        <f>SUM(вода!BI58)</f>
        <v>130130.57185020778</v>
      </c>
      <c r="N50" s="1570">
        <f>SUM(D50+I50)</f>
        <v>65267.549999999996</v>
      </c>
      <c r="O50" s="1570">
        <f>SUM(E50+J50)</f>
        <v>50909.536350624636</v>
      </c>
      <c r="P50" s="1571">
        <f>SUM(вода!BJ58)</f>
        <v>343.9835261858193</v>
      </c>
      <c r="Q50" s="1569"/>
      <c r="R50" s="1578"/>
      <c r="S50" s="1578"/>
      <c r="T50" s="1579"/>
      <c r="U50" s="1580"/>
      <c r="V50" s="1578"/>
      <c r="W50" s="1578"/>
      <c r="X50" s="1579"/>
    </row>
    <row r="51" spans="1:24" ht="30" customHeight="1" thickBot="1">
      <c r="A51" s="1581" t="s">
        <v>401</v>
      </c>
      <c r="B51" s="1582">
        <f>SUM(C51:F51)</f>
        <v>6763.5396000000001</v>
      </c>
      <c r="C51" s="1583">
        <v>0</v>
      </c>
      <c r="D51" s="1583">
        <f>SUM(E49-D49)*D48</f>
        <v>6763.5396000000001</v>
      </c>
      <c r="E51" s="1583">
        <v>0</v>
      </c>
      <c r="F51" s="1584">
        <v>0</v>
      </c>
      <c r="G51" s="1582">
        <f>SUM(H51:K51)</f>
        <v>7189.9458995831556</v>
      </c>
      <c r="H51" s="1583">
        <v>0</v>
      </c>
      <c r="I51" s="1583">
        <f>SUM(H49-I49)*I48</f>
        <v>7189.9458995831556</v>
      </c>
      <c r="J51" s="1583">
        <v>0</v>
      </c>
      <c r="K51" s="1584">
        <v>0</v>
      </c>
      <c r="L51" s="1582">
        <f>SUM(M51:P51)</f>
        <v>13953.485499583156</v>
      </c>
      <c r="M51" s="1583">
        <v>0</v>
      </c>
      <c r="N51" s="1583">
        <f>SUM(B51+G51)</f>
        <v>13953.485499583156</v>
      </c>
      <c r="O51" s="1583">
        <v>0</v>
      </c>
      <c r="P51" s="1584">
        <v>0</v>
      </c>
      <c r="Q51" s="1582"/>
      <c r="R51" s="1585"/>
      <c r="S51" s="1585"/>
      <c r="T51" s="1586"/>
      <c r="U51" s="1587"/>
      <c r="V51" s="1585"/>
      <c r="W51" s="1585"/>
      <c r="X51" s="1586"/>
    </row>
    <row r="52" spans="1:24" ht="15" customHeight="1" thickBot="1">
      <c r="A52" s="5736"/>
      <c r="B52" s="5737"/>
      <c r="C52" s="5737"/>
      <c r="D52" s="5737"/>
      <c r="E52" s="5737"/>
      <c r="F52" s="5737"/>
      <c r="G52" s="5737"/>
      <c r="H52" s="5737"/>
      <c r="I52" s="5737"/>
      <c r="J52" s="5737"/>
      <c r="K52" s="5737"/>
      <c r="L52" s="5737"/>
      <c r="M52" s="5737"/>
      <c r="N52" s="5737"/>
      <c r="O52" s="5737"/>
      <c r="P52" s="5737"/>
      <c r="Q52" s="5737"/>
      <c r="R52" s="5737"/>
      <c r="S52" s="5737"/>
      <c r="T52" s="5737"/>
      <c r="U52" s="5737"/>
      <c r="V52" s="5737"/>
      <c r="W52" s="5737"/>
      <c r="X52" s="5738"/>
    </row>
    <row r="53" spans="1:24" ht="15" customHeight="1" thickBot="1">
      <c r="A53" s="5775">
        <v>2016</v>
      </c>
      <c r="B53" s="5778" t="s">
        <v>400</v>
      </c>
      <c r="C53" s="5778"/>
      <c r="D53" s="5778"/>
      <c r="E53" s="5778"/>
      <c r="F53" s="5778"/>
      <c r="G53" s="5778"/>
      <c r="H53" s="5778"/>
      <c r="I53" s="5778"/>
      <c r="J53" s="5778"/>
      <c r="K53" s="5778"/>
      <c r="L53" s="5778"/>
      <c r="M53" s="5778"/>
      <c r="N53" s="5778"/>
      <c r="O53" s="5778"/>
      <c r="P53" s="5779"/>
      <c r="Q53" s="5780" t="s">
        <v>407</v>
      </c>
      <c r="R53" s="5781"/>
      <c r="S53" s="5781"/>
      <c r="T53" s="5782"/>
      <c r="U53" s="5780" t="s">
        <v>408</v>
      </c>
      <c r="V53" s="5781"/>
      <c r="W53" s="5781"/>
      <c r="X53" s="5782"/>
    </row>
    <row r="54" spans="1:24" ht="15" customHeight="1" thickBot="1">
      <c r="A54" s="5776"/>
      <c r="B54" s="5786" t="s">
        <v>871</v>
      </c>
      <c r="C54" s="5787"/>
      <c r="D54" s="5787"/>
      <c r="E54" s="5787"/>
      <c r="F54" s="5788"/>
      <c r="G54" s="5789" t="s">
        <v>872</v>
      </c>
      <c r="H54" s="5790"/>
      <c r="I54" s="5790"/>
      <c r="J54" s="5790"/>
      <c r="K54" s="5791"/>
      <c r="L54" s="5789" t="s">
        <v>833</v>
      </c>
      <c r="M54" s="5790"/>
      <c r="N54" s="5790"/>
      <c r="O54" s="5790"/>
      <c r="P54" s="5792"/>
      <c r="Q54" s="5783"/>
      <c r="R54" s="5784"/>
      <c r="S54" s="5784"/>
      <c r="T54" s="5785"/>
      <c r="U54" s="5783"/>
      <c r="V54" s="5784"/>
      <c r="W54" s="5784"/>
      <c r="X54" s="5785"/>
    </row>
    <row r="55" spans="1:24" ht="15" customHeight="1">
      <c r="A55" s="5776"/>
      <c r="B55" s="5793" t="s">
        <v>301</v>
      </c>
      <c r="C55" s="5796" t="s">
        <v>50</v>
      </c>
      <c r="D55" s="5796"/>
      <c r="E55" s="5796"/>
      <c r="F55" s="5797"/>
      <c r="G55" s="5798" t="s">
        <v>301</v>
      </c>
      <c r="H55" s="5799" t="s">
        <v>50</v>
      </c>
      <c r="I55" s="5799"/>
      <c r="J55" s="5799"/>
      <c r="K55" s="5800"/>
      <c r="L55" s="5798" t="s">
        <v>301</v>
      </c>
      <c r="M55" s="5799" t="s">
        <v>50</v>
      </c>
      <c r="N55" s="5799"/>
      <c r="O55" s="5799"/>
      <c r="P55" s="5800"/>
      <c r="Q55" s="5798" t="s">
        <v>301</v>
      </c>
      <c r="R55" s="5767" t="s">
        <v>50</v>
      </c>
      <c r="S55" s="5767"/>
      <c r="T55" s="5768"/>
      <c r="U55" s="5798" t="s">
        <v>301</v>
      </c>
      <c r="V55" s="5767" t="s">
        <v>50</v>
      </c>
      <c r="W55" s="5767"/>
      <c r="X55" s="5768"/>
    </row>
    <row r="56" spans="1:24" ht="15" customHeight="1">
      <c r="A56" s="5776"/>
      <c r="B56" s="5794"/>
      <c r="C56" s="5769" t="s">
        <v>384</v>
      </c>
      <c r="D56" s="5771" t="s">
        <v>239</v>
      </c>
      <c r="E56" s="5771"/>
      <c r="F56" s="5772" t="s">
        <v>873</v>
      </c>
      <c r="G56" s="5794"/>
      <c r="H56" s="5769" t="s">
        <v>384</v>
      </c>
      <c r="I56" s="5771" t="s">
        <v>239</v>
      </c>
      <c r="J56" s="5771"/>
      <c r="K56" s="5772" t="s">
        <v>873</v>
      </c>
      <c r="L56" s="5794"/>
      <c r="M56" s="5769" t="s">
        <v>384</v>
      </c>
      <c r="N56" s="5771" t="s">
        <v>239</v>
      </c>
      <c r="O56" s="5771"/>
      <c r="P56" s="5772" t="s">
        <v>873</v>
      </c>
      <c r="Q56" s="5794"/>
      <c r="R56" s="5769" t="s">
        <v>384</v>
      </c>
      <c r="S56" s="5769"/>
      <c r="T56" s="5774" t="s">
        <v>873</v>
      </c>
      <c r="U56" s="5794"/>
      <c r="V56" s="5769" t="s">
        <v>384</v>
      </c>
      <c r="W56" s="5769"/>
      <c r="X56" s="5774" t="s">
        <v>873</v>
      </c>
    </row>
    <row r="57" spans="1:24" ht="15" customHeight="1" thickBot="1">
      <c r="A57" s="5777"/>
      <c r="B57" s="5795"/>
      <c r="C57" s="5770"/>
      <c r="D57" s="1560" t="s">
        <v>264</v>
      </c>
      <c r="E57" s="1560" t="s">
        <v>300</v>
      </c>
      <c r="F57" s="5773"/>
      <c r="G57" s="5795"/>
      <c r="H57" s="5770"/>
      <c r="I57" s="1560" t="s">
        <v>264</v>
      </c>
      <c r="J57" s="1560" t="s">
        <v>300</v>
      </c>
      <c r="K57" s="5773"/>
      <c r="L57" s="5795"/>
      <c r="M57" s="5770"/>
      <c r="N57" s="1560" t="s">
        <v>264</v>
      </c>
      <c r="O57" s="1560" t="s">
        <v>300</v>
      </c>
      <c r="P57" s="5773"/>
      <c r="Q57" s="5795"/>
      <c r="R57" s="1560" t="s">
        <v>874</v>
      </c>
      <c r="S57" s="1560" t="s">
        <v>264</v>
      </c>
      <c r="T57" s="5773"/>
      <c r="U57" s="5795"/>
      <c r="V57" s="1560" t="s">
        <v>874</v>
      </c>
      <c r="W57" s="1560" t="s">
        <v>264</v>
      </c>
      <c r="X57" s="5773"/>
    </row>
    <row r="58" spans="1:24" ht="30" customHeight="1">
      <c r="A58" s="1561" t="s">
        <v>397</v>
      </c>
      <c r="B58" s="1562">
        <f>SUM(B48)</f>
        <v>2005.3184999999999</v>
      </c>
      <c r="C58" s="1563">
        <f t="shared" ref="C58:P58" si="5">SUM(C48)</f>
        <v>1994.6085</v>
      </c>
      <c r="D58" s="1563">
        <f t="shared" si="5"/>
        <v>1214.28</v>
      </c>
      <c r="E58" s="1563">
        <f t="shared" si="5"/>
        <v>780.32850000000008</v>
      </c>
      <c r="F58" s="1564">
        <f t="shared" si="5"/>
        <v>10.709999999999999</v>
      </c>
      <c r="G58" s="1562">
        <f t="shared" si="5"/>
        <v>2005.3184999999999</v>
      </c>
      <c r="H58" s="1563">
        <f t="shared" si="5"/>
        <v>1994.6085</v>
      </c>
      <c r="I58" s="1563">
        <f t="shared" si="5"/>
        <v>1214.28</v>
      </c>
      <c r="J58" s="1563">
        <f t="shared" si="5"/>
        <v>780.32850000000008</v>
      </c>
      <c r="K58" s="1564">
        <f t="shared" si="5"/>
        <v>10.709999999999999</v>
      </c>
      <c r="L58" s="1562">
        <f t="shared" si="5"/>
        <v>4010.6369999999997</v>
      </c>
      <c r="M58" s="1563">
        <f t="shared" si="5"/>
        <v>3989.2170000000001</v>
      </c>
      <c r="N58" s="1563">
        <f t="shared" si="5"/>
        <v>2428.56</v>
      </c>
      <c r="O58" s="1563">
        <f t="shared" si="5"/>
        <v>1560.6570000000002</v>
      </c>
      <c r="P58" s="1564">
        <f t="shared" si="5"/>
        <v>21.419999999999998</v>
      </c>
      <c r="Q58" s="1562"/>
      <c r="R58" s="1565"/>
      <c r="S58" s="1565"/>
      <c r="T58" s="1566"/>
      <c r="U58" s="1567"/>
      <c r="V58" s="1565"/>
      <c r="W58" s="1565"/>
      <c r="X58" s="1566"/>
    </row>
    <row r="59" spans="1:24" ht="30" customHeight="1">
      <c r="A59" s="1568" t="s">
        <v>398</v>
      </c>
      <c r="B59" s="1569">
        <f>SUM(B60/B58)</f>
        <v>31.561822245869202</v>
      </c>
      <c r="C59" s="1570">
        <f>SUM(C60/C58)</f>
        <v>31.645058889177026</v>
      </c>
      <c r="D59" s="1570">
        <f t="shared" ref="D59:E59" si="6">SUM(I19)</f>
        <v>25.945700000000002</v>
      </c>
      <c r="E59" s="1570">
        <f t="shared" si="6"/>
        <v>31.645058889177026</v>
      </c>
      <c r="F59" s="1571">
        <v>16.059999999999999</v>
      </c>
      <c r="G59" s="1569">
        <f>SUM(G60/G58)</f>
        <v>31.519705888635922</v>
      </c>
      <c r="H59" s="1570">
        <f>H60/H58</f>
        <v>31.602727255426178</v>
      </c>
      <c r="I59" s="1570">
        <v>27.8</v>
      </c>
      <c r="J59" s="1570">
        <f>SUM(H59)</f>
        <v>31.602727255426178</v>
      </c>
      <c r="K59" s="1571">
        <f t="shared" ref="K59:P59" si="7">SUM(K60/K58)</f>
        <v>16.057976301196952</v>
      </c>
      <c r="L59" s="1569">
        <f t="shared" si="7"/>
        <v>31.54076406725256</v>
      </c>
      <c r="M59" s="1570">
        <f t="shared" si="7"/>
        <v>31.623893072301602</v>
      </c>
      <c r="N59" s="1570">
        <f t="shared" si="7"/>
        <v>26.87285</v>
      </c>
      <c r="O59" s="1570">
        <f t="shared" si="7"/>
        <v>31.623893072301602</v>
      </c>
      <c r="P59" s="1571">
        <f t="shared" si="7"/>
        <v>16.058988150598474</v>
      </c>
      <c r="Q59" s="1572">
        <f>SUM(G59/B59)</f>
        <v>0.99866559171060565</v>
      </c>
      <c r="R59" s="1573">
        <f>SUM(H59/C59)</f>
        <v>0.99866229878417678</v>
      </c>
      <c r="S59" s="1573">
        <f>I59/D59</f>
        <v>1.0714684899617277</v>
      </c>
      <c r="T59" s="1574">
        <f>SUM(K59/F59)</f>
        <v>0.99987399135721999</v>
      </c>
      <c r="U59" s="1575">
        <f>SUM(L59/L19)</f>
        <v>1.068473177942475</v>
      </c>
      <c r="V59" s="1576">
        <f>SUM(M59/M19)</f>
        <v>1.0668419215511584</v>
      </c>
      <c r="W59" s="1576">
        <f>SUM(N59/N19)</f>
        <v>1.1057489142219943</v>
      </c>
      <c r="X59" s="1577">
        <f>SUM(P59/P19)</f>
        <v>0.85273845841757956</v>
      </c>
    </row>
    <row r="60" spans="1:24" ht="30" customHeight="1">
      <c r="A60" s="1568" t="s">
        <v>399</v>
      </c>
      <c r="B60" s="1569">
        <f>SUM(C60+F60)</f>
        <v>63291.506043353053</v>
      </c>
      <c r="C60" s="1570">
        <f>SUM(D60:E60)+D61</f>
        <v>63119.503443353053</v>
      </c>
      <c r="D60" s="1570">
        <f>D59*D58</f>
        <v>31505.344596000003</v>
      </c>
      <c r="E60" s="1570">
        <f>E59*E58</f>
        <v>24693.541335403177</v>
      </c>
      <c r="F60" s="1571">
        <f>F59*F58</f>
        <v>172.00259999999997</v>
      </c>
      <c r="G60" s="1569">
        <f>SUM(L60-B60)</f>
        <v>63207.049333040552</v>
      </c>
      <c r="H60" s="1570">
        <f>SUM(M60-C60)</f>
        <v>63035.068406854727</v>
      </c>
      <c r="I60" s="1570">
        <f>I59*I58</f>
        <v>33756.983999999997</v>
      </c>
      <c r="J60" s="1570">
        <f>SUM(J58*J59)</f>
        <v>24660.50875513583</v>
      </c>
      <c r="K60" s="1571">
        <f>SUM(P60-F60)</f>
        <v>171.98092618581933</v>
      </c>
      <c r="L60" s="1569">
        <f>SUM(вода!BG55)</f>
        <v>126498.5553763936</v>
      </c>
      <c r="M60" s="1570">
        <f>SUM(вода!BI55)</f>
        <v>126154.57185020778</v>
      </c>
      <c r="N60" s="1570">
        <f>SUM(D60+I60)</f>
        <v>65262.328595999999</v>
      </c>
      <c r="O60" s="1570">
        <f>SUM(E60+J60)</f>
        <v>49354.050090539007</v>
      </c>
      <c r="P60" s="1571">
        <f>SUM(вода!BJ55)</f>
        <v>343.9835261858193</v>
      </c>
      <c r="Q60" s="1569"/>
      <c r="R60" s="1578"/>
      <c r="S60" s="1578"/>
      <c r="T60" s="1579"/>
      <c r="U60" s="1580"/>
      <c r="V60" s="1578"/>
      <c r="W60" s="1578"/>
      <c r="X60" s="1579"/>
    </row>
    <row r="61" spans="1:24" ht="30" customHeight="1" thickBot="1">
      <c r="A61" s="1581" t="s">
        <v>401</v>
      </c>
      <c r="B61" s="1582">
        <f>SUM(C61:F61)</f>
        <v>6920.6175119498766</v>
      </c>
      <c r="C61" s="1583">
        <v>0</v>
      </c>
      <c r="D61" s="1583">
        <f>SUM(E59-D59)*D58</f>
        <v>6920.6175119498766</v>
      </c>
      <c r="E61" s="1583">
        <v>0</v>
      </c>
      <c r="F61" s="1584">
        <v>0</v>
      </c>
      <c r="G61" s="1582">
        <f>SUM(H61:K61)</f>
        <v>4617.5756517188984</v>
      </c>
      <c r="H61" s="1583">
        <v>0</v>
      </c>
      <c r="I61" s="1583">
        <f>SUM(H59-I59)*I58</f>
        <v>4617.5756517188984</v>
      </c>
      <c r="J61" s="1583">
        <v>0</v>
      </c>
      <c r="K61" s="1584">
        <v>0</v>
      </c>
      <c r="L61" s="1582">
        <f>SUM(M61:P61)</f>
        <v>11538.193163668775</v>
      </c>
      <c r="M61" s="1583">
        <v>0</v>
      </c>
      <c r="N61" s="1583">
        <f>SUM(B61+G61)</f>
        <v>11538.193163668775</v>
      </c>
      <c r="O61" s="1583">
        <v>0</v>
      </c>
      <c r="P61" s="1584">
        <v>0</v>
      </c>
      <c r="Q61" s="1582"/>
      <c r="R61" s="1585"/>
      <c r="S61" s="1585"/>
      <c r="T61" s="1586"/>
      <c r="U61" s="1587"/>
      <c r="V61" s="1585"/>
      <c r="W61" s="1585"/>
      <c r="X61" s="1586"/>
    </row>
    <row r="62" spans="1:24" ht="30" customHeight="1">
      <c r="A62" s="5691"/>
      <c r="B62" s="5692"/>
      <c r="C62" s="5692"/>
      <c r="D62" s="5692"/>
      <c r="E62" s="5692"/>
      <c r="F62" s="5692"/>
      <c r="G62" s="5692"/>
      <c r="H62" s="5692"/>
      <c r="I62" s="5692"/>
      <c r="J62" s="5692"/>
      <c r="K62" s="5692"/>
      <c r="L62" s="5692"/>
      <c r="M62" s="5692"/>
      <c r="N62" s="5692"/>
      <c r="O62" s="5692"/>
      <c r="P62" s="5692"/>
      <c r="Q62" s="5692"/>
      <c r="R62" s="5692"/>
      <c r="S62" s="5692"/>
      <c r="T62" s="5692"/>
      <c r="U62" s="5692"/>
      <c r="V62" s="5692"/>
      <c r="W62" s="5692"/>
      <c r="X62" s="5692"/>
    </row>
    <row r="63" spans="1:24">
      <c r="A63" s="4356"/>
      <c r="B63" s="4356"/>
      <c r="C63" s="4356"/>
      <c r="D63" s="4356"/>
      <c r="E63" s="4356"/>
      <c r="F63" s="4356"/>
      <c r="G63" s="4356"/>
      <c r="H63" s="4356"/>
      <c r="I63" s="4356"/>
      <c r="J63" s="4356"/>
      <c r="K63" s="4356"/>
      <c r="L63" s="4356"/>
      <c r="M63" s="4356"/>
      <c r="N63" s="4356"/>
      <c r="O63" s="4356"/>
      <c r="P63" s="4356"/>
      <c r="Q63" s="4356"/>
      <c r="R63" s="4356"/>
      <c r="S63" s="4356"/>
      <c r="T63" s="4356"/>
      <c r="U63" s="4356"/>
      <c r="V63" s="4356"/>
      <c r="W63" s="4356"/>
      <c r="X63" s="4356"/>
    </row>
    <row r="64" spans="1:24" ht="13.5" thickBot="1">
      <c r="A64" s="5548"/>
      <c r="B64" s="5548"/>
      <c r="C64" s="5548"/>
      <c r="D64" s="5548"/>
      <c r="E64" s="5548"/>
      <c r="F64" s="5548"/>
      <c r="G64" s="5548"/>
      <c r="H64" s="5548"/>
      <c r="I64" s="5548"/>
      <c r="J64" s="5548"/>
      <c r="K64" s="5548"/>
      <c r="L64" s="5548"/>
      <c r="M64" s="5548"/>
      <c r="N64" s="5548"/>
      <c r="O64" s="5548"/>
      <c r="P64" s="5548"/>
      <c r="Q64" s="5548"/>
      <c r="R64" s="5548"/>
      <c r="S64" s="5548"/>
      <c r="T64" s="5548"/>
      <c r="U64" s="5548"/>
      <c r="V64" s="5548"/>
      <c r="W64" s="5548"/>
      <c r="X64" s="5548"/>
    </row>
    <row r="65" spans="1:24" ht="27" thickBot="1">
      <c r="A65" s="5764" t="s">
        <v>878</v>
      </c>
      <c r="B65" s="5765"/>
      <c r="C65" s="5765"/>
      <c r="D65" s="5765"/>
      <c r="E65" s="5765"/>
      <c r="F65" s="5765"/>
      <c r="G65" s="5765"/>
      <c r="H65" s="5765"/>
      <c r="I65" s="5765"/>
      <c r="J65" s="5765"/>
      <c r="K65" s="5765"/>
      <c r="L65" s="5765"/>
      <c r="M65" s="5765"/>
      <c r="N65" s="5765"/>
      <c r="O65" s="5765"/>
      <c r="P65" s="5765"/>
      <c r="Q65" s="5765"/>
      <c r="R65" s="5765"/>
      <c r="S65" s="5765"/>
      <c r="T65" s="5765"/>
      <c r="U65" s="5765"/>
      <c r="V65" s="5765"/>
      <c r="W65" s="5765"/>
      <c r="X65" s="5766"/>
    </row>
    <row r="66" spans="1:24" ht="15.75" customHeight="1" thickBot="1">
      <c r="A66" s="5084">
        <v>2015</v>
      </c>
      <c r="B66" s="5741" t="s">
        <v>403</v>
      </c>
      <c r="C66" s="5741"/>
      <c r="D66" s="5741"/>
      <c r="E66" s="5741"/>
      <c r="F66" s="5741"/>
      <c r="G66" s="5741"/>
      <c r="H66" s="5741"/>
      <c r="I66" s="5741"/>
      <c r="J66" s="5741"/>
      <c r="K66" s="5741"/>
      <c r="L66" s="5741"/>
      <c r="M66" s="5741"/>
      <c r="N66" s="5741"/>
      <c r="O66" s="5741"/>
      <c r="P66" s="5742"/>
      <c r="Q66" s="5743" t="s">
        <v>407</v>
      </c>
      <c r="R66" s="5744"/>
      <c r="S66" s="5744"/>
      <c r="T66" s="5745"/>
      <c r="U66" s="5743" t="s">
        <v>408</v>
      </c>
      <c r="V66" s="5744"/>
      <c r="W66" s="5744"/>
      <c r="X66" s="5745"/>
    </row>
    <row r="67" spans="1:24" ht="15.75" customHeight="1" thickBot="1">
      <c r="A67" s="5739"/>
      <c r="B67" s="5749" t="s">
        <v>404</v>
      </c>
      <c r="C67" s="5750"/>
      <c r="D67" s="5750"/>
      <c r="E67" s="5750"/>
      <c r="F67" s="5751"/>
      <c r="G67" s="5752" t="s">
        <v>405</v>
      </c>
      <c r="H67" s="5753"/>
      <c r="I67" s="5753"/>
      <c r="J67" s="5753"/>
      <c r="K67" s="4996"/>
      <c r="L67" s="5752" t="s">
        <v>380</v>
      </c>
      <c r="M67" s="5753"/>
      <c r="N67" s="5753"/>
      <c r="O67" s="5753"/>
      <c r="P67" s="5754"/>
      <c r="Q67" s="5746"/>
      <c r="R67" s="5747"/>
      <c r="S67" s="5747"/>
      <c r="T67" s="5748"/>
      <c r="U67" s="5746"/>
      <c r="V67" s="5747"/>
      <c r="W67" s="5747"/>
      <c r="X67" s="5748"/>
    </row>
    <row r="68" spans="1:24" ht="15.75" customHeight="1">
      <c r="A68" s="5739"/>
      <c r="B68" s="5755" t="s">
        <v>301</v>
      </c>
      <c r="C68" s="5758" t="s">
        <v>50</v>
      </c>
      <c r="D68" s="5758"/>
      <c r="E68" s="5758"/>
      <c r="F68" s="5759"/>
      <c r="G68" s="5257" t="s">
        <v>301</v>
      </c>
      <c r="H68" s="5760" t="s">
        <v>50</v>
      </c>
      <c r="I68" s="5760"/>
      <c r="J68" s="5760"/>
      <c r="K68" s="5761"/>
      <c r="L68" s="5257" t="s">
        <v>301</v>
      </c>
      <c r="M68" s="5760" t="s">
        <v>50</v>
      </c>
      <c r="N68" s="5760"/>
      <c r="O68" s="5760"/>
      <c r="P68" s="5761"/>
      <c r="Q68" s="5257" t="s">
        <v>301</v>
      </c>
      <c r="R68" s="5762" t="s">
        <v>50</v>
      </c>
      <c r="S68" s="5762"/>
      <c r="T68" s="5763"/>
      <c r="U68" s="5257" t="s">
        <v>301</v>
      </c>
      <c r="V68" s="5762" t="s">
        <v>50</v>
      </c>
      <c r="W68" s="5762"/>
      <c r="X68" s="5763"/>
    </row>
    <row r="69" spans="1:24" ht="15.75" customHeight="1">
      <c r="A69" s="5739"/>
      <c r="B69" s="5756"/>
      <c r="C69" s="5733" t="s">
        <v>331</v>
      </c>
      <c r="D69" s="5735" t="s">
        <v>239</v>
      </c>
      <c r="E69" s="5735"/>
      <c r="F69" s="5729" t="s">
        <v>881</v>
      </c>
      <c r="G69" s="5756"/>
      <c r="H69" s="5733" t="s">
        <v>331</v>
      </c>
      <c r="I69" s="5735" t="s">
        <v>239</v>
      </c>
      <c r="J69" s="5735"/>
      <c r="K69" s="5729" t="s">
        <v>881</v>
      </c>
      <c r="L69" s="5756"/>
      <c r="M69" s="5733" t="s">
        <v>331</v>
      </c>
      <c r="N69" s="5735" t="s">
        <v>239</v>
      </c>
      <c r="O69" s="5735"/>
      <c r="P69" s="5729" t="s">
        <v>881</v>
      </c>
      <c r="Q69" s="5756"/>
      <c r="R69" s="5733" t="s">
        <v>331</v>
      </c>
      <c r="S69" s="5733"/>
      <c r="T69" s="5729" t="s">
        <v>881</v>
      </c>
      <c r="U69" s="5756"/>
      <c r="V69" s="5733" t="s">
        <v>331</v>
      </c>
      <c r="W69" s="5733"/>
      <c r="X69" s="5729" t="s">
        <v>881</v>
      </c>
    </row>
    <row r="70" spans="1:24" ht="15.75" customHeight="1" thickBot="1">
      <c r="A70" s="5740"/>
      <c r="B70" s="5757"/>
      <c r="C70" s="5734"/>
      <c r="D70" s="1551" t="s">
        <v>264</v>
      </c>
      <c r="E70" s="1551" t="s">
        <v>300</v>
      </c>
      <c r="F70" s="4441"/>
      <c r="G70" s="5757"/>
      <c r="H70" s="5734"/>
      <c r="I70" s="1551" t="s">
        <v>264</v>
      </c>
      <c r="J70" s="1551" t="s">
        <v>300</v>
      </c>
      <c r="K70" s="4441"/>
      <c r="L70" s="5757"/>
      <c r="M70" s="5734"/>
      <c r="N70" s="1551" t="s">
        <v>264</v>
      </c>
      <c r="O70" s="1551" t="s">
        <v>300</v>
      </c>
      <c r="P70" s="4441"/>
      <c r="Q70" s="5757"/>
      <c r="R70" s="1556" t="s">
        <v>874</v>
      </c>
      <c r="S70" s="1556" t="s">
        <v>264</v>
      </c>
      <c r="T70" s="4441"/>
      <c r="U70" s="5757"/>
      <c r="V70" s="1556" t="s">
        <v>874</v>
      </c>
      <c r="W70" s="1556" t="s">
        <v>264</v>
      </c>
      <c r="X70" s="4441"/>
    </row>
    <row r="71" spans="1:24" ht="30" customHeight="1">
      <c r="A71" s="1555" t="s">
        <v>397</v>
      </c>
      <c r="B71" s="1552">
        <f>SUM(объемы!K57/2)</f>
        <v>1822.35</v>
      </c>
      <c r="C71" s="1553">
        <f>SUM(D71:E71)</f>
        <v>1822.35</v>
      </c>
      <c r="D71" s="1553">
        <f>SUM(объемы!K58/2)</f>
        <v>1300</v>
      </c>
      <c r="E71" s="1553">
        <f>SUM(объемы!K59/2)</f>
        <v>522.35</v>
      </c>
      <c r="F71" s="1554">
        <f>SUM(28/2)</f>
        <v>14</v>
      </c>
      <c r="G71" s="1552">
        <f>B71</f>
        <v>1822.35</v>
      </c>
      <c r="H71" s="1553">
        <f>C71</f>
        <v>1822.35</v>
      </c>
      <c r="I71" s="1553">
        <f>D71</f>
        <v>1300</v>
      </c>
      <c r="J71" s="1553">
        <f>E71</f>
        <v>522.35</v>
      </c>
      <c r="K71" s="1554">
        <f>F71</f>
        <v>14</v>
      </c>
      <c r="L71" s="1552">
        <f>SUM(B71+G71)</f>
        <v>3644.7</v>
      </c>
      <c r="M71" s="1553">
        <f>SUM(C71+H71)</f>
        <v>3644.7</v>
      </c>
      <c r="N71" s="1553">
        <f>SUM(D71+I71)</f>
        <v>2600</v>
      </c>
      <c r="O71" s="1553">
        <f>SUM(E71+J71)</f>
        <v>1044.7</v>
      </c>
      <c r="P71" s="1554">
        <f>SUM(F71+K71)</f>
        <v>28</v>
      </c>
      <c r="Q71" s="1552"/>
      <c r="R71" s="1588"/>
      <c r="S71" s="1588"/>
      <c r="T71" s="1589"/>
      <c r="U71" s="1590"/>
      <c r="V71" s="1588"/>
      <c r="W71" s="1588"/>
      <c r="X71" s="1589"/>
    </row>
    <row r="72" spans="1:24" ht="30" customHeight="1">
      <c r="A72" s="1538" t="s">
        <v>398</v>
      </c>
      <c r="B72" s="1544">
        <f>SUM(B73/B71)</f>
        <v>24.382495953027686</v>
      </c>
      <c r="C72" s="1545">
        <f>SUM(C73/C71)</f>
        <v>24.290000000000003</v>
      </c>
      <c r="D72" s="1545">
        <v>18.350000000000001</v>
      </c>
      <c r="E72" s="1545">
        <v>24.29</v>
      </c>
      <c r="F72" s="1546">
        <v>12.04</v>
      </c>
      <c r="G72" s="1544">
        <f>SUM(G73/G71)</f>
        <v>24.363472726030512</v>
      </c>
      <c r="H72" s="1545">
        <f>H73/H71</f>
        <v>24.29084908341078</v>
      </c>
      <c r="I72" s="1545">
        <v>21.01</v>
      </c>
      <c r="J72" s="1545">
        <f>SUM(H72)</f>
        <v>24.29084908341078</v>
      </c>
      <c r="K72" s="1546">
        <v>13.79</v>
      </c>
      <c r="L72" s="1544">
        <f>SUM(L73/L71)</f>
        <v>24.372984339529101</v>
      </c>
      <c r="M72" s="1545">
        <f>SUM(M73/M71)</f>
        <v>24.290424541705391</v>
      </c>
      <c r="N72" s="1545">
        <f>SUM(N73/N71)</f>
        <v>19.680000000000003</v>
      </c>
      <c r="O72" s="1545">
        <f>SUM(O73/O71)</f>
        <v>24.290424541705388</v>
      </c>
      <c r="P72" s="1546">
        <f>SUM(P73/P71)</f>
        <v>10.746631968859731</v>
      </c>
      <c r="Q72" s="1547">
        <f>SUM(G72/B72)</f>
        <v>0.99921979985011289</v>
      </c>
      <c r="R72" s="1591">
        <f>SUM(H72/C72)</f>
        <v>1.0000349560893691</v>
      </c>
      <c r="S72" s="1591">
        <f>I72/D72</f>
        <v>1.144959128065395</v>
      </c>
      <c r="T72" s="1592">
        <f>SUM(K72/F72)</f>
        <v>1.1453488372093024</v>
      </c>
      <c r="U72" s="1593">
        <f>SUM(L72/стоки!Y94)</f>
        <v>1.0900289147416931</v>
      </c>
      <c r="V72" s="1594">
        <f>SUM(M72/стоки!Z94)</f>
        <v>1.0823929130332786</v>
      </c>
      <c r="W72" s="1594">
        <f>SUM(N72/16.93)</f>
        <v>1.1624335499114</v>
      </c>
      <c r="X72" s="1595">
        <f>SUM(P72/стоки!AA94)</f>
        <v>0.91335574223590865</v>
      </c>
    </row>
    <row r="73" spans="1:24" ht="30" customHeight="1">
      <c r="A73" s="1538" t="s">
        <v>399</v>
      </c>
      <c r="B73" s="1544">
        <f>SUM(C73+F73)</f>
        <v>44433.441500000001</v>
      </c>
      <c r="C73" s="1545">
        <f>SUM(D73:E73)+D74</f>
        <v>44264.881500000003</v>
      </c>
      <c r="D73" s="1545">
        <f>D72*D71</f>
        <v>23855.000000000004</v>
      </c>
      <c r="E73" s="1545">
        <f>E72*E71</f>
        <v>12687.8815</v>
      </c>
      <c r="F73" s="1546">
        <f>F72*F71</f>
        <v>168.56</v>
      </c>
      <c r="G73" s="1544">
        <f>SUM(L73-B73)</f>
        <v>44398.774522281703</v>
      </c>
      <c r="H73" s="1545">
        <f>SUM(M73-C73)</f>
        <v>44266.428827153635</v>
      </c>
      <c r="I73" s="1545">
        <f>I72*I71</f>
        <v>27313.000000000004</v>
      </c>
      <c r="J73" s="1545">
        <f>SUM(J71*J72)</f>
        <v>12688.325018719621</v>
      </c>
      <c r="K73" s="1546">
        <f>K72*K71</f>
        <v>193.06</v>
      </c>
      <c r="L73" s="1544">
        <f>SUM(стоки!AI93)</f>
        <v>88832.216022281704</v>
      </c>
      <c r="M73" s="1545">
        <f>SUM(стоки!AK93)</f>
        <v>88531.310327153638</v>
      </c>
      <c r="N73" s="1545">
        <f>SUM(D73+I73)</f>
        <v>51168.000000000007</v>
      </c>
      <c r="O73" s="1545">
        <f>SUM(E73+J73)</f>
        <v>25376.20651871962</v>
      </c>
      <c r="P73" s="1546">
        <f>SUM(стоки!AL93)</f>
        <v>300.90569512807247</v>
      </c>
      <c r="Q73" s="1544"/>
      <c r="R73" s="1596"/>
      <c r="S73" s="1596"/>
      <c r="T73" s="1597"/>
      <c r="U73" s="1598"/>
      <c r="V73" s="1596"/>
      <c r="W73" s="1596"/>
      <c r="X73" s="1597"/>
    </row>
    <row r="74" spans="1:24" ht="30" customHeight="1" thickBot="1">
      <c r="A74" s="1539" t="s">
        <v>401</v>
      </c>
      <c r="B74" s="1548">
        <f>SUM(C74:F74)</f>
        <v>7721.9999999999973</v>
      </c>
      <c r="C74" s="1549">
        <v>0</v>
      </c>
      <c r="D74" s="1549">
        <f>SUM(E72-D72)*D71</f>
        <v>7721.9999999999973</v>
      </c>
      <c r="E74" s="1549">
        <v>0</v>
      </c>
      <c r="F74" s="1550">
        <v>0</v>
      </c>
      <c r="G74" s="1548">
        <f>SUM(H74:K74)</f>
        <v>4265.1038084340125</v>
      </c>
      <c r="H74" s="1549">
        <v>0</v>
      </c>
      <c r="I74" s="1549">
        <f>SUM(H72-I72)*I71</f>
        <v>4265.1038084340125</v>
      </c>
      <c r="J74" s="1549">
        <v>0</v>
      </c>
      <c r="K74" s="1550">
        <v>0</v>
      </c>
      <c r="L74" s="1548">
        <f>SUM(M74:P74)</f>
        <v>11987.103808434011</v>
      </c>
      <c r="M74" s="1549">
        <v>0</v>
      </c>
      <c r="N74" s="1549">
        <f>SUM(B74+G74)</f>
        <v>11987.103808434011</v>
      </c>
      <c r="O74" s="1549">
        <v>0</v>
      </c>
      <c r="P74" s="1550">
        <v>0</v>
      </c>
      <c r="Q74" s="1548"/>
      <c r="R74" s="1599"/>
      <c r="S74" s="1599"/>
      <c r="T74" s="1600"/>
      <c r="U74" s="1601"/>
      <c r="V74" s="1599"/>
      <c r="W74" s="1599"/>
      <c r="X74" s="1600"/>
    </row>
    <row r="75" spans="1:24" ht="15.75" customHeight="1" thickBot="1">
      <c r="A75" s="5736"/>
      <c r="B75" s="5737"/>
      <c r="C75" s="5737"/>
      <c r="D75" s="5737"/>
      <c r="E75" s="5737"/>
      <c r="F75" s="5737"/>
      <c r="G75" s="5737"/>
      <c r="H75" s="5737"/>
      <c r="I75" s="5737"/>
      <c r="J75" s="5737"/>
      <c r="K75" s="5737"/>
      <c r="L75" s="5737"/>
      <c r="M75" s="5737"/>
      <c r="N75" s="5737"/>
      <c r="O75" s="5737"/>
      <c r="P75" s="5737"/>
      <c r="Q75" s="5737"/>
      <c r="R75" s="5737"/>
      <c r="S75" s="5737"/>
      <c r="T75" s="5737"/>
      <c r="U75" s="5737"/>
      <c r="V75" s="5737"/>
      <c r="W75" s="5737"/>
      <c r="X75" s="5738"/>
    </row>
    <row r="76" spans="1:24" ht="15.75" customHeight="1" thickBot="1">
      <c r="A76" s="5084">
        <v>2015</v>
      </c>
      <c r="B76" s="5741" t="s">
        <v>400</v>
      </c>
      <c r="C76" s="5741"/>
      <c r="D76" s="5741"/>
      <c r="E76" s="5741"/>
      <c r="F76" s="5741"/>
      <c r="G76" s="5741"/>
      <c r="H76" s="5741"/>
      <c r="I76" s="5741"/>
      <c r="J76" s="5741"/>
      <c r="K76" s="5741"/>
      <c r="L76" s="5741"/>
      <c r="M76" s="5741"/>
      <c r="N76" s="5741"/>
      <c r="O76" s="5741"/>
      <c r="P76" s="5742"/>
      <c r="Q76" s="5743" t="s">
        <v>407</v>
      </c>
      <c r="R76" s="5744"/>
      <c r="S76" s="5744"/>
      <c r="T76" s="5745"/>
      <c r="U76" s="5743" t="s">
        <v>408</v>
      </c>
      <c r="V76" s="5744"/>
      <c r="W76" s="5744"/>
      <c r="X76" s="5745"/>
    </row>
    <row r="77" spans="1:24" ht="15.75" customHeight="1" thickBot="1">
      <c r="A77" s="5739"/>
      <c r="B77" s="5749" t="s">
        <v>404</v>
      </c>
      <c r="C77" s="5750"/>
      <c r="D77" s="5750"/>
      <c r="E77" s="5750"/>
      <c r="F77" s="5751"/>
      <c r="G77" s="5752" t="s">
        <v>405</v>
      </c>
      <c r="H77" s="5753"/>
      <c r="I77" s="5753"/>
      <c r="J77" s="5753"/>
      <c r="K77" s="4996"/>
      <c r="L77" s="5752" t="s">
        <v>380</v>
      </c>
      <c r="M77" s="5753"/>
      <c r="N77" s="5753"/>
      <c r="O77" s="5753"/>
      <c r="P77" s="5754"/>
      <c r="Q77" s="5746"/>
      <c r="R77" s="5747"/>
      <c r="S77" s="5747"/>
      <c r="T77" s="5748"/>
      <c r="U77" s="5746"/>
      <c r="V77" s="5747"/>
      <c r="W77" s="5747"/>
      <c r="X77" s="5748"/>
    </row>
    <row r="78" spans="1:24" ht="15.75" customHeight="1">
      <c r="A78" s="5739"/>
      <c r="B78" s="5755" t="s">
        <v>301</v>
      </c>
      <c r="C78" s="5758" t="s">
        <v>50</v>
      </c>
      <c r="D78" s="5758"/>
      <c r="E78" s="5758"/>
      <c r="F78" s="5759"/>
      <c r="G78" s="5257" t="s">
        <v>301</v>
      </c>
      <c r="H78" s="5760" t="s">
        <v>50</v>
      </c>
      <c r="I78" s="5760"/>
      <c r="J78" s="5760"/>
      <c r="K78" s="5761"/>
      <c r="L78" s="5257" t="s">
        <v>301</v>
      </c>
      <c r="M78" s="5760" t="s">
        <v>50</v>
      </c>
      <c r="N78" s="5760"/>
      <c r="O78" s="5760"/>
      <c r="P78" s="5761"/>
      <c r="Q78" s="5257" t="s">
        <v>301</v>
      </c>
      <c r="R78" s="5762" t="s">
        <v>50</v>
      </c>
      <c r="S78" s="5762"/>
      <c r="T78" s="5763"/>
      <c r="U78" s="5257" t="s">
        <v>301</v>
      </c>
      <c r="V78" s="5762" t="s">
        <v>50</v>
      </c>
      <c r="W78" s="5762"/>
      <c r="X78" s="5763"/>
    </row>
    <row r="79" spans="1:24" ht="15.75" customHeight="1">
      <c r="A79" s="5739"/>
      <c r="B79" s="5756"/>
      <c r="C79" s="5733" t="s">
        <v>331</v>
      </c>
      <c r="D79" s="5735" t="s">
        <v>239</v>
      </c>
      <c r="E79" s="5735"/>
      <c r="F79" s="5729" t="s">
        <v>881</v>
      </c>
      <c r="G79" s="5756"/>
      <c r="H79" s="5733" t="s">
        <v>331</v>
      </c>
      <c r="I79" s="5735" t="s">
        <v>239</v>
      </c>
      <c r="J79" s="5735"/>
      <c r="K79" s="5729" t="s">
        <v>881</v>
      </c>
      <c r="L79" s="5756"/>
      <c r="M79" s="5733" t="s">
        <v>331</v>
      </c>
      <c r="N79" s="5735" t="s">
        <v>239</v>
      </c>
      <c r="O79" s="5735"/>
      <c r="P79" s="5729" t="s">
        <v>881</v>
      </c>
      <c r="Q79" s="5756"/>
      <c r="R79" s="5733" t="s">
        <v>331</v>
      </c>
      <c r="S79" s="5733"/>
      <c r="T79" s="5729" t="s">
        <v>881</v>
      </c>
      <c r="U79" s="5756"/>
      <c r="V79" s="5733" t="s">
        <v>331</v>
      </c>
      <c r="W79" s="5733"/>
      <c r="X79" s="5729" t="s">
        <v>881</v>
      </c>
    </row>
    <row r="80" spans="1:24" ht="15.75" customHeight="1" thickBot="1">
      <c r="A80" s="5740"/>
      <c r="B80" s="5757"/>
      <c r="C80" s="5734"/>
      <c r="D80" s="1551" t="s">
        <v>264</v>
      </c>
      <c r="E80" s="1551" t="s">
        <v>300</v>
      </c>
      <c r="F80" s="4441"/>
      <c r="G80" s="5757"/>
      <c r="H80" s="5734"/>
      <c r="I80" s="1551" t="s">
        <v>264</v>
      </c>
      <c r="J80" s="1551" t="s">
        <v>300</v>
      </c>
      <c r="K80" s="4441"/>
      <c r="L80" s="5757"/>
      <c r="M80" s="5734"/>
      <c r="N80" s="1551" t="s">
        <v>264</v>
      </c>
      <c r="O80" s="1551" t="s">
        <v>300</v>
      </c>
      <c r="P80" s="4441"/>
      <c r="Q80" s="5757"/>
      <c r="R80" s="1556" t="s">
        <v>874</v>
      </c>
      <c r="S80" s="1556" t="s">
        <v>264</v>
      </c>
      <c r="T80" s="4441"/>
      <c r="U80" s="5757"/>
      <c r="V80" s="1556" t="s">
        <v>874</v>
      </c>
      <c r="W80" s="1556" t="s">
        <v>264</v>
      </c>
      <c r="X80" s="4441"/>
    </row>
    <row r="81" spans="1:24" ht="30" customHeight="1">
      <c r="A81" s="1555" t="s">
        <v>397</v>
      </c>
      <c r="B81" s="1552">
        <f>SUM(B71)</f>
        <v>1822.35</v>
      </c>
      <c r="C81" s="1553">
        <f t="shared" ref="C81:P81" si="8">SUM(C71)</f>
        <v>1822.35</v>
      </c>
      <c r="D81" s="1553">
        <f t="shared" si="8"/>
        <v>1300</v>
      </c>
      <c r="E81" s="1553">
        <f t="shared" si="8"/>
        <v>522.35</v>
      </c>
      <c r="F81" s="1554">
        <f t="shared" si="8"/>
        <v>14</v>
      </c>
      <c r="G81" s="1552">
        <f t="shared" si="8"/>
        <v>1822.35</v>
      </c>
      <c r="H81" s="1553">
        <f t="shared" si="8"/>
        <v>1822.35</v>
      </c>
      <c r="I81" s="1553">
        <f t="shared" si="8"/>
        <v>1300</v>
      </c>
      <c r="J81" s="1553">
        <f t="shared" si="8"/>
        <v>522.35</v>
      </c>
      <c r="K81" s="1554">
        <f t="shared" si="8"/>
        <v>14</v>
      </c>
      <c r="L81" s="1552">
        <f t="shared" si="8"/>
        <v>3644.7</v>
      </c>
      <c r="M81" s="1553">
        <f t="shared" si="8"/>
        <v>3644.7</v>
      </c>
      <c r="N81" s="1553">
        <f t="shared" si="8"/>
        <v>2600</v>
      </c>
      <c r="O81" s="1553">
        <f t="shared" si="8"/>
        <v>1044.7</v>
      </c>
      <c r="P81" s="1554">
        <f t="shared" si="8"/>
        <v>28</v>
      </c>
      <c r="Q81" s="1552"/>
      <c r="R81" s="1588"/>
      <c r="S81" s="1588"/>
      <c r="T81" s="1589"/>
      <c r="U81" s="1590"/>
      <c r="V81" s="1588"/>
      <c r="W81" s="1588"/>
      <c r="X81" s="1589"/>
    </row>
    <row r="82" spans="1:24" ht="30" customHeight="1">
      <c r="A82" s="1538" t="s">
        <v>398</v>
      </c>
      <c r="B82" s="1544">
        <f>SUM(B83/B81)</f>
        <v>21.672495953027681</v>
      </c>
      <c r="C82" s="1545">
        <f>SUM(C83/C81)</f>
        <v>21.58</v>
      </c>
      <c r="D82" s="1545">
        <v>18.350000000000001</v>
      </c>
      <c r="E82" s="1545">
        <v>21.58</v>
      </c>
      <c r="F82" s="1546">
        <v>12.04</v>
      </c>
      <c r="G82" s="1544">
        <f>SUM(G83/G81)</f>
        <v>25.115506363915664</v>
      </c>
      <c r="H82" s="1545">
        <v>25.05</v>
      </c>
      <c r="I82" s="1545">
        <v>21.01</v>
      </c>
      <c r="J82" s="1545">
        <v>25.05</v>
      </c>
      <c r="K82" s="1546">
        <v>13.79</v>
      </c>
      <c r="L82" s="1544">
        <f>SUM(L83/L81)</f>
        <v>23.394001158471671</v>
      </c>
      <c r="M82" s="1545">
        <f>SUM(M83/M81)</f>
        <v>23.311441360647965</v>
      </c>
      <c r="N82" s="1545">
        <f>SUM(N83/N81)</f>
        <v>19.680000000000003</v>
      </c>
      <c r="O82" s="1545">
        <f>SUM(O83/O81)</f>
        <v>23.315000000000001</v>
      </c>
      <c r="P82" s="1546">
        <f>SUM(P83/P81)</f>
        <v>10.746631968859731</v>
      </c>
      <c r="Q82" s="1547">
        <f>SUM(G82/B82)</f>
        <v>1.1588654310214319</v>
      </c>
      <c r="R82" s="1591">
        <f>SUM(H82/C82)</f>
        <v>1.1607970342910103</v>
      </c>
      <c r="S82" s="1591">
        <f>I82/D82</f>
        <v>1.144959128065395</v>
      </c>
      <c r="T82" s="1592">
        <f>SUM(K82/F82)</f>
        <v>1.1453488372093024</v>
      </c>
      <c r="U82" s="1593">
        <f>SUM(L82/стоки!Y91)</f>
        <v>1.1133120550905615</v>
      </c>
      <c r="V82" s="1594">
        <f>SUM(M82/стоки!Z91)</f>
        <v>1.105640916394284</v>
      </c>
      <c r="W82" s="1594">
        <f>SUM(N82/16.93)</f>
        <v>1.1624335499114</v>
      </c>
      <c r="X82" s="1595">
        <f>SUM(P82/стоки!AA91)</f>
        <v>0.91335574223590865</v>
      </c>
    </row>
    <row r="83" spans="1:24" ht="30" customHeight="1">
      <c r="A83" s="1538" t="s">
        <v>399</v>
      </c>
      <c r="B83" s="1544">
        <f>SUM(C83+F83)</f>
        <v>39494.872999999992</v>
      </c>
      <c r="C83" s="1545">
        <f>SUM(D83:E83)+D84</f>
        <v>39326.312999999995</v>
      </c>
      <c r="D83" s="1545">
        <f>D82*D81</f>
        <v>23855.000000000004</v>
      </c>
      <c r="E83" s="1545">
        <f>E82*E81</f>
        <v>11272.313</v>
      </c>
      <c r="F83" s="1546">
        <f>F82*F81</f>
        <v>168.56</v>
      </c>
      <c r="G83" s="1544">
        <f>SUM(L83-B83)</f>
        <v>45769.243022281706</v>
      </c>
      <c r="H83" s="1545">
        <f>SUM(M83-C83)</f>
        <v>45636.897327153638</v>
      </c>
      <c r="I83" s="1545">
        <f>I82*I81</f>
        <v>27313.000000000004</v>
      </c>
      <c r="J83" s="1545">
        <f>SUM(J81*J82)</f>
        <v>13084.8675</v>
      </c>
      <c r="K83" s="1546">
        <f>SUM(P83-F83)</f>
        <v>132.34569512807246</v>
      </c>
      <c r="L83" s="1544">
        <f>SUM(стоки!AI90)</f>
        <v>85264.116022281698</v>
      </c>
      <c r="M83" s="1545">
        <f>SUM(стоки!AK90)</f>
        <v>84963.210327153633</v>
      </c>
      <c r="N83" s="1545">
        <f>SUM(D83+I83)</f>
        <v>51168.000000000007</v>
      </c>
      <c r="O83" s="1545">
        <f>SUM(E83+J83)</f>
        <v>24357.180500000002</v>
      </c>
      <c r="P83" s="1546">
        <f>SUM(стоки!AL90)</f>
        <v>300.90569512807247</v>
      </c>
      <c r="Q83" s="1544"/>
      <c r="R83" s="1596"/>
      <c r="S83" s="1596"/>
      <c r="T83" s="1597"/>
      <c r="U83" s="1598"/>
      <c r="V83" s="1596"/>
      <c r="W83" s="1596"/>
      <c r="X83" s="1597"/>
    </row>
    <row r="84" spans="1:24" ht="30" customHeight="1" thickBot="1">
      <c r="A84" s="1539" t="s">
        <v>401</v>
      </c>
      <c r="B84" s="1548">
        <f>SUM(C84:F84)</f>
        <v>4198.9999999999964</v>
      </c>
      <c r="C84" s="1549">
        <v>0</v>
      </c>
      <c r="D84" s="1549">
        <f>SUM(E82-D82)*D81</f>
        <v>4198.9999999999964</v>
      </c>
      <c r="E84" s="1549">
        <v>0</v>
      </c>
      <c r="F84" s="1550">
        <v>0</v>
      </c>
      <c r="G84" s="1548">
        <f>SUM(H84:K84)</f>
        <v>5251.9999999999991</v>
      </c>
      <c r="H84" s="1549">
        <v>0</v>
      </c>
      <c r="I84" s="1549">
        <f>SUM(H82-I82)*I81</f>
        <v>5251.9999999999991</v>
      </c>
      <c r="J84" s="1549">
        <v>0</v>
      </c>
      <c r="K84" s="1550">
        <v>0</v>
      </c>
      <c r="L84" s="1548">
        <f>SUM(M84:P84)</f>
        <v>9450.9999999999964</v>
      </c>
      <c r="M84" s="1549">
        <v>0</v>
      </c>
      <c r="N84" s="1549">
        <f>SUM(B84+G84)</f>
        <v>9450.9999999999964</v>
      </c>
      <c r="O84" s="1549">
        <v>0</v>
      </c>
      <c r="P84" s="1550">
        <v>0</v>
      </c>
      <c r="Q84" s="1548"/>
      <c r="R84" s="1599"/>
      <c r="S84" s="1599"/>
      <c r="T84" s="1600"/>
      <c r="U84" s="1601"/>
      <c r="V84" s="1599"/>
      <c r="W84" s="1599"/>
      <c r="X84" s="1600"/>
    </row>
    <row r="85" spans="1:24" ht="27" thickBot="1">
      <c r="A85" s="5764" t="s">
        <v>879</v>
      </c>
      <c r="B85" s="5765"/>
      <c r="C85" s="5765"/>
      <c r="D85" s="5765"/>
      <c r="E85" s="5765"/>
      <c r="F85" s="5765"/>
      <c r="G85" s="5765"/>
      <c r="H85" s="5765"/>
      <c r="I85" s="5765"/>
      <c r="J85" s="5765"/>
      <c r="K85" s="5765"/>
      <c r="L85" s="5765"/>
      <c r="M85" s="5765"/>
      <c r="N85" s="5765"/>
      <c r="O85" s="5765"/>
      <c r="P85" s="5765"/>
      <c r="Q85" s="5765"/>
      <c r="R85" s="5765"/>
      <c r="S85" s="5765"/>
      <c r="T85" s="5765"/>
      <c r="U85" s="5765"/>
      <c r="V85" s="5765"/>
      <c r="W85" s="5765"/>
      <c r="X85" s="5766"/>
    </row>
    <row r="86" spans="1:24" ht="15.75" customHeight="1" thickBot="1">
      <c r="A86" s="5084">
        <v>2016</v>
      </c>
      <c r="B86" s="5741" t="s">
        <v>403</v>
      </c>
      <c r="C86" s="5741"/>
      <c r="D86" s="5741"/>
      <c r="E86" s="5741"/>
      <c r="F86" s="5741"/>
      <c r="G86" s="5741"/>
      <c r="H86" s="5741"/>
      <c r="I86" s="5741"/>
      <c r="J86" s="5741"/>
      <c r="K86" s="5741"/>
      <c r="L86" s="5741"/>
      <c r="M86" s="5741"/>
      <c r="N86" s="5741"/>
      <c r="O86" s="5741"/>
      <c r="P86" s="5742"/>
      <c r="Q86" s="5743" t="s">
        <v>407</v>
      </c>
      <c r="R86" s="5744"/>
      <c r="S86" s="5744"/>
      <c r="T86" s="5745"/>
      <c r="U86" s="5743" t="s">
        <v>408</v>
      </c>
      <c r="V86" s="5744"/>
      <c r="W86" s="5744"/>
      <c r="X86" s="5745"/>
    </row>
    <row r="87" spans="1:24" ht="15.75" customHeight="1" thickBot="1">
      <c r="A87" s="5739"/>
      <c r="B87" s="5749" t="s">
        <v>871</v>
      </c>
      <c r="C87" s="5750"/>
      <c r="D87" s="5750"/>
      <c r="E87" s="5750"/>
      <c r="F87" s="5751"/>
      <c r="G87" s="5752" t="s">
        <v>872</v>
      </c>
      <c r="H87" s="5753"/>
      <c r="I87" s="5753"/>
      <c r="J87" s="5753"/>
      <c r="K87" s="4996"/>
      <c r="L87" s="5752" t="s">
        <v>833</v>
      </c>
      <c r="M87" s="5753"/>
      <c r="N87" s="5753"/>
      <c r="O87" s="5753"/>
      <c r="P87" s="5754"/>
      <c r="Q87" s="5746"/>
      <c r="R87" s="5747"/>
      <c r="S87" s="5747"/>
      <c r="T87" s="5748"/>
      <c r="U87" s="5746"/>
      <c r="V87" s="5747"/>
      <c r="W87" s="5747"/>
      <c r="X87" s="5748"/>
    </row>
    <row r="88" spans="1:24" ht="15.75" customHeight="1">
      <c r="A88" s="5739"/>
      <c r="B88" s="5755" t="s">
        <v>301</v>
      </c>
      <c r="C88" s="5758" t="s">
        <v>50</v>
      </c>
      <c r="D88" s="5758"/>
      <c r="E88" s="5758"/>
      <c r="F88" s="5759"/>
      <c r="G88" s="5257" t="s">
        <v>301</v>
      </c>
      <c r="H88" s="5760" t="s">
        <v>50</v>
      </c>
      <c r="I88" s="5760"/>
      <c r="J88" s="5760"/>
      <c r="K88" s="5761"/>
      <c r="L88" s="5257" t="s">
        <v>301</v>
      </c>
      <c r="M88" s="5760" t="s">
        <v>50</v>
      </c>
      <c r="N88" s="5760"/>
      <c r="O88" s="5760"/>
      <c r="P88" s="5761"/>
      <c r="Q88" s="5257" t="s">
        <v>301</v>
      </c>
      <c r="R88" s="5762" t="s">
        <v>50</v>
      </c>
      <c r="S88" s="5762"/>
      <c r="T88" s="5763"/>
      <c r="U88" s="5257" t="s">
        <v>301</v>
      </c>
      <c r="V88" s="5762" t="s">
        <v>50</v>
      </c>
      <c r="W88" s="5762"/>
      <c r="X88" s="5763"/>
    </row>
    <row r="89" spans="1:24" ht="15.75" customHeight="1">
      <c r="A89" s="5739"/>
      <c r="B89" s="5756"/>
      <c r="C89" s="5733" t="s">
        <v>331</v>
      </c>
      <c r="D89" s="5735" t="s">
        <v>239</v>
      </c>
      <c r="E89" s="5735"/>
      <c r="F89" s="5729" t="s">
        <v>881</v>
      </c>
      <c r="G89" s="5756"/>
      <c r="H89" s="5733" t="s">
        <v>331</v>
      </c>
      <c r="I89" s="5735" t="s">
        <v>239</v>
      </c>
      <c r="J89" s="5735"/>
      <c r="K89" s="5729" t="s">
        <v>881</v>
      </c>
      <c r="L89" s="5756"/>
      <c r="M89" s="5733" t="s">
        <v>331</v>
      </c>
      <c r="N89" s="5735" t="s">
        <v>239</v>
      </c>
      <c r="O89" s="5735"/>
      <c r="P89" s="5729" t="s">
        <v>881</v>
      </c>
      <c r="Q89" s="5756"/>
      <c r="R89" s="5733" t="s">
        <v>331</v>
      </c>
      <c r="S89" s="5733"/>
      <c r="T89" s="5729" t="s">
        <v>881</v>
      </c>
      <c r="U89" s="5756"/>
      <c r="V89" s="5733" t="s">
        <v>331</v>
      </c>
      <c r="W89" s="5733"/>
      <c r="X89" s="5729" t="s">
        <v>881</v>
      </c>
    </row>
    <row r="90" spans="1:24" ht="15.75" customHeight="1" thickBot="1">
      <c r="A90" s="5740"/>
      <c r="B90" s="5757"/>
      <c r="C90" s="5734"/>
      <c r="D90" s="1551" t="s">
        <v>264</v>
      </c>
      <c r="E90" s="1551" t="s">
        <v>300</v>
      </c>
      <c r="F90" s="4441"/>
      <c r="G90" s="5757"/>
      <c r="H90" s="5734"/>
      <c r="I90" s="1551" t="s">
        <v>264</v>
      </c>
      <c r="J90" s="1551" t="s">
        <v>300</v>
      </c>
      <c r="K90" s="4441"/>
      <c r="L90" s="5757"/>
      <c r="M90" s="5734"/>
      <c r="N90" s="1551" t="s">
        <v>264</v>
      </c>
      <c r="O90" s="1551" t="s">
        <v>300</v>
      </c>
      <c r="P90" s="4441"/>
      <c r="Q90" s="5757"/>
      <c r="R90" s="1556" t="s">
        <v>874</v>
      </c>
      <c r="S90" s="1556" t="s">
        <v>264</v>
      </c>
      <c r="T90" s="4441"/>
      <c r="U90" s="5757"/>
      <c r="V90" s="1556" t="s">
        <v>874</v>
      </c>
      <c r="W90" s="1556" t="s">
        <v>264</v>
      </c>
      <c r="X90" s="4441"/>
    </row>
    <row r="91" spans="1:24" ht="30" customHeight="1">
      <c r="A91" s="1555" t="s">
        <v>397</v>
      </c>
      <c r="B91" s="1552">
        <f>SUM(объемы!T57/2)</f>
        <v>1731.9666666666667</v>
      </c>
      <c r="C91" s="1553">
        <f>SUM(D91:E91)</f>
        <v>1722.5</v>
      </c>
      <c r="D91" s="1553">
        <f>SUM(объемы!T58/2)</f>
        <v>1224</v>
      </c>
      <c r="E91" s="1553">
        <f>SUM(объемы!T59/2)</f>
        <v>498.5</v>
      </c>
      <c r="F91" s="1554">
        <f>SUM(объемы!T60/2)</f>
        <v>9.4666666666666668</v>
      </c>
      <c r="G91" s="1552">
        <f>B91</f>
        <v>1731.9666666666667</v>
      </c>
      <c r="H91" s="1553">
        <f>C91</f>
        <v>1722.5</v>
      </c>
      <c r="I91" s="1553">
        <f>D91</f>
        <v>1224</v>
      </c>
      <c r="J91" s="1553">
        <f>E91</f>
        <v>498.5</v>
      </c>
      <c r="K91" s="1554">
        <f>F91</f>
        <v>9.4666666666666668</v>
      </c>
      <c r="L91" s="1552">
        <f>SUM(B91+G91)</f>
        <v>3463.9333333333334</v>
      </c>
      <c r="M91" s="1553">
        <f>SUM(C91+H91)</f>
        <v>3445</v>
      </c>
      <c r="N91" s="1553">
        <f>SUM(D91+I91)</f>
        <v>2448</v>
      </c>
      <c r="O91" s="1553">
        <f>SUM(E91+J91)</f>
        <v>997</v>
      </c>
      <c r="P91" s="1554">
        <f>SUM(F91+K91)</f>
        <v>18.933333333333334</v>
      </c>
      <c r="Q91" s="1552"/>
      <c r="R91" s="1588"/>
      <c r="S91" s="1588"/>
      <c r="T91" s="1589"/>
      <c r="U91" s="1590"/>
      <c r="V91" s="1557"/>
      <c r="W91" s="1557"/>
      <c r="X91" s="1558"/>
    </row>
    <row r="92" spans="1:24" ht="30" customHeight="1">
      <c r="A92" s="1538" t="s">
        <v>398</v>
      </c>
      <c r="B92" s="1544">
        <f>SUM(B93/B91)</f>
        <v>24.23345303768841</v>
      </c>
      <c r="C92" s="1545">
        <f>SUM(C93/C91)</f>
        <v>24.29084908341078</v>
      </c>
      <c r="D92" s="1545">
        <f>SUM(I72)</f>
        <v>21.01</v>
      </c>
      <c r="E92" s="1545">
        <f>SUM(J72)</f>
        <v>24.29084908341078</v>
      </c>
      <c r="F92" s="1546">
        <f>SUM(K72)</f>
        <v>13.79</v>
      </c>
      <c r="G92" s="1544">
        <f>SUM(G93/G91)</f>
        <v>31.661512148297199</v>
      </c>
      <c r="H92" s="1545">
        <f>H93/H91</f>
        <v>31.759514001040586</v>
      </c>
      <c r="I92" s="1545">
        <f>D92*1.2</f>
        <v>25.212</v>
      </c>
      <c r="J92" s="1545">
        <f>SUM(H92)</f>
        <v>31.759514001040586</v>
      </c>
      <c r="K92" s="1546">
        <f t="shared" ref="K92:P92" si="9">SUM(K93/K91)</f>
        <v>13.829660949302399</v>
      </c>
      <c r="L92" s="1544">
        <f t="shared" si="9"/>
        <v>27.947482592992806</v>
      </c>
      <c r="M92" s="1545">
        <f t="shared" si="9"/>
        <v>28.025181542225685</v>
      </c>
      <c r="N92" s="1545">
        <f t="shared" si="9"/>
        <v>23.111000000000001</v>
      </c>
      <c r="O92" s="1545">
        <f t="shared" si="9"/>
        <v>28.025181542225685</v>
      </c>
      <c r="P92" s="1546">
        <f t="shared" si="9"/>
        <v>13.8098304746512</v>
      </c>
      <c r="Q92" s="1547">
        <f>SUM(G92/B92)</f>
        <v>1.3065208700987228</v>
      </c>
      <c r="R92" s="1591">
        <f>SUM(H92/C92)</f>
        <v>1.307468252426403</v>
      </c>
      <c r="S92" s="1591">
        <f>I92/D92</f>
        <v>1.2</v>
      </c>
      <c r="T92" s="1592">
        <f>SUM(K92/F92)</f>
        <v>1.0028760659392604</v>
      </c>
      <c r="U92" s="1593">
        <f>SUM(L92/L72)</f>
        <v>1.1466582099126219</v>
      </c>
      <c r="V92" s="1534">
        <f>SUM(M92/M72)</f>
        <v>1.1537542908773748</v>
      </c>
      <c r="W92" s="1534">
        <f>SUM(N92/N72)</f>
        <v>1.1743394308943087</v>
      </c>
      <c r="X92" s="1535">
        <f>SUM(P92/P72)</f>
        <v>1.2850380021077887</v>
      </c>
    </row>
    <row r="93" spans="1:24" ht="30" customHeight="1">
      <c r="A93" s="1538" t="s">
        <v>399</v>
      </c>
      <c r="B93" s="1544">
        <f>SUM(C93+F93)</f>
        <v>41971.532879508406</v>
      </c>
      <c r="C93" s="1545">
        <f>SUM(D93:E93)+D94</f>
        <v>41840.987546175071</v>
      </c>
      <c r="D93" s="1545">
        <f>D92*D91</f>
        <v>25716.240000000002</v>
      </c>
      <c r="E93" s="1545">
        <f>E92*E91</f>
        <v>12108.988268080275</v>
      </c>
      <c r="F93" s="1546">
        <f>F92*F91</f>
        <v>130.54533333333333</v>
      </c>
      <c r="G93" s="1544">
        <f>SUM(L93-B93)</f>
        <v>54836.683657112473</v>
      </c>
      <c r="H93" s="1545">
        <f>SUM(M93-C93)</f>
        <v>54705.762866792407</v>
      </c>
      <c r="I93" s="1545">
        <f>I92*I91</f>
        <v>30859.488000000001</v>
      </c>
      <c r="J93" s="1545">
        <f>SUM(J91*J92)</f>
        <v>15832.117729518732</v>
      </c>
      <c r="K93" s="1546">
        <f>SUM(P93-F93)</f>
        <v>130.92079032006271</v>
      </c>
      <c r="L93" s="1544">
        <f>SUM(стоки!AY93)</f>
        <v>96808.216536620879</v>
      </c>
      <c r="M93" s="1545">
        <f>SUM(стоки!BA93)</f>
        <v>96546.750412967478</v>
      </c>
      <c r="N93" s="1545">
        <f>SUM(D93+I93)</f>
        <v>56575.728000000003</v>
      </c>
      <c r="O93" s="1545">
        <f>SUM(E93+J93)</f>
        <v>27941.105997599007</v>
      </c>
      <c r="P93" s="1546">
        <f>SUM(стоки!BB93)</f>
        <v>261.46612365339604</v>
      </c>
      <c r="Q93" s="1544"/>
      <c r="R93" s="1596"/>
      <c r="S93" s="1596"/>
      <c r="T93" s="1597"/>
      <c r="U93" s="1598"/>
      <c r="V93" s="1531"/>
      <c r="W93" s="1531"/>
      <c r="X93" s="1532"/>
    </row>
    <row r="94" spans="1:24" ht="30" customHeight="1" thickBot="1">
      <c r="A94" s="1539" t="s">
        <v>401</v>
      </c>
      <c r="B94" s="1548">
        <f>SUM(C94:F94)</f>
        <v>4015.759278094793</v>
      </c>
      <c r="C94" s="1549">
        <v>0</v>
      </c>
      <c r="D94" s="1549">
        <f>SUM(E92-D92)*D91</f>
        <v>4015.759278094793</v>
      </c>
      <c r="E94" s="1549">
        <v>0</v>
      </c>
      <c r="F94" s="1550">
        <v>0</v>
      </c>
      <c r="G94" s="1548">
        <f>SUM(H94:K94)</f>
        <v>8014.1571372736771</v>
      </c>
      <c r="H94" s="1549">
        <v>0</v>
      </c>
      <c r="I94" s="1549">
        <f>SUM(H92-I92)*I91</f>
        <v>8014.1571372736771</v>
      </c>
      <c r="J94" s="1549">
        <v>0</v>
      </c>
      <c r="K94" s="1550">
        <v>0</v>
      </c>
      <c r="L94" s="1548">
        <f>SUM(M94:P94)</f>
        <v>12029.916415368471</v>
      </c>
      <c r="M94" s="1549">
        <v>0</v>
      </c>
      <c r="N94" s="1549">
        <f>SUM(B94+G94)</f>
        <v>12029.916415368471</v>
      </c>
      <c r="O94" s="1549">
        <v>0</v>
      </c>
      <c r="P94" s="1550">
        <v>0</v>
      </c>
      <c r="Q94" s="1548"/>
      <c r="R94" s="1599"/>
      <c r="S94" s="1599"/>
      <c r="T94" s="1600"/>
      <c r="U94" s="1601"/>
      <c r="V94" s="1536"/>
      <c r="W94" s="1536"/>
      <c r="X94" s="1537"/>
    </row>
    <row r="95" spans="1:24" ht="15.75" customHeight="1" thickBot="1">
      <c r="A95" s="5736"/>
      <c r="B95" s="5737"/>
      <c r="C95" s="5737"/>
      <c r="D95" s="5737"/>
      <c r="E95" s="5737"/>
      <c r="F95" s="5737"/>
      <c r="G95" s="5737"/>
      <c r="H95" s="5737"/>
      <c r="I95" s="5737"/>
      <c r="J95" s="5737"/>
      <c r="K95" s="5737"/>
      <c r="L95" s="5737"/>
      <c r="M95" s="5737"/>
      <c r="N95" s="5737"/>
      <c r="O95" s="5737"/>
      <c r="P95" s="5737"/>
      <c r="Q95" s="5737"/>
      <c r="R95" s="5737"/>
      <c r="S95" s="5737"/>
      <c r="T95" s="5737"/>
      <c r="U95" s="5737"/>
      <c r="V95" s="5737"/>
      <c r="W95" s="5737"/>
      <c r="X95" s="5738"/>
    </row>
    <row r="96" spans="1:24" ht="15.75" customHeight="1" thickBot="1">
      <c r="A96" s="5084">
        <v>2016</v>
      </c>
      <c r="B96" s="5741" t="s">
        <v>400</v>
      </c>
      <c r="C96" s="5741"/>
      <c r="D96" s="5741"/>
      <c r="E96" s="5741"/>
      <c r="F96" s="5741"/>
      <c r="G96" s="5741"/>
      <c r="H96" s="5741"/>
      <c r="I96" s="5741"/>
      <c r="J96" s="5741"/>
      <c r="K96" s="5741"/>
      <c r="L96" s="5741"/>
      <c r="M96" s="5741"/>
      <c r="N96" s="5741"/>
      <c r="O96" s="5741"/>
      <c r="P96" s="5742"/>
      <c r="Q96" s="5743" t="s">
        <v>407</v>
      </c>
      <c r="R96" s="5744"/>
      <c r="S96" s="5744"/>
      <c r="T96" s="5745"/>
      <c r="U96" s="5743" t="s">
        <v>408</v>
      </c>
      <c r="V96" s="5744"/>
      <c r="W96" s="5744"/>
      <c r="X96" s="5745"/>
    </row>
    <row r="97" spans="1:24" ht="15.75" customHeight="1" thickBot="1">
      <c r="A97" s="5739"/>
      <c r="B97" s="5749" t="s">
        <v>871</v>
      </c>
      <c r="C97" s="5750"/>
      <c r="D97" s="5750"/>
      <c r="E97" s="5750"/>
      <c r="F97" s="5751"/>
      <c r="G97" s="5752" t="s">
        <v>872</v>
      </c>
      <c r="H97" s="5753"/>
      <c r="I97" s="5753"/>
      <c r="J97" s="5753"/>
      <c r="K97" s="4996"/>
      <c r="L97" s="5752" t="s">
        <v>833</v>
      </c>
      <c r="M97" s="5753"/>
      <c r="N97" s="5753"/>
      <c r="O97" s="5753"/>
      <c r="P97" s="5754"/>
      <c r="Q97" s="5746"/>
      <c r="R97" s="5747"/>
      <c r="S97" s="5747"/>
      <c r="T97" s="5748"/>
      <c r="U97" s="5746"/>
      <c r="V97" s="5747"/>
      <c r="W97" s="5747"/>
      <c r="X97" s="5748"/>
    </row>
    <row r="98" spans="1:24" ht="15.75" customHeight="1">
      <c r="A98" s="5739"/>
      <c r="B98" s="5755" t="s">
        <v>301</v>
      </c>
      <c r="C98" s="5758" t="s">
        <v>50</v>
      </c>
      <c r="D98" s="5758"/>
      <c r="E98" s="5758"/>
      <c r="F98" s="5759"/>
      <c r="G98" s="5257" t="s">
        <v>301</v>
      </c>
      <c r="H98" s="5760" t="s">
        <v>50</v>
      </c>
      <c r="I98" s="5760"/>
      <c r="J98" s="5760"/>
      <c r="K98" s="5761"/>
      <c r="L98" s="5257" t="s">
        <v>301</v>
      </c>
      <c r="M98" s="5760" t="s">
        <v>50</v>
      </c>
      <c r="N98" s="5760"/>
      <c r="O98" s="5760"/>
      <c r="P98" s="5761"/>
      <c r="Q98" s="5257" t="s">
        <v>301</v>
      </c>
      <c r="R98" s="5762" t="s">
        <v>50</v>
      </c>
      <c r="S98" s="5762"/>
      <c r="T98" s="5763"/>
      <c r="U98" s="5257" t="s">
        <v>301</v>
      </c>
      <c r="V98" s="5762" t="s">
        <v>50</v>
      </c>
      <c r="W98" s="5762"/>
      <c r="X98" s="5763"/>
    </row>
    <row r="99" spans="1:24" ht="15.75" customHeight="1">
      <c r="A99" s="5739"/>
      <c r="B99" s="5756"/>
      <c r="C99" s="5733" t="s">
        <v>331</v>
      </c>
      <c r="D99" s="5735" t="s">
        <v>239</v>
      </c>
      <c r="E99" s="5735"/>
      <c r="F99" s="5729" t="s">
        <v>881</v>
      </c>
      <c r="G99" s="5756"/>
      <c r="H99" s="5733" t="s">
        <v>331</v>
      </c>
      <c r="I99" s="5735" t="s">
        <v>239</v>
      </c>
      <c r="J99" s="5735"/>
      <c r="K99" s="5729" t="s">
        <v>881</v>
      </c>
      <c r="L99" s="5756"/>
      <c r="M99" s="5733" t="s">
        <v>331</v>
      </c>
      <c r="N99" s="5735" t="s">
        <v>239</v>
      </c>
      <c r="O99" s="5735"/>
      <c r="P99" s="5729" t="s">
        <v>881</v>
      </c>
      <c r="Q99" s="5756"/>
      <c r="R99" s="5733" t="s">
        <v>331</v>
      </c>
      <c r="S99" s="5733"/>
      <c r="T99" s="5729" t="s">
        <v>881</v>
      </c>
      <c r="U99" s="5756"/>
      <c r="V99" s="5733" t="s">
        <v>331</v>
      </c>
      <c r="W99" s="5733"/>
      <c r="X99" s="5729" t="s">
        <v>881</v>
      </c>
    </row>
    <row r="100" spans="1:24" ht="15.75" customHeight="1" thickBot="1">
      <c r="A100" s="5740"/>
      <c r="B100" s="5757"/>
      <c r="C100" s="5734"/>
      <c r="D100" s="1551" t="s">
        <v>264</v>
      </c>
      <c r="E100" s="1551" t="s">
        <v>300</v>
      </c>
      <c r="F100" s="4441"/>
      <c r="G100" s="5757"/>
      <c r="H100" s="5734"/>
      <c r="I100" s="1551" t="s">
        <v>264</v>
      </c>
      <c r="J100" s="1551" t="s">
        <v>300</v>
      </c>
      <c r="K100" s="4441"/>
      <c r="L100" s="5757"/>
      <c r="M100" s="5734"/>
      <c r="N100" s="1551" t="s">
        <v>264</v>
      </c>
      <c r="O100" s="1551" t="s">
        <v>300</v>
      </c>
      <c r="P100" s="4441"/>
      <c r="Q100" s="5757"/>
      <c r="R100" s="1556" t="s">
        <v>874</v>
      </c>
      <c r="S100" s="1556" t="s">
        <v>264</v>
      </c>
      <c r="T100" s="4441"/>
      <c r="U100" s="5757"/>
      <c r="V100" s="1556" t="s">
        <v>874</v>
      </c>
      <c r="W100" s="1556" t="s">
        <v>264</v>
      </c>
      <c r="X100" s="4441"/>
    </row>
    <row r="101" spans="1:24" ht="30" customHeight="1">
      <c r="A101" s="1555" t="s">
        <v>397</v>
      </c>
      <c r="B101" s="1552">
        <f>SUM(B91)</f>
        <v>1731.9666666666667</v>
      </c>
      <c r="C101" s="1553">
        <f t="shared" ref="C101:P101" si="10">SUM(C91)</f>
        <v>1722.5</v>
      </c>
      <c r="D101" s="1553">
        <f t="shared" si="10"/>
        <v>1224</v>
      </c>
      <c r="E101" s="1553">
        <f t="shared" si="10"/>
        <v>498.5</v>
      </c>
      <c r="F101" s="1554">
        <f t="shared" si="10"/>
        <v>9.4666666666666668</v>
      </c>
      <c r="G101" s="1552">
        <f t="shared" si="10"/>
        <v>1731.9666666666667</v>
      </c>
      <c r="H101" s="1553">
        <f t="shared" si="10"/>
        <v>1722.5</v>
      </c>
      <c r="I101" s="1553">
        <f t="shared" si="10"/>
        <v>1224</v>
      </c>
      <c r="J101" s="1553">
        <f t="shared" si="10"/>
        <v>498.5</v>
      </c>
      <c r="K101" s="1554">
        <f t="shared" si="10"/>
        <v>9.4666666666666668</v>
      </c>
      <c r="L101" s="1552">
        <f t="shared" si="10"/>
        <v>3463.9333333333334</v>
      </c>
      <c r="M101" s="1553">
        <f t="shared" si="10"/>
        <v>3445</v>
      </c>
      <c r="N101" s="1553">
        <f t="shared" si="10"/>
        <v>2448</v>
      </c>
      <c r="O101" s="1553">
        <f t="shared" si="10"/>
        <v>997</v>
      </c>
      <c r="P101" s="1554">
        <f t="shared" si="10"/>
        <v>18.933333333333334</v>
      </c>
      <c r="Q101" s="1552"/>
      <c r="R101" s="1557"/>
      <c r="S101" s="1557"/>
      <c r="T101" s="1558"/>
      <c r="U101" s="1559"/>
      <c r="V101" s="1557"/>
      <c r="W101" s="1557"/>
      <c r="X101" s="1558"/>
    </row>
    <row r="102" spans="1:24" ht="30" customHeight="1">
      <c r="A102" s="1538" t="s">
        <v>398</v>
      </c>
      <c r="B102" s="1544">
        <f>SUM(B103/B101)</f>
        <v>24.988454550703441</v>
      </c>
      <c r="C102" s="1545">
        <f>SUM(C103/C101)</f>
        <v>25.05</v>
      </c>
      <c r="D102" s="1545">
        <f>SUM(I82)</f>
        <v>21.01</v>
      </c>
      <c r="E102" s="1545">
        <f>SUM(J82)</f>
        <v>25.05</v>
      </c>
      <c r="F102" s="1546">
        <f>SUM(K82)</f>
        <v>13.79</v>
      </c>
      <c r="G102" s="1544">
        <f>SUM(G103/G101)</f>
        <v>30.905990994796404</v>
      </c>
      <c r="H102" s="1545">
        <f>H103/H101</f>
        <v>30.999840588079817</v>
      </c>
      <c r="I102" s="1545">
        <f>D102*1.2</f>
        <v>25.212</v>
      </c>
      <c r="J102" s="1545">
        <f>SUM(H102)</f>
        <v>30.999840588079817</v>
      </c>
      <c r="K102" s="1546">
        <f t="shared" ref="K102:P102" si="11">SUM(K103/K101)</f>
        <v>13.829660949302399</v>
      </c>
      <c r="L102" s="1544">
        <f t="shared" si="11"/>
        <v>27.947222772749925</v>
      </c>
      <c r="M102" s="1545">
        <f t="shared" si="11"/>
        <v>28.024920294039909</v>
      </c>
      <c r="N102" s="1545">
        <f t="shared" si="11"/>
        <v>23.111000000000001</v>
      </c>
      <c r="O102" s="1545">
        <f t="shared" si="11"/>
        <v>28.024920294039909</v>
      </c>
      <c r="P102" s="1546">
        <f t="shared" si="11"/>
        <v>13.8098304746512</v>
      </c>
      <c r="Q102" s="1547">
        <f>SUM(G102/B102)</f>
        <v>1.2368108212569064</v>
      </c>
      <c r="R102" s="1533">
        <f>SUM(H102/C102)</f>
        <v>1.2375185863504916</v>
      </c>
      <c r="S102" s="1533">
        <f>I102/D102</f>
        <v>1.2</v>
      </c>
      <c r="T102" s="1540">
        <f>SUM(K102/F102)</f>
        <v>1.0028760659392604</v>
      </c>
      <c r="U102" s="1542">
        <f>SUM(L102/L82)</f>
        <v>1.1946320162777881</v>
      </c>
      <c r="V102" s="1534">
        <f>SUM(M102/M82)</f>
        <v>1.2021959457791729</v>
      </c>
      <c r="W102" s="1534">
        <f>SUM(N102/N82)</f>
        <v>1.1743394308943087</v>
      </c>
      <c r="X102" s="1535">
        <f>SUM(P102/P82)</f>
        <v>1.2850380021077887</v>
      </c>
    </row>
    <row r="103" spans="1:24" ht="30" customHeight="1">
      <c r="A103" s="1538" t="s">
        <v>399</v>
      </c>
      <c r="B103" s="1544">
        <f>SUM(C103+F103)</f>
        <v>43279.170333333335</v>
      </c>
      <c r="C103" s="1545">
        <f>SUM(D103:E103)+D104</f>
        <v>43148.625</v>
      </c>
      <c r="D103" s="1545">
        <f>D102*D101</f>
        <v>25716.240000000002</v>
      </c>
      <c r="E103" s="1545">
        <f>E102*E101</f>
        <v>12487.425000000001</v>
      </c>
      <c r="F103" s="1546">
        <f>F102*F101</f>
        <v>130.54533333333333</v>
      </c>
      <c r="G103" s="1544">
        <f>SUM(L103-B103)</f>
        <v>53528.14620328755</v>
      </c>
      <c r="H103" s="1545">
        <f>SUM(M103-C103)</f>
        <v>53397.225412967484</v>
      </c>
      <c r="I103" s="1545">
        <f>I102*I101</f>
        <v>30859.488000000001</v>
      </c>
      <c r="J103" s="1545">
        <f>SUM(J101*J102)</f>
        <v>15453.420533157789</v>
      </c>
      <c r="K103" s="1546">
        <f>SUM(P103-F103)</f>
        <v>130.92079032006271</v>
      </c>
      <c r="L103" s="1544">
        <f>SUM(стоки!AY90)</f>
        <v>96807.316536620885</v>
      </c>
      <c r="M103" s="1545">
        <f>SUM(стоки!BA90)</f>
        <v>96545.850412967484</v>
      </c>
      <c r="N103" s="1545">
        <f>SUM(D103+I103)</f>
        <v>56575.728000000003</v>
      </c>
      <c r="O103" s="1545">
        <f>SUM(E103+J103)</f>
        <v>27940.84553315779</v>
      </c>
      <c r="P103" s="1546">
        <f>SUM(стоки!BB90)</f>
        <v>261.46612365339604</v>
      </c>
      <c r="Q103" s="1544"/>
      <c r="R103" s="1531"/>
      <c r="S103" s="1531"/>
      <c r="T103" s="1532"/>
      <c r="U103" s="1541"/>
      <c r="V103" s="1531"/>
      <c r="W103" s="1531"/>
      <c r="X103" s="1532"/>
    </row>
    <row r="104" spans="1:24" ht="30" customHeight="1" thickBot="1">
      <c r="A104" s="1539" t="s">
        <v>401</v>
      </c>
      <c r="B104" s="1548">
        <f>SUM(C104:F104)</f>
        <v>4944.9599999999991</v>
      </c>
      <c r="C104" s="1549">
        <v>0</v>
      </c>
      <c r="D104" s="1549">
        <f>SUM(E102-D102)*D101</f>
        <v>4944.9599999999991</v>
      </c>
      <c r="E104" s="1549">
        <v>0</v>
      </c>
      <c r="F104" s="1550">
        <v>0</v>
      </c>
      <c r="G104" s="1548">
        <f>SUM(H104:K104)</f>
        <v>7084.3168798096958</v>
      </c>
      <c r="H104" s="1549">
        <v>0</v>
      </c>
      <c r="I104" s="1549">
        <f>SUM(H102-I102)*I101</f>
        <v>7084.3168798096958</v>
      </c>
      <c r="J104" s="1549">
        <v>0</v>
      </c>
      <c r="K104" s="1550">
        <v>0</v>
      </c>
      <c r="L104" s="1548">
        <f>SUM(M104:P104)</f>
        <v>12029.276879809695</v>
      </c>
      <c r="M104" s="1549">
        <v>0</v>
      </c>
      <c r="N104" s="1549">
        <f>SUM(B104+G104)</f>
        <v>12029.276879809695</v>
      </c>
      <c r="O104" s="1549">
        <v>0</v>
      </c>
      <c r="P104" s="1550">
        <v>0</v>
      </c>
      <c r="Q104" s="1548"/>
      <c r="R104" s="1536"/>
      <c r="S104" s="1536"/>
      <c r="T104" s="1537"/>
      <c r="U104" s="1543"/>
      <c r="V104" s="1536"/>
      <c r="W104" s="1536"/>
      <c r="X104" s="1537"/>
    </row>
    <row r="105" spans="1:24" ht="27" thickBot="1">
      <c r="A105" s="5730" t="s">
        <v>880</v>
      </c>
      <c r="B105" s="5731"/>
      <c r="C105" s="5731"/>
      <c r="D105" s="5731"/>
      <c r="E105" s="5731"/>
      <c r="F105" s="5731"/>
      <c r="G105" s="5731"/>
      <c r="H105" s="5731"/>
      <c r="I105" s="5731"/>
      <c r="J105" s="5731"/>
      <c r="K105" s="5731"/>
      <c r="L105" s="5731"/>
      <c r="M105" s="5731"/>
      <c r="N105" s="5731"/>
      <c r="O105" s="5731"/>
      <c r="P105" s="5731"/>
      <c r="Q105" s="5731"/>
      <c r="R105" s="5731"/>
      <c r="S105" s="5731"/>
      <c r="T105" s="5731"/>
      <c r="U105" s="5731"/>
      <c r="V105" s="5731"/>
      <c r="W105" s="5731"/>
      <c r="X105" s="5732"/>
    </row>
    <row r="106" spans="1:24" ht="15.75" customHeight="1" thickBot="1">
      <c r="A106" s="5701">
        <v>2016</v>
      </c>
      <c r="B106" s="5704" t="s">
        <v>403</v>
      </c>
      <c r="C106" s="5704"/>
      <c r="D106" s="5704"/>
      <c r="E106" s="5704"/>
      <c r="F106" s="5704"/>
      <c r="G106" s="5704"/>
      <c r="H106" s="5704"/>
      <c r="I106" s="5704"/>
      <c r="J106" s="5704"/>
      <c r="K106" s="5704"/>
      <c r="L106" s="5704"/>
      <c r="M106" s="5704"/>
      <c r="N106" s="5704"/>
      <c r="O106" s="5704"/>
      <c r="P106" s="5705"/>
      <c r="Q106" s="5706" t="s">
        <v>407</v>
      </c>
      <c r="R106" s="5707"/>
      <c r="S106" s="5707"/>
      <c r="T106" s="5708"/>
      <c r="U106" s="5706" t="s">
        <v>408</v>
      </c>
      <c r="V106" s="5707"/>
      <c r="W106" s="5707"/>
      <c r="X106" s="5708"/>
    </row>
    <row r="107" spans="1:24" ht="15.75" customHeight="1" thickBot="1">
      <c r="A107" s="5702"/>
      <c r="B107" s="5712" t="s">
        <v>871</v>
      </c>
      <c r="C107" s="5713"/>
      <c r="D107" s="5713"/>
      <c r="E107" s="5713"/>
      <c r="F107" s="5714"/>
      <c r="G107" s="5715" t="s">
        <v>872</v>
      </c>
      <c r="H107" s="5716"/>
      <c r="I107" s="5716"/>
      <c r="J107" s="5716"/>
      <c r="K107" s="5717"/>
      <c r="L107" s="5715" t="s">
        <v>833</v>
      </c>
      <c r="M107" s="5716"/>
      <c r="N107" s="5716"/>
      <c r="O107" s="5716"/>
      <c r="P107" s="5718"/>
      <c r="Q107" s="5709"/>
      <c r="R107" s="5710"/>
      <c r="S107" s="5710"/>
      <c r="T107" s="5711"/>
      <c r="U107" s="5709"/>
      <c r="V107" s="5710"/>
      <c r="W107" s="5710"/>
      <c r="X107" s="5711"/>
    </row>
    <row r="108" spans="1:24" ht="15.75" customHeight="1">
      <c r="A108" s="5702"/>
      <c r="B108" s="5719" t="s">
        <v>301</v>
      </c>
      <c r="C108" s="5722" t="s">
        <v>50</v>
      </c>
      <c r="D108" s="5722"/>
      <c r="E108" s="5722"/>
      <c r="F108" s="5723"/>
      <c r="G108" s="5724" t="s">
        <v>301</v>
      </c>
      <c r="H108" s="5725" t="s">
        <v>50</v>
      </c>
      <c r="I108" s="5725"/>
      <c r="J108" s="5725"/>
      <c r="K108" s="5726"/>
      <c r="L108" s="5724" t="s">
        <v>301</v>
      </c>
      <c r="M108" s="5725" t="s">
        <v>50</v>
      </c>
      <c r="N108" s="5725"/>
      <c r="O108" s="5725"/>
      <c r="P108" s="5726"/>
      <c r="Q108" s="5724" t="s">
        <v>301</v>
      </c>
      <c r="R108" s="5727" t="s">
        <v>50</v>
      </c>
      <c r="S108" s="5727"/>
      <c r="T108" s="5728"/>
      <c r="U108" s="5724" t="s">
        <v>301</v>
      </c>
      <c r="V108" s="5727" t="s">
        <v>50</v>
      </c>
      <c r="W108" s="5727"/>
      <c r="X108" s="5728"/>
    </row>
    <row r="109" spans="1:24" ht="15.75" customHeight="1">
      <c r="A109" s="5702"/>
      <c r="B109" s="5720"/>
      <c r="C109" s="5693" t="s">
        <v>331</v>
      </c>
      <c r="D109" s="5695" t="s">
        <v>239</v>
      </c>
      <c r="E109" s="5695"/>
      <c r="F109" s="5696" t="s">
        <v>881</v>
      </c>
      <c r="G109" s="5720"/>
      <c r="H109" s="5693" t="s">
        <v>331</v>
      </c>
      <c r="I109" s="5695" t="s">
        <v>239</v>
      </c>
      <c r="J109" s="5695"/>
      <c r="K109" s="5696" t="s">
        <v>881</v>
      </c>
      <c r="L109" s="5720"/>
      <c r="M109" s="5693" t="s">
        <v>331</v>
      </c>
      <c r="N109" s="5695" t="s">
        <v>239</v>
      </c>
      <c r="O109" s="5695"/>
      <c r="P109" s="5696" t="s">
        <v>881</v>
      </c>
      <c r="Q109" s="5720"/>
      <c r="R109" s="5693" t="s">
        <v>331</v>
      </c>
      <c r="S109" s="5693"/>
      <c r="T109" s="5696" t="s">
        <v>881</v>
      </c>
      <c r="U109" s="5720"/>
      <c r="V109" s="5693" t="s">
        <v>331</v>
      </c>
      <c r="W109" s="5693"/>
      <c r="X109" s="5696" t="s">
        <v>881</v>
      </c>
    </row>
    <row r="110" spans="1:24" ht="15.75" customHeight="1" thickBot="1">
      <c r="A110" s="5703"/>
      <c r="B110" s="5721"/>
      <c r="C110" s="5694"/>
      <c r="D110" s="2605" t="s">
        <v>264</v>
      </c>
      <c r="E110" s="2605" t="s">
        <v>300</v>
      </c>
      <c r="F110" s="5697"/>
      <c r="G110" s="5721"/>
      <c r="H110" s="5694"/>
      <c r="I110" s="2605" t="s">
        <v>264</v>
      </c>
      <c r="J110" s="2605" t="s">
        <v>300</v>
      </c>
      <c r="K110" s="5697"/>
      <c r="L110" s="5721"/>
      <c r="M110" s="5694"/>
      <c r="N110" s="2605" t="s">
        <v>264</v>
      </c>
      <c r="O110" s="2605" t="s">
        <v>300</v>
      </c>
      <c r="P110" s="5697"/>
      <c r="Q110" s="5721"/>
      <c r="R110" s="2605" t="s">
        <v>874</v>
      </c>
      <c r="S110" s="2605" t="s">
        <v>264</v>
      </c>
      <c r="T110" s="5697"/>
      <c r="U110" s="5721"/>
      <c r="V110" s="2605" t="s">
        <v>874</v>
      </c>
      <c r="W110" s="2605" t="s">
        <v>264</v>
      </c>
      <c r="X110" s="5697"/>
    </row>
    <row r="111" spans="1:24" ht="30" customHeight="1">
      <c r="A111" s="2606" t="s">
        <v>397</v>
      </c>
      <c r="B111" s="2607">
        <f>SUM(объемы!T57/2)</f>
        <v>1731.9666666666667</v>
      </c>
      <c r="C111" s="2608">
        <f>SUM(D111:E111)</f>
        <v>1722.5</v>
      </c>
      <c r="D111" s="2608">
        <f>SUM(объемы!U58/2)</f>
        <v>1224</v>
      </c>
      <c r="E111" s="2608">
        <f>SUM(объемы!U59/2)</f>
        <v>498.5</v>
      </c>
      <c r="F111" s="2609">
        <f>SUM(объемы!V57/2)</f>
        <v>9.4666666666666668</v>
      </c>
      <c r="G111" s="2607">
        <f>B111</f>
        <v>1731.9666666666667</v>
      </c>
      <c r="H111" s="2608">
        <f>C111</f>
        <v>1722.5</v>
      </c>
      <c r="I111" s="2608">
        <f>D111</f>
        <v>1224</v>
      </c>
      <c r="J111" s="2608">
        <f>E111</f>
        <v>498.5</v>
      </c>
      <c r="K111" s="2609">
        <f>F111</f>
        <v>9.4666666666666668</v>
      </c>
      <c r="L111" s="2607">
        <f>SUM(B111+G111)</f>
        <v>3463.9333333333334</v>
      </c>
      <c r="M111" s="2608">
        <f>SUM(C111+H111)</f>
        <v>3445</v>
      </c>
      <c r="N111" s="2608">
        <f>SUM(D111+I111)</f>
        <v>2448</v>
      </c>
      <c r="O111" s="2608">
        <f>SUM(E111+J111)</f>
        <v>997</v>
      </c>
      <c r="P111" s="2609">
        <f>SUM(F111+K111)</f>
        <v>18.933333333333334</v>
      </c>
      <c r="Q111" s="2607"/>
      <c r="R111" s="2610"/>
      <c r="S111" s="2610"/>
      <c r="T111" s="2611"/>
      <c r="U111" s="2612"/>
      <c r="V111" s="2610"/>
      <c r="W111" s="2610"/>
      <c r="X111" s="2611"/>
    </row>
    <row r="112" spans="1:24" ht="30" customHeight="1">
      <c r="A112" s="2613" t="s">
        <v>398</v>
      </c>
      <c r="B112" s="2614">
        <f>SUM(B113/B111)</f>
        <v>24.23345303768841</v>
      </c>
      <c r="C112" s="2615">
        <f>SUM(C113/C111)</f>
        <v>24.29084908341078</v>
      </c>
      <c r="D112" s="2615">
        <f>SUM(I72)</f>
        <v>21.01</v>
      </c>
      <c r="E112" s="2615">
        <f>SUM(J72)</f>
        <v>24.29084908341078</v>
      </c>
      <c r="F112" s="2616">
        <f>SUM(K72)</f>
        <v>13.79</v>
      </c>
      <c r="G112" s="2614">
        <f>SUM(G113/G111)</f>
        <v>25.066232787371877</v>
      </c>
      <c r="H112" s="2615">
        <f>H113/H111</f>
        <v>25.125496399328522</v>
      </c>
      <c r="I112" s="2615">
        <v>22.5</v>
      </c>
      <c r="J112" s="2615">
        <f>SUM(H112)</f>
        <v>25.125496399328522</v>
      </c>
      <c r="K112" s="2616">
        <f t="shared" ref="K112:P112" si="12">SUM(K113/K111)</f>
        <v>14.28296818223105</v>
      </c>
      <c r="L112" s="2614">
        <f t="shared" si="12"/>
        <v>24.649842912530143</v>
      </c>
      <c r="M112" s="2615">
        <f t="shared" si="12"/>
        <v>24.708172741369651</v>
      </c>
      <c r="N112" s="2615">
        <f t="shared" si="12"/>
        <v>21.755000000000003</v>
      </c>
      <c r="O112" s="2615">
        <f t="shared" si="12"/>
        <v>24.708172741369651</v>
      </c>
      <c r="P112" s="2616">
        <f t="shared" si="12"/>
        <v>14.036484091115524</v>
      </c>
      <c r="Q112" s="2617">
        <f>SUM(G112/B112)</f>
        <v>1.0343648818180518</v>
      </c>
      <c r="R112" s="2618">
        <f>SUM(H112/C112)</f>
        <v>1.0343605657032284</v>
      </c>
      <c r="S112" s="2618">
        <f>I112/D112</f>
        <v>1.0709186101856258</v>
      </c>
      <c r="T112" s="2619">
        <f>SUM(K112/F112)</f>
        <v>1.0357482365649784</v>
      </c>
      <c r="U112" s="2620">
        <f>SUM(L112/L72)</f>
        <v>1.0113592397690923</v>
      </c>
      <c r="V112" s="2621">
        <f>SUM(M112/M72)</f>
        <v>1.0171980608633253</v>
      </c>
      <c r="W112" s="2621">
        <f>SUM(N112/N72)</f>
        <v>1.1054369918699187</v>
      </c>
      <c r="X112" s="2622">
        <f>SUM(P112/P72)</f>
        <v>1.306128667268845</v>
      </c>
    </row>
    <row r="113" spans="1:24" ht="30" customHeight="1">
      <c r="A113" s="2613" t="s">
        <v>399</v>
      </c>
      <c r="B113" s="2614">
        <f>SUM(C113+F113)</f>
        <v>41971.532879508406</v>
      </c>
      <c r="C113" s="2615">
        <f>SUM(D113:E113)+D114</f>
        <v>41840.987546175071</v>
      </c>
      <c r="D113" s="2615">
        <f>D112*D111</f>
        <v>25716.240000000002</v>
      </c>
      <c r="E113" s="2615">
        <f>E112*E111</f>
        <v>12108.988268080275</v>
      </c>
      <c r="F113" s="2616">
        <f>F112*F111</f>
        <v>130.54533333333333</v>
      </c>
      <c r="G113" s="2614">
        <f>SUM(L113-B113)</f>
        <v>43413.879646635178</v>
      </c>
      <c r="H113" s="2615">
        <f>SUM(M113-C113)</f>
        <v>43278.667547843383</v>
      </c>
      <c r="I113" s="2615">
        <f>I112*I111</f>
        <v>27540</v>
      </c>
      <c r="J113" s="2615">
        <f>SUM(J111*J112)</f>
        <v>12525.059955065268</v>
      </c>
      <c r="K113" s="2616">
        <f>SUM(P113-F113)</f>
        <v>135.21209879178727</v>
      </c>
      <c r="L113" s="2614">
        <f>SUM(стоки!BC93)</f>
        <v>85385.412526143584</v>
      </c>
      <c r="M113" s="2615">
        <f>SUM(стоки!BE93)</f>
        <v>85119.655094018453</v>
      </c>
      <c r="N113" s="2615">
        <f>SUM(D113+I113)</f>
        <v>53256.240000000005</v>
      </c>
      <c r="O113" s="2615">
        <f>SUM(E113+J113)</f>
        <v>24634.048223145543</v>
      </c>
      <c r="P113" s="2616">
        <f>SUM(стоки!BF93)</f>
        <v>265.7574321251206</v>
      </c>
      <c r="Q113" s="2614"/>
      <c r="R113" s="2623"/>
      <c r="S113" s="2623"/>
      <c r="T113" s="2624"/>
      <c r="U113" s="2625"/>
      <c r="V113" s="2623"/>
      <c r="W113" s="2623"/>
      <c r="X113" s="2624"/>
    </row>
    <row r="114" spans="1:24" ht="30" customHeight="1" thickBot="1">
      <c r="A114" s="2626" t="s">
        <v>401</v>
      </c>
      <c r="B114" s="2627">
        <f>SUM(C114:F114)</f>
        <v>4015.759278094793</v>
      </c>
      <c r="C114" s="2628">
        <v>0</v>
      </c>
      <c r="D114" s="2628">
        <f>SUM(E112-D112)*D111</f>
        <v>4015.759278094793</v>
      </c>
      <c r="E114" s="2628">
        <v>0</v>
      </c>
      <c r="F114" s="2629">
        <v>0</v>
      </c>
      <c r="G114" s="2627">
        <f>SUM(H114:K114)</f>
        <v>3213.6075927781112</v>
      </c>
      <c r="H114" s="2628">
        <v>0</v>
      </c>
      <c r="I114" s="2628">
        <f>SUM(H112-I112)*I111</f>
        <v>3213.6075927781112</v>
      </c>
      <c r="J114" s="2628">
        <v>0</v>
      </c>
      <c r="K114" s="2629">
        <v>0</v>
      </c>
      <c r="L114" s="2627">
        <f>SUM(M114:P114)</f>
        <v>7229.3668708729037</v>
      </c>
      <c r="M114" s="2628">
        <v>0</v>
      </c>
      <c r="N114" s="2628">
        <f>SUM(B114+G114)</f>
        <v>7229.3668708729037</v>
      </c>
      <c r="O114" s="2628">
        <v>0</v>
      </c>
      <c r="P114" s="2629">
        <v>0</v>
      </c>
      <c r="Q114" s="2627"/>
      <c r="R114" s="2630"/>
      <c r="S114" s="2630"/>
      <c r="T114" s="2631"/>
      <c r="U114" s="2632"/>
      <c r="V114" s="2630"/>
      <c r="W114" s="2630"/>
      <c r="X114" s="2631"/>
    </row>
    <row r="115" spans="1:24" ht="15.75" customHeight="1" thickBot="1">
      <c r="A115" s="5698"/>
      <c r="B115" s="5699"/>
      <c r="C115" s="5699"/>
      <c r="D115" s="5699"/>
      <c r="E115" s="5699"/>
      <c r="F115" s="5699"/>
      <c r="G115" s="5699"/>
      <c r="H115" s="5699"/>
      <c r="I115" s="5699"/>
      <c r="J115" s="5699"/>
      <c r="K115" s="5699"/>
      <c r="L115" s="5699"/>
      <c r="M115" s="5699"/>
      <c r="N115" s="5699"/>
      <c r="O115" s="5699"/>
      <c r="P115" s="5699"/>
      <c r="Q115" s="5699"/>
      <c r="R115" s="5699"/>
      <c r="S115" s="5699"/>
      <c r="T115" s="5699"/>
      <c r="U115" s="5699"/>
      <c r="V115" s="5699"/>
      <c r="W115" s="5699"/>
      <c r="X115" s="5700"/>
    </row>
    <row r="116" spans="1:24" ht="15.75" customHeight="1" thickBot="1">
      <c r="A116" s="5701">
        <v>2016</v>
      </c>
      <c r="B116" s="5704" t="s">
        <v>400</v>
      </c>
      <c r="C116" s="5704"/>
      <c r="D116" s="5704"/>
      <c r="E116" s="5704"/>
      <c r="F116" s="5704"/>
      <c r="G116" s="5704"/>
      <c r="H116" s="5704"/>
      <c r="I116" s="5704"/>
      <c r="J116" s="5704"/>
      <c r="K116" s="5704"/>
      <c r="L116" s="5704"/>
      <c r="M116" s="5704"/>
      <c r="N116" s="5704"/>
      <c r="O116" s="5704"/>
      <c r="P116" s="5705"/>
      <c r="Q116" s="5706" t="s">
        <v>407</v>
      </c>
      <c r="R116" s="5707"/>
      <c r="S116" s="5707"/>
      <c r="T116" s="5708"/>
      <c r="U116" s="5706" t="s">
        <v>408</v>
      </c>
      <c r="V116" s="5707"/>
      <c r="W116" s="5707"/>
      <c r="X116" s="5708"/>
    </row>
    <row r="117" spans="1:24" ht="15.75" customHeight="1" thickBot="1">
      <c r="A117" s="5702"/>
      <c r="B117" s="5712" t="s">
        <v>871</v>
      </c>
      <c r="C117" s="5713"/>
      <c r="D117" s="5713"/>
      <c r="E117" s="5713"/>
      <c r="F117" s="5714"/>
      <c r="G117" s="5715" t="s">
        <v>872</v>
      </c>
      <c r="H117" s="5716"/>
      <c r="I117" s="5716"/>
      <c r="J117" s="5716"/>
      <c r="K117" s="5717"/>
      <c r="L117" s="5715" t="s">
        <v>833</v>
      </c>
      <c r="M117" s="5716"/>
      <c r="N117" s="5716"/>
      <c r="O117" s="5716"/>
      <c r="P117" s="5718"/>
      <c r="Q117" s="5709"/>
      <c r="R117" s="5710"/>
      <c r="S117" s="5710"/>
      <c r="T117" s="5711"/>
      <c r="U117" s="5709"/>
      <c r="V117" s="5710"/>
      <c r="W117" s="5710"/>
      <c r="X117" s="5711"/>
    </row>
    <row r="118" spans="1:24" ht="15.75" customHeight="1">
      <c r="A118" s="5702"/>
      <c r="B118" s="5719" t="s">
        <v>301</v>
      </c>
      <c r="C118" s="5722" t="s">
        <v>50</v>
      </c>
      <c r="D118" s="5722"/>
      <c r="E118" s="5722"/>
      <c r="F118" s="5723"/>
      <c r="G118" s="5724" t="s">
        <v>301</v>
      </c>
      <c r="H118" s="5725" t="s">
        <v>50</v>
      </c>
      <c r="I118" s="5725"/>
      <c r="J118" s="5725"/>
      <c r="K118" s="5726"/>
      <c r="L118" s="5724" t="s">
        <v>301</v>
      </c>
      <c r="M118" s="5725" t="s">
        <v>50</v>
      </c>
      <c r="N118" s="5725"/>
      <c r="O118" s="5725"/>
      <c r="P118" s="5726"/>
      <c r="Q118" s="5724" t="s">
        <v>301</v>
      </c>
      <c r="R118" s="5727" t="s">
        <v>50</v>
      </c>
      <c r="S118" s="5727"/>
      <c r="T118" s="5728"/>
      <c r="U118" s="5724" t="s">
        <v>301</v>
      </c>
      <c r="V118" s="5727" t="s">
        <v>50</v>
      </c>
      <c r="W118" s="5727"/>
      <c r="X118" s="5728"/>
    </row>
    <row r="119" spans="1:24" ht="15.75" customHeight="1">
      <c r="A119" s="5702"/>
      <c r="B119" s="5720"/>
      <c r="C119" s="5693" t="s">
        <v>331</v>
      </c>
      <c r="D119" s="5695" t="s">
        <v>239</v>
      </c>
      <c r="E119" s="5695"/>
      <c r="F119" s="5696" t="s">
        <v>881</v>
      </c>
      <c r="G119" s="5720"/>
      <c r="H119" s="5693" t="s">
        <v>331</v>
      </c>
      <c r="I119" s="5695" t="s">
        <v>239</v>
      </c>
      <c r="J119" s="5695"/>
      <c r="K119" s="5696" t="s">
        <v>881</v>
      </c>
      <c r="L119" s="5720"/>
      <c r="M119" s="5693" t="s">
        <v>331</v>
      </c>
      <c r="N119" s="5695" t="s">
        <v>239</v>
      </c>
      <c r="O119" s="5695"/>
      <c r="P119" s="5696" t="s">
        <v>881</v>
      </c>
      <c r="Q119" s="5720"/>
      <c r="R119" s="5693" t="s">
        <v>331</v>
      </c>
      <c r="S119" s="5693"/>
      <c r="T119" s="5696" t="s">
        <v>881</v>
      </c>
      <c r="U119" s="5720"/>
      <c r="V119" s="5693" t="s">
        <v>331</v>
      </c>
      <c r="W119" s="5693"/>
      <c r="X119" s="5696" t="s">
        <v>881</v>
      </c>
    </row>
    <row r="120" spans="1:24" ht="15.75" customHeight="1" thickBot="1">
      <c r="A120" s="5703"/>
      <c r="B120" s="5721"/>
      <c r="C120" s="5694"/>
      <c r="D120" s="2605" t="s">
        <v>264</v>
      </c>
      <c r="E120" s="2605" t="s">
        <v>300</v>
      </c>
      <c r="F120" s="5697"/>
      <c r="G120" s="5721"/>
      <c r="H120" s="5694"/>
      <c r="I120" s="2605" t="s">
        <v>264</v>
      </c>
      <c r="J120" s="2605" t="s">
        <v>300</v>
      </c>
      <c r="K120" s="5697"/>
      <c r="L120" s="5721"/>
      <c r="M120" s="5694"/>
      <c r="N120" s="2605" t="s">
        <v>264</v>
      </c>
      <c r="O120" s="2605" t="s">
        <v>300</v>
      </c>
      <c r="P120" s="5697"/>
      <c r="Q120" s="5721"/>
      <c r="R120" s="2605" t="s">
        <v>874</v>
      </c>
      <c r="S120" s="2605" t="s">
        <v>264</v>
      </c>
      <c r="T120" s="5697"/>
      <c r="U120" s="5721"/>
      <c r="V120" s="2605" t="s">
        <v>874</v>
      </c>
      <c r="W120" s="2605" t="s">
        <v>264</v>
      </c>
      <c r="X120" s="5697"/>
    </row>
    <row r="121" spans="1:24" ht="30" customHeight="1">
      <c r="A121" s="2606" t="s">
        <v>397</v>
      </c>
      <c r="B121" s="2607">
        <f>SUM(B111)</f>
        <v>1731.9666666666667</v>
      </c>
      <c r="C121" s="2608">
        <f t="shared" ref="C121:P121" si="13">SUM(C111)</f>
        <v>1722.5</v>
      </c>
      <c r="D121" s="2608">
        <f t="shared" si="13"/>
        <v>1224</v>
      </c>
      <c r="E121" s="2608">
        <f t="shared" si="13"/>
        <v>498.5</v>
      </c>
      <c r="F121" s="2609">
        <f t="shared" si="13"/>
        <v>9.4666666666666668</v>
      </c>
      <c r="G121" s="2607">
        <f t="shared" si="13"/>
        <v>1731.9666666666667</v>
      </c>
      <c r="H121" s="2608">
        <f t="shared" si="13"/>
        <v>1722.5</v>
      </c>
      <c r="I121" s="2608">
        <f t="shared" si="13"/>
        <v>1224</v>
      </c>
      <c r="J121" s="2608">
        <f t="shared" si="13"/>
        <v>498.5</v>
      </c>
      <c r="K121" s="2609">
        <f t="shared" si="13"/>
        <v>9.4666666666666668</v>
      </c>
      <c r="L121" s="2607">
        <f t="shared" si="13"/>
        <v>3463.9333333333334</v>
      </c>
      <c r="M121" s="2608">
        <f t="shared" si="13"/>
        <v>3445</v>
      </c>
      <c r="N121" s="2608">
        <f t="shared" si="13"/>
        <v>2448</v>
      </c>
      <c r="O121" s="2608">
        <f t="shared" si="13"/>
        <v>997</v>
      </c>
      <c r="P121" s="2609">
        <f t="shared" si="13"/>
        <v>18.933333333333334</v>
      </c>
      <c r="Q121" s="2607"/>
      <c r="R121" s="2610"/>
      <c r="S121" s="2610"/>
      <c r="T121" s="2611"/>
      <c r="U121" s="2612"/>
      <c r="V121" s="2610"/>
      <c r="W121" s="2610"/>
      <c r="X121" s="2611"/>
    </row>
    <row r="122" spans="1:24" ht="30" customHeight="1">
      <c r="A122" s="2613" t="s">
        <v>398</v>
      </c>
      <c r="B122" s="2614">
        <f>SUM(B123/B121)</f>
        <v>24.988454550703441</v>
      </c>
      <c r="C122" s="2615">
        <f>SUM(C123/C121)</f>
        <v>25.05</v>
      </c>
      <c r="D122" s="2615">
        <f t="shared" ref="D122" si="14">SUM(I82)</f>
        <v>21.01</v>
      </c>
      <c r="E122" s="2615">
        <f t="shared" ref="E122" si="15">SUM(J82)</f>
        <v>25.05</v>
      </c>
      <c r="F122" s="2616">
        <f>SUM(K82)</f>
        <v>13.79</v>
      </c>
      <c r="G122" s="2614">
        <f>SUM(G123/G121)</f>
        <v>24.310711633871083</v>
      </c>
      <c r="H122" s="2615">
        <f>H123/H121</f>
        <v>24.365822986367757</v>
      </c>
      <c r="I122" s="2615">
        <v>22.5</v>
      </c>
      <c r="J122" s="2615">
        <f>SUM(H122)</f>
        <v>24.365822986367757</v>
      </c>
      <c r="K122" s="2616">
        <f t="shared" ref="K122:P122" si="16">SUM(K123/K121)</f>
        <v>14.28296818223105</v>
      </c>
      <c r="L122" s="2614">
        <f t="shared" si="16"/>
        <v>24.649583092287262</v>
      </c>
      <c r="M122" s="2615">
        <f t="shared" si="16"/>
        <v>24.707911493183879</v>
      </c>
      <c r="N122" s="2615">
        <f t="shared" si="16"/>
        <v>21.755000000000003</v>
      </c>
      <c r="O122" s="2615">
        <f t="shared" si="16"/>
        <v>24.707911493183879</v>
      </c>
      <c r="P122" s="2616">
        <f t="shared" si="16"/>
        <v>14.036484091115524</v>
      </c>
      <c r="Q122" s="2617">
        <f>SUM(G122/B122)</f>
        <v>0.97287775778781493</v>
      </c>
      <c r="R122" s="2618">
        <f>SUM(H122/C122)</f>
        <v>0.97268754436597826</v>
      </c>
      <c r="S122" s="2618">
        <f>I122/D122</f>
        <v>1.0709186101856258</v>
      </c>
      <c r="T122" s="2619">
        <f>SUM(K122/F122)</f>
        <v>1.0357482365649784</v>
      </c>
      <c r="U122" s="2620">
        <f>SUM(L122/L82)</f>
        <v>1.0536711067640905</v>
      </c>
      <c r="V122" s="2621">
        <f>SUM(M122/M82)</f>
        <v>1.0599049244073468</v>
      </c>
      <c r="W122" s="2621">
        <f>SUM(N122/N82)</f>
        <v>1.1054369918699187</v>
      </c>
      <c r="X122" s="2622">
        <f>SUM(P122/P82)</f>
        <v>1.306128667268845</v>
      </c>
    </row>
    <row r="123" spans="1:24" ht="30" customHeight="1">
      <c r="A123" s="2613" t="s">
        <v>399</v>
      </c>
      <c r="B123" s="2614">
        <f>SUM(C123+F123)</f>
        <v>43279.170333333335</v>
      </c>
      <c r="C123" s="2615">
        <f>SUM(D123:E123)+D124</f>
        <v>43148.625</v>
      </c>
      <c r="D123" s="2615">
        <f>D122*D121</f>
        <v>25716.240000000002</v>
      </c>
      <c r="E123" s="2615">
        <f>E122*E121</f>
        <v>12487.425000000001</v>
      </c>
      <c r="F123" s="2616">
        <f>F122*F121</f>
        <v>130.54533333333333</v>
      </c>
      <c r="G123" s="2614">
        <f>SUM(L123-B123)</f>
        <v>42105.342192810254</v>
      </c>
      <c r="H123" s="2615">
        <f>SUM(M123-C123)</f>
        <v>41970.130094018459</v>
      </c>
      <c r="I123" s="2615">
        <f>I122*I121</f>
        <v>27540</v>
      </c>
      <c r="J123" s="2615">
        <f>SUM(J121*J122)</f>
        <v>12146.362758704327</v>
      </c>
      <c r="K123" s="2616">
        <f>SUM(P123-F123)</f>
        <v>135.21209879178727</v>
      </c>
      <c r="L123" s="2614">
        <f>SUM(стоки!BC90)</f>
        <v>85384.51252614359</v>
      </c>
      <c r="M123" s="2615">
        <f>SUM(стоки!BE90)</f>
        <v>85118.755094018459</v>
      </c>
      <c r="N123" s="2615">
        <f>SUM(D123+I123)</f>
        <v>53256.240000000005</v>
      </c>
      <c r="O123" s="2615">
        <f>SUM(E123+J123)</f>
        <v>24633.787758704326</v>
      </c>
      <c r="P123" s="2616">
        <f>SUM(стоки!BF90)</f>
        <v>265.7574321251206</v>
      </c>
      <c r="Q123" s="2614"/>
      <c r="R123" s="2623"/>
      <c r="S123" s="2623"/>
      <c r="T123" s="2624"/>
      <c r="U123" s="2625"/>
      <c r="V123" s="2623"/>
      <c r="W123" s="2623"/>
      <c r="X123" s="2624"/>
    </row>
    <row r="124" spans="1:24" ht="30" customHeight="1" thickBot="1">
      <c r="A124" s="2626" t="s">
        <v>401</v>
      </c>
      <c r="B124" s="2627">
        <f>SUM(C124:F124)</f>
        <v>4944.9599999999991</v>
      </c>
      <c r="C124" s="2628">
        <v>0</v>
      </c>
      <c r="D124" s="2628">
        <f>SUM(E122-D122)*D121</f>
        <v>4944.9599999999991</v>
      </c>
      <c r="E124" s="2628">
        <v>0</v>
      </c>
      <c r="F124" s="2629">
        <v>0</v>
      </c>
      <c r="G124" s="2627">
        <f>SUM(H124:K124)</f>
        <v>2283.7673353141345</v>
      </c>
      <c r="H124" s="2628">
        <v>0</v>
      </c>
      <c r="I124" s="2628">
        <f>SUM(H122-I122)*I121</f>
        <v>2283.7673353141345</v>
      </c>
      <c r="J124" s="2628">
        <v>0</v>
      </c>
      <c r="K124" s="2629">
        <v>0</v>
      </c>
      <c r="L124" s="2627">
        <f>SUM(M124:P124)</f>
        <v>7228.7273353141336</v>
      </c>
      <c r="M124" s="2628">
        <v>0</v>
      </c>
      <c r="N124" s="2628">
        <f>SUM(B124+G124)</f>
        <v>7228.7273353141336</v>
      </c>
      <c r="O124" s="2628">
        <v>0</v>
      </c>
      <c r="P124" s="2629">
        <v>0</v>
      </c>
      <c r="Q124" s="2627"/>
      <c r="R124" s="2630"/>
      <c r="S124" s="2630"/>
      <c r="T124" s="2631"/>
      <c r="U124" s="2632"/>
      <c r="V124" s="2630"/>
      <c r="W124" s="2630"/>
      <c r="X124" s="2631"/>
    </row>
    <row r="125" spans="1:24" ht="13.5" thickBot="1">
      <c r="A125" s="5810"/>
      <c r="B125" s="5811"/>
      <c r="C125" s="5811"/>
      <c r="D125" s="5811"/>
      <c r="E125" s="5811"/>
      <c r="F125" s="5811"/>
      <c r="G125" s="5811"/>
      <c r="H125" s="5811"/>
      <c r="I125" s="5811"/>
      <c r="J125" s="5811"/>
      <c r="K125" s="5811"/>
      <c r="L125" s="5811"/>
      <c r="M125" s="5811"/>
      <c r="N125" s="5811"/>
      <c r="O125" s="5811"/>
      <c r="P125" s="5811"/>
      <c r="Q125" s="5811"/>
      <c r="R125" s="5811"/>
      <c r="S125" s="5811"/>
      <c r="T125" s="5811"/>
      <c r="U125" s="5811"/>
      <c r="V125" s="5811"/>
      <c r="W125" s="5811"/>
      <c r="X125" s="5811"/>
    </row>
    <row r="126" spans="1:24" ht="27" thickBot="1">
      <c r="A126" s="5764" t="s">
        <v>1691</v>
      </c>
      <c r="B126" s="5765"/>
      <c r="C126" s="5765"/>
      <c r="D126" s="5765"/>
      <c r="E126" s="5765"/>
      <c r="F126" s="5765"/>
      <c r="G126" s="5765"/>
      <c r="H126" s="5765"/>
      <c r="I126" s="5765"/>
      <c r="J126" s="5765"/>
      <c r="K126" s="5765"/>
      <c r="L126" s="5765"/>
      <c r="M126" s="5765"/>
      <c r="N126" s="5765"/>
      <c r="O126" s="5765"/>
      <c r="P126" s="5765"/>
      <c r="Q126" s="5765"/>
      <c r="R126" s="5765"/>
      <c r="S126" s="5765"/>
      <c r="T126" s="5765"/>
      <c r="U126" s="5765"/>
      <c r="V126" s="5765"/>
      <c r="W126" s="5765"/>
      <c r="X126" s="5766"/>
    </row>
    <row r="127" spans="1:24" ht="30" customHeight="1" thickBot="1">
      <c r="A127" s="5084">
        <v>2016</v>
      </c>
      <c r="B127" s="5741" t="s">
        <v>1680</v>
      </c>
      <c r="C127" s="5741"/>
      <c r="D127" s="5741"/>
      <c r="E127" s="5741"/>
      <c r="F127" s="5741"/>
      <c r="G127" s="5741"/>
      <c r="H127" s="5741"/>
      <c r="I127" s="5741"/>
      <c r="J127" s="5741"/>
      <c r="K127" s="5741"/>
      <c r="L127" s="5741"/>
      <c r="M127" s="5741"/>
      <c r="N127" s="5741"/>
      <c r="O127" s="5741"/>
      <c r="P127" s="5742"/>
      <c r="Q127" s="5743" t="s">
        <v>407</v>
      </c>
      <c r="R127" s="5744"/>
      <c r="S127" s="5744"/>
      <c r="T127" s="5745"/>
      <c r="U127" s="5743" t="s">
        <v>408</v>
      </c>
      <c r="V127" s="5744"/>
      <c r="W127" s="5744"/>
      <c r="X127" s="5745"/>
    </row>
    <row r="128" spans="1:24" ht="30" customHeight="1" thickBot="1">
      <c r="A128" s="5739"/>
      <c r="B128" s="5749" t="s">
        <v>1692</v>
      </c>
      <c r="C128" s="5750"/>
      <c r="D128" s="5750"/>
      <c r="E128" s="5750"/>
      <c r="F128" s="5751"/>
      <c r="G128" s="5752" t="s">
        <v>1693</v>
      </c>
      <c r="H128" s="5753"/>
      <c r="I128" s="5753"/>
      <c r="J128" s="5753"/>
      <c r="K128" s="4996"/>
      <c r="L128" s="5752" t="s">
        <v>912</v>
      </c>
      <c r="M128" s="5753"/>
      <c r="N128" s="5753"/>
      <c r="O128" s="5753"/>
      <c r="P128" s="5754"/>
      <c r="Q128" s="5746"/>
      <c r="R128" s="5747"/>
      <c r="S128" s="5747"/>
      <c r="T128" s="5748"/>
      <c r="U128" s="5746"/>
      <c r="V128" s="5747"/>
      <c r="W128" s="5747"/>
      <c r="X128" s="5748"/>
    </row>
    <row r="129" spans="1:24" ht="30" customHeight="1">
      <c r="A129" s="5739"/>
      <c r="B129" s="5755" t="s">
        <v>301</v>
      </c>
      <c r="C129" s="5758" t="s">
        <v>50</v>
      </c>
      <c r="D129" s="5758"/>
      <c r="E129" s="5758"/>
      <c r="F129" s="5759"/>
      <c r="G129" s="5257" t="s">
        <v>301</v>
      </c>
      <c r="H129" s="5760" t="s">
        <v>50</v>
      </c>
      <c r="I129" s="5760"/>
      <c r="J129" s="5760"/>
      <c r="K129" s="5761"/>
      <c r="L129" s="5257" t="s">
        <v>301</v>
      </c>
      <c r="M129" s="5760" t="s">
        <v>50</v>
      </c>
      <c r="N129" s="5760"/>
      <c r="O129" s="5760"/>
      <c r="P129" s="5761"/>
      <c r="Q129" s="5257" t="s">
        <v>301</v>
      </c>
      <c r="R129" s="5762" t="s">
        <v>50</v>
      </c>
      <c r="S129" s="5762"/>
      <c r="T129" s="5763"/>
      <c r="U129" s="5257" t="s">
        <v>301</v>
      </c>
      <c r="V129" s="5762" t="s">
        <v>50</v>
      </c>
      <c r="W129" s="5762"/>
      <c r="X129" s="5763"/>
    </row>
    <row r="130" spans="1:24" ht="30" customHeight="1">
      <c r="A130" s="5739"/>
      <c r="B130" s="5756"/>
      <c r="C130" s="5733" t="s">
        <v>384</v>
      </c>
      <c r="D130" s="5735" t="s">
        <v>239</v>
      </c>
      <c r="E130" s="5735"/>
      <c r="F130" s="5804" t="s">
        <v>873</v>
      </c>
      <c r="G130" s="5756"/>
      <c r="H130" s="5733" t="s">
        <v>384</v>
      </c>
      <c r="I130" s="5735" t="s">
        <v>239</v>
      </c>
      <c r="J130" s="5735"/>
      <c r="K130" s="5804" t="s">
        <v>873</v>
      </c>
      <c r="L130" s="5756"/>
      <c r="M130" s="5733" t="s">
        <v>384</v>
      </c>
      <c r="N130" s="5735" t="s">
        <v>239</v>
      </c>
      <c r="O130" s="5735"/>
      <c r="P130" s="5804" t="s">
        <v>873</v>
      </c>
      <c r="Q130" s="5756"/>
      <c r="R130" s="5733" t="s">
        <v>384</v>
      </c>
      <c r="S130" s="5733"/>
      <c r="T130" s="5806" t="s">
        <v>873</v>
      </c>
      <c r="U130" s="5756"/>
      <c r="V130" s="5733" t="s">
        <v>384</v>
      </c>
      <c r="W130" s="5733"/>
      <c r="X130" s="5806" t="s">
        <v>873</v>
      </c>
    </row>
    <row r="131" spans="1:24" ht="30" customHeight="1" thickBot="1">
      <c r="A131" s="5740"/>
      <c r="B131" s="5757"/>
      <c r="C131" s="5734"/>
      <c r="D131" s="1551" t="s">
        <v>264</v>
      </c>
      <c r="E131" s="1551" t="s">
        <v>300</v>
      </c>
      <c r="F131" s="5805"/>
      <c r="G131" s="5757"/>
      <c r="H131" s="5734"/>
      <c r="I131" s="1551" t="s">
        <v>264</v>
      </c>
      <c r="J131" s="1551" t="s">
        <v>300</v>
      </c>
      <c r="K131" s="5805"/>
      <c r="L131" s="5757"/>
      <c r="M131" s="5734"/>
      <c r="N131" s="1551" t="s">
        <v>264</v>
      </c>
      <c r="O131" s="1551" t="s">
        <v>300</v>
      </c>
      <c r="P131" s="5805"/>
      <c r="Q131" s="5757"/>
      <c r="R131" s="1556" t="s">
        <v>874</v>
      </c>
      <c r="S131" s="1556" t="s">
        <v>264</v>
      </c>
      <c r="T131" s="5805"/>
      <c r="U131" s="5757"/>
      <c r="V131" s="1556" t="s">
        <v>874</v>
      </c>
      <c r="W131" s="1556" t="s">
        <v>264</v>
      </c>
      <c r="X131" s="5805"/>
    </row>
    <row r="132" spans="1:24" ht="30" customHeight="1">
      <c r="A132" s="1555" t="s">
        <v>397</v>
      </c>
      <c r="B132" s="1552">
        <f>SUM(объемы!AE48/2)</f>
        <v>1894.5</v>
      </c>
      <c r="C132" s="1553">
        <f>SUM(D132:E132)</f>
        <v>1885.5</v>
      </c>
      <c r="D132" s="1553">
        <f>SUM(объемы!AE49/2)</f>
        <v>1190</v>
      </c>
      <c r="E132" s="1553">
        <f>SUM(объемы!AE51+объемы!AE52)/2</f>
        <v>695.5</v>
      </c>
      <c r="F132" s="1554">
        <f>SUM(объемы!AE50)/2</f>
        <v>9</v>
      </c>
      <c r="G132" s="1552">
        <f>B132</f>
        <v>1894.5</v>
      </c>
      <c r="H132" s="1553">
        <f>C132</f>
        <v>1885.5</v>
      </c>
      <c r="I132" s="1553">
        <f>D132</f>
        <v>1190</v>
      </c>
      <c r="J132" s="1553">
        <f>E132</f>
        <v>695.5</v>
      </c>
      <c r="K132" s="1554">
        <f>F132</f>
        <v>9</v>
      </c>
      <c r="L132" s="1552">
        <f>SUM(B132+G132)</f>
        <v>3789</v>
      </c>
      <c r="M132" s="1553">
        <f>SUM(C132+H132)</f>
        <v>3771</v>
      </c>
      <c r="N132" s="1553">
        <f>SUM(D132+I132)</f>
        <v>2380</v>
      </c>
      <c r="O132" s="1553">
        <f>SUM(E132+J132)</f>
        <v>1391</v>
      </c>
      <c r="P132" s="1554">
        <f>SUM(F132+K132)</f>
        <v>18</v>
      </c>
      <c r="Q132" s="1552"/>
      <c r="R132" s="1588"/>
      <c r="S132" s="1588"/>
      <c r="T132" s="1589"/>
      <c r="U132" s="1590"/>
      <c r="V132" s="1588"/>
      <c r="W132" s="1588"/>
      <c r="X132" s="1589"/>
    </row>
    <row r="133" spans="1:24" ht="30" customHeight="1">
      <c r="A133" s="1538" t="s">
        <v>398</v>
      </c>
      <c r="B133" s="1544">
        <f>SUM(B134/B132)</f>
        <v>33.637249171226962</v>
      </c>
      <c r="C133" s="1545">
        <f>SUM(C134/C132)</f>
        <v>33.721159781585101</v>
      </c>
      <c r="D133" s="1545">
        <f>SUM(I49)</f>
        <v>27.8</v>
      </c>
      <c r="E133" s="1545">
        <f>SUM(J49)</f>
        <v>33.721159781585101</v>
      </c>
      <c r="F133" s="1546">
        <f>SUM(K49)</f>
        <v>16.057976301196952</v>
      </c>
      <c r="G133" s="1544">
        <f>SUM(G134/G132)</f>
        <v>43.9461586401057</v>
      </c>
      <c r="H133" s="1545">
        <f>H134/H132</f>
        <v>44.029335051583203</v>
      </c>
      <c r="I133" s="1545">
        <f>D133*1.2</f>
        <v>33.36</v>
      </c>
      <c r="J133" s="1545">
        <f>SUM(H133)</f>
        <v>44.029335051583203</v>
      </c>
      <c r="K133" s="1546">
        <f t="shared" ref="K133:P133" si="17">SUM(K134/K132)</f>
        <v>26.520700435568408</v>
      </c>
      <c r="L133" s="1544">
        <f t="shared" si="17"/>
        <v>38.791703905666331</v>
      </c>
      <c r="M133" s="1545">
        <f t="shared" si="17"/>
        <v>38.875247416584152</v>
      </c>
      <c r="N133" s="1545">
        <f t="shared" si="17"/>
        <v>30.58</v>
      </c>
      <c r="O133" s="1545">
        <f t="shared" si="17"/>
        <v>38.875247416584152</v>
      </c>
      <c r="P133" s="1546">
        <f t="shared" si="17"/>
        <v>21.28933836838268</v>
      </c>
      <c r="Q133" s="1547">
        <f>SUM(G133/B133)</f>
        <v>1.3064730238909339</v>
      </c>
      <c r="R133" s="1591">
        <f>SUM(H133/C133)</f>
        <v>1.3056886339842715</v>
      </c>
      <c r="S133" s="1591">
        <f>I133/D133</f>
        <v>1.2</v>
      </c>
      <c r="T133" s="1592">
        <f>SUM(K133/F133)</f>
        <v>1.6515593209333339</v>
      </c>
      <c r="U133" s="1593">
        <f>SUM(L133/L49)</f>
        <v>1.1924121337550726</v>
      </c>
      <c r="V133" s="1594">
        <f>SUM(M133/M49)</f>
        <v>1.191739924511797</v>
      </c>
      <c r="W133" s="1594">
        <f>SUM(N133/N49)</f>
        <v>1.1378604651162789</v>
      </c>
      <c r="X133" s="1595">
        <f>SUM(P133/P49)</f>
        <v>1.3256961253557737</v>
      </c>
    </row>
    <row r="134" spans="1:24" ht="30" customHeight="1">
      <c r="A134" s="1538" t="s">
        <v>399</v>
      </c>
      <c r="B134" s="1544">
        <f>SUM(C134+F134)</f>
        <v>63725.768554889473</v>
      </c>
      <c r="C134" s="1545">
        <f>SUM(D134:E134)+D135</f>
        <v>63581.246768178702</v>
      </c>
      <c r="D134" s="1545">
        <f>D133*D132</f>
        <v>33082</v>
      </c>
      <c r="E134" s="1545">
        <f>E133*E132</f>
        <v>23453.066628092438</v>
      </c>
      <c r="F134" s="1546">
        <f>F133*F132</f>
        <v>144.52178671077257</v>
      </c>
      <c r="G134" s="1544">
        <f>SUM(L134-B134)</f>
        <v>83255.997543680249</v>
      </c>
      <c r="H134" s="1545">
        <f>SUM(M134-C134)</f>
        <v>83017.311239760136</v>
      </c>
      <c r="I134" s="1545">
        <f>I133*I132</f>
        <v>39698.400000000001</v>
      </c>
      <c r="J134" s="1545">
        <f>SUM(J132*J133)</f>
        <v>30622.402528376118</v>
      </c>
      <c r="K134" s="1546">
        <f>SUM(P134-F134)</f>
        <v>238.68630392011568</v>
      </c>
      <c r="L134" s="1544">
        <f>SUM(вода!BU58)</f>
        <v>146981.76609856973</v>
      </c>
      <c r="M134" s="1545">
        <f>SUM(вода!BW58)</f>
        <v>146598.55800793885</v>
      </c>
      <c r="N134" s="1545">
        <f>SUM(D134+I134)</f>
        <v>72780.399999999994</v>
      </c>
      <c r="O134" s="1545">
        <f>SUM(E134+J134)</f>
        <v>54075.469156468556</v>
      </c>
      <c r="P134" s="1546">
        <f>SUM(вода!BX58)</f>
        <v>383.20809063088825</v>
      </c>
      <c r="Q134" s="1544"/>
      <c r="R134" s="1596"/>
      <c r="S134" s="1596"/>
      <c r="T134" s="1597"/>
      <c r="U134" s="1598"/>
      <c r="V134" s="1596"/>
      <c r="W134" s="1596"/>
      <c r="X134" s="1597"/>
    </row>
    <row r="135" spans="1:24" ht="30" customHeight="1" thickBot="1">
      <c r="A135" s="1539" t="s">
        <v>401</v>
      </c>
      <c r="B135" s="1548">
        <f>SUM(C135:F135)</f>
        <v>7046.1801400862687</v>
      </c>
      <c r="C135" s="1549">
        <v>0</v>
      </c>
      <c r="D135" s="1549">
        <f>SUM(E133-D133)*D132</f>
        <v>7046.1801400862687</v>
      </c>
      <c r="E135" s="1549">
        <v>0</v>
      </c>
      <c r="F135" s="1550">
        <v>0</v>
      </c>
      <c r="G135" s="1548">
        <f>SUM(H135:K135)</f>
        <v>12696.508711384013</v>
      </c>
      <c r="H135" s="1549">
        <v>0</v>
      </c>
      <c r="I135" s="1549">
        <f>SUM(H133-I133)*I132</f>
        <v>12696.508711384013</v>
      </c>
      <c r="J135" s="1549">
        <v>0</v>
      </c>
      <c r="K135" s="1550">
        <v>0</v>
      </c>
      <c r="L135" s="1548">
        <f>SUM(M135:P135)</f>
        <v>19742.68885147028</v>
      </c>
      <c r="M135" s="1549">
        <v>0</v>
      </c>
      <c r="N135" s="1549">
        <f>SUM(B135+G135)</f>
        <v>19742.68885147028</v>
      </c>
      <c r="O135" s="1549">
        <v>0</v>
      </c>
      <c r="P135" s="1550">
        <v>0</v>
      </c>
      <c r="Q135" s="1548"/>
      <c r="R135" s="1599"/>
      <c r="S135" s="1599"/>
      <c r="T135" s="1600"/>
      <c r="U135" s="1601"/>
      <c r="V135" s="1599"/>
      <c r="W135" s="1599"/>
      <c r="X135" s="1600"/>
    </row>
    <row r="136" spans="1:24" ht="13.5" thickBot="1">
      <c r="A136" s="5807"/>
      <c r="B136" s="5808"/>
      <c r="C136" s="5808"/>
      <c r="D136" s="5808"/>
      <c r="E136" s="5808"/>
      <c r="F136" s="5808"/>
      <c r="G136" s="5808"/>
      <c r="H136" s="5808"/>
      <c r="I136" s="5808"/>
      <c r="J136" s="5808"/>
      <c r="K136" s="5808"/>
      <c r="L136" s="5808"/>
      <c r="M136" s="5808"/>
      <c r="N136" s="5808"/>
      <c r="O136" s="5808"/>
      <c r="P136" s="5808"/>
      <c r="Q136" s="5808"/>
      <c r="R136" s="5808"/>
      <c r="S136" s="5808"/>
      <c r="T136" s="5808"/>
      <c r="U136" s="5808"/>
      <c r="V136" s="5808"/>
      <c r="W136" s="5808"/>
      <c r="X136" s="5809"/>
    </row>
    <row r="137" spans="1:24" ht="27" thickBot="1">
      <c r="A137" s="5801" t="s">
        <v>1694</v>
      </c>
      <c r="B137" s="5802"/>
      <c r="C137" s="5802"/>
      <c r="D137" s="5802"/>
      <c r="E137" s="5802"/>
      <c r="F137" s="5802"/>
      <c r="G137" s="5802"/>
      <c r="H137" s="5802"/>
      <c r="I137" s="5802"/>
      <c r="J137" s="5802"/>
      <c r="K137" s="5802"/>
      <c r="L137" s="5802"/>
      <c r="M137" s="5802"/>
      <c r="N137" s="5802"/>
      <c r="O137" s="5802"/>
      <c r="P137" s="5802"/>
      <c r="Q137" s="5802"/>
      <c r="R137" s="5802"/>
      <c r="S137" s="5802"/>
      <c r="T137" s="5802"/>
      <c r="U137" s="5802"/>
      <c r="V137" s="5802"/>
      <c r="W137" s="5802"/>
      <c r="X137" s="5803"/>
    </row>
    <row r="138" spans="1:24" ht="30" customHeight="1" thickBot="1">
      <c r="A138" s="5775">
        <v>2016</v>
      </c>
      <c r="B138" s="5778" t="s">
        <v>1681</v>
      </c>
      <c r="C138" s="5778"/>
      <c r="D138" s="5778"/>
      <c r="E138" s="5778"/>
      <c r="F138" s="5778"/>
      <c r="G138" s="5778"/>
      <c r="H138" s="5778"/>
      <c r="I138" s="5778"/>
      <c r="J138" s="5778"/>
      <c r="K138" s="5778"/>
      <c r="L138" s="5778"/>
      <c r="M138" s="5778"/>
      <c r="N138" s="5778"/>
      <c r="O138" s="5778"/>
      <c r="P138" s="5779"/>
      <c r="Q138" s="5780" t="s">
        <v>407</v>
      </c>
      <c r="R138" s="5781"/>
      <c r="S138" s="5781"/>
      <c r="T138" s="5782"/>
      <c r="U138" s="5780" t="s">
        <v>408</v>
      </c>
      <c r="V138" s="5781"/>
      <c r="W138" s="5781"/>
      <c r="X138" s="5782"/>
    </row>
    <row r="139" spans="1:24" ht="30" customHeight="1" thickBot="1">
      <c r="A139" s="5776"/>
      <c r="B139" s="5786" t="s">
        <v>871</v>
      </c>
      <c r="C139" s="5787"/>
      <c r="D139" s="5787"/>
      <c r="E139" s="5787"/>
      <c r="F139" s="5788"/>
      <c r="G139" s="5789" t="s">
        <v>1693</v>
      </c>
      <c r="H139" s="5790"/>
      <c r="I139" s="5790"/>
      <c r="J139" s="5790"/>
      <c r="K139" s="5791"/>
      <c r="L139" s="5789" t="s">
        <v>833</v>
      </c>
      <c r="M139" s="5790"/>
      <c r="N139" s="5790"/>
      <c r="O139" s="5790"/>
      <c r="P139" s="5792"/>
      <c r="Q139" s="5783"/>
      <c r="R139" s="5784"/>
      <c r="S139" s="5784"/>
      <c r="T139" s="5785"/>
      <c r="U139" s="5783"/>
      <c r="V139" s="5784"/>
      <c r="W139" s="5784"/>
      <c r="X139" s="5785"/>
    </row>
    <row r="140" spans="1:24" ht="30" customHeight="1">
      <c r="A140" s="5776"/>
      <c r="B140" s="5793" t="s">
        <v>301</v>
      </c>
      <c r="C140" s="5796" t="s">
        <v>50</v>
      </c>
      <c r="D140" s="5796"/>
      <c r="E140" s="5796"/>
      <c r="F140" s="5797"/>
      <c r="G140" s="5798" t="s">
        <v>301</v>
      </c>
      <c r="H140" s="5799" t="s">
        <v>50</v>
      </c>
      <c r="I140" s="5799"/>
      <c r="J140" s="5799"/>
      <c r="K140" s="5800"/>
      <c r="L140" s="5798" t="s">
        <v>301</v>
      </c>
      <c r="M140" s="5799" t="s">
        <v>50</v>
      </c>
      <c r="N140" s="5799"/>
      <c r="O140" s="5799"/>
      <c r="P140" s="5800"/>
      <c r="Q140" s="5798" t="s">
        <v>301</v>
      </c>
      <c r="R140" s="5767" t="s">
        <v>50</v>
      </c>
      <c r="S140" s="5767"/>
      <c r="T140" s="5768"/>
      <c r="U140" s="5798" t="s">
        <v>301</v>
      </c>
      <c r="V140" s="5767" t="s">
        <v>50</v>
      </c>
      <c r="W140" s="5767"/>
      <c r="X140" s="5768"/>
    </row>
    <row r="141" spans="1:24" ht="30" customHeight="1">
      <c r="A141" s="5776"/>
      <c r="B141" s="5794"/>
      <c r="C141" s="5769" t="s">
        <v>384</v>
      </c>
      <c r="D141" s="5771" t="s">
        <v>239</v>
      </c>
      <c r="E141" s="5771"/>
      <c r="F141" s="5772" t="s">
        <v>873</v>
      </c>
      <c r="G141" s="5794"/>
      <c r="H141" s="5769" t="s">
        <v>384</v>
      </c>
      <c r="I141" s="5771" t="s">
        <v>239</v>
      </c>
      <c r="J141" s="5771"/>
      <c r="K141" s="5772" t="s">
        <v>873</v>
      </c>
      <c r="L141" s="5794"/>
      <c r="M141" s="5769" t="s">
        <v>384</v>
      </c>
      <c r="N141" s="5771" t="s">
        <v>239</v>
      </c>
      <c r="O141" s="5771"/>
      <c r="P141" s="5772" t="s">
        <v>873</v>
      </c>
      <c r="Q141" s="5794"/>
      <c r="R141" s="5769" t="s">
        <v>384</v>
      </c>
      <c r="S141" s="5769"/>
      <c r="T141" s="5774" t="s">
        <v>873</v>
      </c>
      <c r="U141" s="5794"/>
      <c r="V141" s="5769" t="s">
        <v>384</v>
      </c>
      <c r="W141" s="5769"/>
      <c r="X141" s="5774" t="s">
        <v>873</v>
      </c>
    </row>
    <row r="142" spans="1:24" ht="30" customHeight="1" thickBot="1">
      <c r="A142" s="5777"/>
      <c r="B142" s="5795"/>
      <c r="C142" s="5770"/>
      <c r="D142" s="1560" t="s">
        <v>264</v>
      </c>
      <c r="E142" s="1560" t="s">
        <v>300</v>
      </c>
      <c r="F142" s="5773"/>
      <c r="G142" s="5795"/>
      <c r="H142" s="5770"/>
      <c r="I142" s="1560" t="s">
        <v>264</v>
      </c>
      <c r="J142" s="1560" t="s">
        <v>300</v>
      </c>
      <c r="K142" s="5773"/>
      <c r="L142" s="5795"/>
      <c r="M142" s="5770"/>
      <c r="N142" s="1560" t="s">
        <v>264</v>
      </c>
      <c r="O142" s="1560" t="s">
        <v>300</v>
      </c>
      <c r="P142" s="5773"/>
      <c r="Q142" s="5795"/>
      <c r="R142" s="1560" t="s">
        <v>874</v>
      </c>
      <c r="S142" s="1560" t="s">
        <v>264</v>
      </c>
      <c r="T142" s="5773"/>
      <c r="U142" s="5795"/>
      <c r="V142" s="1560" t="s">
        <v>874</v>
      </c>
      <c r="W142" s="1560" t="s">
        <v>264</v>
      </c>
      <c r="X142" s="5773"/>
    </row>
    <row r="143" spans="1:24" ht="30" customHeight="1">
      <c r="A143" s="1561" t="s">
        <v>397</v>
      </c>
      <c r="B143" s="2607">
        <f>SUM(объемы!AF48)/2</f>
        <v>1895.6745000000001</v>
      </c>
      <c r="C143" s="2608">
        <f>SUM(D143:E143)</f>
        <v>1885.5</v>
      </c>
      <c r="D143" s="2608">
        <f>SUM(объемы!AF49)/2</f>
        <v>1190</v>
      </c>
      <c r="E143" s="2608">
        <f>SUM(объемы!AF51+объемы!AF52)/2</f>
        <v>695.5</v>
      </c>
      <c r="F143" s="2609">
        <f>SUM(объемы!AF50)/2</f>
        <v>10.1745</v>
      </c>
      <c r="G143" s="2607">
        <f>B143</f>
        <v>1895.6745000000001</v>
      </c>
      <c r="H143" s="2608">
        <f>C143</f>
        <v>1885.5</v>
      </c>
      <c r="I143" s="2608">
        <f>D143</f>
        <v>1190</v>
      </c>
      <c r="J143" s="2608">
        <f>E143</f>
        <v>695.5</v>
      </c>
      <c r="K143" s="2609">
        <f>F143</f>
        <v>10.1745</v>
      </c>
      <c r="L143" s="2607">
        <f>SUM(B143+G143)</f>
        <v>3791.3490000000002</v>
      </c>
      <c r="M143" s="2608">
        <f>SUM(C143+H143)</f>
        <v>3771</v>
      </c>
      <c r="N143" s="2608">
        <f>SUM(D143+I143)</f>
        <v>2380</v>
      </c>
      <c r="O143" s="2608">
        <f>SUM(E143+J143)</f>
        <v>1391</v>
      </c>
      <c r="P143" s="2609">
        <f>SUM(F143+K143)</f>
        <v>20.349</v>
      </c>
      <c r="Q143" s="2607"/>
      <c r="R143" s="2610"/>
      <c r="S143" s="2610"/>
      <c r="T143" s="2611"/>
      <c r="U143" s="2612"/>
      <c r="V143" s="2610"/>
      <c r="W143" s="2610"/>
      <c r="X143" s="2611"/>
    </row>
    <row r="144" spans="1:24" ht="30" customHeight="1">
      <c r="A144" s="1568" t="s">
        <v>398</v>
      </c>
      <c r="B144" s="2614">
        <f>SUM(B145/B143)</f>
        <v>33.626357609418299</v>
      </c>
      <c r="C144" s="2615">
        <f>SUM(C145/C143)</f>
        <v>33.721159781585101</v>
      </c>
      <c r="D144" s="2615">
        <f>SUM(I49)</f>
        <v>27.8</v>
      </c>
      <c r="E144" s="2615">
        <f>SUM(J49)</f>
        <v>33.721159781585101</v>
      </c>
      <c r="F144" s="2616">
        <f>SUM(K49)</f>
        <v>16.057976301196952</v>
      </c>
      <c r="G144" s="2614">
        <f>SUM(G145/G143)</f>
        <v>35.938340663960986</v>
      </c>
      <c r="H144" s="2615">
        <f>H145/H143</f>
        <v>36.035487031675899</v>
      </c>
      <c r="I144" s="2615">
        <v>0</v>
      </c>
      <c r="J144" s="2615">
        <f>SUM(H144)</f>
        <v>36.035487031675899</v>
      </c>
      <c r="K144" s="2616">
        <f t="shared" ref="K144:P144" si="18">SUM(K145/K143)</f>
        <v>17.936048242925157</v>
      </c>
      <c r="L144" s="2614">
        <f t="shared" si="18"/>
        <v>34.782349136689639</v>
      </c>
      <c r="M144" s="2615">
        <f t="shared" si="18"/>
        <v>34.8783234066305</v>
      </c>
      <c r="N144" s="2615">
        <f t="shared" si="18"/>
        <v>13.9</v>
      </c>
      <c r="O144" s="2615">
        <f t="shared" si="18"/>
        <v>34.8783234066305</v>
      </c>
      <c r="P144" s="2616">
        <f t="shared" si="18"/>
        <v>16.997012272061053</v>
      </c>
      <c r="Q144" s="2617">
        <f>SUM(G144/B144)</f>
        <v>1.0687550843715268</v>
      </c>
      <c r="R144" s="2618">
        <f>SUM(H144/C144)</f>
        <v>1.0686313064283939</v>
      </c>
      <c r="S144" s="2618">
        <f>I144/D144</f>
        <v>0</v>
      </c>
      <c r="T144" s="2619">
        <f>SUM(K144/F144)</f>
        <v>1.1169557051587014</v>
      </c>
      <c r="U144" s="2620">
        <f>SUM(L144/L49)</f>
        <v>1.0691692030840576</v>
      </c>
      <c r="V144" s="2621">
        <f>SUM(M144/M49)</f>
        <v>1.0692122434180031</v>
      </c>
      <c r="W144" s="2621">
        <f>SUM(N144/N49)</f>
        <v>0.51720930232558138</v>
      </c>
      <c r="X144" s="2622">
        <f>SUM(P144/P49)</f>
        <v>1.058411159698603</v>
      </c>
    </row>
    <row r="145" spans="1:24" ht="30" customHeight="1">
      <c r="A145" s="1568" t="s">
        <v>399</v>
      </c>
      <c r="B145" s="2614">
        <f>SUM(C145+F145)</f>
        <v>63744.62864805523</v>
      </c>
      <c r="C145" s="2615">
        <f>SUM(D145:E145)+D146</f>
        <v>63581.246768178702</v>
      </c>
      <c r="D145" s="2615">
        <f>D144*D143</f>
        <v>33082</v>
      </c>
      <c r="E145" s="2615">
        <f>E144*E143</f>
        <v>23453.066628092438</v>
      </c>
      <c r="F145" s="2616">
        <f>F144*F143</f>
        <v>163.38187987652839</v>
      </c>
      <c r="G145" s="2614">
        <f>SUM(L145-B145)</f>
        <v>68127.39596898391</v>
      </c>
      <c r="H145" s="2615">
        <f>SUM(M145-C145)</f>
        <v>67944.910798224912</v>
      </c>
      <c r="I145" s="2615">
        <f>I144*I143</f>
        <v>0</v>
      </c>
      <c r="J145" s="2615">
        <f>SUM(J143*J144)</f>
        <v>25062.681230530587</v>
      </c>
      <c r="K145" s="2616">
        <f>SUM(P145-F145)</f>
        <v>182.49032284764201</v>
      </c>
      <c r="L145" s="2614">
        <f>SUM(вода!BY58)</f>
        <v>131872.02461703913</v>
      </c>
      <c r="M145" s="2615">
        <f>SUM(вода!CA58)</f>
        <v>131526.15756640362</v>
      </c>
      <c r="N145" s="2615">
        <f>SUM(D145+I145)</f>
        <v>33082</v>
      </c>
      <c r="O145" s="2615">
        <f>SUM(E145+J145)</f>
        <v>48515.747858623028</v>
      </c>
      <c r="P145" s="2616">
        <f>SUM(вода!CB58)</f>
        <v>345.87220272417039</v>
      </c>
      <c r="Q145" s="2614"/>
      <c r="R145" s="2623"/>
      <c r="S145" s="2623"/>
      <c r="T145" s="2624"/>
      <c r="U145" s="2625"/>
      <c r="V145" s="2623"/>
      <c r="W145" s="2623"/>
      <c r="X145" s="2624"/>
    </row>
    <row r="146" spans="1:24" ht="30" customHeight="1" thickBot="1">
      <c r="A146" s="1581" t="s">
        <v>401</v>
      </c>
      <c r="B146" s="2627">
        <f>SUM(C146:F146)</f>
        <v>7046.1801400862687</v>
      </c>
      <c r="C146" s="2628">
        <v>0</v>
      </c>
      <c r="D146" s="2628">
        <f>SUM(E144-D144)*D143</f>
        <v>7046.1801400862687</v>
      </c>
      <c r="E146" s="2628">
        <v>0</v>
      </c>
      <c r="F146" s="2629">
        <v>0</v>
      </c>
      <c r="G146" s="2627">
        <f>SUM(H146:K146)</f>
        <v>42882.229567694318</v>
      </c>
      <c r="H146" s="2628">
        <v>0</v>
      </c>
      <c r="I146" s="2628">
        <f>SUM(H144-I144)*I143</f>
        <v>42882.229567694318</v>
      </c>
      <c r="J146" s="2628">
        <v>0</v>
      </c>
      <c r="K146" s="2629">
        <v>0</v>
      </c>
      <c r="L146" s="2627">
        <f>SUM(M146:P146)</f>
        <v>49928.409707780585</v>
      </c>
      <c r="M146" s="2628">
        <v>0</v>
      </c>
      <c r="N146" s="2628">
        <f>SUM(B146+G146)</f>
        <v>49928.409707780585</v>
      </c>
      <c r="O146" s="2628">
        <v>0</v>
      </c>
      <c r="P146" s="2629">
        <v>0</v>
      </c>
      <c r="Q146" s="2627"/>
      <c r="R146" s="2630"/>
      <c r="S146" s="2630"/>
      <c r="T146" s="2631"/>
      <c r="U146" s="2632"/>
      <c r="V146" s="2630"/>
      <c r="W146" s="2630"/>
      <c r="X146" s="2631"/>
    </row>
    <row r="147" spans="1:24" ht="13.5" thickBot="1">
      <c r="A147" s="5736"/>
      <c r="B147" s="5737"/>
      <c r="C147" s="5737"/>
      <c r="D147" s="5737"/>
      <c r="E147" s="5737"/>
      <c r="F147" s="5737"/>
      <c r="G147" s="5737"/>
      <c r="H147" s="5737"/>
      <c r="I147" s="5737"/>
      <c r="J147" s="5737"/>
      <c r="K147" s="5737"/>
      <c r="L147" s="5737"/>
      <c r="M147" s="5737"/>
      <c r="N147" s="5737"/>
      <c r="O147" s="5737"/>
      <c r="P147" s="5737"/>
      <c r="Q147" s="5737"/>
      <c r="R147" s="5737"/>
      <c r="S147" s="5737"/>
      <c r="T147" s="5737"/>
      <c r="U147" s="5737"/>
      <c r="V147" s="5737"/>
      <c r="W147" s="5737"/>
      <c r="X147" s="5738"/>
    </row>
    <row r="148" spans="1:24" ht="27" thickBot="1">
      <c r="A148" s="5764" t="s">
        <v>1695</v>
      </c>
      <c r="B148" s="5765"/>
      <c r="C148" s="5765"/>
      <c r="D148" s="5765"/>
      <c r="E148" s="5765"/>
      <c r="F148" s="5765"/>
      <c r="G148" s="5765"/>
      <c r="H148" s="5765"/>
      <c r="I148" s="5765"/>
      <c r="J148" s="5765"/>
      <c r="K148" s="5765"/>
      <c r="L148" s="5765"/>
      <c r="M148" s="5765"/>
      <c r="N148" s="5765"/>
      <c r="O148" s="5765"/>
      <c r="P148" s="5765"/>
      <c r="Q148" s="5765"/>
      <c r="R148" s="5765"/>
      <c r="S148" s="5765"/>
      <c r="T148" s="5765"/>
      <c r="U148" s="5765"/>
      <c r="V148" s="5765"/>
      <c r="W148" s="5765"/>
      <c r="X148" s="5766"/>
    </row>
    <row r="149" spans="1:24" ht="30" customHeight="1" thickBot="1">
      <c r="A149" s="5084">
        <v>2016</v>
      </c>
      <c r="B149" s="5741" t="s">
        <v>1680</v>
      </c>
      <c r="C149" s="5741"/>
      <c r="D149" s="5741"/>
      <c r="E149" s="5741"/>
      <c r="F149" s="5741"/>
      <c r="G149" s="5741"/>
      <c r="H149" s="5741"/>
      <c r="I149" s="5741"/>
      <c r="J149" s="5741"/>
      <c r="K149" s="5741"/>
      <c r="L149" s="5741"/>
      <c r="M149" s="5741"/>
      <c r="N149" s="5741"/>
      <c r="O149" s="5741"/>
      <c r="P149" s="5742"/>
      <c r="Q149" s="5743" t="s">
        <v>407</v>
      </c>
      <c r="R149" s="5744"/>
      <c r="S149" s="5744"/>
      <c r="T149" s="5745"/>
      <c r="U149" s="5743" t="s">
        <v>408</v>
      </c>
      <c r="V149" s="5744"/>
      <c r="W149" s="5744"/>
      <c r="X149" s="5745"/>
    </row>
    <row r="150" spans="1:24" ht="30" customHeight="1" thickBot="1">
      <c r="A150" s="5739"/>
      <c r="B150" s="5749" t="s">
        <v>1692</v>
      </c>
      <c r="C150" s="5750"/>
      <c r="D150" s="5750"/>
      <c r="E150" s="5750"/>
      <c r="F150" s="5751"/>
      <c r="G150" s="5752" t="s">
        <v>1693</v>
      </c>
      <c r="H150" s="5753"/>
      <c r="I150" s="5753"/>
      <c r="J150" s="5753"/>
      <c r="K150" s="4996"/>
      <c r="L150" s="5752" t="s">
        <v>912</v>
      </c>
      <c r="M150" s="5753"/>
      <c r="N150" s="5753"/>
      <c r="O150" s="5753"/>
      <c r="P150" s="5754"/>
      <c r="Q150" s="5746"/>
      <c r="R150" s="5747"/>
      <c r="S150" s="5747"/>
      <c r="T150" s="5748"/>
      <c r="U150" s="5746"/>
      <c r="V150" s="5747"/>
      <c r="W150" s="5747"/>
      <c r="X150" s="5748"/>
    </row>
    <row r="151" spans="1:24" ht="30" customHeight="1">
      <c r="A151" s="5739"/>
      <c r="B151" s="5755" t="s">
        <v>301</v>
      </c>
      <c r="C151" s="5758" t="s">
        <v>50</v>
      </c>
      <c r="D151" s="5758"/>
      <c r="E151" s="5758"/>
      <c r="F151" s="5759"/>
      <c r="G151" s="5257" t="s">
        <v>301</v>
      </c>
      <c r="H151" s="5760" t="s">
        <v>50</v>
      </c>
      <c r="I151" s="5760"/>
      <c r="J151" s="5760"/>
      <c r="K151" s="5761"/>
      <c r="L151" s="5257" t="s">
        <v>301</v>
      </c>
      <c r="M151" s="5760" t="s">
        <v>50</v>
      </c>
      <c r="N151" s="5760"/>
      <c r="O151" s="5760"/>
      <c r="P151" s="5761"/>
      <c r="Q151" s="5257" t="s">
        <v>301</v>
      </c>
      <c r="R151" s="5762" t="s">
        <v>50</v>
      </c>
      <c r="S151" s="5762"/>
      <c r="T151" s="5763"/>
      <c r="U151" s="5257" t="s">
        <v>301</v>
      </c>
      <c r="V151" s="5762" t="s">
        <v>50</v>
      </c>
      <c r="W151" s="5762"/>
      <c r="X151" s="5763"/>
    </row>
    <row r="152" spans="1:24" ht="30" customHeight="1">
      <c r="A152" s="5739"/>
      <c r="B152" s="5756"/>
      <c r="C152" s="5733" t="s">
        <v>331</v>
      </c>
      <c r="D152" s="5735" t="s">
        <v>239</v>
      </c>
      <c r="E152" s="5735"/>
      <c r="F152" s="5729" t="s">
        <v>881</v>
      </c>
      <c r="G152" s="5756"/>
      <c r="H152" s="5733" t="s">
        <v>331</v>
      </c>
      <c r="I152" s="5735" t="s">
        <v>239</v>
      </c>
      <c r="J152" s="5735"/>
      <c r="K152" s="5729" t="s">
        <v>881</v>
      </c>
      <c r="L152" s="5756"/>
      <c r="M152" s="5733" t="s">
        <v>331</v>
      </c>
      <c r="N152" s="5735" t="s">
        <v>239</v>
      </c>
      <c r="O152" s="5735"/>
      <c r="P152" s="5729" t="s">
        <v>881</v>
      </c>
      <c r="Q152" s="5756"/>
      <c r="R152" s="5733" t="s">
        <v>331</v>
      </c>
      <c r="S152" s="5733"/>
      <c r="T152" s="5729" t="s">
        <v>881</v>
      </c>
      <c r="U152" s="5756"/>
      <c r="V152" s="5733" t="s">
        <v>331</v>
      </c>
      <c r="W152" s="5733"/>
      <c r="X152" s="5729" t="s">
        <v>881</v>
      </c>
    </row>
    <row r="153" spans="1:24" ht="30" customHeight="1" thickBot="1">
      <c r="A153" s="5740"/>
      <c r="B153" s="5757"/>
      <c r="C153" s="5734"/>
      <c r="D153" s="1551" t="s">
        <v>264</v>
      </c>
      <c r="E153" s="1551" t="s">
        <v>300</v>
      </c>
      <c r="F153" s="4441"/>
      <c r="G153" s="5757"/>
      <c r="H153" s="5734"/>
      <c r="I153" s="1551" t="s">
        <v>264</v>
      </c>
      <c r="J153" s="1551" t="s">
        <v>300</v>
      </c>
      <c r="K153" s="4441"/>
      <c r="L153" s="5757"/>
      <c r="M153" s="5734"/>
      <c r="N153" s="1551" t="s">
        <v>264</v>
      </c>
      <c r="O153" s="1551" t="s">
        <v>300</v>
      </c>
      <c r="P153" s="4441"/>
      <c r="Q153" s="5757"/>
      <c r="R153" s="1556" t="s">
        <v>874</v>
      </c>
      <c r="S153" s="1556" t="s">
        <v>264</v>
      </c>
      <c r="T153" s="4441"/>
      <c r="U153" s="5757"/>
      <c r="V153" s="1556" t="s">
        <v>874</v>
      </c>
      <c r="W153" s="1556" t="s">
        <v>264</v>
      </c>
      <c r="X153" s="4441"/>
    </row>
    <row r="154" spans="1:24" ht="30" customHeight="1">
      <c r="A154" s="3453" t="s">
        <v>397</v>
      </c>
      <c r="B154" s="1552">
        <f>SUM(объемы!AE57)/2</f>
        <v>1611.5</v>
      </c>
      <c r="C154" s="1553">
        <f>SUM(D154:E154)</f>
        <v>1600</v>
      </c>
      <c r="D154" s="1553">
        <f>SUM(объемы!AE58/2)</f>
        <v>1150</v>
      </c>
      <c r="E154" s="1553">
        <f>SUM(объемы!AE59)/2</f>
        <v>450</v>
      </c>
      <c r="F154" s="1554">
        <f>SUM(объемы!AE60)/2</f>
        <v>11.5</v>
      </c>
      <c r="G154" s="1552">
        <f>B154</f>
        <v>1611.5</v>
      </c>
      <c r="H154" s="1553">
        <f>C154</f>
        <v>1600</v>
      </c>
      <c r="I154" s="1553">
        <f>D154</f>
        <v>1150</v>
      </c>
      <c r="J154" s="1553">
        <f>E154</f>
        <v>450</v>
      </c>
      <c r="K154" s="1554">
        <f>F154</f>
        <v>11.5</v>
      </c>
      <c r="L154" s="1552">
        <f>SUM(B154+G154)</f>
        <v>3223</v>
      </c>
      <c r="M154" s="1553">
        <f>SUM(C154+H154)</f>
        <v>3200</v>
      </c>
      <c r="N154" s="1553">
        <f>SUM(D154+I154)</f>
        <v>2300</v>
      </c>
      <c r="O154" s="1553">
        <f>SUM(E154+J154)</f>
        <v>900</v>
      </c>
      <c r="P154" s="1554">
        <f>SUM(F154+K154)</f>
        <v>23</v>
      </c>
      <c r="Q154" s="1552"/>
      <c r="R154" s="1588"/>
      <c r="S154" s="1588"/>
      <c r="T154" s="1589"/>
      <c r="U154" s="1590"/>
      <c r="V154" s="1588"/>
      <c r="W154" s="1588"/>
      <c r="X154" s="1589"/>
    </row>
    <row r="155" spans="1:24" ht="30" customHeight="1">
      <c r="A155" s="3454" t="s">
        <v>398</v>
      </c>
      <c r="B155" s="1544">
        <f>SUM(B156/B154)</f>
        <v>25.048121857289043</v>
      </c>
      <c r="C155" s="1545">
        <f>SUM(C156/C154)</f>
        <v>25.125496399328522</v>
      </c>
      <c r="D155" s="1545">
        <f>SUM(I112)</f>
        <v>22.5</v>
      </c>
      <c r="E155" s="1545">
        <f>SUM(J112)</f>
        <v>25.125496399328522</v>
      </c>
      <c r="F155" s="1546">
        <f>SUM(K112)</f>
        <v>14.28296818223105</v>
      </c>
      <c r="G155" s="1544">
        <f>SUM(G156/G154)</f>
        <v>30.824343124549614</v>
      </c>
      <c r="H155" s="1545">
        <f>H156/H154</f>
        <v>30.926504742453528</v>
      </c>
      <c r="I155" s="1545">
        <f>D155*1.2</f>
        <v>27</v>
      </c>
      <c r="J155" s="1545">
        <f>SUM(H155)</f>
        <v>30.926504742453528</v>
      </c>
      <c r="K155" s="1546">
        <f t="shared" ref="K155:P155" si="19">SUM(K156/K154)</f>
        <v>16.610552807483263</v>
      </c>
      <c r="L155" s="1544">
        <f t="shared" si="19"/>
        <v>27.936232490919327</v>
      </c>
      <c r="M155" s="1545">
        <f t="shared" si="19"/>
        <v>28.026000570891025</v>
      </c>
      <c r="N155" s="1545">
        <f t="shared" si="19"/>
        <v>24.75</v>
      </c>
      <c r="O155" s="1545">
        <f t="shared" si="19"/>
        <v>28.026000570891021</v>
      </c>
      <c r="P155" s="1546">
        <f t="shared" si="19"/>
        <v>15.446760494857156</v>
      </c>
      <c r="Q155" s="1547">
        <f>SUM(G155/B155)</f>
        <v>1.2306049651215538</v>
      </c>
      <c r="R155" s="1591">
        <f>SUM(H155/C155)</f>
        <v>1.2308813426380718</v>
      </c>
      <c r="S155" s="1591">
        <f>I155/D155</f>
        <v>1.2</v>
      </c>
      <c r="T155" s="1592">
        <f>SUM(K155/F155)</f>
        <v>1.162962249551734</v>
      </c>
      <c r="U155" s="1593">
        <f>SUM(L155/L112)</f>
        <v>1.1333229420589381</v>
      </c>
      <c r="V155" s="1594">
        <f>SUM(M155/M112)</f>
        <v>1.1342805825525994</v>
      </c>
      <c r="W155" s="1594">
        <f>SUM(N155/N112)</f>
        <v>1.1376695012640772</v>
      </c>
      <c r="X155" s="1595">
        <f>SUM(P155/P112)</f>
        <v>1.1004721976377456</v>
      </c>
    </row>
    <row r="156" spans="1:24" ht="30" customHeight="1">
      <c r="A156" s="3454" t="s">
        <v>399</v>
      </c>
      <c r="B156" s="1544">
        <f>SUM(C156+F156)</f>
        <v>40365.048373021295</v>
      </c>
      <c r="C156" s="1545">
        <f>SUM(D156:E156)+D157</f>
        <v>40200.794238925635</v>
      </c>
      <c r="D156" s="1545">
        <f>D155*D154</f>
        <v>25875</v>
      </c>
      <c r="E156" s="1545">
        <f>E155*E154</f>
        <v>11306.473379697834</v>
      </c>
      <c r="F156" s="1546">
        <f>F155*F154</f>
        <v>164.25413409565707</v>
      </c>
      <c r="G156" s="1544">
        <f>SUM(L156-B156)</f>
        <v>49673.428945211701</v>
      </c>
      <c r="H156" s="1545">
        <f>SUM(M156-C156)</f>
        <v>49482.407587925642</v>
      </c>
      <c r="I156" s="1545">
        <f>I155*I154</f>
        <v>31050</v>
      </c>
      <c r="J156" s="1545">
        <f>SUM(J154*J155)</f>
        <v>13916.927134104088</v>
      </c>
      <c r="K156" s="1546">
        <f>SUM(P156-F156)</f>
        <v>191.02135728605751</v>
      </c>
      <c r="L156" s="1544">
        <f>SUM(стоки!BQ62)</f>
        <v>90038.477318232995</v>
      </c>
      <c r="M156" s="1545">
        <f>SUM(стоки!BS62)</f>
        <v>89683.201826851277</v>
      </c>
      <c r="N156" s="1545">
        <f>SUM(D156+I156)</f>
        <v>56925</v>
      </c>
      <c r="O156" s="1545">
        <f>SUM(E156+J156)</f>
        <v>25223.40051380192</v>
      </c>
      <c r="P156" s="1546">
        <f>SUM(стоки!BT62)</f>
        <v>355.27549138171457</v>
      </c>
      <c r="Q156" s="1544"/>
      <c r="R156" s="1596"/>
      <c r="S156" s="1596"/>
      <c r="T156" s="1597"/>
      <c r="U156" s="1598"/>
      <c r="V156" s="1596"/>
      <c r="W156" s="1596"/>
      <c r="X156" s="1597"/>
    </row>
    <row r="157" spans="1:24" ht="30" customHeight="1" thickBot="1">
      <c r="A157" s="3455" t="s">
        <v>401</v>
      </c>
      <c r="B157" s="1548">
        <f>SUM(C157:F157)</f>
        <v>3019.3208592278006</v>
      </c>
      <c r="C157" s="1549">
        <v>0</v>
      </c>
      <c r="D157" s="1549">
        <f>SUM(E155-D155)*D154</f>
        <v>3019.3208592278006</v>
      </c>
      <c r="E157" s="1549">
        <v>0</v>
      </c>
      <c r="F157" s="1550">
        <v>0</v>
      </c>
      <c r="G157" s="1548">
        <f>SUM(H157:K157)</f>
        <v>4515.4804538215567</v>
      </c>
      <c r="H157" s="1549">
        <v>0</v>
      </c>
      <c r="I157" s="1549">
        <f>SUM(H155-I155)*I154</f>
        <v>4515.4804538215567</v>
      </c>
      <c r="J157" s="1549">
        <v>0</v>
      </c>
      <c r="K157" s="1550">
        <v>0</v>
      </c>
      <c r="L157" s="1548">
        <f>SUM(M157:P157)</f>
        <v>7534.8013130493573</v>
      </c>
      <c r="M157" s="1549">
        <v>0</v>
      </c>
      <c r="N157" s="1549">
        <f>SUM(B157+G157)</f>
        <v>7534.8013130493573</v>
      </c>
      <c r="O157" s="1549">
        <v>0</v>
      </c>
      <c r="P157" s="1550">
        <v>0</v>
      </c>
      <c r="Q157" s="1548"/>
      <c r="R157" s="1599"/>
      <c r="S157" s="1599"/>
      <c r="T157" s="1600"/>
      <c r="U157" s="1601"/>
      <c r="V157" s="1599"/>
      <c r="W157" s="1599"/>
      <c r="X157" s="1600"/>
    </row>
    <row r="158" spans="1:24" ht="13.5" thickBot="1">
      <c r="A158" s="5736"/>
      <c r="B158" s="5737"/>
      <c r="C158" s="5737"/>
      <c r="D158" s="5737"/>
      <c r="E158" s="5737"/>
      <c r="F158" s="5737"/>
      <c r="G158" s="5737"/>
      <c r="H158" s="5737"/>
      <c r="I158" s="5737"/>
      <c r="J158" s="5737"/>
      <c r="K158" s="5737"/>
      <c r="L158" s="5737"/>
      <c r="M158" s="5737"/>
      <c r="N158" s="5737"/>
      <c r="O158" s="5737"/>
      <c r="P158" s="5737"/>
      <c r="Q158" s="5737"/>
      <c r="R158" s="5737"/>
      <c r="S158" s="5737"/>
      <c r="T158" s="5737"/>
      <c r="U158" s="5737"/>
      <c r="V158" s="5737"/>
      <c r="W158" s="5737"/>
      <c r="X158" s="5738"/>
    </row>
    <row r="159" spans="1:24" ht="27" thickBot="1">
      <c r="A159" s="5730" t="s">
        <v>1696</v>
      </c>
      <c r="B159" s="5731"/>
      <c r="C159" s="5731"/>
      <c r="D159" s="5731"/>
      <c r="E159" s="5731"/>
      <c r="F159" s="5731"/>
      <c r="G159" s="5731"/>
      <c r="H159" s="5731"/>
      <c r="I159" s="5731"/>
      <c r="J159" s="5731"/>
      <c r="K159" s="5731"/>
      <c r="L159" s="5731"/>
      <c r="M159" s="5731"/>
      <c r="N159" s="5731"/>
      <c r="O159" s="5731"/>
      <c r="P159" s="5731"/>
      <c r="Q159" s="5731"/>
      <c r="R159" s="5731"/>
      <c r="S159" s="5731"/>
      <c r="T159" s="5731"/>
      <c r="U159" s="5731"/>
      <c r="V159" s="5731"/>
      <c r="W159" s="5731"/>
      <c r="X159" s="5732"/>
    </row>
    <row r="160" spans="1:24" ht="30" customHeight="1" thickBot="1">
      <c r="A160" s="5701">
        <v>2016</v>
      </c>
      <c r="B160" s="5704" t="s">
        <v>1681</v>
      </c>
      <c r="C160" s="5704"/>
      <c r="D160" s="5704"/>
      <c r="E160" s="5704"/>
      <c r="F160" s="5704"/>
      <c r="G160" s="5704"/>
      <c r="H160" s="5704"/>
      <c r="I160" s="5704"/>
      <c r="J160" s="5704"/>
      <c r="K160" s="5704"/>
      <c r="L160" s="5704"/>
      <c r="M160" s="5704"/>
      <c r="N160" s="5704"/>
      <c r="O160" s="5704"/>
      <c r="P160" s="5705"/>
      <c r="Q160" s="5706" t="s">
        <v>407</v>
      </c>
      <c r="R160" s="5707"/>
      <c r="S160" s="5707"/>
      <c r="T160" s="5708"/>
      <c r="U160" s="5706" t="s">
        <v>408</v>
      </c>
      <c r="V160" s="5707"/>
      <c r="W160" s="5707"/>
      <c r="X160" s="5708"/>
    </row>
    <row r="161" spans="1:24" ht="30" customHeight="1" thickBot="1">
      <c r="A161" s="5702"/>
      <c r="B161" s="5712" t="s">
        <v>1692</v>
      </c>
      <c r="C161" s="5713"/>
      <c r="D161" s="5713"/>
      <c r="E161" s="5713"/>
      <c r="F161" s="5714"/>
      <c r="G161" s="5715" t="s">
        <v>1693</v>
      </c>
      <c r="H161" s="5716"/>
      <c r="I161" s="5716"/>
      <c r="J161" s="5716"/>
      <c r="K161" s="5717"/>
      <c r="L161" s="5715" t="s">
        <v>1697</v>
      </c>
      <c r="M161" s="5716"/>
      <c r="N161" s="5716"/>
      <c r="O161" s="5716"/>
      <c r="P161" s="5718"/>
      <c r="Q161" s="5709"/>
      <c r="R161" s="5710"/>
      <c r="S161" s="5710"/>
      <c r="T161" s="5711"/>
      <c r="U161" s="5709"/>
      <c r="V161" s="5710"/>
      <c r="W161" s="5710"/>
      <c r="X161" s="5711"/>
    </row>
    <row r="162" spans="1:24" ht="30" customHeight="1">
      <c r="A162" s="5702"/>
      <c r="B162" s="5719" t="s">
        <v>301</v>
      </c>
      <c r="C162" s="5722" t="s">
        <v>50</v>
      </c>
      <c r="D162" s="5722"/>
      <c r="E162" s="5722"/>
      <c r="F162" s="5723"/>
      <c r="G162" s="5724" t="s">
        <v>301</v>
      </c>
      <c r="H162" s="5725" t="s">
        <v>50</v>
      </c>
      <c r="I162" s="5725"/>
      <c r="J162" s="5725"/>
      <c r="K162" s="5726"/>
      <c r="L162" s="5724" t="s">
        <v>301</v>
      </c>
      <c r="M162" s="5725" t="s">
        <v>50</v>
      </c>
      <c r="N162" s="5725"/>
      <c r="O162" s="5725"/>
      <c r="P162" s="5726"/>
      <c r="Q162" s="5724" t="s">
        <v>301</v>
      </c>
      <c r="R162" s="5727" t="s">
        <v>50</v>
      </c>
      <c r="S162" s="5727"/>
      <c r="T162" s="5728"/>
      <c r="U162" s="5724" t="s">
        <v>301</v>
      </c>
      <c r="V162" s="5727" t="s">
        <v>50</v>
      </c>
      <c r="W162" s="5727"/>
      <c r="X162" s="5728"/>
    </row>
    <row r="163" spans="1:24" ht="30" customHeight="1">
      <c r="A163" s="5702"/>
      <c r="B163" s="5720"/>
      <c r="C163" s="5693" t="s">
        <v>331</v>
      </c>
      <c r="D163" s="5695" t="s">
        <v>239</v>
      </c>
      <c r="E163" s="5695"/>
      <c r="F163" s="5696" t="s">
        <v>881</v>
      </c>
      <c r="G163" s="5720"/>
      <c r="H163" s="5693" t="s">
        <v>331</v>
      </c>
      <c r="I163" s="5695" t="s">
        <v>239</v>
      </c>
      <c r="J163" s="5695"/>
      <c r="K163" s="5696" t="s">
        <v>881</v>
      </c>
      <c r="L163" s="5720"/>
      <c r="M163" s="5693" t="s">
        <v>331</v>
      </c>
      <c r="N163" s="5695" t="s">
        <v>239</v>
      </c>
      <c r="O163" s="5695"/>
      <c r="P163" s="5696" t="s">
        <v>881</v>
      </c>
      <c r="Q163" s="5720"/>
      <c r="R163" s="5693" t="s">
        <v>331</v>
      </c>
      <c r="S163" s="5693"/>
      <c r="T163" s="5696" t="s">
        <v>881</v>
      </c>
      <c r="U163" s="5720"/>
      <c r="V163" s="5693" t="s">
        <v>331</v>
      </c>
      <c r="W163" s="5693"/>
      <c r="X163" s="5696" t="s">
        <v>881</v>
      </c>
    </row>
    <row r="164" spans="1:24" ht="30" customHeight="1" thickBot="1">
      <c r="A164" s="5703"/>
      <c r="B164" s="5721"/>
      <c r="C164" s="5694"/>
      <c r="D164" s="2605" t="s">
        <v>264</v>
      </c>
      <c r="E164" s="2605" t="s">
        <v>300</v>
      </c>
      <c r="F164" s="5697"/>
      <c r="G164" s="5721"/>
      <c r="H164" s="5694"/>
      <c r="I164" s="2605" t="s">
        <v>264</v>
      </c>
      <c r="J164" s="2605" t="s">
        <v>300</v>
      </c>
      <c r="K164" s="5697"/>
      <c r="L164" s="5721"/>
      <c r="M164" s="5694"/>
      <c r="N164" s="2605" t="s">
        <v>264</v>
      </c>
      <c r="O164" s="2605" t="s">
        <v>300</v>
      </c>
      <c r="P164" s="5697"/>
      <c r="Q164" s="5721"/>
      <c r="R164" s="2605" t="s">
        <v>874</v>
      </c>
      <c r="S164" s="2605" t="s">
        <v>264</v>
      </c>
      <c r="T164" s="5697"/>
      <c r="U164" s="5721"/>
      <c r="V164" s="2605" t="s">
        <v>874</v>
      </c>
      <c r="W164" s="2605" t="s">
        <v>264</v>
      </c>
      <c r="X164" s="5697"/>
    </row>
    <row r="165" spans="1:24" ht="30" customHeight="1">
      <c r="A165" s="2606" t="s">
        <v>397</v>
      </c>
      <c r="B165" s="2607">
        <f>SUM(объемы!AF57)/2</f>
        <v>1647.875</v>
      </c>
      <c r="C165" s="2608">
        <f>SUM(D165:E165)</f>
        <v>1636.375</v>
      </c>
      <c r="D165" s="2608">
        <f>SUM(объемы!AF58)/2</f>
        <v>1150</v>
      </c>
      <c r="E165" s="2608">
        <f>SUM(объемы!AF59/2)</f>
        <v>486.375</v>
      </c>
      <c r="F165" s="2609">
        <f>SUM(объемы!AF60/2)</f>
        <v>11.5</v>
      </c>
      <c r="G165" s="2607">
        <f>B165</f>
        <v>1647.875</v>
      </c>
      <c r="H165" s="2608">
        <f>C165</f>
        <v>1636.375</v>
      </c>
      <c r="I165" s="2608">
        <f>D165</f>
        <v>1150</v>
      </c>
      <c r="J165" s="2608">
        <f>E165</f>
        <v>486.375</v>
      </c>
      <c r="K165" s="2609">
        <f>F165</f>
        <v>11.5</v>
      </c>
      <c r="L165" s="2607">
        <f>SUM(B165+G165)</f>
        <v>3295.75</v>
      </c>
      <c r="M165" s="2608">
        <f>SUM(C165+H165)</f>
        <v>3272.75</v>
      </c>
      <c r="N165" s="2608">
        <f>SUM(D165+I165)</f>
        <v>2300</v>
      </c>
      <c r="O165" s="2608">
        <f>SUM(E165+J165)</f>
        <v>972.75</v>
      </c>
      <c r="P165" s="2609">
        <f>SUM(F165+K165)</f>
        <v>23</v>
      </c>
      <c r="Q165" s="2607"/>
      <c r="R165" s="2610"/>
      <c r="S165" s="2610"/>
      <c r="T165" s="2611"/>
      <c r="U165" s="2612"/>
      <c r="V165" s="2610"/>
      <c r="W165" s="2610"/>
      <c r="X165" s="2611"/>
    </row>
    <row r="166" spans="1:24" ht="30" customHeight="1">
      <c r="A166" s="2613" t="s">
        <v>398</v>
      </c>
      <c r="B166" s="2614">
        <f>SUM(B167/B165)</f>
        <v>25.049829813879619</v>
      </c>
      <c r="C166" s="2615">
        <f>SUM(C167/C165)</f>
        <v>25.125496399328526</v>
      </c>
      <c r="D166" s="2615">
        <f>SUM(I112)</f>
        <v>22.5</v>
      </c>
      <c r="E166" s="2615">
        <f>SUM(J112)</f>
        <v>25.125496399328522</v>
      </c>
      <c r="F166" s="2616">
        <f>SUM(K112)</f>
        <v>14.28296818223105</v>
      </c>
      <c r="G166" s="2614">
        <f>SUM(G167/G165)</f>
        <v>26.554304128933843</v>
      </c>
      <c r="H166" s="2615">
        <f>H167/H165</f>
        <v>26.63642709164867</v>
      </c>
      <c r="I166" s="2615">
        <v>0</v>
      </c>
      <c r="J166" s="2615">
        <f>SUM(H166)</f>
        <v>26.63642709164867</v>
      </c>
      <c r="K166" s="2616">
        <f t="shared" ref="K166:P166" si="20">SUM(K167/K165)</f>
        <v>14.868742119155035</v>
      </c>
      <c r="L166" s="2614">
        <f t="shared" si="20"/>
        <v>25.802066971406731</v>
      </c>
      <c r="M166" s="2615">
        <f t="shared" si="20"/>
        <v>25.880961745488598</v>
      </c>
      <c r="N166" s="2615">
        <f t="shared" si="20"/>
        <v>11.25</v>
      </c>
      <c r="O166" s="2615">
        <f t="shared" si="20"/>
        <v>25.880961745488598</v>
      </c>
      <c r="P166" s="2616">
        <f t="shared" si="20"/>
        <v>14.575855150693043</v>
      </c>
      <c r="Q166" s="2617">
        <f>SUM(G166/B166)</f>
        <v>1.060059262926434</v>
      </c>
      <c r="R166" s="2618">
        <f>SUM(H166/C166)</f>
        <v>1.0601353568624627</v>
      </c>
      <c r="S166" s="2618">
        <f>I166/D166</f>
        <v>0</v>
      </c>
      <c r="T166" s="2619">
        <f>SUM(K166/F166)</f>
        <v>1.0410120592197865</v>
      </c>
      <c r="U166" s="2620">
        <f>SUM(L166/L112)</f>
        <v>1.046743667412618</v>
      </c>
      <c r="V166" s="2621">
        <f>SUM(M166/M112)</f>
        <v>1.0474656307609227</v>
      </c>
      <c r="W166" s="2621">
        <f>SUM(N166/N112)</f>
        <v>0.51712250057458053</v>
      </c>
      <c r="X166" s="2622">
        <f>SUM(P166/P112)</f>
        <v>1.038426364898523</v>
      </c>
    </row>
    <row r="167" spans="1:24" ht="30" customHeight="1">
      <c r="A167" s="2613" t="s">
        <v>399</v>
      </c>
      <c r="B167" s="2614">
        <f>SUM(C167+F167)</f>
        <v>41278.988304546874</v>
      </c>
      <c r="C167" s="2615">
        <f>SUM(D167:E167)+D168</f>
        <v>41114.734170451215</v>
      </c>
      <c r="D167" s="2615">
        <f>D166*D165</f>
        <v>25875</v>
      </c>
      <c r="E167" s="2615">
        <f>E166*E165</f>
        <v>12220.41331122341</v>
      </c>
      <c r="F167" s="2616">
        <f>F166*F165</f>
        <v>164.25413409565707</v>
      </c>
      <c r="G167" s="2614">
        <f>SUM(L167-B167)</f>
        <v>43758.173916466854</v>
      </c>
      <c r="H167" s="2615">
        <f>SUM(M167-C167)</f>
        <v>43587.183382096591</v>
      </c>
      <c r="I167" s="2615">
        <f>I166*I165</f>
        <v>0</v>
      </c>
      <c r="J167" s="2615">
        <f>SUM(J165*J166)</f>
        <v>12955.292226700622</v>
      </c>
      <c r="K167" s="2616">
        <f>SUM(P167-F167)</f>
        <v>170.99053437028292</v>
      </c>
      <c r="L167" s="2614">
        <f>SUM(стоки!BU62)</f>
        <v>85037.162221013728</v>
      </c>
      <c r="M167" s="2615">
        <f>SUM(стоки!BW62)</f>
        <v>84701.917552547806</v>
      </c>
      <c r="N167" s="2615">
        <f>SUM(D167+I167)</f>
        <v>25875</v>
      </c>
      <c r="O167" s="2615">
        <f>SUM(E167+J167)</f>
        <v>25175.705537924034</v>
      </c>
      <c r="P167" s="2616">
        <f>SUM(стоки!BX62)</f>
        <v>335.24466846593998</v>
      </c>
      <c r="Q167" s="2614"/>
      <c r="R167" s="2623"/>
      <c r="S167" s="2623"/>
      <c r="T167" s="2624"/>
      <c r="U167" s="2625"/>
      <c r="V167" s="2623"/>
      <c r="W167" s="2623"/>
      <c r="X167" s="2624"/>
    </row>
    <row r="168" spans="1:24" ht="30" customHeight="1" thickBot="1">
      <c r="A168" s="2626" t="s">
        <v>401</v>
      </c>
      <c r="B168" s="2627">
        <f>SUM(C168:F168)</f>
        <v>3019.3208592278006</v>
      </c>
      <c r="C168" s="2628">
        <v>0</v>
      </c>
      <c r="D168" s="2628">
        <f>SUM(E166-D166)*D165</f>
        <v>3019.3208592278006</v>
      </c>
      <c r="E168" s="2628">
        <v>0</v>
      </c>
      <c r="F168" s="2629">
        <v>0</v>
      </c>
      <c r="G168" s="2627">
        <f>SUM(H168:K168)</f>
        <v>30631.89115539597</v>
      </c>
      <c r="H168" s="2628">
        <v>0</v>
      </c>
      <c r="I168" s="2628">
        <f>SUM(H166-I166)*I165</f>
        <v>30631.89115539597</v>
      </c>
      <c r="J168" s="2628">
        <v>0</v>
      </c>
      <c r="K168" s="2629">
        <v>0</v>
      </c>
      <c r="L168" s="2627">
        <f>SUM(M168:P168)</f>
        <v>33651.212014623772</v>
      </c>
      <c r="M168" s="2628">
        <v>0</v>
      </c>
      <c r="N168" s="2628">
        <f>SUM(B168+G168)</f>
        <v>33651.212014623772</v>
      </c>
      <c r="O168" s="2628">
        <v>0</v>
      </c>
      <c r="P168" s="2629">
        <v>0</v>
      </c>
      <c r="Q168" s="2627"/>
      <c r="R168" s="2630"/>
      <c r="S168" s="2630"/>
      <c r="T168" s="2631"/>
      <c r="U168" s="2632"/>
      <c r="V168" s="2630"/>
      <c r="W168" s="2630"/>
      <c r="X168" s="2631"/>
    </row>
  </sheetData>
  <mergeCells count="501">
    <mergeCell ref="A136:X136"/>
    <mergeCell ref="A125:X125"/>
    <mergeCell ref="M163:M164"/>
    <mergeCell ref="N163:O163"/>
    <mergeCell ref="P163:P164"/>
    <mergeCell ref="R163:S163"/>
    <mergeCell ref="T163:T164"/>
    <mergeCell ref="V163:W163"/>
    <mergeCell ref="X163:X164"/>
    <mergeCell ref="A159:X159"/>
    <mergeCell ref="A160:A164"/>
    <mergeCell ref="B160:P160"/>
    <mergeCell ref="Q160:T161"/>
    <mergeCell ref="U160:X161"/>
    <mergeCell ref="B161:F161"/>
    <mergeCell ref="G161:K161"/>
    <mergeCell ref="L161:P161"/>
    <mergeCell ref="B162:B164"/>
    <mergeCell ref="C162:F162"/>
    <mergeCell ref="G162:G164"/>
    <mergeCell ref="H162:K162"/>
    <mergeCell ref="L162:L164"/>
    <mergeCell ref="M162:P162"/>
    <mergeCell ref="Q162:Q164"/>
    <mergeCell ref="R162:T162"/>
    <mergeCell ref="U162:U164"/>
    <mergeCell ref="V162:X162"/>
    <mergeCell ref="C163:C164"/>
    <mergeCell ref="D163:E163"/>
    <mergeCell ref="F163:F164"/>
    <mergeCell ref="H163:H164"/>
    <mergeCell ref="I163:J163"/>
    <mergeCell ref="K163:K164"/>
    <mergeCell ref="A158:X158"/>
    <mergeCell ref="A148:X148"/>
    <mergeCell ref="A149:A153"/>
    <mergeCell ref="B149:P149"/>
    <mergeCell ref="Q149:T150"/>
    <mergeCell ref="U149:X150"/>
    <mergeCell ref="B150:F150"/>
    <mergeCell ref="G150:K150"/>
    <mergeCell ref="L150:P150"/>
    <mergeCell ref="B151:B153"/>
    <mergeCell ref="C151:F151"/>
    <mergeCell ref="G151:G153"/>
    <mergeCell ref="H151:K151"/>
    <mergeCell ref="L151:L153"/>
    <mergeCell ref="M151:P151"/>
    <mergeCell ref="Q151:Q153"/>
    <mergeCell ref="R151:T151"/>
    <mergeCell ref="U151:U153"/>
    <mergeCell ref="V151:X151"/>
    <mergeCell ref="C152:C153"/>
    <mergeCell ref="D152:E152"/>
    <mergeCell ref="F152:F153"/>
    <mergeCell ref="H152:H153"/>
    <mergeCell ref="I152:J152"/>
    <mergeCell ref="K152:K153"/>
    <mergeCell ref="M141:M142"/>
    <mergeCell ref="N141:O141"/>
    <mergeCell ref="P141:P142"/>
    <mergeCell ref="R141:S141"/>
    <mergeCell ref="T141:T142"/>
    <mergeCell ref="V141:W141"/>
    <mergeCell ref="X141:X142"/>
    <mergeCell ref="A147:X147"/>
    <mergeCell ref="M152:M153"/>
    <mergeCell ref="N152:O152"/>
    <mergeCell ref="P152:P153"/>
    <mergeCell ref="R152:S152"/>
    <mergeCell ref="T152:T153"/>
    <mergeCell ref="V152:W152"/>
    <mergeCell ref="X152:X153"/>
    <mergeCell ref="A137:X137"/>
    <mergeCell ref="A138:A142"/>
    <mergeCell ref="B138:P138"/>
    <mergeCell ref="Q138:T139"/>
    <mergeCell ref="U138:X139"/>
    <mergeCell ref="B139:F139"/>
    <mergeCell ref="G139:K139"/>
    <mergeCell ref="L139:P139"/>
    <mergeCell ref="B140:B142"/>
    <mergeCell ref="C140:F140"/>
    <mergeCell ref="G140:G142"/>
    <mergeCell ref="H140:K140"/>
    <mergeCell ref="L140:L142"/>
    <mergeCell ref="M140:P140"/>
    <mergeCell ref="Q140:Q142"/>
    <mergeCell ref="R140:T140"/>
    <mergeCell ref="U140:U142"/>
    <mergeCell ref="V140:X140"/>
    <mergeCell ref="C141:C142"/>
    <mergeCell ref="D141:E141"/>
    <mergeCell ref="F141:F142"/>
    <mergeCell ref="H141:H142"/>
    <mergeCell ref="I141:J141"/>
    <mergeCell ref="K141:K142"/>
    <mergeCell ref="M130:M131"/>
    <mergeCell ref="N130:O130"/>
    <mergeCell ref="P130:P131"/>
    <mergeCell ref="R130:S130"/>
    <mergeCell ref="T130:T131"/>
    <mergeCell ref="V130:W130"/>
    <mergeCell ref="X130:X131"/>
    <mergeCell ref="A126:X126"/>
    <mergeCell ref="A127:A131"/>
    <mergeCell ref="B127:P127"/>
    <mergeCell ref="Q127:T128"/>
    <mergeCell ref="U127:X128"/>
    <mergeCell ref="B128:F128"/>
    <mergeCell ref="G128:K128"/>
    <mergeCell ref="L128:P128"/>
    <mergeCell ref="B129:B131"/>
    <mergeCell ref="C129:F129"/>
    <mergeCell ref="G129:G131"/>
    <mergeCell ref="H129:K129"/>
    <mergeCell ref="L129:L131"/>
    <mergeCell ref="M129:P129"/>
    <mergeCell ref="Q129:Q131"/>
    <mergeCell ref="R129:T129"/>
    <mergeCell ref="U129:U131"/>
    <mergeCell ref="V129:X129"/>
    <mergeCell ref="C130:C131"/>
    <mergeCell ref="D130:E130"/>
    <mergeCell ref="F130:F131"/>
    <mergeCell ref="H130:H131"/>
    <mergeCell ref="I130:J130"/>
    <mergeCell ref="K130:K131"/>
    <mergeCell ref="V25:X25"/>
    <mergeCell ref="D26:E26"/>
    <mergeCell ref="I26:J26"/>
    <mergeCell ref="D89:E89"/>
    <mergeCell ref="F89:F90"/>
    <mergeCell ref="H89:H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U25:U27"/>
    <mergeCell ref="C26:C27"/>
    <mergeCell ref="F26:F27"/>
    <mergeCell ref="H26:H27"/>
    <mergeCell ref="K26:K2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P16:P17"/>
    <mergeCell ref="R16:S16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M26:M27"/>
    <mergeCell ref="P26:P27"/>
    <mergeCell ref="T26:T27"/>
    <mergeCell ref="R25:T25"/>
    <mergeCell ref="R35:T35"/>
    <mergeCell ref="U35:U37"/>
    <mergeCell ref="V35:X35"/>
    <mergeCell ref="R36:S36"/>
    <mergeCell ref="T36:T37"/>
    <mergeCell ref="V36:W36"/>
    <mergeCell ref="X36:X37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V108:X108"/>
    <mergeCell ref="C109:C110"/>
    <mergeCell ref="D109:E109"/>
    <mergeCell ref="F109:F110"/>
    <mergeCell ref="H109:H110"/>
    <mergeCell ref="I109:J109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U118:U120"/>
    <mergeCell ref="V118:X118"/>
    <mergeCell ref="R119:S119"/>
    <mergeCell ref="T119:T120"/>
    <mergeCell ref="V119:W119"/>
    <mergeCell ref="X119:X120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K109:K110"/>
    <mergeCell ref="M109:M110"/>
    <mergeCell ref="U116:X117"/>
    <mergeCell ref="B117:F117"/>
    <mergeCell ref="G117:K117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5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E25"/>
  <sheetViews>
    <sheetView workbookViewId="0">
      <selection activeCell="H11" sqref="H11:I11"/>
    </sheetView>
  </sheetViews>
  <sheetFormatPr defaultRowHeight="15"/>
  <cols>
    <col min="1" max="1" width="15.42578125" style="4047" customWidth="1"/>
    <col min="2" max="2" width="17.140625" style="4047" customWidth="1"/>
    <col min="3" max="3" width="17.28515625" style="4047" customWidth="1"/>
    <col min="4" max="4" width="18.7109375" style="4047" customWidth="1"/>
    <col min="5" max="5" width="16.7109375" style="4047" customWidth="1"/>
    <col min="6" max="16384" width="9.140625" style="4047"/>
  </cols>
  <sheetData>
    <row r="1" spans="1:5">
      <c r="A1" s="4344" t="s">
        <v>1856</v>
      </c>
      <c r="B1" s="4345"/>
      <c r="C1" s="4345"/>
      <c r="D1" s="4345"/>
      <c r="E1" s="4345"/>
    </row>
    <row r="2" spans="1:5">
      <c r="A2" s="4048"/>
      <c r="B2" s="4048"/>
      <c r="C2" s="4048"/>
      <c r="D2" s="4048"/>
      <c r="E2" s="4048"/>
    </row>
    <row r="3" spans="1:5" ht="24.95" customHeight="1">
      <c r="A3" s="4049" t="s">
        <v>1866</v>
      </c>
      <c r="B3" s="4049" t="s">
        <v>46</v>
      </c>
      <c r="C3" s="4049" t="s">
        <v>47</v>
      </c>
      <c r="D3" s="4049" t="s">
        <v>1857</v>
      </c>
      <c r="E3" s="4049" t="s">
        <v>1855</v>
      </c>
    </row>
    <row r="4" spans="1:5" ht="24.95" customHeight="1">
      <c r="A4" s="4086" t="s">
        <v>267</v>
      </c>
      <c r="B4" s="4049">
        <v>44.23</v>
      </c>
      <c r="C4" s="4049">
        <v>26.62</v>
      </c>
      <c r="D4" s="4054">
        <v>4.4000000000000004</v>
      </c>
      <c r="E4" s="4049">
        <f>SUM(B4:D4)</f>
        <v>75.25</v>
      </c>
    </row>
    <row r="5" spans="1:5" ht="24.95" customHeight="1">
      <c r="A5" s="4086" t="s">
        <v>268</v>
      </c>
      <c r="B5" s="4049">
        <v>44.23</v>
      </c>
      <c r="C5" s="4049">
        <v>26.62</v>
      </c>
      <c r="D5" s="4054">
        <v>4.4000000000000004</v>
      </c>
      <c r="E5" s="4049">
        <f t="shared" ref="E5:E22" si="0">SUM(B5:D5)</f>
        <v>75.25</v>
      </c>
    </row>
    <row r="6" spans="1:5" ht="24.95" customHeight="1">
      <c r="A6" s="4086" t="s">
        <v>269</v>
      </c>
      <c r="B6" s="4049">
        <v>44.23</v>
      </c>
      <c r="C6" s="4049">
        <v>26.62</v>
      </c>
      <c r="D6" s="4054">
        <v>4.4000000000000004</v>
      </c>
      <c r="E6" s="4049">
        <f t="shared" si="0"/>
        <v>75.25</v>
      </c>
    </row>
    <row r="7" spans="1:5" ht="24.95" customHeight="1">
      <c r="A7" s="4087" t="s">
        <v>1843</v>
      </c>
      <c r="B7" s="4050">
        <f>SUM(B4:B6)</f>
        <v>132.69</v>
      </c>
      <c r="C7" s="4050">
        <f>SUM(C4:C6)</f>
        <v>79.86</v>
      </c>
      <c r="D7" s="4050">
        <f>SUM(D4:D6)</f>
        <v>13.200000000000001</v>
      </c>
      <c r="E7" s="4050">
        <f t="shared" si="0"/>
        <v>225.75</v>
      </c>
    </row>
    <row r="8" spans="1:5" ht="24.95" customHeight="1">
      <c r="A8" s="4086" t="s">
        <v>270</v>
      </c>
      <c r="B8" s="4049">
        <v>44.23</v>
      </c>
      <c r="C8" s="4049">
        <v>26.62</v>
      </c>
      <c r="D8" s="4054">
        <v>4.4000000000000004</v>
      </c>
      <c r="E8" s="4049">
        <f t="shared" si="0"/>
        <v>75.25</v>
      </c>
    </row>
    <row r="9" spans="1:5" ht="24.95" customHeight="1">
      <c r="A9" s="4086" t="s">
        <v>1362</v>
      </c>
      <c r="B9" s="4049">
        <v>44.23</v>
      </c>
      <c r="C9" s="4049">
        <v>26.62</v>
      </c>
      <c r="D9" s="4054">
        <v>4.4000000000000004</v>
      </c>
      <c r="E9" s="4049">
        <f t="shared" si="0"/>
        <v>75.25</v>
      </c>
    </row>
    <row r="10" spans="1:5" ht="24.95" customHeight="1">
      <c r="A10" s="4086" t="s">
        <v>272</v>
      </c>
      <c r="B10" s="4049">
        <v>44.23</v>
      </c>
      <c r="C10" s="4049">
        <v>26.62</v>
      </c>
      <c r="D10" s="4054">
        <v>4.4000000000000004</v>
      </c>
      <c r="E10" s="4049">
        <f t="shared" si="0"/>
        <v>75.25</v>
      </c>
    </row>
    <row r="11" spans="1:5" ht="24.95" customHeight="1">
      <c r="A11" s="4087" t="s">
        <v>1844</v>
      </c>
      <c r="B11" s="4050">
        <f>SUM(B8:B10)</f>
        <v>132.69</v>
      </c>
      <c r="C11" s="4050">
        <f>SUM(C8:C10)</f>
        <v>79.86</v>
      </c>
      <c r="D11" s="4050">
        <f>SUM(D8:D10)</f>
        <v>13.200000000000001</v>
      </c>
      <c r="E11" s="4050">
        <f t="shared" si="0"/>
        <v>225.75</v>
      </c>
    </row>
    <row r="12" spans="1:5" ht="24.95" customHeight="1">
      <c r="A12" s="4087" t="s">
        <v>391</v>
      </c>
      <c r="B12" s="4050">
        <f>B7+B11</f>
        <v>265.38</v>
      </c>
      <c r="C12" s="4050">
        <f>C7+C11</f>
        <v>159.72</v>
      </c>
      <c r="D12" s="4050">
        <f>D7+D11</f>
        <v>26.400000000000002</v>
      </c>
      <c r="E12" s="4050">
        <f t="shared" si="0"/>
        <v>451.5</v>
      </c>
    </row>
    <row r="13" spans="1:5" ht="24.95" customHeight="1">
      <c r="A13" s="4086" t="s">
        <v>1227</v>
      </c>
      <c r="B13" s="4049">
        <v>44.23</v>
      </c>
      <c r="C13" s="4049">
        <v>26.62</v>
      </c>
      <c r="D13" s="4054">
        <v>4.4000000000000004</v>
      </c>
      <c r="E13" s="4049">
        <f t="shared" si="0"/>
        <v>75.25</v>
      </c>
    </row>
    <row r="14" spans="1:5" ht="24.95" customHeight="1">
      <c r="A14" s="4086" t="s">
        <v>273</v>
      </c>
      <c r="B14" s="4049">
        <v>44.23</v>
      </c>
      <c r="C14" s="4049">
        <v>26.62</v>
      </c>
      <c r="D14" s="4054">
        <v>4.4000000000000004</v>
      </c>
      <c r="E14" s="4049">
        <f t="shared" si="0"/>
        <v>75.25</v>
      </c>
    </row>
    <row r="15" spans="1:5" ht="24.95" customHeight="1">
      <c r="A15" s="4086" t="s">
        <v>1245</v>
      </c>
      <c r="B15" s="4049">
        <v>44.23</v>
      </c>
      <c r="C15" s="4049">
        <v>26.62</v>
      </c>
      <c r="D15" s="4054">
        <v>4.4000000000000004</v>
      </c>
      <c r="E15" s="4049">
        <f t="shared" si="0"/>
        <v>75.25</v>
      </c>
    </row>
    <row r="16" spans="1:5" ht="24.95" customHeight="1">
      <c r="A16" s="4087" t="s">
        <v>1846</v>
      </c>
      <c r="B16" s="4050">
        <f>SUM(B13:B15)</f>
        <v>132.69</v>
      </c>
      <c r="C16" s="4050">
        <f>SUM(C13:C15)</f>
        <v>79.86</v>
      </c>
      <c r="D16" s="4050">
        <f>SUM(D13:D15)</f>
        <v>13.200000000000001</v>
      </c>
      <c r="E16" s="4050">
        <f t="shared" si="0"/>
        <v>225.75</v>
      </c>
    </row>
    <row r="17" spans="1:5" ht="24.95" customHeight="1">
      <c r="A17" s="4087" t="s">
        <v>134</v>
      </c>
      <c r="B17" s="4050">
        <f>B12+B16</f>
        <v>398.07</v>
      </c>
      <c r="C17" s="4050">
        <f>C12+C16</f>
        <v>239.57999999999998</v>
      </c>
      <c r="D17" s="4050">
        <f>D12+D16</f>
        <v>39.6</v>
      </c>
      <c r="E17" s="4050">
        <f t="shared" si="0"/>
        <v>677.25</v>
      </c>
    </row>
    <row r="18" spans="1:5" ht="24.95" customHeight="1">
      <c r="A18" s="4086" t="s">
        <v>274</v>
      </c>
      <c r="B18" s="4049">
        <v>44.23</v>
      </c>
      <c r="C18" s="4049">
        <v>26.62</v>
      </c>
      <c r="D18" s="4054">
        <v>4.4000000000000004</v>
      </c>
      <c r="E18" s="4049">
        <f t="shared" si="0"/>
        <v>75.25</v>
      </c>
    </row>
    <row r="19" spans="1:5" ht="24.95" customHeight="1">
      <c r="A19" s="4086" t="s">
        <v>275</v>
      </c>
      <c r="B19" s="4049">
        <v>44.23</v>
      </c>
      <c r="C19" s="4049">
        <v>26.62</v>
      </c>
      <c r="D19" s="4054">
        <v>4.4000000000000004</v>
      </c>
      <c r="E19" s="4049">
        <f t="shared" si="0"/>
        <v>75.25</v>
      </c>
    </row>
    <row r="20" spans="1:5" ht="24.95" customHeight="1">
      <c r="A20" s="4086" t="s">
        <v>1336</v>
      </c>
      <c r="B20" s="4049">
        <v>44.19</v>
      </c>
      <c r="C20" s="4049">
        <v>26.62</v>
      </c>
      <c r="D20" s="4054">
        <v>4.37</v>
      </c>
      <c r="E20" s="4049">
        <f t="shared" si="0"/>
        <v>75.180000000000007</v>
      </c>
    </row>
    <row r="21" spans="1:5" ht="24.95" customHeight="1">
      <c r="A21" s="4087" t="s">
        <v>135</v>
      </c>
      <c r="B21" s="4050">
        <f>SUM(B18:B20)</f>
        <v>132.64999999999998</v>
      </c>
      <c r="C21" s="4050">
        <f>SUM(C18:C20)</f>
        <v>79.86</v>
      </c>
      <c r="D21" s="4050">
        <f>SUM(D18:D20)</f>
        <v>13.170000000000002</v>
      </c>
      <c r="E21" s="4050">
        <f t="shared" si="0"/>
        <v>225.68</v>
      </c>
    </row>
    <row r="22" spans="1:5" ht="24.95" customHeight="1">
      <c r="A22" s="4087" t="s">
        <v>252</v>
      </c>
      <c r="B22" s="4050">
        <f>B17+B21</f>
        <v>530.72</v>
      </c>
      <c r="C22" s="4050">
        <f>C17+C21</f>
        <v>319.44</v>
      </c>
      <c r="D22" s="4051">
        <f>D17+D21</f>
        <v>52.77</v>
      </c>
      <c r="E22" s="4050">
        <f t="shared" si="0"/>
        <v>902.93000000000006</v>
      </c>
    </row>
    <row r="23" spans="1:5">
      <c r="A23" s="4048"/>
      <c r="B23" s="4048"/>
      <c r="C23" s="4048"/>
      <c r="D23" s="4048"/>
      <c r="E23" s="4048"/>
    </row>
    <row r="24" spans="1:5">
      <c r="A24" s="4048"/>
      <c r="B24" s="4048"/>
      <c r="C24" s="4048"/>
      <c r="D24" s="4048"/>
      <c r="E24" s="4048"/>
    </row>
    <row r="25" spans="1:5">
      <c r="A25" s="4346" t="s">
        <v>1858</v>
      </c>
      <c r="B25" s="4347"/>
      <c r="C25" s="4347"/>
      <c r="D25" s="4347"/>
      <c r="E25" s="4347"/>
    </row>
  </sheetData>
  <mergeCells count="2">
    <mergeCell ref="A1:E1"/>
    <mergeCell ref="A25:E25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portrait" horizontalDpi="180" verticalDpi="18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F9:I19"/>
  <sheetViews>
    <sheetView topLeftCell="A7" workbookViewId="0">
      <selection activeCell="I9" sqref="I9"/>
    </sheetView>
  </sheetViews>
  <sheetFormatPr defaultRowHeight="12.75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>
      <c r="F9" s="247">
        <f>F10+F11+F12+F13</f>
        <v>148.32999999999998</v>
      </c>
      <c r="G9" s="246">
        <f>H9/F9/12*1000</f>
        <v>10790.411020472371</v>
      </c>
      <c r="H9" s="248">
        <f>H10+H11+H12+H13</f>
        <v>19206.5</v>
      </c>
      <c r="I9" s="249" t="e">
        <f>G9/#REF!</f>
        <v>#REF!</v>
      </c>
    </row>
    <row r="10" spans="6:9" ht="20.25">
      <c r="F10" s="253">
        <v>23.5</v>
      </c>
      <c r="G10" s="250">
        <f>H10/F10/12*1000</f>
        <v>10395.035460992907</v>
      </c>
      <c r="H10" s="252">
        <v>2931.4</v>
      </c>
      <c r="I10" s="249" t="e">
        <f>G10/#REF!</f>
        <v>#REF!</v>
      </c>
    </row>
    <row r="11" spans="6:9" ht="20.25">
      <c r="F11" s="253">
        <v>73.5</v>
      </c>
      <c r="G11" s="250">
        <f>H11/F11/12*1000</f>
        <v>9934.4671201814072</v>
      </c>
      <c r="H11" s="252">
        <v>8762.2000000000007</v>
      </c>
      <c r="I11" s="249" t="e">
        <f>G11/#REF!</f>
        <v>#REF!</v>
      </c>
    </row>
    <row r="12" spans="6:9" ht="20.25">
      <c r="F12" s="253">
        <v>29.33</v>
      </c>
      <c r="G12" s="250">
        <f>H12/F12/12*1000</f>
        <v>12505.398340720538</v>
      </c>
      <c r="H12" s="252">
        <v>4401.3999999999996</v>
      </c>
      <c r="I12" s="249" t="e">
        <f>G12/#REF!</f>
        <v>#REF!</v>
      </c>
    </row>
    <row r="13" spans="6:9" ht="20.25">
      <c r="F13" s="253">
        <v>22</v>
      </c>
      <c r="G13" s="250">
        <f>H13/F13/12*1000</f>
        <v>11785.98484848485</v>
      </c>
      <c r="H13" s="252">
        <v>3111.5</v>
      </c>
      <c r="I13" s="249" t="e">
        <f>G13/#REF!</f>
        <v>#REF!</v>
      </c>
    </row>
    <row r="14" spans="6:9" ht="20.25">
      <c r="F14" s="251"/>
      <c r="G14" s="250"/>
      <c r="H14" s="252"/>
      <c r="I14" s="249"/>
    </row>
    <row r="15" spans="6:9" ht="20.25">
      <c r="F15" s="255">
        <f>F16+F17+F18+F19</f>
        <v>95</v>
      </c>
      <c r="G15" s="254">
        <f>H15/F15/12*1000</f>
        <v>11418.333333333334</v>
      </c>
      <c r="H15" s="256">
        <f>H16+H17+H18+H19</f>
        <v>13016.900000000001</v>
      </c>
      <c r="I15" s="249" t="e">
        <f>G15/#REF!</f>
        <v>#REF!</v>
      </c>
    </row>
    <row r="16" spans="6:9" ht="20.25">
      <c r="F16" s="251">
        <v>25</v>
      </c>
      <c r="G16" s="250">
        <f>H16/F16/12*1000</f>
        <v>10917.666666666668</v>
      </c>
      <c r="H16" s="252">
        <v>3275.3</v>
      </c>
      <c r="I16" s="249" t="e">
        <f>G16/#REF!</f>
        <v>#REF!</v>
      </c>
    </row>
    <row r="17" spans="6:9" ht="20.25">
      <c r="F17" s="251">
        <v>49</v>
      </c>
      <c r="G17" s="250">
        <f>H17/F17/12*1000</f>
        <v>11832.653061224491</v>
      </c>
      <c r="H17" s="252">
        <v>6957.6</v>
      </c>
      <c r="I17" s="249" t="e">
        <f>G17/#REF!</f>
        <v>#REF!</v>
      </c>
    </row>
    <row r="18" spans="6:9" ht="20.25">
      <c r="F18" s="251">
        <v>4</v>
      </c>
      <c r="G18" s="250">
        <f>H18/F18/12*1000</f>
        <v>11164.583333333332</v>
      </c>
      <c r="H18" s="252">
        <v>535.9</v>
      </c>
      <c r="I18" s="249" t="e">
        <f>G18/AF1</f>
        <v>#DIV/0!</v>
      </c>
    </row>
    <row r="19" spans="6:9" ht="21" thickBot="1">
      <c r="F19" s="274">
        <v>17</v>
      </c>
      <c r="G19" s="271">
        <f>H19/F19/12*1000</f>
        <v>11020.098039215687</v>
      </c>
      <c r="H19" s="272">
        <v>2248.1</v>
      </c>
      <c r="I19" s="273" t="e">
        <f>G19/AF2</f>
        <v>#DIV/0!</v>
      </c>
    </row>
  </sheetData>
  <phoneticPr fontId="7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0000"/>
  </sheetPr>
  <dimension ref="A1:G26"/>
  <sheetViews>
    <sheetView workbookViewId="0">
      <selection activeCell="E13" sqref="E13"/>
    </sheetView>
  </sheetViews>
  <sheetFormatPr defaultRowHeight="12.75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>
      <c r="F1" t="s">
        <v>894</v>
      </c>
    </row>
    <row r="3" spans="1:7">
      <c r="A3" s="5815" t="s">
        <v>526</v>
      </c>
      <c r="B3" s="5815"/>
      <c r="C3" s="5815"/>
      <c r="D3" s="5815"/>
      <c r="E3" s="5815"/>
      <c r="F3" s="5815"/>
      <c r="G3" s="5815"/>
    </row>
    <row r="4" spans="1:7" ht="51">
      <c r="A4" s="1633" t="s">
        <v>402</v>
      </c>
      <c r="B4" s="1675" t="s">
        <v>527</v>
      </c>
      <c r="C4" s="1675" t="s">
        <v>528</v>
      </c>
      <c r="D4" s="1675" t="s">
        <v>904</v>
      </c>
      <c r="E4" s="1675" t="s">
        <v>857</v>
      </c>
      <c r="F4" s="5812" t="s">
        <v>246</v>
      </c>
      <c r="G4" s="5812"/>
    </row>
    <row r="5" spans="1:7">
      <c r="A5" s="1633" t="s">
        <v>285</v>
      </c>
      <c r="B5" s="1676">
        <v>2243</v>
      </c>
      <c r="C5" s="1633"/>
      <c r="D5" s="1869"/>
      <c r="E5" s="1861"/>
      <c r="F5" s="5812"/>
      <c r="G5" s="5812"/>
    </row>
    <row r="6" spans="1:7">
      <c r="A6" s="1633" t="s">
        <v>286</v>
      </c>
      <c r="B6" s="1676">
        <v>3073.1</v>
      </c>
      <c r="C6" s="1676">
        <v>1287.3</v>
      </c>
      <c r="D6" s="1873"/>
      <c r="E6" s="1862">
        <f>B6-C6</f>
        <v>1785.8</v>
      </c>
      <c r="F6" s="5813" t="s">
        <v>250</v>
      </c>
      <c r="G6" s="5814"/>
    </row>
    <row r="7" spans="1:7">
      <c r="A7" s="1633" t="s">
        <v>287</v>
      </c>
      <c r="B7" s="1676">
        <v>212.2</v>
      </c>
      <c r="C7" s="1633"/>
      <c r="D7" s="1869"/>
      <c r="E7" s="1861"/>
      <c r="F7" s="5812"/>
      <c r="G7" s="5812"/>
    </row>
    <row r="8" spans="1:7">
      <c r="A8" s="1633" t="s">
        <v>288</v>
      </c>
      <c r="B8" s="1676">
        <v>475.4</v>
      </c>
      <c r="C8" s="1633"/>
      <c r="D8" s="1869"/>
      <c r="E8" s="1861"/>
      <c r="F8" s="5812"/>
      <c r="G8" s="5812"/>
    </row>
    <row r="9" spans="1:7">
      <c r="A9" s="1633" t="s">
        <v>289</v>
      </c>
      <c r="B9" s="1676">
        <v>2249.5</v>
      </c>
      <c r="C9" s="1633"/>
      <c r="D9" s="1869"/>
      <c r="E9" s="1861"/>
      <c r="F9" s="5812"/>
      <c r="G9" s="5812"/>
    </row>
    <row r="10" spans="1:7">
      <c r="A10" s="1633" t="s">
        <v>290</v>
      </c>
      <c r="B10" s="1676">
        <v>3333.9</v>
      </c>
      <c r="C10" s="1633"/>
      <c r="D10" s="1869"/>
      <c r="E10" s="1861"/>
      <c r="F10" s="5812"/>
      <c r="G10" s="5812"/>
    </row>
    <row r="11" spans="1:7">
      <c r="A11" s="1633" t="s">
        <v>291</v>
      </c>
      <c r="B11" s="1676">
        <v>2188.5</v>
      </c>
      <c r="C11" s="1633"/>
      <c r="D11" s="1869"/>
      <c r="E11" s="1861"/>
      <c r="F11" s="5812"/>
      <c r="G11" s="5812"/>
    </row>
    <row r="12" spans="1:7">
      <c r="A12" s="1633" t="s">
        <v>292</v>
      </c>
      <c r="B12" s="1676">
        <v>557.1</v>
      </c>
      <c r="C12" s="1633"/>
      <c r="D12" s="1869"/>
      <c r="E12" s="1863">
        <v>0</v>
      </c>
      <c r="F12" s="5812"/>
      <c r="G12" s="5812"/>
    </row>
    <row r="13" spans="1:7" ht="25.5">
      <c r="A13" s="1872" t="s">
        <v>903</v>
      </c>
      <c r="B13" s="1870"/>
      <c r="C13" s="1869"/>
      <c r="D13" s="1869"/>
      <c r="E13" s="1870"/>
      <c r="F13" s="1871"/>
      <c r="G13" s="1871"/>
    </row>
    <row r="14" spans="1:7">
      <c r="A14" s="1633" t="s">
        <v>293</v>
      </c>
      <c r="B14" s="1676">
        <f>SUM(B5:B12)</f>
        <v>14332.7</v>
      </c>
      <c r="C14" s="1676">
        <f>SUM(C5:C12)</f>
        <v>1287.3</v>
      </c>
      <c r="D14" s="1870"/>
      <c r="E14" s="1676">
        <f>SUM(E5:E12)</f>
        <v>1785.8</v>
      </c>
      <c r="F14" s="5812"/>
      <c r="G14" s="5812"/>
    </row>
    <row r="17" spans="1:7" ht="51">
      <c r="A17" s="1633" t="s">
        <v>406</v>
      </c>
      <c r="B17" s="1675" t="s">
        <v>527</v>
      </c>
      <c r="C17" s="1675" t="s">
        <v>528</v>
      </c>
      <c r="D17" s="1675" t="s">
        <v>904</v>
      </c>
      <c r="E17" s="1675" t="s">
        <v>857</v>
      </c>
      <c r="F17" s="5812" t="s">
        <v>246</v>
      </c>
      <c r="G17" s="5812"/>
    </row>
    <row r="18" spans="1:7">
      <c r="A18" s="1633" t="s">
        <v>285</v>
      </c>
      <c r="B18" s="1676">
        <v>0</v>
      </c>
      <c r="C18" s="1633"/>
      <c r="D18" s="1869"/>
      <c r="E18" s="1861"/>
      <c r="F18" s="5812"/>
      <c r="G18" s="5812"/>
    </row>
    <row r="19" spans="1:7">
      <c r="A19" s="1633" t="s">
        <v>286</v>
      </c>
      <c r="B19" s="1676">
        <v>1355.2</v>
      </c>
      <c r="C19" s="1633">
        <v>1355.2</v>
      </c>
      <c r="D19" s="1874"/>
      <c r="E19" s="1864"/>
      <c r="F19" s="5813" t="s">
        <v>250</v>
      </c>
      <c r="G19" s="5814"/>
    </row>
    <row r="20" spans="1:7">
      <c r="A20" s="1633" t="s">
        <v>287</v>
      </c>
      <c r="B20" s="1676">
        <v>93.8</v>
      </c>
      <c r="C20" s="1633"/>
      <c r="D20" s="1869"/>
      <c r="E20" s="1861"/>
      <c r="F20" s="5812"/>
      <c r="G20" s="5812"/>
    </row>
    <row r="21" spans="1:7">
      <c r="A21" s="1633" t="s">
        <v>288</v>
      </c>
      <c r="B21" s="1676">
        <v>0</v>
      </c>
      <c r="C21" s="1633"/>
      <c r="D21" s="1869"/>
      <c r="E21" s="1861"/>
      <c r="F21" s="5812"/>
      <c r="G21" s="5812"/>
    </row>
    <row r="22" spans="1:7">
      <c r="A22" s="1633" t="s">
        <v>289</v>
      </c>
      <c r="B22" s="1676">
        <v>0</v>
      </c>
      <c r="C22" s="1633"/>
      <c r="D22" s="1869"/>
      <c r="E22" s="1861"/>
      <c r="F22" s="5812"/>
      <c r="G22" s="5812"/>
    </row>
    <row r="23" spans="1:7">
      <c r="A23" s="1633" t="s">
        <v>290</v>
      </c>
      <c r="B23" s="1676">
        <v>1153.4000000000001</v>
      </c>
      <c r="C23" s="1633"/>
      <c r="D23" s="1869"/>
      <c r="E23" s="1861"/>
      <c r="F23" s="5812"/>
      <c r="G23" s="5812"/>
    </row>
    <row r="24" spans="1:7">
      <c r="A24" s="1633" t="s">
        <v>291</v>
      </c>
      <c r="B24" s="1676">
        <v>0</v>
      </c>
      <c r="C24" s="1633"/>
      <c r="D24" s="1869"/>
      <c r="E24" s="1861"/>
      <c r="F24" s="5812"/>
      <c r="G24" s="5812"/>
    </row>
    <row r="25" spans="1:7">
      <c r="A25" s="1633" t="s">
        <v>292</v>
      </c>
      <c r="B25" s="1676">
        <v>121.2</v>
      </c>
      <c r="C25" s="1633">
        <v>95.1</v>
      </c>
      <c r="D25" s="1869"/>
      <c r="E25" s="1863">
        <f>B25-C25</f>
        <v>26.100000000000009</v>
      </c>
      <c r="F25" s="5812"/>
      <c r="G25" s="5812"/>
    </row>
    <row r="26" spans="1:7">
      <c r="A26" s="1633" t="s">
        <v>293</v>
      </c>
      <c r="B26" s="1676">
        <f>SUM(B18:B25)</f>
        <v>2723.6</v>
      </c>
      <c r="C26" s="1676">
        <f>SUM(C18:C25)</f>
        <v>1450.3</v>
      </c>
      <c r="D26" s="1870"/>
      <c r="E26" s="1676">
        <f>SUM(E18:E25)</f>
        <v>26.100000000000009</v>
      </c>
      <c r="F26" s="5812"/>
      <c r="G26" s="5812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0000"/>
  </sheetPr>
  <dimension ref="A2:Q56"/>
  <sheetViews>
    <sheetView topLeftCell="A19" workbookViewId="0">
      <selection activeCell="G31" sqref="G31"/>
    </sheetView>
  </sheetViews>
  <sheetFormatPr defaultRowHeight="12.75"/>
  <cols>
    <col min="1" max="1" width="5.7109375" style="352" customWidth="1"/>
    <col min="2" max="2" width="9.140625" style="352"/>
    <col min="3" max="3" width="87.140625" style="352" customWidth="1"/>
    <col min="4" max="6" width="9.28515625" style="352" bestFit="1" customWidth="1"/>
    <col min="7" max="7" width="9.5703125" style="352" bestFit="1" customWidth="1"/>
    <col min="8" max="15" width="9.28515625" style="352" bestFit="1" customWidth="1"/>
    <col min="16" max="16384" width="9.140625" style="352"/>
  </cols>
  <sheetData>
    <row r="2" spans="1:11" ht="23.25">
      <c r="A2" s="5816" t="s">
        <v>455</v>
      </c>
      <c r="B2" s="5816"/>
      <c r="C2" s="5816"/>
      <c r="D2" s="5816"/>
      <c r="E2" s="5816"/>
      <c r="F2" s="5816"/>
      <c r="G2" s="5816"/>
      <c r="H2" s="5816"/>
      <c r="I2" s="5816"/>
      <c r="J2" s="5816"/>
      <c r="K2" s="5816"/>
    </row>
    <row r="4" spans="1:11" ht="15.75">
      <c r="A4" s="5817" t="s">
        <v>362</v>
      </c>
      <c r="B4" s="5817"/>
      <c r="C4" s="5817"/>
      <c r="D4" s="5817"/>
      <c r="E4" s="5817"/>
      <c r="F4" s="5817"/>
      <c r="G4" s="5817"/>
      <c r="H4" s="5817"/>
      <c r="I4" s="5817"/>
      <c r="J4" s="5817"/>
      <c r="K4" s="5817"/>
    </row>
    <row r="5" spans="1:11" ht="18.75">
      <c r="A5" s="4579" t="s">
        <v>456</v>
      </c>
      <c r="B5" s="4579"/>
      <c r="C5" s="4579"/>
      <c r="D5" s="4579"/>
      <c r="E5" s="4579"/>
      <c r="F5" s="4579"/>
      <c r="G5" s="4579"/>
    </row>
    <row r="6" spans="1:11" ht="18">
      <c r="A6" s="353" t="s">
        <v>505</v>
      </c>
    </row>
    <row r="7" spans="1:11" ht="15.75" thickBot="1">
      <c r="A7" s="354" t="s">
        <v>457</v>
      </c>
    </row>
    <row r="8" spans="1:11" ht="13.5" thickBot="1">
      <c r="A8" s="355" t="s">
        <v>175</v>
      </c>
      <c r="B8" s="355" t="s">
        <v>458</v>
      </c>
      <c r="C8" s="355" t="s">
        <v>374</v>
      </c>
      <c r="D8" s="356"/>
      <c r="E8" s="5565" t="s">
        <v>459</v>
      </c>
      <c r="F8" s="5566"/>
      <c r="G8" s="5565" t="s">
        <v>460</v>
      </c>
      <c r="H8" s="5567"/>
      <c r="I8" s="5566"/>
      <c r="J8" s="5568" t="s">
        <v>461</v>
      </c>
      <c r="K8" s="5569"/>
    </row>
    <row r="9" spans="1:11" ht="13.5" thickBot="1">
      <c r="A9" s="359" t="s">
        <v>462</v>
      </c>
      <c r="B9" s="359" t="s">
        <v>463</v>
      </c>
      <c r="C9" s="359" t="s">
        <v>464</v>
      </c>
      <c r="D9" s="360" t="s">
        <v>465</v>
      </c>
      <c r="E9" s="361" t="s">
        <v>466</v>
      </c>
      <c r="F9" s="358" t="s">
        <v>467</v>
      </c>
      <c r="G9" s="359" t="s">
        <v>466</v>
      </c>
      <c r="H9" s="360" t="s">
        <v>468</v>
      </c>
      <c r="I9" s="362" t="s">
        <v>467</v>
      </c>
      <c r="J9" s="5570" t="s">
        <v>469</v>
      </c>
      <c r="K9" s="5571"/>
    </row>
    <row r="10" spans="1:11" ht="13.5" thickBot="1">
      <c r="A10" s="363"/>
      <c r="B10" s="363" t="s">
        <v>470</v>
      </c>
      <c r="C10" s="363"/>
      <c r="D10" s="364"/>
      <c r="E10" s="361" t="s">
        <v>468</v>
      </c>
      <c r="F10" s="362" t="s">
        <v>471</v>
      </c>
      <c r="G10" s="357"/>
      <c r="H10" s="365"/>
      <c r="I10" s="362" t="s">
        <v>471</v>
      </c>
      <c r="J10" s="363" t="s">
        <v>472</v>
      </c>
      <c r="K10" s="364" t="s">
        <v>466</v>
      </c>
    </row>
    <row r="11" spans="1:11" ht="13.5" thickBot="1">
      <c r="A11" s="366"/>
    </row>
    <row r="12" spans="1:11" ht="25.5" customHeight="1" thickBot="1">
      <c r="A12" s="367">
        <v>1</v>
      </c>
      <c r="B12" s="368">
        <v>2</v>
      </c>
      <c r="C12" s="368">
        <v>3</v>
      </c>
      <c r="D12" s="368">
        <v>4</v>
      </c>
      <c r="E12" s="368">
        <v>5</v>
      </c>
      <c r="F12" s="368">
        <v>6</v>
      </c>
      <c r="G12" s="368">
        <v>7</v>
      </c>
      <c r="H12" s="368">
        <v>8</v>
      </c>
      <c r="I12" s="368">
        <v>9</v>
      </c>
      <c r="J12" s="368">
        <v>10</v>
      </c>
      <c r="K12" s="368">
        <v>11</v>
      </c>
    </row>
    <row r="13" spans="1:11" ht="25.5" customHeight="1">
      <c r="A13" s="5558">
        <v>12</v>
      </c>
      <c r="B13" s="5560" t="s">
        <v>473</v>
      </c>
      <c r="C13" s="369" t="s">
        <v>474</v>
      </c>
      <c r="D13" s="370">
        <v>10</v>
      </c>
      <c r="E13" s="371">
        <v>4852.8999999999996</v>
      </c>
      <c r="F13" s="371">
        <v>86.76</v>
      </c>
      <c r="G13" s="5558">
        <v>48529</v>
      </c>
      <c r="H13" s="5558">
        <v>9594</v>
      </c>
      <c r="I13" s="371">
        <v>868</v>
      </c>
      <c r="J13" s="371">
        <v>4.53</v>
      </c>
      <c r="K13" s="371">
        <v>45.3</v>
      </c>
    </row>
    <row r="14" spans="1:11" ht="25.5" customHeight="1" thickBot="1">
      <c r="A14" s="5559"/>
      <c r="B14" s="5561"/>
      <c r="C14" s="372" t="s">
        <v>475</v>
      </c>
      <c r="D14" s="373" t="s">
        <v>476</v>
      </c>
      <c r="E14" s="373">
        <v>959.43</v>
      </c>
      <c r="F14" s="373">
        <v>0</v>
      </c>
      <c r="G14" s="5559"/>
      <c r="H14" s="5559"/>
      <c r="I14" s="373">
        <v>0</v>
      </c>
      <c r="J14" s="373">
        <v>0.1</v>
      </c>
      <c r="K14" s="373">
        <v>1</v>
      </c>
    </row>
    <row r="15" spans="1:11" ht="23.25" customHeight="1">
      <c r="A15" s="5558">
        <v>13</v>
      </c>
      <c r="B15" s="5560" t="s">
        <v>477</v>
      </c>
      <c r="C15" s="374" t="s">
        <v>478</v>
      </c>
      <c r="D15" s="375">
        <v>6</v>
      </c>
      <c r="E15" s="376">
        <v>1489.56</v>
      </c>
      <c r="F15" s="376">
        <v>8.66</v>
      </c>
      <c r="G15" s="5558">
        <v>8937</v>
      </c>
      <c r="H15" s="5558">
        <v>1333</v>
      </c>
      <c r="I15" s="376">
        <v>52</v>
      </c>
      <c r="J15" s="376">
        <v>1.01</v>
      </c>
      <c r="K15" s="376">
        <v>6.06</v>
      </c>
    </row>
    <row r="16" spans="1:11" ht="36" customHeight="1" thickBot="1">
      <c r="A16" s="5559"/>
      <c r="B16" s="5561"/>
      <c r="C16" s="372" t="s">
        <v>475</v>
      </c>
      <c r="D16" s="373" t="s">
        <v>479</v>
      </c>
      <c r="E16" s="373">
        <v>222.23</v>
      </c>
      <c r="F16" s="373">
        <v>0</v>
      </c>
      <c r="G16" s="5559"/>
      <c r="H16" s="5559"/>
      <c r="I16" s="373">
        <v>0</v>
      </c>
      <c r="J16" s="373">
        <v>0.01</v>
      </c>
      <c r="K16" s="373">
        <v>0.06</v>
      </c>
    </row>
    <row r="17" spans="1:11" ht="27" customHeight="1">
      <c r="A17" s="5558">
        <v>14</v>
      </c>
      <c r="B17" s="5560" t="s">
        <v>480</v>
      </c>
      <c r="C17" s="374" t="s">
        <v>481</v>
      </c>
      <c r="D17" s="375">
        <v>6</v>
      </c>
      <c r="E17" s="376">
        <v>2391.5300000000002</v>
      </c>
      <c r="F17" s="376">
        <v>26.07</v>
      </c>
      <c r="G17" s="5558">
        <v>14349</v>
      </c>
      <c r="H17" s="5558">
        <v>2205</v>
      </c>
      <c r="I17" s="376">
        <v>156</v>
      </c>
      <c r="J17" s="376">
        <v>1.67</v>
      </c>
      <c r="K17" s="376">
        <v>10.02</v>
      </c>
    </row>
    <row r="18" spans="1:11" ht="44.25" customHeight="1" thickBot="1">
      <c r="A18" s="5559"/>
      <c r="B18" s="5561"/>
      <c r="C18" s="372" t="s">
        <v>475</v>
      </c>
      <c r="D18" s="373" t="s">
        <v>479</v>
      </c>
      <c r="E18" s="373">
        <v>367.48</v>
      </c>
      <c r="F18" s="373">
        <v>0</v>
      </c>
      <c r="G18" s="5559"/>
      <c r="H18" s="5559"/>
      <c r="I18" s="373">
        <v>0</v>
      </c>
      <c r="J18" s="373">
        <v>0.03</v>
      </c>
      <c r="K18" s="373">
        <v>0.18</v>
      </c>
    </row>
    <row r="19" spans="1:11" ht="28.5" customHeight="1">
      <c r="A19" s="5558">
        <v>15</v>
      </c>
      <c r="B19" s="5560" t="s">
        <v>482</v>
      </c>
      <c r="C19" s="374" t="s">
        <v>483</v>
      </c>
      <c r="D19" s="375">
        <v>5</v>
      </c>
      <c r="E19" s="376">
        <v>2735.83</v>
      </c>
      <c r="F19" s="376">
        <v>26.07</v>
      </c>
      <c r="G19" s="5558">
        <v>13679</v>
      </c>
      <c r="H19" s="5558">
        <v>1870</v>
      </c>
      <c r="I19" s="376">
        <v>130</v>
      </c>
      <c r="J19" s="376">
        <v>1.7</v>
      </c>
      <c r="K19" s="376">
        <v>8.5</v>
      </c>
    </row>
    <row r="20" spans="1:11" ht="42" customHeight="1" thickBot="1">
      <c r="A20" s="5559"/>
      <c r="B20" s="5561"/>
      <c r="C20" s="372" t="s">
        <v>475</v>
      </c>
      <c r="D20" s="373" t="s">
        <v>479</v>
      </c>
      <c r="E20" s="373">
        <v>373.94</v>
      </c>
      <c r="F20" s="373">
        <v>0</v>
      </c>
      <c r="G20" s="5559"/>
      <c r="H20" s="5559"/>
      <c r="I20" s="373">
        <v>0</v>
      </c>
      <c r="J20" s="373">
        <v>0.03</v>
      </c>
      <c r="K20" s="373">
        <v>0.15</v>
      </c>
    </row>
    <row r="21" spans="1:11" ht="33" customHeight="1">
      <c r="A21" s="5558">
        <v>16</v>
      </c>
      <c r="B21" s="5560" t="s">
        <v>484</v>
      </c>
      <c r="C21" s="374" t="s">
        <v>485</v>
      </c>
      <c r="D21" s="375">
        <v>4</v>
      </c>
      <c r="E21" s="376">
        <v>4792.7700000000004</v>
      </c>
      <c r="F21" s="376">
        <v>60.7</v>
      </c>
      <c r="G21" s="5558">
        <v>19171</v>
      </c>
      <c r="H21" s="5558">
        <v>2504</v>
      </c>
      <c r="I21" s="376">
        <v>243</v>
      </c>
      <c r="J21" s="376">
        <v>2.78</v>
      </c>
      <c r="K21" s="376">
        <v>11.12</v>
      </c>
    </row>
    <row r="22" spans="1:11" ht="42" customHeight="1" thickBot="1">
      <c r="A22" s="5559"/>
      <c r="B22" s="5561"/>
      <c r="C22" s="372" t="s">
        <v>475</v>
      </c>
      <c r="D22" s="373" t="s">
        <v>479</v>
      </c>
      <c r="E22" s="373">
        <v>625.96</v>
      </c>
      <c r="F22" s="373">
        <v>0</v>
      </c>
      <c r="G22" s="5559"/>
      <c r="H22" s="5559"/>
      <c r="I22" s="373">
        <v>0</v>
      </c>
      <c r="J22" s="373">
        <v>7.0000000000000007E-2</v>
      </c>
      <c r="K22" s="373">
        <v>0.28000000000000003</v>
      </c>
    </row>
    <row r="23" spans="1:11" ht="30.75" customHeight="1">
      <c r="A23" s="5558">
        <v>17</v>
      </c>
      <c r="B23" s="5560" t="s">
        <v>486</v>
      </c>
      <c r="C23" s="374" t="s">
        <v>487</v>
      </c>
      <c r="D23" s="375">
        <v>4</v>
      </c>
      <c r="E23" s="376">
        <v>7360.92</v>
      </c>
      <c r="F23" s="376">
        <v>479.19</v>
      </c>
      <c r="G23" s="5558">
        <v>29444</v>
      </c>
      <c r="H23" s="5558">
        <v>3583</v>
      </c>
      <c r="I23" s="376">
        <v>1917</v>
      </c>
      <c r="J23" s="376">
        <v>3.93</v>
      </c>
      <c r="K23" s="376">
        <v>15.72</v>
      </c>
    </row>
    <row r="24" spans="1:11" ht="35.25" customHeight="1" thickBot="1">
      <c r="A24" s="5559"/>
      <c r="B24" s="5561"/>
      <c r="C24" s="372" t="s">
        <v>475</v>
      </c>
      <c r="D24" s="373" t="s">
        <v>479</v>
      </c>
      <c r="E24" s="373">
        <v>895.87</v>
      </c>
      <c r="F24" s="373">
        <v>88.64</v>
      </c>
      <c r="G24" s="5559"/>
      <c r="H24" s="5559"/>
      <c r="I24" s="373">
        <v>355</v>
      </c>
      <c r="J24" s="373">
        <v>0.36</v>
      </c>
      <c r="K24" s="373">
        <v>1.44</v>
      </c>
    </row>
    <row r="25" spans="1:11" ht="27.75" customHeight="1">
      <c r="A25" s="5558">
        <v>18</v>
      </c>
      <c r="B25" s="5560" t="s">
        <v>488</v>
      </c>
      <c r="C25" s="374" t="s">
        <v>489</v>
      </c>
      <c r="D25" s="375">
        <v>0.1</v>
      </c>
      <c r="E25" s="376">
        <v>126956.4</v>
      </c>
      <c r="F25" s="376">
        <v>34.729999999999997</v>
      </c>
      <c r="G25" s="5558">
        <v>12696</v>
      </c>
      <c r="H25" s="5558">
        <v>11173</v>
      </c>
      <c r="I25" s="376">
        <v>3</v>
      </c>
      <c r="J25" s="376">
        <v>520.79999999999995</v>
      </c>
      <c r="K25" s="376">
        <v>52.08</v>
      </c>
    </row>
    <row r="26" spans="1:11" ht="40.5" customHeight="1" thickBot="1">
      <c r="A26" s="5559"/>
      <c r="B26" s="5561"/>
      <c r="C26" s="372" t="s">
        <v>475</v>
      </c>
      <c r="D26" s="373" t="s">
        <v>490</v>
      </c>
      <c r="E26" s="373">
        <v>111727.55</v>
      </c>
      <c r="F26" s="373">
        <v>0</v>
      </c>
      <c r="G26" s="5559"/>
      <c r="H26" s="5559"/>
      <c r="I26" s="373">
        <v>0</v>
      </c>
      <c r="J26" s="373">
        <v>0.04</v>
      </c>
      <c r="K26" s="373">
        <v>0</v>
      </c>
    </row>
    <row r="27" spans="1:11" ht="27" customHeight="1">
      <c r="A27" s="5558">
        <v>19</v>
      </c>
      <c r="B27" s="5560" t="s">
        <v>491</v>
      </c>
      <c r="C27" s="374" t="s">
        <v>492</v>
      </c>
      <c r="D27" s="375">
        <v>0.06</v>
      </c>
      <c r="E27" s="376">
        <v>184235.21</v>
      </c>
      <c r="F27" s="376">
        <v>60.7</v>
      </c>
      <c r="G27" s="5558">
        <v>11054</v>
      </c>
      <c r="H27" s="5558">
        <v>9438</v>
      </c>
      <c r="I27" s="376">
        <v>4</v>
      </c>
      <c r="J27" s="376">
        <v>733.2</v>
      </c>
      <c r="K27" s="376">
        <v>43.99</v>
      </c>
    </row>
    <row r="28" spans="1:11" ht="30.75" customHeight="1" thickBot="1">
      <c r="A28" s="5559"/>
      <c r="B28" s="5561"/>
      <c r="C28" s="372" t="s">
        <v>475</v>
      </c>
      <c r="D28" s="373" t="s">
        <v>490</v>
      </c>
      <c r="E28" s="373">
        <v>157294.32999999999</v>
      </c>
      <c r="F28" s="373">
        <v>0</v>
      </c>
      <c r="G28" s="5559"/>
      <c r="H28" s="5559"/>
      <c r="I28" s="373">
        <v>0</v>
      </c>
      <c r="J28" s="373">
        <v>7.0000000000000007E-2</v>
      </c>
      <c r="K28" s="373">
        <v>0</v>
      </c>
    </row>
    <row r="29" spans="1:11" ht="27" customHeight="1">
      <c r="A29" s="5558">
        <v>20</v>
      </c>
      <c r="B29" s="5560" t="s">
        <v>493</v>
      </c>
      <c r="C29" s="374" t="s">
        <v>494</v>
      </c>
      <c r="D29" s="375">
        <v>0.06</v>
      </c>
      <c r="E29" s="376">
        <v>249249.46</v>
      </c>
      <c r="F29" s="376">
        <v>78.11</v>
      </c>
      <c r="G29" s="5558">
        <v>14955</v>
      </c>
      <c r="H29" s="5558">
        <v>12710</v>
      </c>
      <c r="I29" s="376">
        <v>5</v>
      </c>
      <c r="J29" s="376">
        <v>987.4</v>
      </c>
      <c r="K29" s="376">
        <v>59.24</v>
      </c>
    </row>
    <row r="30" spans="1:11" ht="27.75" customHeight="1" thickBot="1">
      <c r="A30" s="5559"/>
      <c r="B30" s="5561"/>
      <c r="C30" s="372" t="s">
        <v>475</v>
      </c>
      <c r="D30" s="373" t="s">
        <v>490</v>
      </c>
      <c r="E30" s="373">
        <v>211828.21</v>
      </c>
      <c r="F30" s="373">
        <v>0</v>
      </c>
      <c r="G30" s="5559"/>
      <c r="H30" s="5559"/>
      <c r="I30" s="373">
        <v>0</v>
      </c>
      <c r="J30" s="373">
        <v>0.09</v>
      </c>
      <c r="K30" s="373">
        <v>0.01</v>
      </c>
    </row>
    <row r="31" spans="1:11">
      <c r="A31" s="5818" t="s">
        <v>495</v>
      </c>
      <c r="B31" s="5818"/>
      <c r="C31" s="5818"/>
      <c r="D31" s="5818"/>
      <c r="E31" s="5818"/>
      <c r="F31" s="5818"/>
      <c r="G31" s="352">
        <f>SUM(G13:G30)</f>
        <v>172814</v>
      </c>
    </row>
    <row r="33" spans="1:11" ht="18.75">
      <c r="A33" s="4579" t="s">
        <v>506</v>
      </c>
      <c r="B33" s="4579"/>
      <c r="C33" s="4579"/>
      <c r="D33" s="4579"/>
      <c r="E33" s="4579"/>
      <c r="F33" s="4579"/>
      <c r="G33" s="4579"/>
      <c r="H33" s="4579"/>
      <c r="I33" s="4579"/>
      <c r="J33" s="4579"/>
      <c r="K33" s="4579"/>
    </row>
    <row r="34" spans="1:11" ht="18">
      <c r="A34" s="5819" t="s">
        <v>507</v>
      </c>
      <c r="B34" s="5819"/>
    </row>
    <row r="35" spans="1:11" ht="15">
      <c r="A35" s="5820" t="s">
        <v>496</v>
      </c>
      <c r="B35" s="5820"/>
      <c r="C35" s="5820"/>
      <c r="D35" s="5820"/>
      <c r="E35" s="5820"/>
      <c r="F35" s="5820"/>
      <c r="G35" s="5820"/>
      <c r="H35" s="5820"/>
      <c r="I35" s="5820"/>
      <c r="J35" s="5820"/>
      <c r="K35" s="5820"/>
    </row>
    <row r="36" spans="1:11" ht="13.5" thickBot="1"/>
    <row r="37" spans="1:11" ht="13.5" thickBot="1">
      <c r="A37" s="355" t="s">
        <v>175</v>
      </c>
      <c r="B37" s="355" t="s">
        <v>458</v>
      </c>
      <c r="C37" s="355" t="s">
        <v>374</v>
      </c>
      <c r="D37" s="356"/>
      <c r="E37" s="5565" t="s">
        <v>459</v>
      </c>
      <c r="F37" s="5566"/>
      <c r="G37" s="5565" t="s">
        <v>460</v>
      </c>
      <c r="H37" s="5567"/>
      <c r="I37" s="5566"/>
      <c r="J37" s="5568" t="s">
        <v>461</v>
      </c>
      <c r="K37" s="5569"/>
    </row>
    <row r="38" spans="1:11" ht="13.5" thickBot="1">
      <c r="A38" s="359" t="s">
        <v>462</v>
      </c>
      <c r="B38" s="359" t="s">
        <v>463</v>
      </c>
      <c r="C38" s="359" t="s">
        <v>464</v>
      </c>
      <c r="D38" s="360" t="s">
        <v>465</v>
      </c>
      <c r="E38" s="361" t="s">
        <v>466</v>
      </c>
      <c r="F38" s="358" t="s">
        <v>467</v>
      </c>
      <c r="G38" s="359" t="s">
        <v>466</v>
      </c>
      <c r="H38" s="360" t="s">
        <v>468</v>
      </c>
      <c r="I38" s="362" t="s">
        <v>467</v>
      </c>
      <c r="J38" s="5570" t="s">
        <v>469</v>
      </c>
      <c r="K38" s="5571"/>
    </row>
    <row r="39" spans="1:11" ht="13.5" thickBot="1">
      <c r="A39" s="363"/>
      <c r="B39" s="363" t="s">
        <v>470</v>
      </c>
      <c r="C39" s="363"/>
      <c r="D39" s="364"/>
      <c r="E39" s="361" t="s">
        <v>468</v>
      </c>
      <c r="F39" s="362" t="s">
        <v>471</v>
      </c>
      <c r="G39" s="357"/>
      <c r="H39" s="365"/>
      <c r="I39" s="362" t="s">
        <v>471</v>
      </c>
      <c r="J39" s="363" t="s">
        <v>472</v>
      </c>
      <c r="K39" s="364" t="s">
        <v>466</v>
      </c>
    </row>
    <row r="40" spans="1:11" ht="13.5" thickBot="1">
      <c r="A40" s="366"/>
    </row>
    <row r="41" spans="1:11" ht="13.5" thickBot="1">
      <c r="A41" s="367">
        <v>1</v>
      </c>
      <c r="B41" s="368">
        <v>2</v>
      </c>
      <c r="C41" s="368">
        <v>3</v>
      </c>
      <c r="D41" s="368">
        <v>4</v>
      </c>
      <c r="E41" s="368">
        <v>5</v>
      </c>
      <c r="F41" s="368">
        <v>6</v>
      </c>
      <c r="G41" s="368">
        <v>7</v>
      </c>
      <c r="H41" s="368">
        <v>8</v>
      </c>
      <c r="I41" s="368">
        <v>9</v>
      </c>
      <c r="J41" s="368">
        <v>10</v>
      </c>
      <c r="K41" s="368">
        <v>11</v>
      </c>
    </row>
    <row r="42" spans="1:11">
      <c r="A42" s="5558">
        <v>9</v>
      </c>
      <c r="B42" s="5560" t="s">
        <v>497</v>
      </c>
      <c r="C42" s="369" t="s">
        <v>498</v>
      </c>
      <c r="D42" s="370">
        <v>15</v>
      </c>
      <c r="E42" s="371">
        <v>3998.08</v>
      </c>
      <c r="F42" s="371">
        <v>719.58</v>
      </c>
      <c r="G42" s="5558">
        <v>59971</v>
      </c>
      <c r="H42" s="5558">
        <v>20034</v>
      </c>
      <c r="I42" s="371">
        <v>10794</v>
      </c>
      <c r="J42" s="371">
        <v>5.86</v>
      </c>
      <c r="K42" s="371">
        <v>87.9</v>
      </c>
    </row>
    <row r="43" spans="1:11" ht="23.25" thickBot="1">
      <c r="A43" s="5559"/>
      <c r="B43" s="5561"/>
      <c r="C43" s="372" t="s">
        <v>475</v>
      </c>
      <c r="D43" s="373" t="s">
        <v>499</v>
      </c>
      <c r="E43" s="373">
        <v>1335.61</v>
      </c>
      <c r="F43" s="373">
        <v>137.56</v>
      </c>
      <c r="G43" s="5559"/>
      <c r="H43" s="5559"/>
      <c r="I43" s="373">
        <v>2063</v>
      </c>
      <c r="J43" s="373">
        <v>0.55000000000000004</v>
      </c>
      <c r="K43" s="373">
        <v>8.25</v>
      </c>
    </row>
    <row r="44" spans="1:11">
      <c r="A44" s="5558">
        <v>10</v>
      </c>
      <c r="B44" s="5560" t="s">
        <v>500</v>
      </c>
      <c r="C44" s="374" t="s">
        <v>501</v>
      </c>
      <c r="D44" s="375">
        <v>12</v>
      </c>
      <c r="E44" s="376">
        <v>8801.24</v>
      </c>
      <c r="F44" s="376">
        <v>896.5</v>
      </c>
      <c r="G44" s="5558">
        <v>105615</v>
      </c>
      <c r="H44" s="5558">
        <v>26805</v>
      </c>
      <c r="I44" s="376">
        <v>10758</v>
      </c>
      <c r="J44" s="376">
        <v>9.8000000000000007</v>
      </c>
      <c r="K44" s="376">
        <v>117.6</v>
      </c>
    </row>
    <row r="45" spans="1:11" ht="23.25" thickBot="1">
      <c r="A45" s="5559"/>
      <c r="B45" s="5561"/>
      <c r="C45" s="372" t="s">
        <v>475</v>
      </c>
      <c r="D45" s="373" t="s">
        <v>499</v>
      </c>
      <c r="E45" s="373">
        <v>2233.71</v>
      </c>
      <c r="F45" s="373">
        <v>137.56</v>
      </c>
      <c r="G45" s="5559"/>
      <c r="H45" s="5559"/>
      <c r="I45" s="373">
        <v>1651</v>
      </c>
      <c r="J45" s="373">
        <v>0.55000000000000004</v>
      </c>
      <c r="K45" s="373">
        <v>6.6</v>
      </c>
    </row>
    <row r="46" spans="1:11">
      <c r="A46" s="5558">
        <v>11</v>
      </c>
      <c r="B46" s="5560" t="s">
        <v>502</v>
      </c>
      <c r="C46" s="374" t="s">
        <v>503</v>
      </c>
      <c r="D46" s="375">
        <v>3</v>
      </c>
      <c r="E46" s="376">
        <v>14344.9</v>
      </c>
      <c r="F46" s="376">
        <v>1108.73</v>
      </c>
      <c r="G46" s="5558">
        <v>43035</v>
      </c>
      <c r="H46" s="5558">
        <v>9232</v>
      </c>
      <c r="I46" s="376">
        <v>3326</v>
      </c>
      <c r="J46" s="376">
        <v>13.5</v>
      </c>
      <c r="K46" s="376">
        <v>40.5</v>
      </c>
    </row>
    <row r="47" spans="1:11" ht="23.25" thickBot="1">
      <c r="A47" s="5559"/>
      <c r="B47" s="5561"/>
      <c r="C47" s="372" t="s">
        <v>475</v>
      </c>
      <c r="D47" s="373" t="s">
        <v>499</v>
      </c>
      <c r="E47" s="373">
        <v>3077.18</v>
      </c>
      <c r="F47" s="373">
        <v>137.56</v>
      </c>
      <c r="G47" s="5559"/>
      <c r="H47" s="5559"/>
      <c r="I47" s="373">
        <v>413</v>
      </c>
      <c r="J47" s="373">
        <v>0.55000000000000004</v>
      </c>
      <c r="K47" s="373">
        <v>1.65</v>
      </c>
    </row>
    <row r="48" spans="1:11">
      <c r="G48" s="352">
        <f>SUM(G46)</f>
        <v>43035</v>
      </c>
    </row>
    <row r="49" spans="3:17">
      <c r="C49" s="352" t="s">
        <v>504</v>
      </c>
      <c r="G49" s="352">
        <f>G31+G48</f>
        <v>215849</v>
      </c>
    </row>
    <row r="54" spans="3:17">
      <c r="D54" s="352">
        <v>1</v>
      </c>
      <c r="E54" s="352">
        <v>2</v>
      </c>
      <c r="F54" s="352">
        <v>3</v>
      </c>
      <c r="G54" s="684">
        <v>4</v>
      </c>
      <c r="H54" s="684">
        <v>5</v>
      </c>
      <c r="I54" s="684">
        <v>6</v>
      </c>
      <c r="J54" s="684">
        <v>7</v>
      </c>
      <c r="K54" s="684">
        <v>8</v>
      </c>
      <c r="L54" s="684">
        <v>9</v>
      </c>
      <c r="M54" s="684">
        <v>10</v>
      </c>
      <c r="N54" s="684">
        <v>11</v>
      </c>
      <c r="O54" s="684">
        <v>12</v>
      </c>
      <c r="P54" t="s">
        <v>54</v>
      </c>
      <c r="Q54" t="s">
        <v>602</v>
      </c>
    </row>
    <row r="55" spans="3:17">
      <c r="C55" t="s">
        <v>618</v>
      </c>
      <c r="D55" s="352">
        <f>SUM(P55*D56)</f>
        <v>0</v>
      </c>
      <c r="E55" s="352">
        <f>SUM(P55*E56)</f>
        <v>0</v>
      </c>
      <c r="F55" s="352">
        <f>SUM(P55*F56)</f>
        <v>0</v>
      </c>
      <c r="G55" s="685">
        <f>SUM(P55*G56)</f>
        <v>5.3962250000000003</v>
      </c>
      <c r="H55" s="685">
        <f>SUM(P55*H56)</f>
        <v>43.169800000000002</v>
      </c>
      <c r="I55" s="352">
        <f>SUM(P55*I56)</f>
        <v>59.358474999999999</v>
      </c>
      <c r="J55" s="352">
        <f>SUM(P55*J56)</f>
        <v>59.358474999999999</v>
      </c>
      <c r="K55" s="685">
        <f>SUM(P55*K56)</f>
        <v>43.169800000000002</v>
      </c>
      <c r="L55" s="685">
        <f>SUM(P55*L56)</f>
        <v>5.3962250000000003</v>
      </c>
      <c r="M55" s="352">
        <f>SUM(P55*M56)</f>
        <v>0</v>
      </c>
      <c r="N55" s="352">
        <f>SUM(P55*N56)</f>
        <v>0</v>
      </c>
      <c r="O55" s="352">
        <f>SUM(P55*O56)</f>
        <v>0</v>
      </c>
      <c r="P55" s="352">
        <f>SUM(G49/1000)</f>
        <v>215.84899999999999</v>
      </c>
      <c r="Q55" s="352">
        <f>SUM(D55:O55)</f>
        <v>215.84899999999999</v>
      </c>
    </row>
    <row r="56" spans="3:17">
      <c r="C56" t="s">
        <v>619</v>
      </c>
      <c r="D56" s="687">
        <v>0</v>
      </c>
      <c r="E56" s="687">
        <v>0</v>
      </c>
      <c r="F56" s="687">
        <v>0</v>
      </c>
      <c r="G56" s="687">
        <v>2.5000000000000001E-2</v>
      </c>
      <c r="H56" s="687">
        <v>0.2</v>
      </c>
      <c r="I56" s="687">
        <v>0.27500000000000002</v>
      </c>
      <c r="J56" s="687">
        <v>0.27500000000000002</v>
      </c>
      <c r="K56" s="687">
        <v>0.2</v>
      </c>
      <c r="L56" s="687">
        <v>2.5000000000000001E-2</v>
      </c>
      <c r="M56" s="687">
        <v>0</v>
      </c>
      <c r="N56" s="687">
        <v>0</v>
      </c>
      <c r="O56" s="687">
        <v>0</v>
      </c>
      <c r="P56" s="686">
        <f>SUM(D56:O56)</f>
        <v>1</v>
      </c>
    </row>
  </sheetData>
  <sheetProtection sheet="1" objects="1" scenarios="1"/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7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/>
  <cols>
    <col min="3" max="3" width="77.28515625" customWidth="1"/>
  </cols>
  <sheetData>
    <row r="2" spans="1:14" ht="18.75">
      <c r="A2" s="4579" t="s">
        <v>524</v>
      </c>
      <c r="B2" s="4579"/>
      <c r="C2" s="4579"/>
      <c r="D2" s="4579"/>
      <c r="E2" s="4579"/>
    </row>
    <row r="3" spans="1:14" ht="18">
      <c r="A3" s="5819" t="s">
        <v>505</v>
      </c>
      <c r="B3" s="5819"/>
    </row>
    <row r="4" spans="1:14" ht="15">
      <c r="A4" s="5820" t="s">
        <v>508</v>
      </c>
      <c r="B4" s="5820"/>
      <c r="C4" s="5820"/>
      <c r="D4" s="5820"/>
      <c r="E4" s="5820"/>
      <c r="F4" s="5820"/>
      <c r="G4" s="5820"/>
      <c r="H4" s="5820"/>
      <c r="I4" s="5820"/>
      <c r="J4" s="5820"/>
      <c r="K4" s="5820"/>
      <c r="L4" s="5820"/>
      <c r="M4" s="5820"/>
      <c r="N4" s="5820"/>
    </row>
    <row r="5" spans="1:14" ht="13.5" thickBot="1"/>
    <row r="6" spans="1:14" ht="23.25" customHeight="1">
      <c r="A6" s="5558">
        <v>6</v>
      </c>
      <c r="B6" s="5560" t="s">
        <v>473</v>
      </c>
      <c r="C6" s="369" t="s">
        <v>474</v>
      </c>
      <c r="D6" s="370">
        <v>8</v>
      </c>
      <c r="E6" s="371">
        <v>7034.2</v>
      </c>
      <c r="F6" s="371">
        <v>95.14</v>
      </c>
      <c r="G6" s="5558">
        <v>56274</v>
      </c>
      <c r="H6" s="5558">
        <v>7675</v>
      </c>
      <c r="I6" s="371">
        <v>761</v>
      </c>
      <c r="J6" s="371">
        <v>4.53</v>
      </c>
      <c r="K6" s="371">
        <v>36.24</v>
      </c>
    </row>
    <row r="7" spans="1:14" ht="39" customHeight="1" thickBot="1">
      <c r="A7" s="5559"/>
      <c r="B7" s="5561"/>
      <c r="C7" s="372" t="s">
        <v>509</v>
      </c>
      <c r="D7" s="373" t="s">
        <v>476</v>
      </c>
      <c r="E7" s="373">
        <v>959.43</v>
      </c>
      <c r="F7" s="373">
        <v>0</v>
      </c>
      <c r="G7" s="5559"/>
      <c r="H7" s="5559"/>
      <c r="I7" s="373">
        <v>0</v>
      </c>
      <c r="J7" s="373">
        <v>0.1</v>
      </c>
      <c r="K7" s="373">
        <v>0.8</v>
      </c>
    </row>
    <row r="8" spans="1:14" ht="18.75" customHeight="1">
      <c r="A8" s="5558">
        <v>7</v>
      </c>
      <c r="B8" s="5560" t="s">
        <v>510</v>
      </c>
      <c r="C8" s="374" t="s">
        <v>511</v>
      </c>
      <c r="D8" s="375">
        <v>0.5</v>
      </c>
      <c r="E8" s="376">
        <v>85720.87</v>
      </c>
      <c r="F8" s="376">
        <v>9062.94</v>
      </c>
      <c r="G8" s="5558">
        <v>42860</v>
      </c>
      <c r="H8" s="5558">
        <v>9892</v>
      </c>
      <c r="I8" s="376">
        <v>4531</v>
      </c>
      <c r="J8" s="376">
        <v>95.88</v>
      </c>
      <c r="K8" s="376">
        <v>47.94</v>
      </c>
    </row>
    <row r="9" spans="1:14">
      <c r="A9" s="5562"/>
      <c r="B9" s="5563"/>
      <c r="C9" s="374" t="s">
        <v>512</v>
      </c>
      <c r="D9" s="376" t="s">
        <v>513</v>
      </c>
      <c r="E9" s="376">
        <v>19783.650000000001</v>
      </c>
      <c r="F9" s="376">
        <v>2411.09</v>
      </c>
      <c r="G9" s="5562"/>
      <c r="H9" s="5562"/>
      <c r="I9" s="376">
        <v>1206</v>
      </c>
      <c r="J9" s="376">
        <v>7.81</v>
      </c>
      <c r="K9" s="376">
        <v>3.91</v>
      </c>
    </row>
    <row r="10" spans="1:14" ht="36.75" customHeight="1" thickBot="1">
      <c r="A10" s="5559"/>
      <c r="B10" s="5561"/>
      <c r="C10" s="372" t="s">
        <v>514</v>
      </c>
      <c r="D10" s="377"/>
      <c r="E10" s="377"/>
      <c r="F10" s="377"/>
      <c r="G10" s="5559"/>
      <c r="H10" s="5559"/>
      <c r="I10" s="377"/>
      <c r="J10" s="377"/>
      <c r="K10" s="377"/>
    </row>
    <row r="11" spans="1:14" ht="21" customHeight="1">
      <c r="A11" s="5558">
        <v>8</v>
      </c>
      <c r="B11" s="5560" t="s">
        <v>515</v>
      </c>
      <c r="C11" s="374" t="s">
        <v>516</v>
      </c>
      <c r="D11" s="375">
        <v>3.5</v>
      </c>
      <c r="E11" s="376">
        <v>14195.77</v>
      </c>
      <c r="F11" s="376">
        <v>322.83</v>
      </c>
      <c r="G11" s="5558">
        <v>49685</v>
      </c>
      <c r="H11" s="5558">
        <v>27133</v>
      </c>
      <c r="I11" s="376">
        <v>1130</v>
      </c>
      <c r="J11" s="376">
        <v>38.93</v>
      </c>
      <c r="K11" s="376">
        <v>136.25</v>
      </c>
    </row>
    <row r="12" spans="1:14">
      <c r="A12" s="5562"/>
      <c r="B12" s="5563"/>
      <c r="C12" s="374" t="s">
        <v>517</v>
      </c>
      <c r="D12" s="376" t="s">
        <v>518</v>
      </c>
      <c r="E12" s="376">
        <v>7752.25</v>
      </c>
      <c r="F12" s="376">
        <v>133.34</v>
      </c>
      <c r="G12" s="5562"/>
      <c r="H12" s="5562"/>
      <c r="I12" s="376">
        <v>467</v>
      </c>
      <c r="J12" s="376">
        <v>0.43</v>
      </c>
      <c r="K12" s="376">
        <v>1.51</v>
      </c>
    </row>
    <row r="13" spans="1:14" ht="32.25" customHeight="1" thickBot="1">
      <c r="A13" s="5559"/>
      <c r="B13" s="5561"/>
      <c r="C13" s="372" t="s">
        <v>514</v>
      </c>
      <c r="D13" s="377"/>
      <c r="E13" s="377"/>
      <c r="F13" s="377"/>
      <c r="G13" s="5559"/>
      <c r="H13" s="5559"/>
      <c r="I13" s="377"/>
      <c r="J13" s="377"/>
      <c r="K13" s="377"/>
    </row>
    <row r="14" spans="1:14" ht="16.5" customHeight="1">
      <c r="A14" s="5558">
        <v>9</v>
      </c>
      <c r="B14" s="5560" t="s">
        <v>519</v>
      </c>
      <c r="C14" s="374" t="s">
        <v>520</v>
      </c>
      <c r="D14" s="375">
        <v>2.5</v>
      </c>
      <c r="E14" s="376">
        <v>17321.98</v>
      </c>
      <c r="F14" s="376">
        <v>57.06</v>
      </c>
      <c r="G14" s="5558">
        <v>43305</v>
      </c>
      <c r="H14" s="5558">
        <v>18348</v>
      </c>
      <c r="I14" s="376">
        <v>143</v>
      </c>
      <c r="J14" s="376">
        <v>34.65</v>
      </c>
      <c r="K14" s="376">
        <v>86.63</v>
      </c>
    </row>
    <row r="15" spans="1:14">
      <c r="A15" s="5562"/>
      <c r="B15" s="5563"/>
      <c r="C15" s="374" t="s">
        <v>517</v>
      </c>
      <c r="D15" s="376" t="s">
        <v>513</v>
      </c>
      <c r="E15" s="376">
        <v>7339</v>
      </c>
      <c r="F15" s="376">
        <v>0</v>
      </c>
      <c r="G15" s="5562"/>
      <c r="H15" s="5562"/>
      <c r="I15" s="376">
        <v>0</v>
      </c>
      <c r="J15" s="376">
        <v>0.06</v>
      </c>
      <c r="K15" s="376">
        <v>0.15</v>
      </c>
    </row>
    <row r="16" spans="1:14" ht="31.5" customHeight="1" thickBot="1">
      <c r="A16" s="5559"/>
      <c r="B16" s="5561"/>
      <c r="C16" s="372" t="s">
        <v>514</v>
      </c>
      <c r="D16" s="377"/>
      <c r="E16" s="377"/>
      <c r="F16" s="377"/>
      <c r="G16" s="5559"/>
      <c r="H16" s="5559"/>
      <c r="I16" s="377"/>
      <c r="J16" s="377"/>
      <c r="K16" s="377"/>
    </row>
    <row r="17" spans="1:17" ht="21" customHeight="1">
      <c r="A17" s="5558">
        <v>10</v>
      </c>
      <c r="B17" s="5560" t="s">
        <v>521</v>
      </c>
      <c r="C17" s="374" t="s">
        <v>522</v>
      </c>
      <c r="D17" s="375">
        <v>0.97</v>
      </c>
      <c r="E17" s="376">
        <v>174645.03</v>
      </c>
      <c r="F17" s="376">
        <v>141672.79</v>
      </c>
      <c r="G17" s="5558">
        <v>169406</v>
      </c>
      <c r="H17" s="5558">
        <v>30684</v>
      </c>
      <c r="I17" s="376">
        <v>137423</v>
      </c>
      <c r="J17" s="376">
        <v>130.53</v>
      </c>
      <c r="K17" s="376">
        <v>126.61</v>
      </c>
    </row>
    <row r="18" spans="1:17" ht="35.25" customHeight="1" thickBot="1">
      <c r="A18" s="5559"/>
      <c r="B18" s="5561"/>
      <c r="C18" s="372" t="s">
        <v>509</v>
      </c>
      <c r="D18" s="373" t="s">
        <v>523</v>
      </c>
      <c r="E18" s="373">
        <v>31632.68</v>
      </c>
      <c r="F18" s="373">
        <v>9984.64</v>
      </c>
      <c r="G18" s="5559"/>
      <c r="H18" s="5559"/>
      <c r="I18" s="373">
        <v>9685</v>
      </c>
      <c r="J18" s="373">
        <v>47.81</v>
      </c>
      <c r="K18" s="373">
        <v>46.38</v>
      </c>
    </row>
    <row r="19" spans="1:17">
      <c r="G19">
        <f>SUM(G6:G18)</f>
        <v>361530</v>
      </c>
    </row>
    <row r="23" spans="1:17">
      <c r="A23" s="352"/>
      <c r="B23" s="352"/>
      <c r="C23" s="352"/>
      <c r="D23" s="352">
        <v>1</v>
      </c>
      <c r="E23" s="352">
        <v>2</v>
      </c>
      <c r="F23" s="352">
        <v>3</v>
      </c>
      <c r="G23" s="684">
        <v>4</v>
      </c>
      <c r="H23" s="684">
        <v>5</v>
      </c>
      <c r="I23" s="684">
        <v>6</v>
      </c>
      <c r="J23" s="684">
        <v>7</v>
      </c>
      <c r="K23" s="684">
        <v>8</v>
      </c>
      <c r="L23" s="684">
        <v>9</v>
      </c>
      <c r="M23" s="684">
        <v>10</v>
      </c>
      <c r="N23" s="684">
        <v>11</v>
      </c>
      <c r="O23" s="684">
        <v>12</v>
      </c>
      <c r="P23" t="s">
        <v>54</v>
      </c>
      <c r="Q23" t="s">
        <v>602</v>
      </c>
    </row>
    <row r="24" spans="1:17">
      <c r="A24" s="352"/>
      <c r="B24" s="352"/>
      <c r="C24" t="s">
        <v>618</v>
      </c>
      <c r="D24" s="352">
        <f>SUM(P24*D25)</f>
        <v>0</v>
      </c>
      <c r="E24" s="352">
        <f>SUM(P24*E25)</f>
        <v>0</v>
      </c>
      <c r="F24" s="352">
        <f>SUM(P24*F25)</f>
        <v>0</v>
      </c>
      <c r="G24" s="685">
        <f>SUM(P24*G25)</f>
        <v>9.0382499999999997</v>
      </c>
      <c r="H24" s="685">
        <f>SUM(P24*H25)</f>
        <v>72.305999999999997</v>
      </c>
      <c r="I24" s="352">
        <f>SUM(P24*I25)</f>
        <v>99.420749999999998</v>
      </c>
      <c r="J24" s="352">
        <f>SUM(P24*J25)</f>
        <v>99.420749999999998</v>
      </c>
      <c r="K24" s="685">
        <f>SUM(P24*K25)</f>
        <v>72.305999999999997</v>
      </c>
      <c r="L24" s="685">
        <f>SUM(P24*L25)</f>
        <v>9.0382499999999997</v>
      </c>
      <c r="M24" s="352">
        <f>SUM(P24*M25)</f>
        <v>0</v>
      </c>
      <c r="N24" s="352">
        <f>SUM(P24*N25)</f>
        <v>0</v>
      </c>
      <c r="O24" s="352">
        <f>SUM(P24*O25)</f>
        <v>0</v>
      </c>
      <c r="P24" s="352">
        <f>SUM(G19/1000)</f>
        <v>361.53</v>
      </c>
      <c r="Q24" s="352">
        <f>SUM(D24:O24)</f>
        <v>361.53</v>
      </c>
    </row>
    <row r="25" spans="1:17">
      <c r="A25" s="352"/>
      <c r="B25" s="352"/>
      <c r="C25" t="s">
        <v>619</v>
      </c>
      <c r="D25" s="687">
        <v>0</v>
      </c>
      <c r="E25" s="687">
        <v>0</v>
      </c>
      <c r="F25" s="687">
        <v>0</v>
      </c>
      <c r="G25" s="687">
        <v>2.5000000000000001E-2</v>
      </c>
      <c r="H25" s="687">
        <v>0.2</v>
      </c>
      <c r="I25" s="687">
        <v>0.27500000000000002</v>
      </c>
      <c r="J25" s="687">
        <v>0.27500000000000002</v>
      </c>
      <c r="K25" s="687">
        <v>0.2</v>
      </c>
      <c r="L25" s="687">
        <v>2.5000000000000001E-2</v>
      </c>
      <c r="M25" s="687">
        <v>0</v>
      </c>
      <c r="N25" s="687">
        <v>0</v>
      </c>
      <c r="O25" s="687">
        <v>0</v>
      </c>
      <c r="P25" s="686">
        <f>SUM(D25:O25)</f>
        <v>1</v>
      </c>
      <c r="Q25" s="352"/>
    </row>
    <row r="26" spans="1:17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</row>
  </sheetData>
  <sheetProtection sheet="1" objects="1" scenarios="1"/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7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/>
  <cols>
    <col min="1" max="1" width="26.28515625" style="195" customWidth="1"/>
    <col min="2" max="2" width="18.28515625" style="195" customWidth="1"/>
    <col min="3" max="3" width="12.85546875" style="195" customWidth="1"/>
    <col min="4" max="4" width="14.28515625" style="195" customWidth="1"/>
    <col min="5" max="6" width="15.5703125" style="195" customWidth="1"/>
    <col min="7" max="7" width="12.7109375" style="195" customWidth="1"/>
    <col min="8" max="8" width="20.5703125" style="195" customWidth="1"/>
    <col min="9" max="10" width="15.140625" style="195" customWidth="1"/>
    <col min="11" max="11" width="15.85546875" style="195" customWidth="1"/>
    <col min="12" max="12" width="15.42578125" style="195" customWidth="1"/>
    <col min="13" max="13" width="12.5703125" style="195" customWidth="1"/>
    <col min="14" max="14" width="15.5703125" style="195" customWidth="1"/>
    <col min="15" max="15" width="11.28515625" style="195" customWidth="1"/>
    <col min="16" max="16" width="13.5703125" style="195" customWidth="1"/>
    <col min="17" max="16384" width="9.140625" style="195"/>
  </cols>
  <sheetData>
    <row r="3" spans="1:16">
      <c r="A3" s="5829" t="s">
        <v>337</v>
      </c>
      <c r="B3" s="5829"/>
      <c r="C3" s="5829"/>
      <c r="D3" s="5829"/>
      <c r="E3" s="5829"/>
      <c r="F3" s="5829"/>
      <c r="G3" s="5829"/>
      <c r="H3" s="5829"/>
      <c r="I3" s="5829"/>
      <c r="J3" s="5829"/>
      <c r="K3" s="5829"/>
    </row>
    <row r="4" spans="1:16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</row>
    <row r="5" spans="1:16">
      <c r="A5" s="196" t="s">
        <v>338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6" ht="15.75" thickBot="1">
      <c r="A6" s="196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6">
      <c r="A7" s="5824" t="s">
        <v>339</v>
      </c>
      <c r="B7" s="5826" t="s">
        <v>340</v>
      </c>
      <c r="C7" s="5828" t="s">
        <v>341</v>
      </c>
      <c r="D7" s="5828"/>
      <c r="E7" s="5828"/>
      <c r="F7" s="5828"/>
      <c r="G7" s="5821" t="s">
        <v>342</v>
      </c>
      <c r="H7" s="5822"/>
      <c r="I7" s="5822"/>
      <c r="J7" s="5822"/>
      <c r="K7" s="5823"/>
      <c r="L7" s="5821" t="s">
        <v>343</v>
      </c>
      <c r="M7" s="5822"/>
      <c r="N7" s="5822"/>
      <c r="O7" s="5822"/>
      <c r="P7" s="5823"/>
    </row>
    <row r="8" spans="1:16" ht="60.75" thickBot="1">
      <c r="A8" s="5825"/>
      <c r="B8" s="5827"/>
      <c r="C8" s="198" t="s">
        <v>344</v>
      </c>
      <c r="D8" s="199" t="s">
        <v>345</v>
      </c>
      <c r="E8" s="200" t="s">
        <v>346</v>
      </c>
      <c r="F8" s="201" t="s">
        <v>347</v>
      </c>
      <c r="G8" s="202" t="s">
        <v>344</v>
      </c>
      <c r="H8" s="200" t="s">
        <v>348</v>
      </c>
      <c r="I8" s="200" t="s">
        <v>346</v>
      </c>
      <c r="J8" s="200" t="s">
        <v>347</v>
      </c>
      <c r="K8" s="203" t="s">
        <v>349</v>
      </c>
      <c r="L8" s="202" t="s">
        <v>344</v>
      </c>
      <c r="M8" s="200" t="s">
        <v>348</v>
      </c>
      <c r="N8" s="200" t="s">
        <v>346</v>
      </c>
      <c r="O8" s="200" t="s">
        <v>347</v>
      </c>
      <c r="P8" s="203" t="s">
        <v>349</v>
      </c>
    </row>
    <row r="9" spans="1:16">
      <c r="A9" s="204" t="s">
        <v>350</v>
      </c>
      <c r="B9" s="205" t="s">
        <v>351</v>
      </c>
      <c r="C9" s="206">
        <f>4.891</f>
        <v>4.891</v>
      </c>
      <c r="D9" s="207">
        <v>21.09</v>
      </c>
      <c r="E9" s="208">
        <f>C9*D9*3</f>
        <v>309.45357000000001</v>
      </c>
      <c r="F9" s="209">
        <f t="shared" ref="F9:F15" si="0">E9/$E$16*100</f>
        <v>7.0756249859786209</v>
      </c>
      <c r="G9" s="210">
        <v>4.7510000000000003</v>
      </c>
      <c r="H9" s="207">
        <v>22.59</v>
      </c>
      <c r="I9" s="208">
        <f>G9*H9*3</f>
        <v>321.97527000000002</v>
      </c>
      <c r="J9" s="211">
        <f t="shared" ref="J9:J15" si="1">I9/$I$16*100</f>
        <v>6.4865597299422166</v>
      </c>
      <c r="K9" s="212">
        <f t="shared" ref="K9:K16" si="2">I9/E9*100</f>
        <v>104.04639054576104</v>
      </c>
      <c r="L9" s="210">
        <f>G9</f>
        <v>4.7510000000000003</v>
      </c>
      <c r="M9" s="207">
        <f>вода!Z64*1.18</f>
        <v>26.740876799999999</v>
      </c>
      <c r="N9" s="208">
        <f>L9*M9*3</f>
        <v>381.13771703040004</v>
      </c>
      <c r="O9" s="211">
        <f t="shared" ref="O9:O15" si="3">N9/$N$16*100</f>
        <v>7.289571523132123</v>
      </c>
      <c r="P9" s="213">
        <f t="shared" ref="P9:P16" si="4">N9/I9</f>
        <v>1.1837484196547146</v>
      </c>
    </row>
    <row r="10" spans="1:16">
      <c r="A10" s="214" t="s">
        <v>352</v>
      </c>
      <c r="B10" s="215" t="s">
        <v>351</v>
      </c>
      <c r="C10" s="216">
        <f>8.156</f>
        <v>8.1560000000000006</v>
      </c>
      <c r="D10" s="207">
        <v>17.07</v>
      </c>
      <c r="E10" s="217">
        <f>C10*D10*3</f>
        <v>417.66876000000002</v>
      </c>
      <c r="F10" s="209">
        <f t="shared" si="0"/>
        <v>9.5499545024434784</v>
      </c>
      <c r="G10" s="218">
        <f>8.156</f>
        <v>8.1560000000000006</v>
      </c>
      <c r="H10" s="207">
        <v>18.29</v>
      </c>
      <c r="I10" s="217">
        <f>G10*H10*3</f>
        <v>447.51972000000001</v>
      </c>
      <c r="J10" s="211">
        <f t="shared" si="1"/>
        <v>9.0157961327496245</v>
      </c>
      <c r="K10" s="212">
        <f t="shared" si="2"/>
        <v>107.14704159343877</v>
      </c>
      <c r="L10" s="218">
        <f>8.156</f>
        <v>8.1560000000000006</v>
      </c>
      <c r="M10" s="207">
        <f>вода!Z71*1.18</f>
        <v>21.655359999999998</v>
      </c>
      <c r="N10" s="217">
        <f>L10*M10*3</f>
        <v>529.86334848000001</v>
      </c>
      <c r="O10" s="211">
        <f t="shared" si="3"/>
        <v>10.134071238935306</v>
      </c>
      <c r="P10" s="213">
        <f t="shared" si="4"/>
        <v>1.1839999999999999</v>
      </c>
    </row>
    <row r="11" spans="1:16">
      <c r="A11" s="214" t="s">
        <v>353</v>
      </c>
      <c r="B11" s="215" t="s">
        <v>354</v>
      </c>
      <c r="C11" s="216">
        <v>2.5613E-2</v>
      </c>
      <c r="D11" s="219">
        <v>1744.04</v>
      </c>
      <c r="E11" s="217">
        <f>C11*D11*54</f>
        <v>2412.1852120799999</v>
      </c>
      <c r="F11" s="209">
        <f t="shared" si="0"/>
        <v>55.154374071048473</v>
      </c>
      <c r="G11" s="218">
        <v>2.5613E-2</v>
      </c>
      <c r="H11" s="219">
        <v>2003.64</v>
      </c>
      <c r="I11" s="217">
        <f>G11*H11*54</f>
        <v>2771.2384912799998</v>
      </c>
      <c r="J11" s="211">
        <f t="shared" si="1"/>
        <v>55.82976605502239</v>
      </c>
      <c r="K11" s="212">
        <f t="shared" si="2"/>
        <v>114.8849797023004</v>
      </c>
      <c r="L11" s="218">
        <v>2.5613E-2</v>
      </c>
      <c r="M11" s="219">
        <f>H11*1.015</f>
        <v>2033.6945999999998</v>
      </c>
      <c r="N11" s="217">
        <f>L11*M11*54</f>
        <v>2812.8070686492001</v>
      </c>
      <c r="O11" s="211">
        <f t="shared" si="3"/>
        <v>53.797242811459967</v>
      </c>
      <c r="P11" s="213">
        <f t="shared" si="4"/>
        <v>1.0150000000000001</v>
      </c>
    </row>
    <row r="12" spans="1:16">
      <c r="A12" s="214" t="s">
        <v>355</v>
      </c>
      <c r="B12" s="215" t="s">
        <v>356</v>
      </c>
      <c r="C12" s="216">
        <v>6.6209000000000004E-2</v>
      </c>
      <c r="D12" s="219">
        <v>1744.04</v>
      </c>
      <c r="E12" s="217">
        <f>C12*D12*3</f>
        <v>346.41343308</v>
      </c>
      <c r="F12" s="209">
        <f t="shared" si="0"/>
        <v>7.9207085656807283</v>
      </c>
      <c r="G12" s="218">
        <f>C12</f>
        <v>6.6209000000000004E-2</v>
      </c>
      <c r="H12" s="219">
        <v>2003.64</v>
      </c>
      <c r="I12" s="217">
        <f>G12*H12*3</f>
        <v>397.97700228000008</v>
      </c>
      <c r="J12" s="211">
        <f t="shared" si="1"/>
        <v>8.0177014726397147</v>
      </c>
      <c r="K12" s="212">
        <f t="shared" si="2"/>
        <v>114.88497970230043</v>
      </c>
      <c r="L12" s="218">
        <f>G12</f>
        <v>6.6209000000000004E-2</v>
      </c>
      <c r="M12" s="219">
        <f>H12*1.015</f>
        <v>2033.6945999999998</v>
      </c>
      <c r="N12" s="217">
        <f>L12*M12*3</f>
        <v>403.94665731419997</v>
      </c>
      <c r="O12" s="211">
        <f t="shared" si="3"/>
        <v>7.7258112184870358</v>
      </c>
      <c r="P12" s="213">
        <f t="shared" si="4"/>
        <v>1.0149999999999997</v>
      </c>
    </row>
    <row r="13" spans="1:16">
      <c r="A13" s="214"/>
      <c r="B13" s="215"/>
      <c r="C13" s="216">
        <f>3.265</f>
        <v>3.2650000000000001</v>
      </c>
      <c r="D13" s="219">
        <f>D9</f>
        <v>21.09</v>
      </c>
      <c r="E13" s="217">
        <f>C13*D13*3</f>
        <v>206.57655</v>
      </c>
      <c r="F13" s="209">
        <f t="shared" si="0"/>
        <v>4.7233521936659573</v>
      </c>
      <c r="G13" s="218">
        <f>3.405</f>
        <v>3.4049999999999998</v>
      </c>
      <c r="H13" s="219">
        <f>H9</f>
        <v>22.59</v>
      </c>
      <c r="I13" s="217">
        <f>G13*H13*3</f>
        <v>230.75684999999999</v>
      </c>
      <c r="J13" s="211">
        <f t="shared" si="1"/>
        <v>4.6488604252690475</v>
      </c>
      <c r="K13" s="212">
        <f t="shared" si="2"/>
        <v>111.70524921633167</v>
      </c>
      <c r="L13" s="218">
        <f>G13</f>
        <v>3.4049999999999998</v>
      </c>
      <c r="M13" s="219">
        <f>M9</f>
        <v>26.740876799999999</v>
      </c>
      <c r="N13" s="217">
        <f>L13*M13*3</f>
        <v>273.15805651199997</v>
      </c>
      <c r="O13" s="211">
        <f t="shared" si="3"/>
        <v>5.2243719293337971</v>
      </c>
      <c r="P13" s="213">
        <f t="shared" si="4"/>
        <v>1.1837484196547143</v>
      </c>
    </row>
    <row r="14" spans="1:16">
      <c r="A14" s="214" t="s">
        <v>357</v>
      </c>
      <c r="B14" s="215" t="s">
        <v>356</v>
      </c>
      <c r="C14" s="220">
        <v>13</v>
      </c>
      <c r="D14" s="219">
        <v>3.8466200000000002</v>
      </c>
      <c r="E14" s="221">
        <f>C14*D14*3</f>
        <v>150.01818000000003</v>
      </c>
      <c r="F14" s="209">
        <f t="shared" si="0"/>
        <v>3.4301507097140234</v>
      </c>
      <c r="G14" s="222">
        <v>13</v>
      </c>
      <c r="H14" s="219">
        <v>4.4887699999999997</v>
      </c>
      <c r="I14" s="221">
        <f>G14*H14*3</f>
        <v>175.06202999999999</v>
      </c>
      <c r="J14" s="211">
        <f t="shared" si="1"/>
        <v>3.5268246348234631</v>
      </c>
      <c r="K14" s="212">
        <f t="shared" si="2"/>
        <v>116.69387670214365</v>
      </c>
      <c r="L14" s="222">
        <v>13</v>
      </c>
      <c r="M14" s="219">
        <f>H14*1.042</f>
        <v>4.6772983400000001</v>
      </c>
      <c r="N14" s="221">
        <f>L14*M14*3</f>
        <v>182.41463526000001</v>
      </c>
      <c r="O14" s="211">
        <f t="shared" si="3"/>
        <v>3.4888295520953871</v>
      </c>
      <c r="P14" s="213">
        <f t="shared" si="4"/>
        <v>1.042</v>
      </c>
    </row>
    <row r="15" spans="1:16">
      <c r="A15" s="214" t="s">
        <v>1</v>
      </c>
      <c r="B15" s="215" t="s">
        <v>358</v>
      </c>
      <c r="C15" s="220">
        <v>160</v>
      </c>
      <c r="D15" s="219">
        <v>3.32</v>
      </c>
      <c r="E15" s="221">
        <f>C15*D15</f>
        <v>531.19999999999993</v>
      </c>
      <c r="F15" s="209">
        <f t="shared" si="0"/>
        <v>12.145834971468716</v>
      </c>
      <c r="G15" s="222">
        <v>160</v>
      </c>
      <c r="H15" s="219">
        <v>3.87</v>
      </c>
      <c r="I15" s="221">
        <f>G15*H15</f>
        <v>619.20000000000005</v>
      </c>
      <c r="J15" s="211">
        <f t="shared" si="1"/>
        <v>12.474491549553543</v>
      </c>
      <c r="K15" s="212">
        <f t="shared" si="2"/>
        <v>116.56626506024099</v>
      </c>
      <c r="L15" s="222">
        <v>160</v>
      </c>
      <c r="M15" s="219">
        <f>H15*1.042</f>
        <v>4.03254</v>
      </c>
      <c r="N15" s="221">
        <f>L15*M15</f>
        <v>645.20640000000003</v>
      </c>
      <c r="O15" s="211">
        <f t="shared" si="3"/>
        <v>12.340101726556373</v>
      </c>
      <c r="P15" s="213">
        <f t="shared" si="4"/>
        <v>1.042</v>
      </c>
    </row>
    <row r="16" spans="1:16" ht="15.75" thickBot="1">
      <c r="A16" s="223" t="s">
        <v>359</v>
      </c>
      <c r="B16" s="224"/>
      <c r="C16" s="225"/>
      <c r="D16" s="226"/>
      <c r="E16" s="227">
        <f>SUM(E9:E15)</f>
        <v>4373.5157051599999</v>
      </c>
      <c r="F16" s="228">
        <f>SUM(F9:F15)</f>
        <v>100</v>
      </c>
      <c r="G16" s="229"/>
      <c r="H16" s="226"/>
      <c r="I16" s="227">
        <f>SUM(I9:I15)</f>
        <v>4963.7293635599999</v>
      </c>
      <c r="J16" s="230">
        <f>SUM(J9:J15)</f>
        <v>100.00000000000001</v>
      </c>
      <c r="K16" s="231">
        <f t="shared" si="2"/>
        <v>113.4951763795806</v>
      </c>
      <c r="L16" s="229"/>
      <c r="M16" s="232"/>
      <c r="N16" s="227">
        <f>SUM(N9:N15)</f>
        <v>5228.533883245801</v>
      </c>
      <c r="O16" s="230">
        <f>SUM(O9:O15)</f>
        <v>99.999999999999986</v>
      </c>
      <c r="P16" s="233">
        <f t="shared" si="4"/>
        <v>1.0533478963679603</v>
      </c>
    </row>
    <row r="20" spans="1:16">
      <c r="A20" s="195" t="s">
        <v>360</v>
      </c>
    </row>
    <row r="22" spans="1:16" ht="15.75" thickBot="1"/>
    <row r="23" spans="1:16">
      <c r="A23" s="5824" t="s">
        <v>339</v>
      </c>
      <c r="B23" s="5826" t="s">
        <v>340</v>
      </c>
      <c r="C23" s="5828" t="s">
        <v>434</v>
      </c>
      <c r="D23" s="5828"/>
      <c r="E23" s="5828"/>
      <c r="F23" s="5828"/>
      <c r="G23" s="5821" t="s">
        <v>343</v>
      </c>
      <c r="H23" s="5822"/>
      <c r="I23" s="5822"/>
      <c r="J23" s="5822"/>
      <c r="K23" s="5823"/>
      <c r="L23" s="5821" t="s">
        <v>435</v>
      </c>
      <c r="M23" s="5822"/>
      <c r="N23" s="5822"/>
      <c r="O23" s="5822"/>
      <c r="P23" s="5823"/>
    </row>
    <row r="24" spans="1:16" ht="60.75" thickBot="1">
      <c r="A24" s="5825"/>
      <c r="B24" s="5827"/>
      <c r="C24" s="198" t="s">
        <v>344</v>
      </c>
      <c r="D24" s="199" t="s">
        <v>345</v>
      </c>
      <c r="E24" s="200" t="s">
        <v>346</v>
      </c>
      <c r="F24" s="201" t="s">
        <v>347</v>
      </c>
      <c r="G24" s="202" t="s">
        <v>344</v>
      </c>
      <c r="H24" s="200" t="s">
        <v>348</v>
      </c>
      <c r="I24" s="200" t="s">
        <v>346</v>
      </c>
      <c r="J24" s="200" t="s">
        <v>347</v>
      </c>
      <c r="K24" s="203" t="s">
        <v>349</v>
      </c>
      <c r="L24" s="202" t="s">
        <v>344</v>
      </c>
      <c r="M24" s="200" t="s">
        <v>348</v>
      </c>
      <c r="N24" s="200" t="s">
        <v>346</v>
      </c>
      <c r="O24" s="200" t="s">
        <v>347</v>
      </c>
      <c r="P24" s="203" t="s">
        <v>349</v>
      </c>
    </row>
    <row r="25" spans="1:16">
      <c r="A25" s="204" t="s">
        <v>350</v>
      </c>
      <c r="B25" s="205" t="s">
        <v>351</v>
      </c>
      <c r="C25" s="206">
        <f>G9</f>
        <v>4.7510000000000003</v>
      </c>
      <c r="D25" s="206">
        <f>H9</f>
        <v>22.59</v>
      </c>
      <c r="E25" s="208">
        <f>C25*D25*3</f>
        <v>321.97527000000002</v>
      </c>
      <c r="F25" s="209">
        <f t="shared" ref="F25:F31" si="5">E25/$E$16*100</f>
        <v>7.3619324064647644</v>
      </c>
      <c r="G25" s="210">
        <f>L9</f>
        <v>4.7510000000000003</v>
      </c>
      <c r="H25" s="344">
        <f>M9</f>
        <v>26.740876799999999</v>
      </c>
      <c r="I25" s="208">
        <f>G25*H25*3</f>
        <v>381.13771703040004</v>
      </c>
      <c r="J25" s="211">
        <f t="shared" ref="J25:J31" si="6">I25/$I$16*100</f>
        <v>7.6784548293150108</v>
      </c>
      <c r="K25" s="212">
        <f t="shared" ref="K25:K32" si="7">I25/E25*100</f>
        <v>118.37484196547146</v>
      </c>
      <c r="L25" s="210">
        <f>G25</f>
        <v>4.7510000000000003</v>
      </c>
      <c r="M25" s="207" t="e">
        <f>#REF!*1.18</f>
        <v>#REF!</v>
      </c>
      <c r="N25" s="208" t="e">
        <f>L25*M25*3</f>
        <v>#REF!</v>
      </c>
      <c r="O25" s="211" t="e">
        <f t="shared" ref="O25:O31" si="8">N25/$N$16*100</f>
        <v>#REF!</v>
      </c>
      <c r="P25" s="213" t="e">
        <f t="shared" ref="P25:P32" si="9">N25/I25</f>
        <v>#REF!</v>
      </c>
    </row>
    <row r="26" spans="1:16">
      <c r="A26" s="214" t="s">
        <v>352</v>
      </c>
      <c r="B26" s="215" t="s">
        <v>351</v>
      </c>
      <c r="C26" s="206">
        <f t="shared" ref="C26:D31" si="10">G10</f>
        <v>8.1560000000000006</v>
      </c>
      <c r="D26" s="206">
        <f t="shared" si="10"/>
        <v>18.29</v>
      </c>
      <c r="E26" s="217">
        <f>C26*D26*3</f>
        <v>447.51972000000001</v>
      </c>
      <c r="F26" s="209">
        <f t="shared" si="5"/>
        <v>10.232493722887593</v>
      </c>
      <c r="G26" s="210">
        <f t="shared" ref="G26:H31" si="11">L10</f>
        <v>8.1560000000000006</v>
      </c>
      <c r="H26" s="344">
        <f t="shared" si="11"/>
        <v>21.655359999999998</v>
      </c>
      <c r="I26" s="217">
        <f>G26*H26*3</f>
        <v>529.86334848000001</v>
      </c>
      <c r="J26" s="211">
        <f t="shared" si="6"/>
        <v>10.674702621175555</v>
      </c>
      <c r="K26" s="212">
        <f t="shared" si="7"/>
        <v>118.39999999999999</v>
      </c>
      <c r="L26" s="218">
        <f>8.156</f>
        <v>8.1560000000000006</v>
      </c>
      <c r="M26" s="207" t="e">
        <f>#REF!*1.18</f>
        <v>#REF!</v>
      </c>
      <c r="N26" s="217" t="e">
        <f>L26*M26*3</f>
        <v>#REF!</v>
      </c>
      <c r="O26" s="211" t="e">
        <f t="shared" si="8"/>
        <v>#REF!</v>
      </c>
      <c r="P26" s="213" t="e">
        <f t="shared" si="9"/>
        <v>#REF!</v>
      </c>
    </row>
    <row r="27" spans="1:16">
      <c r="A27" s="214" t="s">
        <v>353</v>
      </c>
      <c r="B27" s="215" t="s">
        <v>354</v>
      </c>
      <c r="C27" s="206">
        <f t="shared" si="10"/>
        <v>2.5613E-2</v>
      </c>
      <c r="D27" s="206">
        <f t="shared" si="10"/>
        <v>2003.64</v>
      </c>
      <c r="E27" s="217">
        <f>C27*D27*54</f>
        <v>2771.2384912799998</v>
      </c>
      <c r="F27" s="209">
        <f t="shared" si="5"/>
        <v>63.364091456454872</v>
      </c>
      <c r="G27" s="210">
        <f t="shared" si="11"/>
        <v>2.5613E-2</v>
      </c>
      <c r="H27" s="344">
        <f t="shared" si="11"/>
        <v>2033.6945999999998</v>
      </c>
      <c r="I27" s="217">
        <f>G27*H27*54</f>
        <v>2812.8070686492001</v>
      </c>
      <c r="J27" s="211">
        <f t="shared" si="6"/>
        <v>56.667212545847732</v>
      </c>
      <c r="K27" s="212">
        <f t="shared" si="7"/>
        <v>101.50000000000001</v>
      </c>
      <c r="L27" s="218">
        <v>2.5613E-2</v>
      </c>
      <c r="M27" s="219">
        <f>H27*1.07</f>
        <v>2176.053222</v>
      </c>
      <c r="N27" s="217">
        <f>L27*M27*54</f>
        <v>3009.7035634546442</v>
      </c>
      <c r="O27" s="211">
        <f t="shared" si="8"/>
        <v>57.563049808262157</v>
      </c>
      <c r="P27" s="213">
        <f t="shared" si="9"/>
        <v>1.07</v>
      </c>
    </row>
    <row r="28" spans="1:16">
      <c r="A28" s="214" t="s">
        <v>355</v>
      </c>
      <c r="B28" s="215" t="s">
        <v>356</v>
      </c>
      <c r="C28" s="206">
        <f t="shared" si="10"/>
        <v>6.6209000000000004E-2</v>
      </c>
      <c r="D28" s="206">
        <f t="shared" si="10"/>
        <v>2003.64</v>
      </c>
      <c r="E28" s="217">
        <f>C28*D28*3</f>
        <v>397.97700228000008</v>
      </c>
      <c r="F28" s="209">
        <f t="shared" si="5"/>
        <v>9.0997044279606758</v>
      </c>
      <c r="G28" s="210">
        <f t="shared" si="11"/>
        <v>6.6209000000000004E-2</v>
      </c>
      <c r="H28" s="344">
        <f t="shared" si="11"/>
        <v>2033.6945999999998</v>
      </c>
      <c r="I28" s="217">
        <f>G28*H28*3</f>
        <v>403.94665731419997</v>
      </c>
      <c r="J28" s="211">
        <f t="shared" si="6"/>
        <v>8.1379669947293092</v>
      </c>
      <c r="K28" s="212">
        <f t="shared" si="7"/>
        <v>101.49999999999997</v>
      </c>
      <c r="L28" s="218">
        <f>G28</f>
        <v>6.6209000000000004E-2</v>
      </c>
      <c r="M28" s="219">
        <f>H28*1.07</f>
        <v>2176.053222</v>
      </c>
      <c r="N28" s="217">
        <f>L28*M28*3</f>
        <v>432.22292332619406</v>
      </c>
      <c r="O28" s="211">
        <f t="shared" si="8"/>
        <v>8.2666180037811294</v>
      </c>
      <c r="P28" s="213">
        <f t="shared" si="9"/>
        <v>1.0700000000000003</v>
      </c>
    </row>
    <row r="29" spans="1:16">
      <c r="A29" s="214"/>
      <c r="B29" s="215"/>
      <c r="C29" s="206">
        <f t="shared" si="10"/>
        <v>3.4049999999999998</v>
      </c>
      <c r="D29" s="206">
        <f t="shared" si="10"/>
        <v>22.59</v>
      </c>
      <c r="E29" s="217">
        <f>C29*D29*3</f>
        <v>230.75684999999999</v>
      </c>
      <c r="F29" s="209">
        <f t="shared" si="5"/>
        <v>5.276232339299626</v>
      </c>
      <c r="G29" s="210">
        <f t="shared" si="11"/>
        <v>3.4049999999999998</v>
      </c>
      <c r="H29" s="344">
        <f t="shared" si="11"/>
        <v>26.740876799999999</v>
      </c>
      <c r="I29" s="217">
        <f>G29*H29*3</f>
        <v>273.15805651199997</v>
      </c>
      <c r="J29" s="211">
        <f t="shared" si="6"/>
        <v>5.5030811816075786</v>
      </c>
      <c r="K29" s="212">
        <f t="shared" si="7"/>
        <v>118.37484196547143</v>
      </c>
      <c r="L29" s="218">
        <f>G29</f>
        <v>3.4049999999999998</v>
      </c>
      <c r="M29" s="219" t="e">
        <f>M25</f>
        <v>#REF!</v>
      </c>
      <c r="N29" s="217" t="e">
        <f>L29*M29*3</f>
        <v>#REF!</v>
      </c>
      <c r="O29" s="211" t="e">
        <f t="shared" si="8"/>
        <v>#REF!</v>
      </c>
      <c r="P29" s="213" t="e">
        <f t="shared" si="9"/>
        <v>#REF!</v>
      </c>
    </row>
    <row r="30" spans="1:16">
      <c r="A30" s="214" t="s">
        <v>357</v>
      </c>
      <c r="B30" s="215" t="s">
        <v>356</v>
      </c>
      <c r="C30" s="206">
        <f t="shared" si="10"/>
        <v>13</v>
      </c>
      <c r="D30" s="206">
        <f t="shared" si="10"/>
        <v>4.4887699999999997</v>
      </c>
      <c r="E30" s="221">
        <f>C30*D30*3</f>
        <v>175.06202999999999</v>
      </c>
      <c r="F30" s="209">
        <f t="shared" si="5"/>
        <v>4.0027758398913891</v>
      </c>
      <c r="G30" s="210">
        <f t="shared" si="11"/>
        <v>13</v>
      </c>
      <c r="H30" s="344">
        <f t="shared" si="11"/>
        <v>4.6772983400000001</v>
      </c>
      <c r="I30" s="221">
        <f>G30*H30*3</f>
        <v>182.41463526000001</v>
      </c>
      <c r="J30" s="211">
        <f t="shared" si="6"/>
        <v>3.6749512694860496</v>
      </c>
      <c r="K30" s="212">
        <f t="shared" si="7"/>
        <v>104.2</v>
      </c>
      <c r="L30" s="222">
        <v>13</v>
      </c>
      <c r="M30" s="219">
        <f>H30*1.065</f>
        <v>4.9813227320999998</v>
      </c>
      <c r="N30" s="221">
        <f>L30*M30*3</f>
        <v>194.27158655189999</v>
      </c>
      <c r="O30" s="211">
        <f t="shared" si="8"/>
        <v>3.7156034729815866</v>
      </c>
      <c r="P30" s="213">
        <f t="shared" si="9"/>
        <v>1.0649999999999999</v>
      </c>
    </row>
    <row r="31" spans="1:16">
      <c r="A31" s="214" t="s">
        <v>1</v>
      </c>
      <c r="B31" s="215" t="s">
        <v>358</v>
      </c>
      <c r="C31" s="206">
        <f t="shared" si="10"/>
        <v>160</v>
      </c>
      <c r="D31" s="206">
        <f t="shared" si="10"/>
        <v>3.87</v>
      </c>
      <c r="E31" s="221">
        <f>C31*D31</f>
        <v>619.20000000000005</v>
      </c>
      <c r="F31" s="209">
        <f t="shared" si="5"/>
        <v>14.15794618662167</v>
      </c>
      <c r="G31" s="210">
        <f t="shared" si="11"/>
        <v>160</v>
      </c>
      <c r="H31" s="344">
        <f t="shared" si="11"/>
        <v>4.03254</v>
      </c>
      <c r="I31" s="221">
        <f>G31*H31</f>
        <v>645.20640000000003</v>
      </c>
      <c r="J31" s="211">
        <f t="shared" si="6"/>
        <v>12.998420194634791</v>
      </c>
      <c r="K31" s="212">
        <f t="shared" si="7"/>
        <v>104.2</v>
      </c>
      <c r="L31" s="222">
        <v>160</v>
      </c>
      <c r="M31" s="219">
        <f>H31*1.056</f>
        <v>4.2583622400000003</v>
      </c>
      <c r="N31" s="221">
        <f>L31*M31</f>
        <v>681.33795840000005</v>
      </c>
      <c r="O31" s="211">
        <f t="shared" si="8"/>
        <v>13.03114742324353</v>
      </c>
      <c r="P31" s="213">
        <f t="shared" si="9"/>
        <v>1.056</v>
      </c>
    </row>
    <row r="32" spans="1:16" ht="15.75" thickBot="1">
      <c r="A32" s="223" t="s">
        <v>359</v>
      </c>
      <c r="B32" s="224"/>
      <c r="C32" s="225"/>
      <c r="D32" s="226"/>
      <c r="E32" s="227">
        <f>SUM(E25:E31)</f>
        <v>4963.7293635599999</v>
      </c>
      <c r="F32" s="228">
        <f>SUM(F25:F31)</f>
        <v>113.49517637958058</v>
      </c>
      <c r="G32" s="229"/>
      <c r="H32" s="226"/>
      <c r="I32" s="227">
        <f>SUM(I25:I31)</f>
        <v>5228.533883245801</v>
      </c>
      <c r="J32" s="230">
        <f>SUM(J25:J31)</f>
        <v>105.33478963679603</v>
      </c>
      <c r="K32" s="231">
        <f t="shared" si="7"/>
        <v>105.33478963679603</v>
      </c>
      <c r="L32" s="229"/>
      <c r="M32" s="232"/>
      <c r="N32" s="227" t="e">
        <f>SUM(N25:N31)</f>
        <v>#REF!</v>
      </c>
      <c r="O32" s="230" t="e">
        <f>SUM(O25:O31)</f>
        <v>#REF!</v>
      </c>
      <c r="P32" s="233" t="e">
        <f t="shared" si="9"/>
        <v>#REF!</v>
      </c>
    </row>
  </sheetData>
  <sheetProtection sheet="1" objects="1" scenarios="1"/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1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T36"/>
  <sheetViews>
    <sheetView workbookViewId="0">
      <selection activeCell="L29" sqref="L29"/>
    </sheetView>
  </sheetViews>
  <sheetFormatPr defaultRowHeight="15"/>
  <cols>
    <col min="1" max="1" width="45.28515625" style="4047" customWidth="1"/>
    <col min="2" max="19" width="10.140625" style="4047" customWidth="1"/>
    <col min="20" max="20" width="10.42578125" style="4047" customWidth="1"/>
    <col min="21" max="16384" width="9.140625" style="4047"/>
  </cols>
  <sheetData>
    <row r="1" spans="1:20">
      <c r="Q1" s="4048" t="s">
        <v>1724</v>
      </c>
      <c r="R1" s="4048"/>
    </row>
    <row r="2" spans="1:20">
      <c r="Q2" s="4048" t="s">
        <v>1779</v>
      </c>
      <c r="R2" s="4048"/>
    </row>
    <row r="3" spans="1:20" ht="30" customHeight="1">
      <c r="Q3" s="4048" t="s">
        <v>1859</v>
      </c>
      <c r="R3" s="4048"/>
    </row>
    <row r="5" spans="1:20" ht="20.25">
      <c r="A5" s="4348" t="s">
        <v>1860</v>
      </c>
      <c r="B5" s="4349"/>
      <c r="C5" s="4349"/>
      <c r="D5" s="4349"/>
      <c r="E5" s="4349"/>
      <c r="F5" s="4349"/>
      <c r="G5" s="4349"/>
      <c r="H5" s="4349"/>
      <c r="I5" s="4349"/>
      <c r="J5" s="4349"/>
      <c r="K5" s="4349"/>
      <c r="L5" s="4349"/>
      <c r="M5" s="4349"/>
      <c r="N5" s="4349"/>
      <c r="O5" s="4349"/>
      <c r="P5" s="4349"/>
      <c r="Q5" s="4349"/>
      <c r="R5" s="4349"/>
      <c r="S5" s="4349"/>
      <c r="T5" s="4349"/>
    </row>
    <row r="6" spans="1:20" ht="15.75" thickBot="1">
      <c r="A6" s="4048"/>
      <c r="B6" s="4048"/>
      <c r="C6" s="4048"/>
      <c r="D6" s="4048"/>
      <c r="E6" s="4048"/>
      <c r="F6" s="4048"/>
      <c r="G6" s="4048"/>
      <c r="H6" s="4048"/>
      <c r="I6" s="4048"/>
      <c r="J6" s="4048"/>
      <c r="K6" s="4048"/>
      <c r="L6" s="4048"/>
      <c r="M6" s="4048"/>
      <c r="N6" s="4048"/>
      <c r="O6" s="4048"/>
      <c r="P6" s="4048"/>
      <c r="Q6" s="4048"/>
      <c r="R6" s="4048"/>
      <c r="S6" s="4048"/>
      <c r="T6" s="4048"/>
    </row>
    <row r="7" spans="1:20" ht="27" customHeight="1">
      <c r="A7" s="4057" t="s">
        <v>1044</v>
      </c>
      <c r="B7" s="4058" t="s">
        <v>267</v>
      </c>
      <c r="C7" s="4058" t="s">
        <v>268</v>
      </c>
      <c r="D7" s="4058" t="s">
        <v>269</v>
      </c>
      <c r="E7" s="4059" t="s">
        <v>1843</v>
      </c>
      <c r="F7" s="4058" t="s">
        <v>270</v>
      </c>
      <c r="G7" s="4058" t="s">
        <v>271</v>
      </c>
      <c r="H7" s="4058" t="s">
        <v>272</v>
      </c>
      <c r="I7" s="4059" t="s">
        <v>1844</v>
      </c>
      <c r="J7" s="4059" t="s">
        <v>1845</v>
      </c>
      <c r="K7" s="4058" t="s">
        <v>1227</v>
      </c>
      <c r="L7" s="4058" t="s">
        <v>273</v>
      </c>
      <c r="M7" s="4058" t="s">
        <v>1245</v>
      </c>
      <c r="N7" s="4059" t="s">
        <v>1846</v>
      </c>
      <c r="O7" s="4059" t="s">
        <v>229</v>
      </c>
      <c r="P7" s="4058" t="s">
        <v>274</v>
      </c>
      <c r="Q7" s="4058" t="s">
        <v>275</v>
      </c>
      <c r="R7" s="4058" t="s">
        <v>1336</v>
      </c>
      <c r="S7" s="4059" t="s">
        <v>135</v>
      </c>
      <c r="T7" s="4060" t="s">
        <v>252</v>
      </c>
    </row>
    <row r="8" spans="1:20" ht="20.100000000000001" customHeight="1">
      <c r="A8" s="4061" t="s">
        <v>1847</v>
      </c>
      <c r="B8" s="4062">
        <f>B9+B11+B13</f>
        <v>18181.991831027328</v>
      </c>
      <c r="C8" s="4062">
        <f t="shared" ref="C8:D8" si="0">C9+C11+C13</f>
        <v>18218.184177523333</v>
      </c>
      <c r="D8" s="4062">
        <f t="shared" si="0"/>
        <v>18284.73600310133</v>
      </c>
      <c r="E8" s="4063">
        <f>SUM(B8:D8)</f>
        <v>54684.912011651992</v>
      </c>
      <c r="F8" s="4062">
        <f t="shared" ref="F8:H8" si="1">F9+F11+F13</f>
        <v>18035.66242500933</v>
      </c>
      <c r="G8" s="4062">
        <f t="shared" si="1"/>
        <v>17692.623062587329</v>
      </c>
      <c r="H8" s="4062">
        <f t="shared" si="1"/>
        <v>17075.56045913733</v>
      </c>
      <c r="I8" s="4063">
        <f>SUM(F8:H8)</f>
        <v>52803.845946733985</v>
      </c>
      <c r="J8" s="4063">
        <f>E8+I8</f>
        <v>107488.75795838598</v>
      </c>
      <c r="K8" s="4062">
        <f t="shared" ref="K8:M8" si="2">K9+K11+K13</f>
        <v>17674.850069288332</v>
      </c>
      <c r="L8" s="4062">
        <f t="shared" si="2"/>
        <v>18285.760972993328</v>
      </c>
      <c r="M8" s="4062">
        <f t="shared" si="2"/>
        <v>19062.84702028333</v>
      </c>
      <c r="N8" s="4063">
        <f t="shared" ref="N8:N29" si="3">SUM(K8:M8)</f>
        <v>55023.458062564983</v>
      </c>
      <c r="O8" s="4064">
        <f>J8+N8</f>
        <v>162512.21602095096</v>
      </c>
      <c r="P8" s="4062">
        <f t="shared" ref="P8:R8" si="4">P9+P11+P13</f>
        <v>19455.880860965332</v>
      </c>
      <c r="Q8" s="4062">
        <f t="shared" si="4"/>
        <v>19455.880860965332</v>
      </c>
      <c r="R8" s="4062">
        <f t="shared" si="4"/>
        <v>19455.880860965332</v>
      </c>
      <c r="S8" s="4063">
        <f t="shared" ref="S8:S29" si="5">SUM(P8:R8)</f>
        <v>58367.642582895991</v>
      </c>
      <c r="T8" s="4065">
        <f>O8+S8</f>
        <v>220879.85860384695</v>
      </c>
    </row>
    <row r="9" spans="1:20" ht="20.100000000000001" customHeight="1">
      <c r="A9" s="4066" t="s">
        <v>1861</v>
      </c>
      <c r="B9" s="4067">
        <f>SUM('Произв. прогр. Вода (СВОД)'!E35)</f>
        <v>10837.858080443997</v>
      </c>
      <c r="C9" s="4067">
        <f>SUM('Произв. прогр. Вода (СВОД)'!F35)</f>
        <v>10853.95320294</v>
      </c>
      <c r="D9" s="4067">
        <f>SUM('Произв. прогр. Вода (СВОД)'!G35)</f>
        <v>10894.809531767998</v>
      </c>
      <c r="E9" s="4063">
        <f t="shared" ref="E9:E29" si="6">SUM(B9:D9)</f>
        <v>32586.620815151997</v>
      </c>
      <c r="F9" s="4067">
        <f>SUM('Произв. прогр. Вода (СВОД)'!I35)</f>
        <v>10743.899428175999</v>
      </c>
      <c r="G9" s="4067">
        <f>SUM('Произв. прогр. Вода (СВОД)'!J35)</f>
        <v>10532.108657003999</v>
      </c>
      <c r="H9" s="4067">
        <f>SUM('Произв. прогр. Вода (СВОД)'!K35)</f>
        <v>10156.354136303997</v>
      </c>
      <c r="I9" s="4063">
        <f t="shared" ref="I9:I29" si="7">SUM(F9:H9)</f>
        <v>31432.362221483992</v>
      </c>
      <c r="J9" s="4063">
        <f t="shared" ref="J9:J29" si="8">E9+I9</f>
        <v>64018.983036635989</v>
      </c>
      <c r="K9" s="4067">
        <f>SUM('Произв. прогр. Вода (СВОД)'!N35)</f>
        <v>10559.359766955</v>
      </c>
      <c r="L9" s="4067">
        <f>SUM('Произв. прогр. Вода (СВОД)'!O35)</f>
        <v>10934.234748659999</v>
      </c>
      <c r="M9" s="4067">
        <f>SUM('Произв. прогр. Вода (СВОД)'!P35)</f>
        <v>11400.53295495</v>
      </c>
      <c r="N9" s="4063">
        <f t="shared" si="3"/>
        <v>32894.127470564999</v>
      </c>
      <c r="O9" s="4068">
        <f t="shared" ref="O9:O29" si="9">J9+N9</f>
        <v>96913.110507200996</v>
      </c>
      <c r="P9" s="4067">
        <f>SUM('Произв. прогр. Вода (СВОД)'!S35)</f>
        <v>11642.467537631999</v>
      </c>
      <c r="Q9" s="4067">
        <f>SUM('Произв. прогр. Вода (СВОД)'!T35)</f>
        <v>11642.467537631999</v>
      </c>
      <c r="R9" s="4067">
        <f>SUM('Произв. прогр. Вода (СВОД)'!U35)</f>
        <v>11642.467537631999</v>
      </c>
      <c r="S9" s="4068">
        <f t="shared" si="5"/>
        <v>34927.402612895996</v>
      </c>
      <c r="T9" s="4069">
        <f t="shared" ref="T9:T26" si="10">O9+S9</f>
        <v>131840.51312009699</v>
      </c>
    </row>
    <row r="10" spans="1:20" ht="20.100000000000001" customHeight="1">
      <c r="A10" s="4070" t="s">
        <v>1862</v>
      </c>
      <c r="B10" s="4071">
        <f>SUM('Произв. прогр. Вода (СВОД)'!E36)</f>
        <v>-100.45291666666667</v>
      </c>
      <c r="C10" s="4071">
        <f>SUM('Произв. прогр. Вода (СВОД)'!F36)</f>
        <v>-100.45291666666667</v>
      </c>
      <c r="D10" s="4071">
        <f>SUM('Произв. прогр. Вода (СВОД)'!G36)</f>
        <v>-100.45291666666667</v>
      </c>
      <c r="E10" s="4068">
        <f t="shared" si="6"/>
        <v>-301.35874999999999</v>
      </c>
      <c r="F10" s="4071">
        <f>SUM('Произв. прогр. Вода (СВОД)'!I36)</f>
        <v>-100.45291666666667</v>
      </c>
      <c r="G10" s="4071">
        <f>SUM('Произв. прогр. Вода (СВОД)'!J36)</f>
        <v>-100.45291666666667</v>
      </c>
      <c r="H10" s="4071">
        <f>SUM('Произв. прогр. Вода (СВОД)'!K36)</f>
        <v>-100.45291666666667</v>
      </c>
      <c r="I10" s="4068">
        <f t="shared" ref="I10" si="11">SUM(F10:H10)</f>
        <v>-301.35874999999999</v>
      </c>
      <c r="J10" s="4068">
        <f t="shared" ref="J10" si="12">E10+I10</f>
        <v>-602.71749999999997</v>
      </c>
      <c r="K10" s="4071">
        <f>SUM('Произв. прогр. Вода (СВОД)'!N36)</f>
        <v>-100.45291666666667</v>
      </c>
      <c r="L10" s="4071">
        <f>SUM('Произв. прогр. Вода (СВОД)'!O36)</f>
        <v>-100.45291666666667</v>
      </c>
      <c r="M10" s="4071">
        <f>SUM('Произв. прогр. Вода (СВОД)'!P36)</f>
        <v>-100.45291666666667</v>
      </c>
      <c r="N10" s="4068">
        <f t="shared" ref="N10" si="13">SUM(K10:M10)</f>
        <v>-301.35874999999999</v>
      </c>
      <c r="O10" s="4068">
        <f t="shared" ref="O10" si="14">J10+N10</f>
        <v>-904.07624999999996</v>
      </c>
      <c r="P10" s="4071">
        <f>SUM('Произв. прогр. Вода (СВОД)'!S36)</f>
        <v>-100.45291666666667</v>
      </c>
      <c r="Q10" s="4071">
        <f>SUM('Произв. прогр. Вода (СВОД)'!T36)</f>
        <v>-100.45291666666667</v>
      </c>
      <c r="R10" s="4071">
        <f>SUM('Произв. прогр. Вода (СВОД)'!U36)</f>
        <v>-100.45291666666667</v>
      </c>
      <c r="S10" s="4068">
        <f t="shared" ref="S10" si="15">SUM(P10:R10)</f>
        <v>-301.35874999999999</v>
      </c>
      <c r="T10" s="4069">
        <f t="shared" ref="T10" si="16">O10+S10</f>
        <v>-1205.4349999999999</v>
      </c>
    </row>
    <row r="11" spans="1:20" ht="20.100000000000001" customHeight="1">
      <c r="A11" s="4066" t="s">
        <v>1863</v>
      </c>
      <c r="B11" s="4067">
        <f>SUM('Произв. прогр. Стоки (СВОД)'!E24)</f>
        <v>7010.8004172499996</v>
      </c>
      <c r="C11" s="4067">
        <f>SUM('Произв. прогр. Стоки (СВОД)'!F24)</f>
        <v>7030.8976412500006</v>
      </c>
      <c r="D11" s="4067">
        <f>SUM('Произв. прогр. Стоки (СВОД)'!G24)</f>
        <v>7056.5931380000002</v>
      </c>
      <c r="E11" s="4063">
        <f t="shared" si="6"/>
        <v>21098.291196500002</v>
      </c>
      <c r="F11" s="4067">
        <f>SUM('Произв. прогр. Стоки (СВОД)'!I24)</f>
        <v>6958.4296634999992</v>
      </c>
      <c r="G11" s="4067">
        <f>SUM('Произв. прогр. Стоки (СВОД)'!J24)</f>
        <v>6827.1810722499986</v>
      </c>
      <c r="H11" s="4067">
        <f>SUM('Произв. прогр. Стоки (СВОД)'!K24)</f>
        <v>6585.8729894999997</v>
      </c>
      <c r="I11" s="4063">
        <f t="shared" si="7"/>
        <v>20371.483725249996</v>
      </c>
      <c r="J11" s="4063">
        <f t="shared" si="8"/>
        <v>41469.774921749995</v>
      </c>
      <c r="K11" s="4067">
        <f>SUM('Произв. прогр. Стоки (СВОД)'!N24)</f>
        <v>6782.1569689999997</v>
      </c>
      <c r="L11" s="4067">
        <f>SUM('Произв. прогр. Стоки (СВОД)'!O24)</f>
        <v>7018.1928909999988</v>
      </c>
      <c r="M11" s="4067">
        <f>SUM('Произв. прогр. Стоки (СВОД)'!P24)</f>
        <v>7328.980732</v>
      </c>
      <c r="N11" s="4063">
        <f t="shared" si="3"/>
        <v>21129.330591999998</v>
      </c>
      <c r="O11" s="4063">
        <f t="shared" si="9"/>
        <v>62599.105513749993</v>
      </c>
      <c r="P11" s="4067">
        <f>SUM('Произв. прогр. Стоки (СВОД)'!S24)</f>
        <v>7480.0799900000002</v>
      </c>
      <c r="Q11" s="4067">
        <f>SUM('Произв. прогр. Стоки (СВОД)'!T24)</f>
        <v>7480.0799900000002</v>
      </c>
      <c r="R11" s="4067">
        <f>SUM('Произв. прогр. Стоки (СВОД)'!U24)</f>
        <v>7480.0799900000002</v>
      </c>
      <c r="S11" s="4063">
        <f t="shared" si="5"/>
        <v>22440.239970000002</v>
      </c>
      <c r="T11" s="4065">
        <f t="shared" si="10"/>
        <v>85039.345483749988</v>
      </c>
    </row>
    <row r="12" spans="1:20" ht="20.100000000000001" customHeight="1">
      <c r="A12" s="4070" t="s">
        <v>1837</v>
      </c>
      <c r="B12" s="4072">
        <f>SUM('Произв. прогр. Стоки (СВОД)'!E58)</f>
        <v>-436.22499999999997</v>
      </c>
      <c r="C12" s="4072">
        <f>SUM('Произв. прогр. Стоки (СВОД)'!F58)</f>
        <v>-436.22499999999997</v>
      </c>
      <c r="D12" s="4072">
        <f>SUM('Произв. прогр. Стоки (СВОД)'!G58)</f>
        <v>-436.22499999999997</v>
      </c>
      <c r="E12" s="4063">
        <f t="shared" si="6"/>
        <v>-1308.675</v>
      </c>
      <c r="F12" s="4072">
        <f>SUM('Произв. прогр. Стоки (СВОД)'!I58)</f>
        <v>-436.22499999999997</v>
      </c>
      <c r="G12" s="4072">
        <f>SUM('Произв. прогр. Стоки (СВОД)'!J58)</f>
        <v>-436.22499999999997</v>
      </c>
      <c r="H12" s="4072">
        <f>SUM('Произв. прогр. Стоки (СВОД)'!K58)</f>
        <v>-436.22499999999997</v>
      </c>
      <c r="I12" s="4063">
        <f t="shared" ref="I12" si="17">SUM(F12:H12)</f>
        <v>-1308.675</v>
      </c>
      <c r="J12" s="4063">
        <f t="shared" ref="J12" si="18">E12+I12</f>
        <v>-2617.35</v>
      </c>
      <c r="K12" s="4072">
        <f>SUM('Произв. прогр. Стоки (СВОД)'!N58)</f>
        <v>-436.22499999999997</v>
      </c>
      <c r="L12" s="4072">
        <f>SUM('Произв. прогр. Стоки (СВОД)'!O58)</f>
        <v>-436.22499999999997</v>
      </c>
      <c r="M12" s="4072">
        <f>SUM('Произв. прогр. Стоки (СВОД)'!P58)</f>
        <v>-436.22499999999997</v>
      </c>
      <c r="N12" s="4063">
        <f t="shared" ref="N12" si="19">SUM(K12:M12)</f>
        <v>-1308.675</v>
      </c>
      <c r="O12" s="4063">
        <f t="shared" ref="O12" si="20">J12+N12</f>
        <v>-3926.0249999999996</v>
      </c>
      <c r="P12" s="4072">
        <f>SUM('Произв. прогр. Стоки (СВОД)'!S58)</f>
        <v>-436.22499999999997</v>
      </c>
      <c r="Q12" s="4072">
        <f>SUM('Произв. прогр. Стоки (СВОД)'!T58)</f>
        <v>-436.22499999999997</v>
      </c>
      <c r="R12" s="4072">
        <f>SUM('Произв. прогр. Стоки (СВОД)'!U58)</f>
        <v>-436.22499999999997</v>
      </c>
      <c r="S12" s="4063">
        <f t="shared" ref="S12" si="21">SUM(P12:R12)</f>
        <v>-1308.675</v>
      </c>
      <c r="T12" s="4069">
        <f t="shared" ref="T12" si="22">O12+S12</f>
        <v>-5234.7</v>
      </c>
    </row>
    <row r="13" spans="1:20" ht="20.100000000000001" customHeight="1">
      <c r="A13" s="4066" t="s">
        <v>1848</v>
      </c>
      <c r="B13" s="4067">
        <f>SUM(E13/3)</f>
        <v>333.33333333333331</v>
      </c>
      <c r="C13" s="4067">
        <f>SUM(B13)</f>
        <v>333.33333333333331</v>
      </c>
      <c r="D13" s="4067">
        <f>SUM(B13)</f>
        <v>333.33333333333331</v>
      </c>
      <c r="E13" s="4068">
        <f>SUM('Прил. 1 План ФХД табл 1'!C20)</f>
        <v>1000</v>
      </c>
      <c r="F13" s="4067">
        <f>SUM(I13/3)</f>
        <v>333.33333333333331</v>
      </c>
      <c r="G13" s="4067">
        <f>SUM(F13)</f>
        <v>333.33333333333331</v>
      </c>
      <c r="H13" s="4067">
        <f>SUM(F13)</f>
        <v>333.33333333333331</v>
      </c>
      <c r="I13" s="4068">
        <f>SUM('Прил. 1 План ФХД табл 1'!D20)</f>
        <v>1000</v>
      </c>
      <c r="J13" s="4063">
        <f t="shared" si="8"/>
        <v>2000</v>
      </c>
      <c r="K13" s="4067">
        <f>SUM(N13/3)</f>
        <v>333.33333333333331</v>
      </c>
      <c r="L13" s="4067">
        <f>SUM(K13)</f>
        <v>333.33333333333331</v>
      </c>
      <c r="M13" s="4067">
        <f>SUM(K13)</f>
        <v>333.33333333333331</v>
      </c>
      <c r="N13" s="4068">
        <f>SUM('Прил. 1 План ФХД табл 1'!F20)</f>
        <v>1000</v>
      </c>
      <c r="O13" s="4063">
        <f t="shared" si="9"/>
        <v>3000</v>
      </c>
      <c r="P13" s="4067">
        <f>SUM(S13/3)</f>
        <v>333.33333333333331</v>
      </c>
      <c r="Q13" s="4067">
        <f>SUM(P13)</f>
        <v>333.33333333333331</v>
      </c>
      <c r="R13" s="4067">
        <f>SUM(P13)</f>
        <v>333.33333333333331</v>
      </c>
      <c r="S13" s="4068">
        <f>SUM('Прил. 1 План ФХД табл 1'!H20)</f>
        <v>1000</v>
      </c>
      <c r="T13" s="4069">
        <f t="shared" si="10"/>
        <v>4000</v>
      </c>
    </row>
    <row r="14" spans="1:20" ht="20.100000000000001" customHeight="1">
      <c r="A14" s="4061" t="s">
        <v>1849</v>
      </c>
      <c r="B14" s="4062">
        <f>B15+B16</f>
        <v>17266.119707180453</v>
      </c>
      <c r="C14" s="4062">
        <f t="shared" ref="C14:D14" si="23">C15+C16</f>
        <v>17162.91606047174</v>
      </c>
      <c r="D14" s="4062">
        <f t="shared" si="23"/>
        <v>18476.207722989173</v>
      </c>
      <c r="E14" s="4063">
        <f t="shared" si="6"/>
        <v>52905.243490641369</v>
      </c>
      <c r="F14" s="4062">
        <f t="shared" ref="F14:H14" si="24">F15+F16</f>
        <v>16942.622661073136</v>
      </c>
      <c r="G14" s="4062">
        <f t="shared" si="24"/>
        <v>16598.98563718237</v>
      </c>
      <c r="H14" s="4062">
        <f t="shared" si="24"/>
        <v>17811.196777874888</v>
      </c>
      <c r="I14" s="4063">
        <f t="shared" si="7"/>
        <v>51352.805076130397</v>
      </c>
      <c r="J14" s="4063">
        <f t="shared" si="8"/>
        <v>104258.04856677176</v>
      </c>
      <c r="K14" s="4062">
        <f t="shared" ref="K14:L14" si="25">K15+K16</f>
        <v>17240.34299968461</v>
      </c>
      <c r="L14" s="4062">
        <f t="shared" si="25"/>
        <v>17286.820968528729</v>
      </c>
      <c r="M14" s="4062">
        <f>M15+M16</f>
        <v>18878.765027684778</v>
      </c>
      <c r="N14" s="4063">
        <f t="shared" si="3"/>
        <v>53405.928995898117</v>
      </c>
      <c r="O14" s="4063">
        <f t="shared" si="9"/>
        <v>157663.97756266987</v>
      </c>
      <c r="P14" s="4062">
        <f t="shared" ref="P14:R14" si="26">P15+P16</f>
        <v>17814.431655868051</v>
      </c>
      <c r="Q14" s="4062">
        <f t="shared" si="26"/>
        <v>17930.273225705292</v>
      </c>
      <c r="R14" s="4062">
        <f t="shared" si="26"/>
        <v>19428.776256300254</v>
      </c>
      <c r="S14" s="4063">
        <f t="shared" si="5"/>
        <v>55173.481137873598</v>
      </c>
      <c r="T14" s="4065">
        <f t="shared" si="10"/>
        <v>212837.45870054347</v>
      </c>
    </row>
    <row r="15" spans="1:20" ht="20.100000000000001" customHeight="1">
      <c r="A15" s="4070" t="s">
        <v>46</v>
      </c>
      <c r="B15" s="4071">
        <f>SUM('Произв. прогр. Вода (СВОД)'!E71)</f>
        <v>10388.943328519104</v>
      </c>
      <c r="C15" s="4071">
        <f>SUM('Произв. прогр. Вода (СВОД)'!F71)</f>
        <v>10293.16779910797</v>
      </c>
      <c r="D15" s="4071">
        <f>SUM('Произв. прогр. Вода (СВОД)'!G71)</f>
        <v>11159.65375582767</v>
      </c>
      <c r="E15" s="4080">
        <f t="shared" si="6"/>
        <v>31841.764883454744</v>
      </c>
      <c r="F15" s="4071">
        <f>SUM('Произв. прогр. Вода (СВОД)'!I71)</f>
        <v>10096.90299007019</v>
      </c>
      <c r="G15" s="4071">
        <f>SUM('Произв. прогр. Вода (СВОД)'!J71)</f>
        <v>9789.7189061356603</v>
      </c>
      <c r="H15" s="4071">
        <f>SUM('Произв. прогр. Вода (СВОД)'!K71)</f>
        <v>10580.561090419236</v>
      </c>
      <c r="I15" s="4080">
        <f t="shared" si="7"/>
        <v>30467.182986625085</v>
      </c>
      <c r="J15" s="4080">
        <f t="shared" si="8"/>
        <v>62308.947870079828</v>
      </c>
      <c r="K15" s="4071">
        <f>SUM('Произв. прогр. Вода (СВОД)'!N71)</f>
        <v>10118.426311213148</v>
      </c>
      <c r="L15" s="4071">
        <f>SUM('Произв. прогр. Вода (СВОД)'!O71)</f>
        <v>10144.716467556069</v>
      </c>
      <c r="M15" s="4071">
        <f>SUM('Произв. прогр. Вода (СВОД)'!P71)</f>
        <v>11247.481611751649</v>
      </c>
      <c r="N15" s="4080">
        <f t="shared" si="3"/>
        <v>31510.624390520865</v>
      </c>
      <c r="O15" s="4080">
        <f t="shared" si="9"/>
        <v>93819.572260600689</v>
      </c>
      <c r="P15" s="4071">
        <f>SUM('Произв. прогр. Вода (СВОД)'!S71)</f>
        <v>10598.50854568425</v>
      </c>
      <c r="Q15" s="4071">
        <f>SUM('Произв. прогр. Вода (СВОД)'!T71)</f>
        <v>10704.337126557302</v>
      </c>
      <c r="R15" s="4071">
        <f>SUM('Произв. прогр. Вода (СВОД)'!U71)</f>
        <v>11741.838549566855</v>
      </c>
      <c r="S15" s="4080">
        <f t="shared" si="5"/>
        <v>33044.684221808406</v>
      </c>
      <c r="T15" s="4078">
        <f t="shared" si="10"/>
        <v>126864.2564824091</v>
      </c>
    </row>
    <row r="16" spans="1:20" ht="20.100000000000001" customHeight="1">
      <c r="A16" s="4070" t="s">
        <v>47</v>
      </c>
      <c r="B16" s="4072">
        <f>SUM('Произв. прогр. Стоки (СВОД)'!E57)</f>
        <v>6877.1763786613483</v>
      </c>
      <c r="C16" s="4072">
        <f>SUM('Произв. прогр. Стоки (СВОД)'!F57)</f>
        <v>6869.7482613637694</v>
      </c>
      <c r="D16" s="4072">
        <f>SUM('Произв. прогр. Стоки (СВОД)'!G57)</f>
        <v>7316.5539671615024</v>
      </c>
      <c r="E16" s="4080">
        <f t="shared" si="6"/>
        <v>21063.478607186618</v>
      </c>
      <c r="F16" s="4072">
        <f>SUM('Произв. прогр. Стоки (СВОД)'!I57)</f>
        <v>6845.7196710029457</v>
      </c>
      <c r="G16" s="4072">
        <f>SUM('Произв. прогр. Стоки (СВОД)'!J57)</f>
        <v>6809.2667310467077</v>
      </c>
      <c r="H16" s="4072">
        <f>SUM('Произв. прогр. Стоки (СВОД)'!K57)</f>
        <v>7230.6356874556514</v>
      </c>
      <c r="I16" s="4080">
        <f t="shared" si="7"/>
        <v>20885.622089505305</v>
      </c>
      <c r="J16" s="4077">
        <f t="shared" si="8"/>
        <v>41949.100696691923</v>
      </c>
      <c r="K16" s="4072">
        <f>SUM('Произв. прогр. Стоки (СВОД)'!N57)</f>
        <v>7121.9166884714614</v>
      </c>
      <c r="L16" s="4072">
        <f>SUM('Произв. прогр. Стоки (СВОД)'!O57)</f>
        <v>7142.1045009726586</v>
      </c>
      <c r="M16" s="4072">
        <f>SUM('Произв. прогр. Стоки (СВОД)'!P57)</f>
        <v>7631.2834159331287</v>
      </c>
      <c r="N16" s="4080">
        <f t="shared" ref="N16" si="27">SUM(K16:M16)</f>
        <v>21895.304605377249</v>
      </c>
      <c r="O16" s="4080">
        <f t="shared" si="9"/>
        <v>63844.405302069172</v>
      </c>
      <c r="P16" s="4072">
        <f>SUM('Произв. прогр. Стоки (СВОД)'!S57)</f>
        <v>7215.9231101838031</v>
      </c>
      <c r="Q16" s="4072">
        <f>SUM('Произв. прогр. Стоки (СВОД)'!T57)</f>
        <v>7225.9360991479898</v>
      </c>
      <c r="R16" s="4072">
        <f>SUM('Произв. прогр. Стоки (СВОД)'!U57)</f>
        <v>7686.937706733399</v>
      </c>
      <c r="S16" s="4077">
        <f t="shared" ref="S16" si="28">SUM(P16:R16)</f>
        <v>22128.796916065192</v>
      </c>
      <c r="T16" s="4078">
        <f t="shared" si="10"/>
        <v>85973.202218134364</v>
      </c>
    </row>
    <row r="17" spans="1:20" ht="20.100000000000001" customHeight="1">
      <c r="A17" s="4061" t="s">
        <v>1850</v>
      </c>
      <c r="B17" s="4073">
        <f>B18+B19+B20</f>
        <v>915.87212384687723</v>
      </c>
      <c r="C17" s="4073">
        <f t="shared" ref="C17:D17" si="29">C18+C19+C20</f>
        <v>1055.2681170515937</v>
      </c>
      <c r="D17" s="4073">
        <f t="shared" si="29"/>
        <v>-191.47171988784129</v>
      </c>
      <c r="E17" s="4068">
        <f t="shared" si="6"/>
        <v>1779.6685210106295</v>
      </c>
      <c r="F17" s="4073">
        <f t="shared" ref="F17:H17" si="30">F18+F19+F20</f>
        <v>1093.0397639361956</v>
      </c>
      <c r="G17" s="4073">
        <f t="shared" si="30"/>
        <v>1093.6374254049626</v>
      </c>
      <c r="H17" s="4073">
        <f t="shared" si="30"/>
        <v>-735.63631873755799</v>
      </c>
      <c r="I17" s="4068">
        <f t="shared" si="7"/>
        <v>1451.0408706036003</v>
      </c>
      <c r="J17" s="4068">
        <f t="shared" si="8"/>
        <v>3230.7093916142298</v>
      </c>
      <c r="K17" s="4073">
        <f t="shared" ref="K17:M17" si="31">K18+K19+K20</f>
        <v>434.5070696037231</v>
      </c>
      <c r="L17" s="4073">
        <f t="shared" si="31"/>
        <v>998.94000446460382</v>
      </c>
      <c r="M17" s="4073">
        <f t="shared" si="31"/>
        <v>184.08199259855547</v>
      </c>
      <c r="N17" s="4068">
        <f t="shared" si="3"/>
        <v>1617.5290666668823</v>
      </c>
      <c r="O17" s="4068">
        <f t="shared" si="9"/>
        <v>4848.2384582811119</v>
      </c>
      <c r="P17" s="4073">
        <f t="shared" ref="P17:R17" si="32">P18+P19+P20</f>
        <v>1641.4492050972797</v>
      </c>
      <c r="Q17" s="4073">
        <f t="shared" si="32"/>
        <v>1525.6076352600405</v>
      </c>
      <c r="R17" s="4073">
        <f t="shared" si="32"/>
        <v>27.104604665078398</v>
      </c>
      <c r="S17" s="4068">
        <f t="shared" si="5"/>
        <v>3194.1614450223988</v>
      </c>
      <c r="T17" s="4069">
        <f t="shared" si="10"/>
        <v>8042.3999033035107</v>
      </c>
    </row>
    <row r="18" spans="1:20" ht="20.100000000000001" customHeight="1">
      <c r="A18" s="4070" t="s">
        <v>46</v>
      </c>
      <c r="B18" s="4071">
        <f>B9-B15</f>
        <v>448.9147519248927</v>
      </c>
      <c r="C18" s="4071">
        <f>C9-C15</f>
        <v>560.78540383202926</v>
      </c>
      <c r="D18" s="4071">
        <f>D9-D15</f>
        <v>-264.84422405967234</v>
      </c>
      <c r="E18" s="4077">
        <f t="shared" si="6"/>
        <v>744.85593169724962</v>
      </c>
      <c r="F18" s="4071">
        <f>F9-F15</f>
        <v>646.99643810580892</v>
      </c>
      <c r="G18" s="4071">
        <f>G9-G15</f>
        <v>742.38975086833852</v>
      </c>
      <c r="H18" s="4071">
        <f>H9-H15</f>
        <v>-424.20695411523957</v>
      </c>
      <c r="I18" s="4077">
        <f t="shared" si="7"/>
        <v>965.17923485890788</v>
      </c>
      <c r="J18" s="4077">
        <f t="shared" si="8"/>
        <v>1710.0351665561575</v>
      </c>
      <c r="K18" s="4071">
        <f>K9-K15</f>
        <v>440.9334557418515</v>
      </c>
      <c r="L18" s="4071">
        <f>L9-L15</f>
        <v>789.51828110393035</v>
      </c>
      <c r="M18" s="4071">
        <f>M9-M15</f>
        <v>153.05134319835088</v>
      </c>
      <c r="N18" s="4077">
        <f t="shared" si="3"/>
        <v>1383.5030800441327</v>
      </c>
      <c r="O18" s="4077">
        <f t="shared" si="9"/>
        <v>3093.5382466002902</v>
      </c>
      <c r="P18" s="4071">
        <f>P9-P15</f>
        <v>1043.9589919477494</v>
      </c>
      <c r="Q18" s="4071">
        <f>Q9-Q15</f>
        <v>938.13041107469689</v>
      </c>
      <c r="R18" s="4071">
        <f>R9-R15</f>
        <v>-99.371011934856142</v>
      </c>
      <c r="S18" s="4077">
        <f t="shared" si="5"/>
        <v>1882.7183910875901</v>
      </c>
      <c r="T18" s="4078">
        <f t="shared" si="10"/>
        <v>4976.2566376878804</v>
      </c>
    </row>
    <row r="19" spans="1:20" ht="20.100000000000001" customHeight="1">
      <c r="A19" s="4070" t="s">
        <v>47</v>
      </c>
      <c r="B19" s="4071">
        <f>B11-B16</f>
        <v>133.62403858865127</v>
      </c>
      <c r="C19" s="4071">
        <f t="shared" ref="C19:D19" si="33">C11-C16</f>
        <v>161.14937988623115</v>
      </c>
      <c r="D19" s="4071">
        <f t="shared" si="33"/>
        <v>-259.96082916150226</v>
      </c>
      <c r="E19" s="4077">
        <f t="shared" si="6"/>
        <v>34.812589313380158</v>
      </c>
      <c r="F19" s="4071">
        <f t="shared" ref="F19:H19" si="34">F11-F16</f>
        <v>112.70999249705346</v>
      </c>
      <c r="G19" s="4071">
        <f t="shared" si="34"/>
        <v>17.91434120329086</v>
      </c>
      <c r="H19" s="4071">
        <f t="shared" si="34"/>
        <v>-644.76269795565167</v>
      </c>
      <c r="I19" s="4077">
        <f t="shared" si="7"/>
        <v>-514.13836425530735</v>
      </c>
      <c r="J19" s="4077">
        <f t="shared" si="8"/>
        <v>-479.32577494192719</v>
      </c>
      <c r="K19" s="4071">
        <f t="shared" ref="K19:M19" si="35">K11-K16</f>
        <v>-339.75971947146172</v>
      </c>
      <c r="L19" s="4071">
        <f t="shared" si="35"/>
        <v>-123.91160997265979</v>
      </c>
      <c r="M19" s="4071">
        <f t="shared" si="35"/>
        <v>-302.30268393312872</v>
      </c>
      <c r="N19" s="4077">
        <f t="shared" si="3"/>
        <v>-765.97401337725023</v>
      </c>
      <c r="O19" s="4077">
        <f t="shared" si="9"/>
        <v>-1245.2997883191774</v>
      </c>
      <c r="P19" s="4071">
        <f t="shared" ref="P19:R19" si="36">P11-P16</f>
        <v>264.15687981619703</v>
      </c>
      <c r="Q19" s="4071">
        <f t="shared" si="36"/>
        <v>254.14389085201037</v>
      </c>
      <c r="R19" s="4071">
        <f t="shared" si="36"/>
        <v>-206.85771673339877</v>
      </c>
      <c r="S19" s="4077">
        <f t="shared" si="5"/>
        <v>311.44305393480863</v>
      </c>
      <c r="T19" s="4078">
        <f t="shared" si="10"/>
        <v>-933.85673438436879</v>
      </c>
    </row>
    <row r="20" spans="1:20" ht="20.100000000000001" customHeight="1">
      <c r="A20" s="4070" t="s">
        <v>1848</v>
      </c>
      <c r="B20" s="4071">
        <f>B13</f>
        <v>333.33333333333331</v>
      </c>
      <c r="C20" s="4071">
        <f t="shared" ref="C20:D20" si="37">C13</f>
        <v>333.33333333333331</v>
      </c>
      <c r="D20" s="4071">
        <f t="shared" si="37"/>
        <v>333.33333333333331</v>
      </c>
      <c r="E20" s="4077">
        <f t="shared" si="6"/>
        <v>1000</v>
      </c>
      <c r="F20" s="4071">
        <f t="shared" ref="F20:H20" si="38">F13</f>
        <v>333.33333333333331</v>
      </c>
      <c r="G20" s="4071">
        <f t="shared" si="38"/>
        <v>333.33333333333331</v>
      </c>
      <c r="H20" s="4071">
        <f t="shared" si="38"/>
        <v>333.33333333333331</v>
      </c>
      <c r="I20" s="4077">
        <f t="shared" si="7"/>
        <v>1000</v>
      </c>
      <c r="J20" s="4077">
        <f t="shared" si="8"/>
        <v>2000</v>
      </c>
      <c r="K20" s="4071">
        <f t="shared" ref="K20:M20" si="39">K13</f>
        <v>333.33333333333331</v>
      </c>
      <c r="L20" s="4071">
        <f t="shared" si="39"/>
        <v>333.33333333333331</v>
      </c>
      <c r="M20" s="4071">
        <f t="shared" si="39"/>
        <v>333.33333333333331</v>
      </c>
      <c r="N20" s="4077">
        <f t="shared" si="3"/>
        <v>1000</v>
      </c>
      <c r="O20" s="4077">
        <f t="shared" si="9"/>
        <v>3000</v>
      </c>
      <c r="P20" s="4071">
        <f t="shared" ref="P20:R20" si="40">P13</f>
        <v>333.33333333333331</v>
      </c>
      <c r="Q20" s="4071">
        <f t="shared" si="40"/>
        <v>333.33333333333331</v>
      </c>
      <c r="R20" s="4071">
        <f t="shared" si="40"/>
        <v>333.33333333333331</v>
      </c>
      <c r="S20" s="4077">
        <f t="shared" si="5"/>
        <v>1000</v>
      </c>
      <c r="T20" s="4078">
        <f t="shared" si="10"/>
        <v>4000</v>
      </c>
    </row>
    <row r="21" spans="1:20" ht="20.100000000000001" customHeight="1">
      <c r="A21" s="4061" t="s">
        <v>1818</v>
      </c>
      <c r="B21" s="4062">
        <v>0</v>
      </c>
      <c r="C21" s="4062">
        <v>0</v>
      </c>
      <c r="D21" s="4062">
        <v>0</v>
      </c>
      <c r="E21" s="4063">
        <f t="shared" si="6"/>
        <v>0</v>
      </c>
      <c r="F21" s="4062">
        <v>0</v>
      </c>
      <c r="G21" s="4062">
        <v>0</v>
      </c>
      <c r="H21" s="4062">
        <v>0</v>
      </c>
      <c r="I21" s="4063">
        <f t="shared" si="7"/>
        <v>0</v>
      </c>
      <c r="J21" s="4063">
        <f t="shared" si="8"/>
        <v>0</v>
      </c>
      <c r="K21" s="4062">
        <v>0</v>
      </c>
      <c r="L21" s="4062">
        <v>0</v>
      </c>
      <c r="M21" s="4062">
        <v>0</v>
      </c>
      <c r="N21" s="4063">
        <f t="shared" si="3"/>
        <v>0</v>
      </c>
      <c r="O21" s="4063">
        <f t="shared" si="9"/>
        <v>0</v>
      </c>
      <c r="P21" s="4062">
        <v>0</v>
      </c>
      <c r="Q21" s="4062">
        <v>0</v>
      </c>
      <c r="R21" s="4062">
        <v>0</v>
      </c>
      <c r="S21" s="4063">
        <f t="shared" si="5"/>
        <v>0</v>
      </c>
      <c r="T21" s="4065">
        <f t="shared" si="10"/>
        <v>0</v>
      </c>
    </row>
    <row r="22" spans="1:20" ht="20.100000000000001" customHeight="1">
      <c r="A22" s="4061" t="s">
        <v>1819</v>
      </c>
      <c r="B22" s="4073">
        <f>SUM(B23:B26)</f>
        <v>593.22333333333324</v>
      </c>
      <c r="C22" s="4073">
        <f t="shared" ref="C22:D22" si="41">SUM(C23:C26)</f>
        <v>593.22333333333324</v>
      </c>
      <c r="D22" s="4073">
        <f t="shared" si="41"/>
        <v>593.22333333333324</v>
      </c>
      <c r="E22" s="4068">
        <f t="shared" si="6"/>
        <v>1779.6699999999996</v>
      </c>
      <c r="F22" s="4073">
        <f>SUM(F23:F26)</f>
        <v>483.68</v>
      </c>
      <c r="G22" s="4073">
        <f t="shared" ref="G22" si="42">SUM(G23:G26)</f>
        <v>483.68</v>
      </c>
      <c r="H22" s="4073">
        <f t="shared" ref="H22" si="43">SUM(H23:H26)</f>
        <v>483.68</v>
      </c>
      <c r="I22" s="4068">
        <f t="shared" si="7"/>
        <v>1451.04</v>
      </c>
      <c r="J22" s="4068">
        <f t="shared" si="8"/>
        <v>3230.7099999999996</v>
      </c>
      <c r="K22" s="4073">
        <f>SUM(K23:K26)</f>
        <v>539.17666666666662</v>
      </c>
      <c r="L22" s="4073">
        <f t="shared" ref="L22" si="44">SUM(L23:L26)</f>
        <v>539.17666666666662</v>
      </c>
      <c r="M22" s="4073">
        <f t="shared" ref="M22" si="45">SUM(M23:M26)</f>
        <v>539.17666666666662</v>
      </c>
      <c r="N22" s="4068">
        <f t="shared" si="3"/>
        <v>1617.5299999999997</v>
      </c>
      <c r="O22" s="4068">
        <f t="shared" si="9"/>
        <v>4848.24</v>
      </c>
      <c r="P22" s="4073">
        <f>SUM(P23:P26)</f>
        <v>1064.72</v>
      </c>
      <c r="Q22" s="4073">
        <f t="shared" ref="Q22" si="46">SUM(Q23:Q26)</f>
        <v>1064.72</v>
      </c>
      <c r="R22" s="4073">
        <f t="shared" ref="R22" si="47">SUM(R23:R26)</f>
        <v>1064.72</v>
      </c>
      <c r="S22" s="4068">
        <f t="shared" si="5"/>
        <v>3194.16</v>
      </c>
      <c r="T22" s="4069">
        <f t="shared" si="10"/>
        <v>8042.4</v>
      </c>
    </row>
    <row r="23" spans="1:20" ht="20.100000000000001" customHeight="1">
      <c r="A23" s="4070" t="s">
        <v>1851</v>
      </c>
      <c r="B23" s="4071">
        <f t="shared" ref="B23:B26" si="48">SUM(E23/3)</f>
        <v>220.15333333333334</v>
      </c>
      <c r="C23" s="4071">
        <f t="shared" ref="C23:C26" si="49">SUM(B23)</f>
        <v>220.15333333333334</v>
      </c>
      <c r="D23" s="4071">
        <f t="shared" ref="D23:D26" si="50">SUM(B23)</f>
        <v>220.15333333333334</v>
      </c>
      <c r="E23" s="4077">
        <f>SUM('Прил. 1 План ФХД табл 1'!C34)</f>
        <v>660.46</v>
      </c>
      <c r="F23" s="4071">
        <f t="shared" ref="F23:F26" si="51">SUM(I23/3)</f>
        <v>220.15333333333334</v>
      </c>
      <c r="G23" s="4071">
        <f t="shared" ref="G23:G26" si="52">SUM(F23)</f>
        <v>220.15333333333334</v>
      </c>
      <c r="H23" s="4071">
        <f t="shared" ref="H23:H26" si="53">SUM(F23)</f>
        <v>220.15333333333334</v>
      </c>
      <c r="I23" s="4077">
        <f>SUM('Прил. 1 План ФХД табл 1'!D34)</f>
        <v>660.46</v>
      </c>
      <c r="J23" s="4077">
        <f t="shared" si="8"/>
        <v>1320.92</v>
      </c>
      <c r="K23" s="4071">
        <f t="shared" ref="K23:K26" si="54">SUM(N23/3)</f>
        <v>220.15333333333334</v>
      </c>
      <c r="L23" s="4071">
        <f t="shared" ref="L23:L26" si="55">SUM(K23)</f>
        <v>220.15333333333334</v>
      </c>
      <c r="M23" s="4071">
        <f t="shared" ref="M23:M26" si="56">SUM(K23)</f>
        <v>220.15333333333334</v>
      </c>
      <c r="N23" s="4077">
        <f>SUM('Прил. 1 План ФХД табл 1'!F34)</f>
        <v>660.46</v>
      </c>
      <c r="O23" s="4077">
        <f t="shared" si="9"/>
        <v>1981.38</v>
      </c>
      <c r="P23" s="4071">
        <f t="shared" ref="P23:P26" si="57">SUM(S23/3)</f>
        <v>220.15333333333334</v>
      </c>
      <c r="Q23" s="4071">
        <f t="shared" ref="Q23:Q26" si="58">SUM(P23)</f>
        <v>220.15333333333334</v>
      </c>
      <c r="R23" s="4071">
        <f t="shared" ref="R23:R26" si="59">SUM(P23)</f>
        <v>220.15333333333334</v>
      </c>
      <c r="S23" s="4077">
        <f>SUM('Прил. 1 План ФХД табл 1'!H34)</f>
        <v>660.46</v>
      </c>
      <c r="T23" s="4078">
        <f t="shared" si="10"/>
        <v>2641.84</v>
      </c>
    </row>
    <row r="24" spans="1:20" ht="20.100000000000001" customHeight="1">
      <c r="A24" s="4070" t="s">
        <v>1821</v>
      </c>
      <c r="B24" s="4071">
        <f t="shared" si="48"/>
        <v>83.333333333333329</v>
      </c>
      <c r="C24" s="4071">
        <f t="shared" si="49"/>
        <v>83.333333333333329</v>
      </c>
      <c r="D24" s="4071">
        <f t="shared" si="50"/>
        <v>83.333333333333329</v>
      </c>
      <c r="E24" s="4077">
        <f>SUM('Прил. 1 План ФХД табл 1'!C35)</f>
        <v>250</v>
      </c>
      <c r="F24" s="4071">
        <f t="shared" si="51"/>
        <v>83.333333333333329</v>
      </c>
      <c r="G24" s="4071">
        <f t="shared" si="52"/>
        <v>83.333333333333329</v>
      </c>
      <c r="H24" s="4071">
        <f t="shared" si="53"/>
        <v>83.333333333333329</v>
      </c>
      <c r="I24" s="4077">
        <f>SUM('Прил. 1 План ФХД табл 1'!D35)</f>
        <v>250</v>
      </c>
      <c r="J24" s="4077">
        <f t="shared" si="8"/>
        <v>500</v>
      </c>
      <c r="K24" s="4071">
        <f t="shared" si="54"/>
        <v>83.333333333333329</v>
      </c>
      <c r="L24" s="4071">
        <f t="shared" si="55"/>
        <v>83.333333333333329</v>
      </c>
      <c r="M24" s="4071">
        <f t="shared" si="56"/>
        <v>83.333333333333329</v>
      </c>
      <c r="N24" s="4077">
        <f>SUM('Прил. 1 План ФХД табл 1'!F35)</f>
        <v>250</v>
      </c>
      <c r="O24" s="4077">
        <f t="shared" si="9"/>
        <v>750</v>
      </c>
      <c r="P24" s="4071">
        <f t="shared" si="57"/>
        <v>83.333333333333329</v>
      </c>
      <c r="Q24" s="4071">
        <f t="shared" si="58"/>
        <v>83.333333333333329</v>
      </c>
      <c r="R24" s="4071">
        <f t="shared" si="59"/>
        <v>83.333333333333329</v>
      </c>
      <c r="S24" s="4077">
        <f>SUM('Прил. 1 План ФХД табл 1'!H35)</f>
        <v>250</v>
      </c>
      <c r="T24" s="4078">
        <f t="shared" si="10"/>
        <v>1000</v>
      </c>
    </row>
    <row r="25" spans="1:20" ht="20.100000000000001" customHeight="1">
      <c r="A25" s="4070" t="s">
        <v>1864</v>
      </c>
      <c r="B25" s="4071">
        <f t="shared" si="48"/>
        <v>254.93666666666664</v>
      </c>
      <c r="C25" s="4071">
        <f t="shared" si="49"/>
        <v>254.93666666666664</v>
      </c>
      <c r="D25" s="4071">
        <f t="shared" si="50"/>
        <v>254.93666666666664</v>
      </c>
      <c r="E25" s="4077">
        <f>SUM('Прил. 1 План ФХД табл 1'!C36)</f>
        <v>764.81</v>
      </c>
      <c r="F25" s="4071">
        <f t="shared" si="51"/>
        <v>145.39333333333335</v>
      </c>
      <c r="G25" s="4071">
        <f t="shared" si="52"/>
        <v>145.39333333333335</v>
      </c>
      <c r="H25" s="4071">
        <f t="shared" si="53"/>
        <v>145.39333333333335</v>
      </c>
      <c r="I25" s="4077">
        <f>SUM('Прил. 1 План ФХД табл 1'!D36)</f>
        <v>436.18</v>
      </c>
      <c r="J25" s="4077">
        <f t="shared" ref="J25" si="60">E25+I25</f>
        <v>1200.99</v>
      </c>
      <c r="K25" s="4071">
        <f t="shared" si="54"/>
        <v>200.89</v>
      </c>
      <c r="L25" s="4071">
        <f t="shared" si="55"/>
        <v>200.89</v>
      </c>
      <c r="M25" s="4071">
        <f t="shared" si="56"/>
        <v>200.89</v>
      </c>
      <c r="N25" s="4077">
        <f>SUM('Прил. 1 План ФХД табл 1'!F36)</f>
        <v>602.66999999999996</v>
      </c>
      <c r="O25" s="4077">
        <f t="shared" ref="O25" si="61">J25+N25</f>
        <v>1803.6599999999999</v>
      </c>
      <c r="P25" s="4071">
        <f t="shared" si="57"/>
        <v>726.43333333333339</v>
      </c>
      <c r="Q25" s="4071">
        <f t="shared" si="58"/>
        <v>726.43333333333339</v>
      </c>
      <c r="R25" s="4071">
        <f t="shared" si="59"/>
        <v>726.43333333333339</v>
      </c>
      <c r="S25" s="4077">
        <f>SUM('Прил. 1 План ФХД табл 1'!H36)</f>
        <v>2179.3000000000002</v>
      </c>
      <c r="T25" s="4078">
        <f t="shared" ref="T25:T29" si="62">O25+S25</f>
        <v>3982.96</v>
      </c>
    </row>
    <row r="26" spans="1:20" ht="20.100000000000001" customHeight="1">
      <c r="A26" s="4070" t="s">
        <v>1852</v>
      </c>
      <c r="B26" s="4071">
        <f t="shared" si="48"/>
        <v>34.800000000000004</v>
      </c>
      <c r="C26" s="4071">
        <f t="shared" si="49"/>
        <v>34.800000000000004</v>
      </c>
      <c r="D26" s="4071">
        <f t="shared" si="50"/>
        <v>34.800000000000004</v>
      </c>
      <c r="E26" s="4077">
        <f>SUM('Прил. 1 План ФХД табл 1'!C37)</f>
        <v>104.4</v>
      </c>
      <c r="F26" s="4071">
        <f t="shared" si="51"/>
        <v>34.800000000000004</v>
      </c>
      <c r="G26" s="4071">
        <f t="shared" si="52"/>
        <v>34.800000000000004</v>
      </c>
      <c r="H26" s="4071">
        <f t="shared" si="53"/>
        <v>34.800000000000004</v>
      </c>
      <c r="I26" s="4077">
        <f>SUM('Прил. 1 План ФХД табл 1'!D37)</f>
        <v>104.4</v>
      </c>
      <c r="J26" s="4077">
        <f t="shared" si="8"/>
        <v>208.8</v>
      </c>
      <c r="K26" s="4071">
        <f t="shared" si="54"/>
        <v>34.800000000000004</v>
      </c>
      <c r="L26" s="4071">
        <f t="shared" si="55"/>
        <v>34.800000000000004</v>
      </c>
      <c r="M26" s="4071">
        <f t="shared" si="56"/>
        <v>34.800000000000004</v>
      </c>
      <c r="N26" s="4077">
        <f>SUM('Прил. 1 План ФХД табл 1'!F37)</f>
        <v>104.4</v>
      </c>
      <c r="O26" s="4077">
        <f t="shared" si="9"/>
        <v>313.20000000000005</v>
      </c>
      <c r="P26" s="4071">
        <f t="shared" si="57"/>
        <v>34.800000000000004</v>
      </c>
      <c r="Q26" s="4071">
        <f t="shared" si="58"/>
        <v>34.800000000000004</v>
      </c>
      <c r="R26" s="4071">
        <f t="shared" si="59"/>
        <v>34.800000000000004</v>
      </c>
      <c r="S26" s="4077">
        <f>SUM('Прил. 1 План ФХД табл 1'!H37)</f>
        <v>104.4</v>
      </c>
      <c r="T26" s="4078">
        <f t="shared" si="10"/>
        <v>417.6</v>
      </c>
    </row>
    <row r="27" spans="1:20" ht="20.100000000000001" customHeight="1">
      <c r="A27" s="4061" t="s">
        <v>1853</v>
      </c>
      <c r="B27" s="4067">
        <f>SUM(B17+B21-B22)</f>
        <v>322.64879051354399</v>
      </c>
      <c r="C27" s="4067">
        <f t="shared" ref="C27:D27" si="63">SUM(C17+C21-C22)</f>
        <v>462.04478371826042</v>
      </c>
      <c r="D27" s="4067">
        <f t="shared" si="63"/>
        <v>-784.69505322117448</v>
      </c>
      <c r="E27" s="4068">
        <f t="shared" si="6"/>
        <v>-1.478989370070849E-3</v>
      </c>
      <c r="F27" s="4067">
        <f>SUM(F17+F21-F22)</f>
        <v>609.35976393619558</v>
      </c>
      <c r="G27" s="4067">
        <f t="shared" ref="G27:H27" si="64">SUM(G17+G21-G22)</f>
        <v>609.95742540496258</v>
      </c>
      <c r="H27" s="4067">
        <f t="shared" si="64"/>
        <v>-1219.316318737558</v>
      </c>
      <c r="I27" s="4068">
        <f t="shared" ref="I27" si="65">SUM(F27:H27)</f>
        <v>8.7060360010582372E-4</v>
      </c>
      <c r="J27" s="4068">
        <f t="shared" si="8"/>
        <v>-6.0838576996502525E-4</v>
      </c>
      <c r="K27" s="4067">
        <f>SUM(K17+K21-K22)</f>
        <v>-104.66959706294352</v>
      </c>
      <c r="L27" s="4067">
        <f t="shared" ref="L27:M27" si="66">SUM(L17+L21-L22)</f>
        <v>459.7633377979372</v>
      </c>
      <c r="M27" s="4067">
        <f t="shared" si="66"/>
        <v>-355.09467406811115</v>
      </c>
      <c r="N27" s="4068">
        <f t="shared" si="3"/>
        <v>-9.3333311747301195E-4</v>
      </c>
      <c r="O27" s="4068">
        <f t="shared" si="9"/>
        <v>-1.5417188874380372E-3</v>
      </c>
      <c r="P27" s="4067">
        <f>SUM(P17+P21-P22)</f>
        <v>576.72920509727965</v>
      </c>
      <c r="Q27" s="4067">
        <f t="shared" ref="Q27:R27" si="67">SUM(Q17+Q21-Q22)</f>
        <v>460.8876352600405</v>
      </c>
      <c r="R27" s="4067">
        <f t="shared" si="67"/>
        <v>-1037.6153953349217</v>
      </c>
      <c r="S27" s="4068">
        <f t="shared" si="5"/>
        <v>1.4450223984567856E-3</v>
      </c>
      <c r="T27" s="4069">
        <f t="shared" si="62"/>
        <v>-9.6696488981251605E-5</v>
      </c>
    </row>
    <row r="28" spans="1:20" ht="20.100000000000001" customHeight="1">
      <c r="A28" s="4061" t="s">
        <v>1823</v>
      </c>
      <c r="B28" s="4074">
        <f>SUM(B27-(B27*20%))</f>
        <v>258.11903241083519</v>
      </c>
      <c r="C28" s="4074">
        <f t="shared" ref="C28:D28" si="68">SUM(C27-(C27*20%))</f>
        <v>369.63582697460834</v>
      </c>
      <c r="D28" s="4074">
        <f t="shared" si="68"/>
        <v>-627.75604257693954</v>
      </c>
      <c r="E28" s="4068">
        <f t="shared" si="6"/>
        <v>-1.1831914960112044E-3</v>
      </c>
      <c r="F28" s="4074">
        <f>SUM(F27-(F27*20%))</f>
        <v>487.48781114895644</v>
      </c>
      <c r="G28" s="4074">
        <f t="shared" ref="G28" si="69">SUM(G27-(G27*20%))</f>
        <v>487.96594032397007</v>
      </c>
      <c r="H28" s="4074">
        <f t="shared" ref="H28" si="70">SUM(H27-(H27*20%))</f>
        <v>-975.45305499004644</v>
      </c>
      <c r="I28" s="4068">
        <f t="shared" si="7"/>
        <v>6.9648288013013371E-4</v>
      </c>
      <c r="J28" s="4068">
        <f t="shared" si="8"/>
        <v>-4.8670861588107073E-4</v>
      </c>
      <c r="K28" s="4074">
        <f>SUM(K27-(K27*20%))</f>
        <v>-83.735677650354816</v>
      </c>
      <c r="L28" s="4074">
        <f t="shared" ref="L28" si="71">SUM(L27-(L27*20%))</f>
        <v>367.81067023834976</v>
      </c>
      <c r="M28" s="4074">
        <f t="shared" ref="M28" si="72">SUM(M27-(M27*20%))</f>
        <v>-284.07573925448889</v>
      </c>
      <c r="N28" s="4068">
        <f t="shared" si="3"/>
        <v>-7.4666649396704088E-4</v>
      </c>
      <c r="O28" s="4068">
        <f t="shared" si="9"/>
        <v>-1.2333751098481116E-3</v>
      </c>
      <c r="P28" s="4074">
        <f>SUM(P27-(P27*20%))</f>
        <v>461.38336407782373</v>
      </c>
      <c r="Q28" s="4074">
        <f t="shared" ref="Q28" si="73">SUM(Q27-(Q27*20%))</f>
        <v>368.71010820803241</v>
      </c>
      <c r="R28" s="4074">
        <f t="shared" ref="R28" si="74">SUM(R27-(R27*20%))</f>
        <v>-830.09231626793735</v>
      </c>
      <c r="S28" s="4068">
        <f t="shared" si="5"/>
        <v>1.1560179187881658E-3</v>
      </c>
      <c r="T28" s="4069">
        <f t="shared" si="62"/>
        <v>-7.7357191059945762E-5</v>
      </c>
    </row>
    <row r="29" spans="1:20" ht="20.100000000000001" customHeight="1">
      <c r="A29" s="4075" t="s">
        <v>1825</v>
      </c>
      <c r="B29" s="4073">
        <f>SUM(B28)</f>
        <v>258.11903241083519</v>
      </c>
      <c r="C29" s="4073">
        <f t="shared" ref="C29:D29" si="75">SUM(C28)</f>
        <v>369.63582697460834</v>
      </c>
      <c r="D29" s="4073">
        <f t="shared" si="75"/>
        <v>-627.75604257693954</v>
      </c>
      <c r="E29" s="4068">
        <f t="shared" si="6"/>
        <v>-1.1831914960112044E-3</v>
      </c>
      <c r="F29" s="4073">
        <f>SUM(F28)</f>
        <v>487.48781114895644</v>
      </c>
      <c r="G29" s="4073">
        <f t="shared" ref="G29" si="76">SUM(G28)</f>
        <v>487.96594032397007</v>
      </c>
      <c r="H29" s="4073">
        <f t="shared" ref="H29" si="77">SUM(H28)</f>
        <v>-975.45305499004644</v>
      </c>
      <c r="I29" s="4068">
        <f t="shared" si="7"/>
        <v>6.9648288013013371E-4</v>
      </c>
      <c r="J29" s="4068">
        <f t="shared" si="8"/>
        <v>-4.8670861588107073E-4</v>
      </c>
      <c r="K29" s="4073">
        <f>SUM(K28)</f>
        <v>-83.735677650354816</v>
      </c>
      <c r="L29" s="4073">
        <f t="shared" ref="L29" si="78">SUM(L28)</f>
        <v>367.81067023834976</v>
      </c>
      <c r="M29" s="4073">
        <f t="shared" ref="M29" si="79">SUM(M28)</f>
        <v>-284.07573925448889</v>
      </c>
      <c r="N29" s="4068">
        <f t="shared" si="3"/>
        <v>-7.4666649396704088E-4</v>
      </c>
      <c r="O29" s="4068">
        <f t="shared" si="9"/>
        <v>-1.2333751098481116E-3</v>
      </c>
      <c r="P29" s="4073">
        <f>SUM(P28)</f>
        <v>461.38336407782373</v>
      </c>
      <c r="Q29" s="4073">
        <f t="shared" ref="Q29" si="80">SUM(Q28)</f>
        <v>368.71010820803241</v>
      </c>
      <c r="R29" s="4073">
        <f t="shared" ref="R29" si="81">SUM(R28)</f>
        <v>-830.09231626793735</v>
      </c>
      <c r="S29" s="4068">
        <f t="shared" si="5"/>
        <v>1.1560179187881658E-3</v>
      </c>
      <c r="T29" s="4069">
        <f t="shared" si="62"/>
        <v>-7.7357191059945762E-5</v>
      </c>
    </row>
    <row r="30" spans="1:20" ht="45" customHeight="1">
      <c r="A30" s="4076" t="s">
        <v>1826</v>
      </c>
      <c r="B30" s="4071">
        <v>0</v>
      </c>
      <c r="C30" s="4071">
        <v>0</v>
      </c>
      <c r="D30" s="4071">
        <v>0</v>
      </c>
      <c r="E30" s="4077">
        <f t="shared" ref="E30:T30" si="82">E29</f>
        <v>-1.1831914960112044E-3</v>
      </c>
      <c r="F30" s="4071">
        <v>0</v>
      </c>
      <c r="G30" s="4071">
        <v>0</v>
      </c>
      <c r="H30" s="4071">
        <v>0</v>
      </c>
      <c r="I30" s="4077">
        <f t="shared" si="82"/>
        <v>6.9648288013013371E-4</v>
      </c>
      <c r="J30" s="4077">
        <f t="shared" si="82"/>
        <v>-4.8670861588107073E-4</v>
      </c>
      <c r="K30" s="4071">
        <v>0</v>
      </c>
      <c r="L30" s="4071">
        <v>0</v>
      </c>
      <c r="M30" s="4071">
        <v>0</v>
      </c>
      <c r="N30" s="4077">
        <f t="shared" si="82"/>
        <v>-7.4666649396704088E-4</v>
      </c>
      <c r="O30" s="4077">
        <f t="shared" si="82"/>
        <v>-1.2333751098481116E-3</v>
      </c>
      <c r="P30" s="4071">
        <v>0</v>
      </c>
      <c r="Q30" s="4071">
        <v>0</v>
      </c>
      <c r="R30" s="4071">
        <v>0</v>
      </c>
      <c r="S30" s="4077">
        <f t="shared" si="82"/>
        <v>1.1560179187881658E-3</v>
      </c>
      <c r="T30" s="4078">
        <f t="shared" si="82"/>
        <v>-7.7357191059945762E-5</v>
      </c>
    </row>
    <row r="31" spans="1:20" ht="45" customHeight="1">
      <c r="A31" s="4076" t="s">
        <v>1854</v>
      </c>
      <c r="B31" s="4079">
        <v>0</v>
      </c>
      <c r="C31" s="4079">
        <v>0</v>
      </c>
      <c r="D31" s="4079">
        <v>0</v>
      </c>
      <c r="E31" s="4080">
        <f t="shared" ref="E31:E32" si="83">SUM(B31:D31)</f>
        <v>0</v>
      </c>
      <c r="F31" s="4079">
        <v>0</v>
      </c>
      <c r="G31" s="4079">
        <v>0</v>
      </c>
      <c r="H31" s="4079">
        <v>0</v>
      </c>
      <c r="I31" s="4080">
        <f t="shared" ref="I31:I32" si="84">SUM(F31:H31)</f>
        <v>0</v>
      </c>
      <c r="J31" s="4080">
        <f t="shared" ref="J31:J32" si="85">E31+I31</f>
        <v>0</v>
      </c>
      <c r="K31" s="4079">
        <v>0</v>
      </c>
      <c r="L31" s="4079">
        <v>0</v>
      </c>
      <c r="M31" s="4079">
        <v>0</v>
      </c>
      <c r="N31" s="4080">
        <f t="shared" ref="N31:N32" si="86">SUM(K31:M31)</f>
        <v>0</v>
      </c>
      <c r="O31" s="4080">
        <f t="shared" ref="O31:O32" si="87">J31+N31</f>
        <v>0</v>
      </c>
      <c r="P31" s="4079">
        <v>0</v>
      </c>
      <c r="Q31" s="4079">
        <v>0</v>
      </c>
      <c r="R31" s="4079">
        <v>0</v>
      </c>
      <c r="S31" s="4080">
        <f t="shared" ref="S31:S32" si="88">SUM(P31:R31)</f>
        <v>0</v>
      </c>
      <c r="T31" s="4081">
        <f t="shared" ref="T31:T32" si="89">O31+S31</f>
        <v>0</v>
      </c>
    </row>
    <row r="32" spans="1:20" ht="20.100000000000001" customHeight="1" thickBot="1">
      <c r="A32" s="4082" t="s">
        <v>1828</v>
      </c>
      <c r="B32" s="4083">
        <v>0</v>
      </c>
      <c r="C32" s="4083">
        <v>0</v>
      </c>
      <c r="D32" s="4083">
        <v>0</v>
      </c>
      <c r="E32" s="4084">
        <f t="shared" si="83"/>
        <v>0</v>
      </c>
      <c r="F32" s="4083">
        <v>0</v>
      </c>
      <c r="G32" s="4083">
        <v>0</v>
      </c>
      <c r="H32" s="4083">
        <v>0</v>
      </c>
      <c r="I32" s="4084">
        <f t="shared" si="84"/>
        <v>0</v>
      </c>
      <c r="J32" s="4084">
        <f t="shared" si="85"/>
        <v>0</v>
      </c>
      <c r="K32" s="4083">
        <v>0</v>
      </c>
      <c r="L32" s="4083">
        <v>0</v>
      </c>
      <c r="M32" s="4083">
        <v>0</v>
      </c>
      <c r="N32" s="4084">
        <f t="shared" si="86"/>
        <v>0</v>
      </c>
      <c r="O32" s="4084">
        <f t="shared" si="87"/>
        <v>0</v>
      </c>
      <c r="P32" s="4083">
        <v>0</v>
      </c>
      <c r="Q32" s="4083">
        <v>0</v>
      </c>
      <c r="R32" s="4083">
        <v>0</v>
      </c>
      <c r="S32" s="4084">
        <f t="shared" si="88"/>
        <v>0</v>
      </c>
      <c r="T32" s="4085">
        <f t="shared" si="89"/>
        <v>0</v>
      </c>
    </row>
    <row r="33" spans="1:20">
      <c r="A33" s="4048"/>
      <c r="B33" s="4052"/>
      <c r="C33" s="4052"/>
      <c r="D33" s="4052"/>
      <c r="E33" s="4052"/>
      <c r="F33" s="4052"/>
      <c r="G33" s="4052"/>
      <c r="H33" s="4052"/>
      <c r="I33" s="4052"/>
      <c r="J33" s="4052"/>
      <c r="K33" s="4052"/>
      <c r="L33" s="4052"/>
      <c r="M33" s="4052"/>
      <c r="N33" s="4052"/>
      <c r="O33" s="4052"/>
      <c r="P33" s="4052"/>
      <c r="Q33" s="4052"/>
      <c r="R33" s="4052"/>
      <c r="S33" s="4052"/>
      <c r="T33" s="4052"/>
    </row>
    <row r="34" spans="1:20">
      <c r="A34" s="4048"/>
      <c r="B34" s="4052"/>
      <c r="C34" s="4052"/>
      <c r="D34" s="4052"/>
      <c r="E34" s="4052"/>
      <c r="F34" s="4052"/>
      <c r="G34" s="4052"/>
      <c r="H34" s="4052"/>
      <c r="I34" s="4052"/>
      <c r="J34" s="4052"/>
      <c r="K34" s="4052"/>
      <c r="L34" s="4052"/>
      <c r="M34" s="4052"/>
      <c r="N34" s="4052"/>
      <c r="O34" s="4052"/>
      <c r="P34" s="4052"/>
      <c r="Q34" s="4052"/>
      <c r="R34" s="4052"/>
      <c r="S34" s="4052"/>
      <c r="T34" s="4052"/>
    </row>
    <row r="35" spans="1:20">
      <c r="A35" s="4350" t="s">
        <v>1865</v>
      </c>
      <c r="B35" s="4351"/>
      <c r="C35" s="4351"/>
      <c r="D35" s="4351"/>
      <c r="E35" s="4351"/>
      <c r="F35" s="4351"/>
      <c r="G35" s="4351"/>
      <c r="H35" s="4351"/>
      <c r="I35" s="4351"/>
      <c r="J35" s="4351"/>
      <c r="K35" s="4351"/>
      <c r="L35" s="4351"/>
      <c r="M35" s="4351"/>
      <c r="N35" s="4351"/>
      <c r="O35" s="4351"/>
      <c r="P35" s="4351"/>
      <c r="Q35" s="4351"/>
      <c r="R35" s="4351"/>
      <c r="S35" s="4351"/>
      <c r="T35" s="4351"/>
    </row>
    <row r="36" spans="1:20">
      <c r="B36" s="4053"/>
      <c r="C36" s="4053"/>
      <c r="D36" s="4053"/>
      <c r="E36" s="4053"/>
      <c r="F36" s="4053"/>
      <c r="G36" s="4053"/>
      <c r="H36" s="4053"/>
      <c r="I36" s="4053"/>
      <c r="J36" s="4053"/>
      <c r="K36" s="4053"/>
      <c r="L36" s="4053"/>
      <c r="M36" s="4053"/>
      <c r="N36" s="4053"/>
      <c r="O36" s="4053"/>
      <c r="P36" s="4053"/>
      <c r="Q36" s="4053"/>
      <c r="R36" s="4053"/>
      <c r="S36" s="4053"/>
      <c r="T36" s="4053"/>
    </row>
  </sheetData>
  <mergeCells count="2">
    <mergeCell ref="A5:T5"/>
    <mergeCell ref="A35:T35"/>
  </mergeCells>
  <printOptions horizontalCentered="1" verticalCentered="1"/>
  <pageMargins left="0.39370078740157483" right="0.39370078740157483" top="0.35433070866141736" bottom="0.35433070866141736" header="0.31496062992125984" footer="0.31496062992125984"/>
  <pageSetup paperSize="9" scale="59" orientation="landscape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57"/>
  <sheetViews>
    <sheetView topLeftCell="A16" zoomScale="73" zoomScaleNormal="73" workbookViewId="0">
      <selection activeCell="C38" sqref="C38"/>
    </sheetView>
  </sheetViews>
  <sheetFormatPr defaultRowHeight="12.75"/>
  <cols>
    <col min="1" max="1" width="50.42578125" customWidth="1"/>
    <col min="2" max="2" width="10.7109375" customWidth="1"/>
    <col min="3" max="8" width="11.7109375" customWidth="1"/>
    <col min="9" max="9" width="13.85546875" customWidth="1"/>
  </cols>
  <sheetData>
    <row r="1" spans="1:14" ht="78" customHeight="1">
      <c r="A1" s="3988"/>
      <c r="B1" s="5"/>
      <c r="C1" s="3988"/>
      <c r="D1" s="3988"/>
      <c r="E1" s="3988"/>
      <c r="F1" s="4357" t="s">
        <v>1793</v>
      </c>
      <c r="G1" s="4358"/>
      <c r="H1" s="4358"/>
      <c r="I1" s="4358"/>
    </row>
    <row r="2" spans="1:14" ht="15.75" customHeight="1">
      <c r="A2" s="3988"/>
      <c r="B2" s="5"/>
      <c r="C2" s="3988"/>
      <c r="D2" s="3988"/>
      <c r="E2" s="3988"/>
      <c r="F2" s="4020"/>
      <c r="G2" s="4021"/>
      <c r="H2" s="4021"/>
      <c r="I2" s="4021"/>
    </row>
    <row r="3" spans="1:14" ht="15.75" customHeight="1">
      <c r="A3" s="3988"/>
      <c r="B3" s="5"/>
      <c r="C3" s="3988"/>
      <c r="D3" s="3988"/>
      <c r="E3" s="3988"/>
      <c r="F3" s="4359" t="s">
        <v>1724</v>
      </c>
      <c r="G3" s="4359"/>
      <c r="H3" s="4359"/>
      <c r="I3" s="4359"/>
    </row>
    <row r="4" spans="1:14" ht="15.75" customHeight="1">
      <c r="A4" s="3988"/>
      <c r="B4" s="5"/>
      <c r="C4" s="3988"/>
      <c r="D4" s="3988"/>
      <c r="E4" s="3988"/>
      <c r="F4" s="4359" t="s">
        <v>1794</v>
      </c>
      <c r="G4" s="4359"/>
      <c r="H4" s="4359"/>
      <c r="I4" s="4359"/>
    </row>
    <row r="5" spans="1:14" ht="21" customHeight="1">
      <c r="A5" s="3988"/>
      <c r="B5" s="3988"/>
      <c r="C5" s="3988"/>
      <c r="D5" s="3988"/>
      <c r="E5" s="3988"/>
      <c r="F5" s="4359" t="s">
        <v>1795</v>
      </c>
      <c r="G5" s="4359"/>
      <c r="H5" s="4358"/>
      <c r="I5" s="4359"/>
    </row>
    <row r="6" spans="1:14" ht="21" customHeight="1">
      <c r="A6" s="3988"/>
      <c r="B6" s="3988"/>
      <c r="C6" s="3988"/>
      <c r="D6" s="3988"/>
      <c r="E6" s="3988"/>
      <c r="F6" s="4360" t="s">
        <v>1829</v>
      </c>
      <c r="G6" s="4360"/>
      <c r="H6" s="4360"/>
      <c r="I6" s="4360"/>
    </row>
    <row r="7" spans="1:14" ht="15.75">
      <c r="A7" s="3988"/>
      <c r="B7" s="3988"/>
      <c r="C7" s="3988"/>
      <c r="D7" s="3988"/>
      <c r="E7" s="3988"/>
      <c r="F7" s="3988"/>
      <c r="G7" s="3988"/>
      <c r="H7" s="3988"/>
      <c r="I7" s="3988"/>
    </row>
    <row r="8" spans="1:14" ht="45" customHeight="1">
      <c r="A8" s="4361" t="s">
        <v>1842</v>
      </c>
      <c r="B8" s="4362"/>
      <c r="C8" s="4362"/>
      <c r="D8" s="4362"/>
      <c r="E8" s="4362"/>
      <c r="F8" s="4362"/>
      <c r="G8" s="4362"/>
      <c r="H8" s="4362"/>
      <c r="I8" s="4362"/>
    </row>
    <row r="9" spans="1:14" ht="16.5" thickBot="1">
      <c r="A9" s="3988"/>
      <c r="B9" s="3988"/>
      <c r="C9" s="3988"/>
      <c r="D9" s="3988"/>
      <c r="E9" s="3988"/>
      <c r="F9" s="3988"/>
      <c r="G9" s="3988"/>
      <c r="H9" s="3988"/>
      <c r="I9" s="3936" t="s">
        <v>1805</v>
      </c>
    </row>
    <row r="10" spans="1:14" ht="45.75" customHeight="1">
      <c r="A10" s="3989" t="s">
        <v>374</v>
      </c>
      <c r="B10" s="3990" t="s">
        <v>1007</v>
      </c>
      <c r="C10" s="3990" t="s">
        <v>1806</v>
      </c>
      <c r="D10" s="3990" t="s">
        <v>1807</v>
      </c>
      <c r="E10" s="3990" t="s">
        <v>391</v>
      </c>
      <c r="F10" s="3990" t="s">
        <v>1808</v>
      </c>
      <c r="G10" s="3990" t="s">
        <v>1809</v>
      </c>
      <c r="H10" s="3990" t="s">
        <v>1810</v>
      </c>
      <c r="I10" s="3991" t="s">
        <v>252</v>
      </c>
    </row>
    <row r="11" spans="1:14" ht="19.5" customHeight="1">
      <c r="A11" s="3992" t="s">
        <v>1811</v>
      </c>
      <c r="B11" s="4029" t="s">
        <v>1812</v>
      </c>
      <c r="C11" s="4030">
        <v>284</v>
      </c>
      <c r="D11" s="4030">
        <v>284</v>
      </c>
      <c r="E11" s="4030">
        <v>284</v>
      </c>
      <c r="F11" s="4030">
        <v>284</v>
      </c>
      <c r="G11" s="4030">
        <v>284</v>
      </c>
      <c r="H11" s="4030">
        <v>284</v>
      </c>
      <c r="I11" s="3993">
        <v>284</v>
      </c>
    </row>
    <row r="12" spans="1:14" ht="19.5" customHeight="1">
      <c r="A12" s="4352" t="s">
        <v>1813</v>
      </c>
      <c r="B12" s="4353"/>
      <c r="C12" s="4353"/>
      <c r="D12" s="4353"/>
      <c r="E12" s="4353"/>
      <c r="F12" s="4353"/>
      <c r="G12" s="4353"/>
      <c r="H12" s="4353"/>
      <c r="I12" s="4354"/>
      <c r="K12" s="3994"/>
      <c r="L12" s="294"/>
      <c r="M12" s="294"/>
      <c r="N12" s="294"/>
    </row>
    <row r="13" spans="1:14" ht="20.100000000000001" customHeight="1">
      <c r="A13" s="3995" t="s">
        <v>362</v>
      </c>
      <c r="B13" s="3996" t="s">
        <v>1814</v>
      </c>
      <c r="C13" s="4038">
        <f>SUM('Прил. 1 План ФХД вода табл. 2'!L19)</f>
        <v>969.05283660000009</v>
      </c>
      <c r="D13" s="4038">
        <f>SUM('Прил. 1 План ФХД вода табл. 2'!M19)</f>
        <v>934.82215469999994</v>
      </c>
      <c r="E13" s="4038">
        <f>SUM('Прил. 1 План ФХД вода табл. 2'!N19)</f>
        <v>1903.8749913000001</v>
      </c>
      <c r="F13" s="4038">
        <f>SUM('Прил. 1 План ФХД вода табл. 2'!O19)</f>
        <v>915.52058549999992</v>
      </c>
      <c r="G13" s="4038">
        <f>SUM('Прил. 1 План ФХД вода табл. 2'!P19)</f>
        <v>2819.3955768000001</v>
      </c>
      <c r="H13" s="4038">
        <f>SUM('Прил. 1 План ФХД вода табл. 2'!Q19)</f>
        <v>971.95342320000009</v>
      </c>
      <c r="I13" s="4039">
        <f>SUM('Прил. 1 План ФХД вода табл. 2'!R19)</f>
        <v>3791.3490000000002</v>
      </c>
      <c r="K13" s="294"/>
      <c r="L13" s="294"/>
      <c r="M13" s="294"/>
      <c r="N13" s="294"/>
    </row>
    <row r="14" spans="1:14" ht="20.100000000000001" customHeight="1">
      <c r="A14" s="4025" t="s">
        <v>352</v>
      </c>
      <c r="B14" s="4031" t="s">
        <v>1814</v>
      </c>
      <c r="C14" s="4038">
        <f>SUM('Прил. 1 План ФХД стоки табл 2'!M15)</f>
        <v>842.11205000000007</v>
      </c>
      <c r="D14" s="4038">
        <f>SUM('Прил. 1 План ФХД стоки табл 2'!N15)</f>
        <v>813.07892499999991</v>
      </c>
      <c r="E14" s="4038">
        <f>SUM('Прил. 1 План ФХД стоки табл 2'!O15)</f>
        <v>1655.190975</v>
      </c>
      <c r="F14" s="4038">
        <f>SUM('Прил. 1 План ФХД стоки табл 2'!P15)</f>
        <v>795.60422499999993</v>
      </c>
      <c r="G14" s="4038">
        <f>SUM('Прил. 1 План ФХД стоки табл 2'!Q15)</f>
        <v>2450.7952</v>
      </c>
      <c r="H14" s="4038">
        <f>SUM('Прил. 1 План ФХД стоки табл 2'!R15)</f>
        <v>844.95480000000009</v>
      </c>
      <c r="I14" s="4039">
        <f>SUM('Прил. 1 План ФХД стоки табл 2'!S15)</f>
        <v>3295.75</v>
      </c>
    </row>
    <row r="15" spans="1:14" ht="20.100000000000001" customHeight="1">
      <c r="A15" s="4043" t="s">
        <v>1840</v>
      </c>
      <c r="B15" s="4031" t="s">
        <v>190</v>
      </c>
      <c r="C15" s="4032">
        <f t="shared" ref="C15:I15" si="0">SUM(C16:C20)-C17-C19</f>
        <v>56294.945761652009</v>
      </c>
      <c r="D15" s="4032">
        <f t="shared" si="0"/>
        <v>54413.879696733988</v>
      </c>
      <c r="E15" s="4032">
        <f t="shared" si="0"/>
        <v>110708.82545838598</v>
      </c>
      <c r="F15" s="4032">
        <f t="shared" si="0"/>
        <v>56633.491812565</v>
      </c>
      <c r="G15" s="4032">
        <f t="shared" si="0"/>
        <v>167342.317270951</v>
      </c>
      <c r="H15" s="4032">
        <f t="shared" si="0"/>
        <v>59977.676332896008</v>
      </c>
      <c r="I15" s="3997">
        <f t="shared" si="0"/>
        <v>227319.99360384702</v>
      </c>
    </row>
    <row r="16" spans="1:14" ht="20.100000000000001" customHeight="1">
      <c r="A16" s="4025" t="s">
        <v>1815</v>
      </c>
      <c r="B16" s="3996" t="s">
        <v>1055</v>
      </c>
      <c r="C16" s="4028">
        <f>SUM('Прил. 1 План ФХД вода табл. 2'!L59)</f>
        <v>32887.979565151996</v>
      </c>
      <c r="D16" s="4028">
        <f>SUM('Прил. 1 План ФХД вода табл. 2'!M59)</f>
        <v>31733.720971483992</v>
      </c>
      <c r="E16" s="4028">
        <f>SUM('Прил. 1 План ФХД вода табл. 2'!N59)</f>
        <v>64621.700536635988</v>
      </c>
      <c r="F16" s="4028">
        <f>SUM('Прил. 1 План ФХД вода табл. 2'!O59)</f>
        <v>33195.486220564999</v>
      </c>
      <c r="G16" s="4028">
        <f>SUM('Прил. 1 План ФХД вода табл. 2'!P59)</f>
        <v>97817.18675720098</v>
      </c>
      <c r="H16" s="4028">
        <f>SUM('Прил. 1 План ФХД вода табл. 2'!Q59)</f>
        <v>35228.761362895995</v>
      </c>
      <c r="I16" s="3998">
        <f>SUM('Прил. 1 План ФХД вода табл. 2'!R59)</f>
        <v>133045.94812009699</v>
      </c>
      <c r="J16" s="645"/>
    </row>
    <row r="17" spans="1:10" ht="20.100000000000001" customHeight="1">
      <c r="A17" s="4027" t="s">
        <v>1740</v>
      </c>
      <c r="B17" s="3996" t="s">
        <v>1055</v>
      </c>
      <c r="C17" s="4040">
        <f>SUM('Произв. прогр. Вода (СВОД)'!H29)</f>
        <v>3612.5734399999988</v>
      </c>
      <c r="D17" s="4040">
        <f>SUM('Произв. прогр. Вода (СВОД)'!L29)</f>
        <v>3454.7699199999988</v>
      </c>
      <c r="E17" s="4040">
        <f>SUM(C17:D17)</f>
        <v>7067.3433599999971</v>
      </c>
      <c r="F17" s="4040">
        <f>SUM('Произв. прогр. Вода (СВОД)'!Q29)</f>
        <v>4075.4025199999996</v>
      </c>
      <c r="G17" s="4040">
        <f>SUM(E17:F17)</f>
        <v>11142.745879999997</v>
      </c>
      <c r="H17" s="4040">
        <f>SUM('Произв. прогр. Вода (СВОД)'!V29)</f>
        <v>4310.9749199999997</v>
      </c>
      <c r="I17" s="3998">
        <f>G17+H17</f>
        <v>15453.720799999996</v>
      </c>
      <c r="J17" s="645"/>
    </row>
    <row r="18" spans="1:10" ht="20.100000000000001" customHeight="1">
      <c r="A18" s="4025" t="s">
        <v>1816</v>
      </c>
      <c r="B18" s="3996" t="s">
        <v>1055</v>
      </c>
      <c r="C18" s="4028">
        <f>SUM('Прил. 1 План ФХД стоки табл 2'!M50)</f>
        <v>22406.966196500001</v>
      </c>
      <c r="D18" s="4028">
        <f>SUM('Прил. 1 План ФХД стоки табл 2'!N50)</f>
        <v>21680.158725249996</v>
      </c>
      <c r="E18" s="4028">
        <f>SUM('Прил. 1 План ФХД стоки табл 2'!O50)</f>
        <v>44087.124921750001</v>
      </c>
      <c r="F18" s="4028">
        <f>SUM('Прил. 1 План ФХД стоки табл 2'!P50)</f>
        <v>22438.005591999998</v>
      </c>
      <c r="G18" s="4028">
        <f>SUM('Прил. 1 План ФХД стоки табл 2'!Q50)</f>
        <v>66525.130513750002</v>
      </c>
      <c r="H18" s="4028">
        <f>SUM('Прил. 1 План ФХД стоки табл 2'!R50)</f>
        <v>23748.914970000002</v>
      </c>
      <c r="I18" s="3998">
        <f>SUM('Прил. 1 План ФХД стоки табл 2'!S50)</f>
        <v>90274.04548375</v>
      </c>
      <c r="J18" s="645"/>
    </row>
    <row r="19" spans="1:10" ht="20.100000000000001" customHeight="1">
      <c r="A19" s="4027" t="s">
        <v>1740</v>
      </c>
      <c r="B19" s="3996" t="s">
        <v>1055</v>
      </c>
      <c r="C19" s="4040">
        <f>SUM('Произв. прогр. Стоки (СВОД)'!H21)</f>
        <v>1550.9635999999991</v>
      </c>
      <c r="D19" s="4040">
        <f>SUM('Произв. прогр. Стоки (СВОД)'!L21)</f>
        <v>1483.2147999999993</v>
      </c>
      <c r="E19" s="4040">
        <f>SUM(C19:D19)</f>
        <v>3034.1783999999984</v>
      </c>
      <c r="F19" s="4040">
        <f>SUM('Произв. прогр. Стоки (СВОД)'!Q21)</f>
        <v>1765.880200000001</v>
      </c>
      <c r="G19" s="4040">
        <f>SUM(E19:F19)</f>
        <v>4800.0585999999994</v>
      </c>
      <c r="H19" s="4040">
        <f>SUM('Произв. прогр. Стоки (СВОД)'!V21)</f>
        <v>1867.954200000001</v>
      </c>
      <c r="I19" s="3998">
        <f>G19+H19</f>
        <v>6668.0128000000004</v>
      </c>
      <c r="J19" s="645"/>
    </row>
    <row r="20" spans="1:10" ht="20.100000000000001" customHeight="1">
      <c r="A20" s="4025" t="s">
        <v>1817</v>
      </c>
      <c r="B20" s="3996" t="s">
        <v>1055</v>
      </c>
      <c r="C20" s="4028">
        <v>1000</v>
      </c>
      <c r="D20" s="4028">
        <v>1000</v>
      </c>
      <c r="E20" s="4028">
        <f>C20+D20</f>
        <v>2000</v>
      </c>
      <c r="F20" s="4028">
        <v>1000</v>
      </c>
      <c r="G20" s="4028">
        <f>E20+F20</f>
        <v>3000</v>
      </c>
      <c r="H20" s="4028">
        <v>1000</v>
      </c>
      <c r="I20" s="3998">
        <f>G20+H20</f>
        <v>4000</v>
      </c>
    </row>
    <row r="21" spans="1:10" ht="20.100000000000001" customHeight="1">
      <c r="A21" s="4043" t="s">
        <v>1841</v>
      </c>
      <c r="B21" s="4044" t="s">
        <v>190</v>
      </c>
      <c r="C21" s="4033">
        <f t="shared" ref="C21:I21" si="1">SUM(C22:C23)</f>
        <v>52905.243490641369</v>
      </c>
      <c r="D21" s="4033">
        <f t="shared" si="1"/>
        <v>51352.805076130389</v>
      </c>
      <c r="E21" s="4033">
        <f t="shared" si="1"/>
        <v>104258.04856677176</v>
      </c>
      <c r="F21" s="4033">
        <f t="shared" si="1"/>
        <v>53405.928995898117</v>
      </c>
      <c r="G21" s="4033">
        <f t="shared" si="1"/>
        <v>157663.97756266987</v>
      </c>
      <c r="H21" s="4034">
        <f t="shared" si="1"/>
        <v>55173.481137873598</v>
      </c>
      <c r="I21" s="3999">
        <f t="shared" si="1"/>
        <v>212837.45870054347</v>
      </c>
    </row>
    <row r="22" spans="1:10" ht="20.100000000000001" customHeight="1">
      <c r="A22" s="4025" t="s">
        <v>362</v>
      </c>
      <c r="B22" s="3996" t="s">
        <v>1055</v>
      </c>
      <c r="C22" s="4028">
        <f>SUM('Прил. 1 План ФХД вода табл. 2'!L55)</f>
        <v>31841.764883454747</v>
      </c>
      <c r="D22" s="4028">
        <f>SUM('Прил. 1 План ФХД вода табл. 2'!M55)</f>
        <v>30467.182986625088</v>
      </c>
      <c r="E22" s="4028">
        <f>C22+D22</f>
        <v>62308.947870079835</v>
      </c>
      <c r="F22" s="4028">
        <f>SUM('Прил. 1 План ФХД вода табл. 2'!O55)</f>
        <v>31510.624390520868</v>
      </c>
      <c r="G22" s="4028">
        <f>E22+F22</f>
        <v>93819.572260600704</v>
      </c>
      <c r="H22" s="4028">
        <f>SUM('Прил. 1 План ФХД вода табл. 2'!Q55)</f>
        <v>33044.684221808406</v>
      </c>
      <c r="I22" s="3998">
        <f>G22+H22</f>
        <v>126864.25648240911</v>
      </c>
    </row>
    <row r="23" spans="1:10" ht="20.100000000000001" customHeight="1">
      <c r="A23" s="4025" t="s">
        <v>352</v>
      </c>
      <c r="B23" s="4031" t="s">
        <v>1055</v>
      </c>
      <c r="C23" s="4028">
        <f>SUM('Прил. 1 План ФХД стоки табл 2'!M45)</f>
        <v>21063.478607186618</v>
      </c>
      <c r="D23" s="4028">
        <f>SUM('Прил. 1 План ФХД стоки табл 2'!N45)</f>
        <v>20885.622089505305</v>
      </c>
      <c r="E23" s="4028">
        <f>C23+D23</f>
        <v>41949.100696691923</v>
      </c>
      <c r="F23" s="4028">
        <f>SUM('Прил. 1 План ФХД стоки табл 2'!P45)</f>
        <v>21895.304605377249</v>
      </c>
      <c r="G23" s="4028">
        <f>E23+F23</f>
        <v>63844.405302069172</v>
      </c>
      <c r="H23" s="4028">
        <f>SUM('Прил. 1 План ФХД стоки табл 2'!R45)</f>
        <v>22128.796916065192</v>
      </c>
      <c r="I23" s="3998">
        <f>G23+H23</f>
        <v>85973.202218134364</v>
      </c>
    </row>
    <row r="24" spans="1:10" ht="20.100000000000001" customHeight="1">
      <c r="A24" s="4045" t="s">
        <v>1834</v>
      </c>
      <c r="B24" s="4044" t="s">
        <v>190</v>
      </c>
      <c r="C24" s="4032">
        <f>C15-C21+C27+C30</f>
        <v>1779.6685210106396</v>
      </c>
      <c r="D24" s="4032">
        <f t="shared" ref="D24:I24" si="2">D15-D21+D27+D30</f>
        <v>1451.0408706035985</v>
      </c>
      <c r="E24" s="4032">
        <f t="shared" si="2"/>
        <v>3230.7093916142235</v>
      </c>
      <c r="F24" s="4032">
        <f t="shared" si="2"/>
        <v>1617.5290666668832</v>
      </c>
      <c r="G24" s="4032">
        <f t="shared" si="2"/>
        <v>4848.2384582811283</v>
      </c>
      <c r="H24" s="4032">
        <f t="shared" si="2"/>
        <v>3194.1614450224097</v>
      </c>
      <c r="I24" s="3997">
        <f t="shared" si="2"/>
        <v>8042.3999033035461</v>
      </c>
    </row>
    <row r="25" spans="1:10" ht="20.100000000000001" customHeight="1">
      <c r="A25" s="4025" t="s">
        <v>1833</v>
      </c>
      <c r="B25" s="4031" t="s">
        <v>1055</v>
      </c>
      <c r="C25" s="4026">
        <f>SUM(C26:C27)</f>
        <v>744.85593169724905</v>
      </c>
      <c r="D25" s="4026">
        <f t="shared" ref="D25:I25" si="3">SUM(D26:D27)</f>
        <v>965.17923485890367</v>
      </c>
      <c r="E25" s="4026">
        <f t="shared" si="3"/>
        <v>1710.0351665561527</v>
      </c>
      <c r="F25" s="4026">
        <f t="shared" si="3"/>
        <v>1383.5030800441305</v>
      </c>
      <c r="G25" s="4026">
        <f t="shared" si="3"/>
        <v>3093.5382466002757</v>
      </c>
      <c r="H25" s="4026">
        <f t="shared" si="3"/>
        <v>1882.7183910875897</v>
      </c>
      <c r="I25" s="4000">
        <f t="shared" si="3"/>
        <v>4976.2566376878804</v>
      </c>
    </row>
    <row r="26" spans="1:10" ht="20.100000000000001" customHeight="1">
      <c r="A26" s="4027" t="s">
        <v>46</v>
      </c>
      <c r="B26" s="4031" t="s">
        <v>1055</v>
      </c>
      <c r="C26" s="4041">
        <f t="shared" ref="C26:I26" si="4">C16-C22</f>
        <v>1046.214681697249</v>
      </c>
      <c r="D26" s="4041">
        <f t="shared" si="4"/>
        <v>1266.5379848589037</v>
      </c>
      <c r="E26" s="4041">
        <f t="shared" si="4"/>
        <v>2312.7526665561527</v>
      </c>
      <c r="F26" s="4041">
        <f t="shared" si="4"/>
        <v>1684.8618300441303</v>
      </c>
      <c r="G26" s="4041">
        <f t="shared" si="4"/>
        <v>3997.6144966002757</v>
      </c>
      <c r="H26" s="4041">
        <f t="shared" si="4"/>
        <v>2184.0771410875896</v>
      </c>
      <c r="I26" s="4042">
        <f t="shared" si="4"/>
        <v>6181.6916376878798</v>
      </c>
      <c r="J26" s="130"/>
    </row>
    <row r="27" spans="1:10" ht="20.100000000000001" customHeight="1">
      <c r="A27" s="4027" t="s">
        <v>1835</v>
      </c>
      <c r="B27" s="4031" t="s">
        <v>1055</v>
      </c>
      <c r="C27" s="4026">
        <f>SUM('Прил. 1 План ФХД вода табл. 2'!L61)</f>
        <v>-301.35874999999999</v>
      </c>
      <c r="D27" s="4026">
        <f>SUM('Прил. 1 План ФХД вода табл. 2'!M61)</f>
        <v>-301.35874999999999</v>
      </c>
      <c r="E27" s="4026">
        <f>SUM('Прил. 1 План ФХД вода табл. 2'!N61)</f>
        <v>-602.71749999999997</v>
      </c>
      <c r="F27" s="4026">
        <f>SUM('Прил. 1 План ФХД вода табл. 2'!O61)</f>
        <v>-301.35874999999999</v>
      </c>
      <c r="G27" s="4026">
        <f>SUM('Прил. 1 План ФХД вода табл. 2'!P61)</f>
        <v>-904.07624999999996</v>
      </c>
      <c r="H27" s="4026">
        <f>SUM('Прил. 1 План ФХД вода табл. 2'!Q61)</f>
        <v>-301.35874999999999</v>
      </c>
      <c r="I27" s="4000">
        <f>SUM('Прил. 1 План ФХД вода табл. 2'!R61)</f>
        <v>-1205.4349999999999</v>
      </c>
      <c r="J27" s="130"/>
    </row>
    <row r="28" spans="1:10" ht="20.100000000000001" customHeight="1">
      <c r="A28" s="4025" t="s">
        <v>1836</v>
      </c>
      <c r="B28" s="4031" t="s">
        <v>1055</v>
      </c>
      <c r="C28" s="4028">
        <f>SUM(C29:C30)</f>
        <v>34.812589313383114</v>
      </c>
      <c r="D28" s="4028">
        <f t="shared" ref="D28:I28" si="5">SUM(D29:D30)</f>
        <v>-514.13836425530894</v>
      </c>
      <c r="E28" s="4028">
        <f t="shared" si="5"/>
        <v>-479.32577494192219</v>
      </c>
      <c r="F28" s="4028">
        <f t="shared" si="5"/>
        <v>-765.97401337725091</v>
      </c>
      <c r="G28" s="4028">
        <f t="shared" si="5"/>
        <v>-1245.2997883191692</v>
      </c>
      <c r="H28" s="4028">
        <f t="shared" si="5"/>
        <v>311.44305393480977</v>
      </c>
      <c r="I28" s="3998">
        <f t="shared" si="5"/>
        <v>-933.85673438436334</v>
      </c>
    </row>
    <row r="29" spans="1:10" ht="20.100000000000001" customHeight="1">
      <c r="A29" s="4027" t="s">
        <v>47</v>
      </c>
      <c r="B29" s="4031" t="s">
        <v>1055</v>
      </c>
      <c r="C29" s="4028">
        <f>SUM(C18-C23)</f>
        <v>1343.4875893133831</v>
      </c>
      <c r="D29" s="4028">
        <f t="shared" ref="D29:I29" si="6">SUM(D18-D23)</f>
        <v>794.53663574469101</v>
      </c>
      <c r="E29" s="4028">
        <f t="shared" si="6"/>
        <v>2138.0242250580777</v>
      </c>
      <c r="F29" s="4028">
        <f t="shared" si="6"/>
        <v>542.70098662274904</v>
      </c>
      <c r="G29" s="4028">
        <f t="shared" si="6"/>
        <v>2680.7252116808304</v>
      </c>
      <c r="H29" s="4028">
        <f t="shared" si="6"/>
        <v>1620.1180539348097</v>
      </c>
      <c r="I29" s="3998">
        <f t="shared" si="6"/>
        <v>4300.8432656156365</v>
      </c>
    </row>
    <row r="30" spans="1:10" ht="20.100000000000001" customHeight="1">
      <c r="A30" s="4027" t="s">
        <v>1837</v>
      </c>
      <c r="B30" s="4031" t="s">
        <v>1055</v>
      </c>
      <c r="C30" s="4028">
        <f>SUM('Прил. 1 План ФХД стоки табл 2'!M46)</f>
        <v>-1308.675</v>
      </c>
      <c r="D30" s="4028">
        <f>SUM('Прил. 1 План ФХД стоки табл 2'!N46)</f>
        <v>-1308.675</v>
      </c>
      <c r="E30" s="4028">
        <f>SUM('Прил. 1 План ФХД стоки табл 2'!O46)</f>
        <v>-2617.35</v>
      </c>
      <c r="F30" s="4028">
        <f>SUM('Прил. 1 План ФХД стоки табл 2'!P46)</f>
        <v>-1308.675</v>
      </c>
      <c r="G30" s="4028">
        <f>SUM('Прил. 1 План ФХД стоки табл 2'!Q46)</f>
        <v>-3926.0249999999996</v>
      </c>
      <c r="H30" s="4028">
        <f>SUM('Прил. 1 План ФХД стоки табл 2'!R46)</f>
        <v>-1308.675</v>
      </c>
      <c r="I30" s="3998">
        <f>SUM('Прил. 1 План ФХД стоки табл 2'!S46)</f>
        <v>-5234.7</v>
      </c>
    </row>
    <row r="31" spans="1:10" ht="20.100000000000001" customHeight="1">
      <c r="A31" s="4025" t="s">
        <v>1817</v>
      </c>
      <c r="B31" s="4031" t="s">
        <v>1055</v>
      </c>
      <c r="C31" s="4026">
        <f>C20</f>
        <v>1000</v>
      </c>
      <c r="D31" s="4026">
        <f t="shared" ref="D31:I31" si="7">D20</f>
        <v>1000</v>
      </c>
      <c r="E31" s="4026">
        <f t="shared" si="7"/>
        <v>2000</v>
      </c>
      <c r="F31" s="4026">
        <f t="shared" si="7"/>
        <v>1000</v>
      </c>
      <c r="G31" s="4026">
        <f t="shared" si="7"/>
        <v>3000</v>
      </c>
      <c r="H31" s="4026">
        <f t="shared" si="7"/>
        <v>1000</v>
      </c>
      <c r="I31" s="4000">
        <f t="shared" si="7"/>
        <v>4000</v>
      </c>
    </row>
    <row r="32" spans="1:10" ht="20.100000000000001" customHeight="1">
      <c r="A32" s="4045" t="s">
        <v>1818</v>
      </c>
      <c r="B32" s="4044" t="s">
        <v>190</v>
      </c>
      <c r="C32" s="4033">
        <v>0</v>
      </c>
      <c r="D32" s="4033">
        <v>0</v>
      </c>
      <c r="E32" s="4033">
        <v>0</v>
      </c>
      <c r="F32" s="4033">
        <v>0</v>
      </c>
      <c r="G32" s="4033">
        <v>0</v>
      </c>
      <c r="H32" s="4033">
        <v>0</v>
      </c>
      <c r="I32" s="4001">
        <v>0</v>
      </c>
    </row>
    <row r="33" spans="1:11" ht="20.100000000000001" customHeight="1">
      <c r="A33" s="4045" t="s">
        <v>1819</v>
      </c>
      <c r="B33" s="4044" t="s">
        <v>190</v>
      </c>
      <c r="C33" s="4033">
        <f t="shared" ref="C33:I33" si="8">SUM(C34:C37)</f>
        <v>1779.67</v>
      </c>
      <c r="D33" s="4033">
        <f t="shared" si="8"/>
        <v>1451.0400000000002</v>
      </c>
      <c r="E33" s="4033">
        <f t="shared" si="8"/>
        <v>3230.71</v>
      </c>
      <c r="F33" s="4033">
        <f t="shared" si="8"/>
        <v>1617.5300000000002</v>
      </c>
      <c r="G33" s="4033">
        <f t="shared" si="8"/>
        <v>4848.24</v>
      </c>
      <c r="H33" s="4033">
        <f t="shared" si="8"/>
        <v>3194.1600000000003</v>
      </c>
      <c r="I33" s="4001">
        <f t="shared" si="8"/>
        <v>8042.4000000000005</v>
      </c>
    </row>
    <row r="34" spans="1:11" ht="20.100000000000001" customHeight="1">
      <c r="A34" s="4025" t="s">
        <v>1820</v>
      </c>
      <c r="B34" s="4031" t="s">
        <v>1055</v>
      </c>
      <c r="C34" s="4035">
        <v>660.46</v>
      </c>
      <c r="D34" s="4035">
        <v>660.46</v>
      </c>
      <c r="E34" s="4035">
        <f>C34+D34</f>
        <v>1320.92</v>
      </c>
      <c r="F34" s="4035">
        <v>660.46</v>
      </c>
      <c r="G34" s="4035">
        <f>E34+F34</f>
        <v>1981.38</v>
      </c>
      <c r="H34" s="4035">
        <v>660.46</v>
      </c>
      <c r="I34" s="3998">
        <f t="shared" ref="I34:I37" si="9">G34+H34</f>
        <v>2641.84</v>
      </c>
    </row>
    <row r="35" spans="1:11" ht="20.100000000000001" customHeight="1">
      <c r="A35" s="4025" t="s">
        <v>1821</v>
      </c>
      <c r="B35" s="4031" t="s">
        <v>1055</v>
      </c>
      <c r="C35" s="4028">
        <v>250</v>
      </c>
      <c r="D35" s="4028">
        <v>250</v>
      </c>
      <c r="E35" s="4028">
        <f>C35+D35</f>
        <v>500</v>
      </c>
      <c r="F35" s="4028">
        <v>250</v>
      </c>
      <c r="G35" s="4028">
        <f>E35+F35</f>
        <v>750</v>
      </c>
      <c r="H35" s="4028">
        <v>250</v>
      </c>
      <c r="I35" s="3998">
        <f t="shared" si="9"/>
        <v>1000</v>
      </c>
    </row>
    <row r="36" spans="1:11" ht="20.100000000000001" customHeight="1">
      <c r="A36" s="4025" t="s">
        <v>1838</v>
      </c>
      <c r="B36" s="4031" t="s">
        <v>1055</v>
      </c>
      <c r="C36" s="4028">
        <v>764.81</v>
      </c>
      <c r="D36" s="4028">
        <v>436.18</v>
      </c>
      <c r="E36" s="4028">
        <f>C36+D36</f>
        <v>1200.99</v>
      </c>
      <c r="F36" s="4028">
        <v>602.66999999999996</v>
      </c>
      <c r="G36" s="4028">
        <f>E36+F36</f>
        <v>1803.6599999999999</v>
      </c>
      <c r="H36" s="4028">
        <v>2179.3000000000002</v>
      </c>
      <c r="I36" s="3998">
        <f t="shared" si="9"/>
        <v>3982.96</v>
      </c>
    </row>
    <row r="37" spans="1:11" ht="20.100000000000001" customHeight="1">
      <c r="A37" s="4025" t="s">
        <v>1839</v>
      </c>
      <c r="B37" s="4031" t="s">
        <v>1055</v>
      </c>
      <c r="C37" s="4035">
        <v>104.4</v>
      </c>
      <c r="D37" s="4035">
        <v>104.4</v>
      </c>
      <c r="E37" s="4035">
        <f>C37+D37</f>
        <v>208.8</v>
      </c>
      <c r="F37" s="4035">
        <v>104.4</v>
      </c>
      <c r="G37" s="4035">
        <f>E37+F37</f>
        <v>313.20000000000005</v>
      </c>
      <c r="H37" s="4035">
        <v>104.4</v>
      </c>
      <c r="I37" s="4002">
        <f t="shared" si="9"/>
        <v>417.6</v>
      </c>
    </row>
    <row r="38" spans="1:11" ht="20.100000000000001" customHeight="1">
      <c r="A38" s="4045" t="s">
        <v>1822</v>
      </c>
      <c r="B38" s="4044" t="s">
        <v>190</v>
      </c>
      <c r="C38" s="4034">
        <f>SUM(C24+C32-C33)</f>
        <v>-1.4789893605211546E-3</v>
      </c>
      <c r="D38" s="4034">
        <f>SUM(D24+D32-D33)</f>
        <v>8.7060359828683431E-4</v>
      </c>
      <c r="E38" s="4034">
        <f t="shared" ref="E38:I38" si="10">SUM(E24+E32-E33)</f>
        <v>-6.0838577655886183E-4</v>
      </c>
      <c r="F38" s="4034">
        <f t="shared" si="10"/>
        <v>-9.333331170182646E-4</v>
      </c>
      <c r="G38" s="4034">
        <f t="shared" si="10"/>
        <v>-1.5417188715218799E-3</v>
      </c>
      <c r="H38" s="4034">
        <f t="shared" si="10"/>
        <v>1.445022409370722E-3</v>
      </c>
      <c r="I38" s="3999">
        <f t="shared" si="10"/>
        <v>-9.6696454420452937E-5</v>
      </c>
      <c r="K38" s="128"/>
    </row>
    <row r="39" spans="1:11" ht="20.100000000000001" customHeight="1">
      <c r="A39" s="4045" t="s">
        <v>1823</v>
      </c>
      <c r="B39" s="4044" t="s">
        <v>190</v>
      </c>
      <c r="C39" s="4034">
        <f>SUM(C38-(C38*20%))</f>
        <v>-1.1831914884169238E-3</v>
      </c>
      <c r="D39" s="4034">
        <f t="shared" ref="D39:I39" si="11">SUM(D38-(D38*20%))</f>
        <v>6.9648287862946747E-4</v>
      </c>
      <c r="E39" s="4034">
        <f t="shared" si="11"/>
        <v>-4.8670862124708945E-4</v>
      </c>
      <c r="F39" s="4034">
        <f t="shared" si="11"/>
        <v>-7.4666649361461164E-4</v>
      </c>
      <c r="G39" s="4034">
        <f t="shared" si="11"/>
        <v>-1.2333750972175039E-3</v>
      </c>
      <c r="H39" s="4034">
        <f t="shared" si="11"/>
        <v>1.1560179274965777E-3</v>
      </c>
      <c r="I39" s="3999">
        <f t="shared" si="11"/>
        <v>-7.7357163536362347E-5</v>
      </c>
    </row>
    <row r="40" spans="1:11" ht="20.100000000000001" customHeight="1">
      <c r="A40" s="4025" t="s">
        <v>1824</v>
      </c>
      <c r="B40" s="4031" t="s">
        <v>44</v>
      </c>
      <c r="C40" s="4028">
        <f t="shared" ref="C40:I40" si="12">C39/C21*100</f>
        <v>-2.2364352006549662E-6</v>
      </c>
      <c r="D40" s="4028">
        <f t="shared" si="12"/>
        <v>1.3562703684773083E-6</v>
      </c>
      <c r="E40" s="4028">
        <f t="shared" si="12"/>
        <v>-4.6683074154738117E-7</v>
      </c>
      <c r="F40" s="4028">
        <f t="shared" si="12"/>
        <v>-1.3980966301924265E-6</v>
      </c>
      <c r="G40" s="4028">
        <f t="shared" si="12"/>
        <v>-7.8228084581162462E-7</v>
      </c>
      <c r="H40" s="4028">
        <f t="shared" si="12"/>
        <v>2.0952419598244893E-6</v>
      </c>
      <c r="I40" s="3998">
        <f t="shared" si="12"/>
        <v>-3.6345652691334648E-8</v>
      </c>
    </row>
    <row r="41" spans="1:11" ht="20.100000000000001" customHeight="1">
      <c r="A41" s="3992" t="s">
        <v>1825</v>
      </c>
      <c r="B41" s="4029" t="s">
        <v>190</v>
      </c>
      <c r="C41" s="4036">
        <f>SUM(C39)</f>
        <v>-1.1831914884169238E-3</v>
      </c>
      <c r="D41" s="4036">
        <f t="shared" ref="D41:I41" si="13">SUM(D39)</f>
        <v>6.9648287862946747E-4</v>
      </c>
      <c r="E41" s="4036">
        <f t="shared" si="13"/>
        <v>-4.8670862124708945E-4</v>
      </c>
      <c r="F41" s="4036">
        <f t="shared" si="13"/>
        <v>-7.4666649361461164E-4</v>
      </c>
      <c r="G41" s="4036">
        <f t="shared" si="13"/>
        <v>-1.2333750972175039E-3</v>
      </c>
      <c r="H41" s="4036">
        <f t="shared" si="13"/>
        <v>1.1560179274965777E-3</v>
      </c>
      <c r="I41" s="4003">
        <f t="shared" si="13"/>
        <v>-7.7357163536362347E-5</v>
      </c>
    </row>
    <row r="42" spans="1:11" ht="48" customHeight="1">
      <c r="A42" s="4037" t="s">
        <v>1826</v>
      </c>
      <c r="B42" s="4031" t="s">
        <v>190</v>
      </c>
      <c r="C42" s="4028">
        <v>0</v>
      </c>
      <c r="D42" s="4028">
        <v>0</v>
      </c>
      <c r="E42" s="4028">
        <v>0</v>
      </c>
      <c r="F42" s="4028">
        <v>0</v>
      </c>
      <c r="G42" s="4028">
        <v>0</v>
      </c>
      <c r="H42" s="4028">
        <v>0</v>
      </c>
      <c r="I42" s="3998">
        <v>0</v>
      </c>
    </row>
    <row r="43" spans="1:11" ht="49.5" customHeight="1">
      <c r="A43" s="4037" t="s">
        <v>1827</v>
      </c>
      <c r="B43" s="4031" t="s">
        <v>190</v>
      </c>
      <c r="C43" s="4028">
        <v>0</v>
      </c>
      <c r="D43" s="4028">
        <v>0</v>
      </c>
      <c r="E43" s="4028">
        <v>0</v>
      </c>
      <c r="F43" s="4028">
        <v>0</v>
      </c>
      <c r="G43" s="4028">
        <v>0</v>
      </c>
      <c r="H43" s="4028">
        <v>0</v>
      </c>
      <c r="I43" s="3998">
        <v>0</v>
      </c>
    </row>
    <row r="44" spans="1:11" ht="49.5" customHeight="1" thickBot="1">
      <c r="A44" s="4004" t="s">
        <v>1828</v>
      </c>
      <c r="B44" s="4005" t="s">
        <v>190</v>
      </c>
      <c r="C44" s="4006">
        <f>SUM(C41-(C42+C43))</f>
        <v>-1.1831914884169238E-3</v>
      </c>
      <c r="D44" s="4006">
        <f t="shared" ref="D44:I44" si="14">SUM(D41-(D42+D43))</f>
        <v>6.9648287862946747E-4</v>
      </c>
      <c r="E44" s="4006">
        <f t="shared" si="14"/>
        <v>-4.8670862124708945E-4</v>
      </c>
      <c r="F44" s="4006">
        <f t="shared" si="14"/>
        <v>-7.4666649361461164E-4</v>
      </c>
      <c r="G44" s="4006">
        <f t="shared" si="14"/>
        <v>-1.2333750972175039E-3</v>
      </c>
      <c r="H44" s="4006">
        <f t="shared" si="14"/>
        <v>1.1560179274965777E-3</v>
      </c>
      <c r="I44" s="4007">
        <f t="shared" si="14"/>
        <v>-7.7357163536362347E-5</v>
      </c>
    </row>
    <row r="45" spans="1:11" ht="15.75">
      <c r="A45" s="4046"/>
      <c r="B45" s="4046"/>
      <c r="C45" s="4046"/>
      <c r="D45" s="4046"/>
      <c r="E45" s="4046"/>
      <c r="F45" s="4046"/>
      <c r="G45" s="4046"/>
      <c r="H45" s="4046"/>
      <c r="I45" s="4046"/>
    </row>
    <row r="46" spans="1:11" ht="15.75">
      <c r="A46" s="3988"/>
      <c r="B46" s="3988"/>
      <c r="C46" s="3988"/>
      <c r="D46" s="3988"/>
      <c r="E46" s="3988"/>
      <c r="F46" s="3988"/>
      <c r="G46" s="3988"/>
      <c r="H46" s="3988"/>
      <c r="I46" s="3988"/>
    </row>
    <row r="47" spans="1:11" ht="18.75">
      <c r="A47" s="4024" t="s">
        <v>1779</v>
      </c>
      <c r="B47" s="4022"/>
      <c r="C47" s="4022"/>
      <c r="D47" s="4022"/>
      <c r="E47" s="4024" t="s">
        <v>1831</v>
      </c>
      <c r="F47" s="3935"/>
      <c r="G47" s="4019"/>
      <c r="H47" s="4019"/>
      <c r="I47" s="4019"/>
    </row>
    <row r="48" spans="1:11" ht="18.75">
      <c r="A48" s="4022"/>
      <c r="B48" s="4022"/>
      <c r="C48" s="4022"/>
      <c r="D48" s="4022"/>
      <c r="E48" s="4022"/>
      <c r="F48" s="3935"/>
      <c r="G48" s="4019"/>
      <c r="H48" s="4019"/>
      <c r="I48" s="4019"/>
    </row>
    <row r="49" spans="1:9" ht="18.75">
      <c r="A49" s="4022" t="s">
        <v>1763</v>
      </c>
      <c r="B49" s="4022"/>
      <c r="C49" s="4022"/>
      <c r="D49" s="4022"/>
      <c r="E49" s="4022" t="s">
        <v>1803</v>
      </c>
      <c r="F49" s="3935"/>
      <c r="G49" s="4019"/>
      <c r="H49" s="4019"/>
      <c r="I49" s="4019"/>
    </row>
    <row r="50" spans="1:9" ht="15">
      <c r="A50" s="4008"/>
      <c r="B50" s="4008"/>
      <c r="C50" s="4008"/>
      <c r="D50" s="4008"/>
      <c r="E50" s="4008"/>
      <c r="F50" s="4008"/>
      <c r="G50" s="4008"/>
      <c r="H50" s="4008"/>
      <c r="I50" s="4008"/>
    </row>
    <row r="51" spans="1:9" ht="15">
      <c r="A51" s="4008"/>
      <c r="B51" s="4008"/>
      <c r="C51" s="4008"/>
      <c r="D51" s="4008"/>
      <c r="E51" s="4008"/>
      <c r="F51" s="4008"/>
      <c r="G51" s="4008"/>
      <c r="H51" s="4008"/>
      <c r="I51" s="4008"/>
    </row>
    <row r="52" spans="1:9" ht="15">
      <c r="A52" s="4008"/>
      <c r="B52" s="4008"/>
      <c r="C52" s="4008"/>
      <c r="D52" s="4008"/>
      <c r="E52" s="4008"/>
      <c r="F52" s="4008"/>
      <c r="G52" s="4008"/>
      <c r="H52" s="4008"/>
      <c r="I52" s="4008"/>
    </row>
    <row r="53" spans="1:9" ht="15">
      <c r="A53" s="4008"/>
      <c r="B53" s="4008"/>
      <c r="C53" s="4008"/>
      <c r="D53" s="4008"/>
      <c r="E53" s="4008"/>
      <c r="F53" s="4008"/>
      <c r="G53" s="4008"/>
      <c r="H53" s="4008"/>
      <c r="I53" s="4008"/>
    </row>
    <row r="54" spans="1:9" ht="15">
      <c r="A54" s="4008"/>
      <c r="B54" s="4008"/>
      <c r="C54" s="4008"/>
      <c r="D54" s="4008"/>
      <c r="E54" s="4008"/>
      <c r="F54" s="4008"/>
      <c r="G54" s="4008"/>
      <c r="H54" s="4008"/>
      <c r="I54" s="4008"/>
    </row>
    <row r="55" spans="1:9" ht="66.75" customHeight="1">
      <c r="A55" s="4355"/>
      <c r="B55" s="4355"/>
      <c r="C55" s="4355"/>
      <c r="D55" s="4355"/>
      <c r="E55" s="4355"/>
      <c r="F55" s="4355"/>
      <c r="G55" s="4355"/>
      <c r="H55" s="4355"/>
      <c r="I55" s="4355"/>
    </row>
    <row r="56" spans="1:9" ht="31.5" customHeight="1">
      <c r="A56" s="4355"/>
      <c r="B56" s="4356"/>
      <c r="C56" s="4356"/>
      <c r="D56" s="4356"/>
      <c r="E56" s="4356"/>
      <c r="F56" s="4356"/>
      <c r="G56" s="4356"/>
      <c r="H56" s="4356"/>
      <c r="I56" s="4356"/>
    </row>
    <row r="57" spans="1:9" ht="15">
      <c r="A57" s="4008"/>
      <c r="B57" s="4008"/>
      <c r="C57" s="4008"/>
      <c r="D57" s="4008"/>
      <c r="E57" s="4008"/>
      <c r="F57" s="4008"/>
      <c r="G57" s="4008"/>
      <c r="H57" s="4008"/>
      <c r="I57" s="4008"/>
    </row>
  </sheetData>
  <mergeCells count="9">
    <mergeCell ref="A12:I12"/>
    <mergeCell ref="A55:I55"/>
    <mergeCell ref="A56:I56"/>
    <mergeCell ref="F1:I1"/>
    <mergeCell ref="F3:I3"/>
    <mergeCell ref="F4:I4"/>
    <mergeCell ref="F5:I5"/>
    <mergeCell ref="F6:I6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458"/>
  <sheetViews>
    <sheetView topLeftCell="A31" zoomScale="73" zoomScaleNormal="73" zoomScalePageLayoutView="90" workbookViewId="0">
      <selection activeCell="T9" sqref="T9"/>
    </sheetView>
  </sheetViews>
  <sheetFormatPr defaultRowHeight="12.75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18" width="11.7109375" customWidth="1"/>
    <col min="19" max="19" width="13.85546875" customWidth="1"/>
  </cols>
  <sheetData>
    <row r="1" spans="1:19" ht="78.75" customHeight="1">
      <c r="P1" s="4357" t="s">
        <v>1793</v>
      </c>
      <c r="Q1" s="4358"/>
      <c r="R1" s="4358"/>
      <c r="S1" s="4358"/>
    </row>
    <row r="2" spans="1:19" ht="12" customHeight="1">
      <c r="P2" s="3965"/>
      <c r="Q2" s="3966"/>
      <c r="R2" s="3966"/>
      <c r="S2" s="3966"/>
    </row>
    <row r="3" spans="1:19" ht="12.75" customHeight="1">
      <c r="P3" s="3965"/>
      <c r="Q3" s="3966"/>
      <c r="R3" s="3966"/>
      <c r="S3" s="3966"/>
    </row>
    <row r="4" spans="1:19" ht="18.75">
      <c r="P4" s="4359" t="s">
        <v>1724</v>
      </c>
      <c r="Q4" s="4359"/>
      <c r="R4" s="4359"/>
      <c r="S4" s="4359"/>
    </row>
    <row r="5" spans="1:19" ht="23.25" customHeight="1">
      <c r="P5" s="4359" t="s">
        <v>1794</v>
      </c>
      <c r="Q5" s="4359"/>
      <c r="R5" s="4359"/>
      <c r="S5" s="4359"/>
    </row>
    <row r="6" spans="1:19" ht="21" customHeight="1">
      <c r="P6" s="4359" t="s">
        <v>1795</v>
      </c>
      <c r="Q6" s="4359"/>
      <c r="R6" s="4358"/>
      <c r="S6" s="4359"/>
    </row>
    <row r="7" spans="1:19" ht="21" customHeight="1">
      <c r="P7" s="4360" t="s">
        <v>1829</v>
      </c>
      <c r="Q7" s="4360"/>
      <c r="R7" s="4360"/>
      <c r="S7" s="4360"/>
    </row>
    <row r="8" spans="1:19" ht="12" customHeight="1">
      <c r="Q8" s="3778"/>
    </row>
    <row r="10" spans="1:19" ht="43.5" customHeight="1">
      <c r="A10" s="4363" t="s">
        <v>1832</v>
      </c>
      <c r="B10" s="4363"/>
      <c r="C10" s="4363"/>
      <c r="D10" s="4363"/>
      <c r="E10" s="4363"/>
      <c r="F10" s="4363"/>
      <c r="G10" s="4363"/>
      <c r="H10" s="4363"/>
      <c r="I10" s="4363"/>
      <c r="J10" s="4363"/>
      <c r="K10" s="4364"/>
      <c r="L10" s="4364"/>
      <c r="M10" s="4364"/>
      <c r="N10" s="4364"/>
      <c r="O10" s="4364"/>
      <c r="P10" s="4364"/>
      <c r="Q10" s="4364"/>
      <c r="R10" s="4365"/>
    </row>
    <row r="11" spans="1:19" ht="16.5" customHeight="1" thickBot="1">
      <c r="A11" s="3928"/>
      <c r="B11" s="3928"/>
      <c r="C11" s="3928"/>
      <c r="D11" s="3928"/>
      <c r="E11" s="3928"/>
      <c r="F11" s="3928"/>
      <c r="G11" s="3928"/>
      <c r="H11" s="3928"/>
      <c r="I11" s="3928"/>
      <c r="J11" s="3928"/>
      <c r="K11" s="3928"/>
      <c r="L11" s="3929"/>
      <c r="M11" s="3929"/>
      <c r="N11" s="3929"/>
      <c r="O11" s="3929"/>
      <c r="P11" s="3929"/>
      <c r="Q11" s="3929"/>
      <c r="R11" s="3929"/>
      <c r="S11" s="3936" t="s">
        <v>1796</v>
      </c>
    </row>
    <row r="12" spans="1:19" ht="18.75" customHeight="1">
      <c r="A12" s="4366" t="s">
        <v>1769</v>
      </c>
      <c r="B12" s="4367"/>
      <c r="C12" s="4367"/>
      <c r="D12" s="4367"/>
      <c r="E12" s="4367"/>
      <c r="F12" s="4367"/>
      <c r="G12" s="4367"/>
      <c r="H12" s="4367"/>
      <c r="I12" s="4367"/>
      <c r="J12" s="4367"/>
      <c r="K12" s="4367"/>
      <c r="L12" s="4368"/>
      <c r="M12" s="4368"/>
      <c r="N12" s="4368"/>
      <c r="O12" s="4368"/>
      <c r="P12" s="4368"/>
      <c r="Q12" s="4368"/>
      <c r="R12" s="4368"/>
      <c r="S12" s="4369"/>
    </row>
    <row r="13" spans="1:19" ht="19.5" customHeight="1">
      <c r="A13" s="4370" t="s">
        <v>546</v>
      </c>
      <c r="B13" s="3967"/>
      <c r="C13" s="3967"/>
      <c r="D13" s="3967"/>
      <c r="E13" s="4371" t="s">
        <v>241</v>
      </c>
      <c r="F13" s="4371"/>
      <c r="G13" s="4371"/>
      <c r="H13" s="4371"/>
      <c r="I13" s="4371"/>
      <c r="J13" s="3968"/>
      <c r="K13" s="3969" t="s">
        <v>378</v>
      </c>
      <c r="L13" s="4372" t="s">
        <v>1797</v>
      </c>
      <c r="M13" s="4373" t="s">
        <v>601</v>
      </c>
      <c r="N13" s="4373" t="s">
        <v>600</v>
      </c>
      <c r="O13" s="4373" t="s">
        <v>599</v>
      </c>
      <c r="P13" s="4373" t="s">
        <v>225</v>
      </c>
      <c r="Q13" s="4373" t="s">
        <v>229</v>
      </c>
      <c r="R13" s="4373" t="s">
        <v>1798</v>
      </c>
      <c r="S13" s="4374" t="s">
        <v>1799</v>
      </c>
    </row>
    <row r="14" spans="1:19" ht="41.25" customHeight="1">
      <c r="A14" s="4370"/>
      <c r="B14" s="3967"/>
      <c r="C14" s="3967"/>
      <c r="D14" s="3967"/>
      <c r="E14" s="3970" t="s">
        <v>531</v>
      </c>
      <c r="F14" s="3970" t="s">
        <v>161</v>
      </c>
      <c r="G14" s="3970" t="s">
        <v>532</v>
      </c>
      <c r="H14" s="3970" t="s">
        <v>533</v>
      </c>
      <c r="I14" s="3970" t="s">
        <v>534</v>
      </c>
      <c r="J14" s="3968"/>
      <c r="K14" s="3970" t="s">
        <v>531</v>
      </c>
      <c r="L14" s="4372"/>
      <c r="M14" s="4373"/>
      <c r="N14" s="4373"/>
      <c r="O14" s="4373"/>
      <c r="P14" s="4373"/>
      <c r="Q14" s="4373"/>
      <c r="R14" s="4373"/>
      <c r="S14" s="4374"/>
    </row>
    <row r="15" spans="1:19" ht="18.75" customHeight="1">
      <c r="A15" s="3938" t="s">
        <v>1777</v>
      </c>
      <c r="B15" s="3971"/>
      <c r="C15" s="3971"/>
      <c r="D15" s="3971"/>
      <c r="E15" s="3972">
        <v>3600</v>
      </c>
      <c r="F15" s="3973" t="e">
        <f>E15/#REF!*100</f>
        <v>#REF!</v>
      </c>
      <c r="G15" s="3972" t="e">
        <f>SUM(G16:G18)</f>
        <v>#REF!</v>
      </c>
      <c r="H15" s="3972">
        <f>SUM(H16:H18)</f>
        <v>1764.1999999999998</v>
      </c>
      <c r="I15" s="3972">
        <f>SUM(I16:I18)</f>
        <v>2589</v>
      </c>
      <c r="J15" s="3974"/>
      <c r="K15" s="3972">
        <f>SUM(K16:K18)</f>
        <v>3644.7</v>
      </c>
      <c r="L15" s="3975" t="s">
        <v>1800</v>
      </c>
      <c r="M15" s="3941">
        <f>SUM('Произв. прогр. Стоки (СВОД)'!H13)</f>
        <v>842.11205000000007</v>
      </c>
      <c r="N15" s="3941">
        <f>SUM('Произв. прогр. Стоки (СВОД)'!L13)</f>
        <v>813.07892499999991</v>
      </c>
      <c r="O15" s="3941">
        <f>SUM(M15+N15)</f>
        <v>1655.190975</v>
      </c>
      <c r="P15" s="3941">
        <f>SUM('Произв. прогр. Стоки (СВОД)'!Q13)</f>
        <v>795.60422499999993</v>
      </c>
      <c r="Q15" s="3941">
        <f>SUM(O15+P15)</f>
        <v>2450.7952</v>
      </c>
      <c r="R15" s="3941">
        <f>SUM('Произв. прогр. Стоки (СВОД)'!V13)</f>
        <v>844.95480000000009</v>
      </c>
      <c r="S15" s="3942">
        <f>SUM(Q15+R15)</f>
        <v>3295.75</v>
      </c>
    </row>
    <row r="16" spans="1:19" ht="18.75" customHeight="1">
      <c r="A16" s="3943" t="s">
        <v>264</v>
      </c>
      <c r="B16" s="3971"/>
      <c r="C16" s="3971"/>
      <c r="D16" s="3971"/>
      <c r="E16" s="3976">
        <v>2600</v>
      </c>
      <c r="F16" s="3977" t="e">
        <f>E16/#REF!*100</f>
        <v>#REF!</v>
      </c>
      <c r="G16" s="3976">
        <f>E16</f>
        <v>2600</v>
      </c>
      <c r="H16" s="3976">
        <v>1250.8</v>
      </c>
      <c r="I16" s="3978">
        <v>1837.1</v>
      </c>
      <c r="J16" s="3978"/>
      <c r="K16" s="3976">
        <v>2600</v>
      </c>
      <c r="L16" s="3979" t="s">
        <v>1800</v>
      </c>
      <c r="M16" s="3945">
        <f>SUM('Произв. прогр. Стоки (СВОД)'!H14)</f>
        <v>589.71999999999991</v>
      </c>
      <c r="N16" s="3945">
        <f>SUM('Произв. прогр. Стоки (СВОД)'!L14)</f>
        <v>563.95999999999992</v>
      </c>
      <c r="O16" s="3945">
        <f>SUM(M16+N16)</f>
        <v>1153.6799999999998</v>
      </c>
      <c r="P16" s="3945">
        <f>SUM('Произв. прогр. Стоки (СВОД)'!Q14)</f>
        <v>557.05999999999995</v>
      </c>
      <c r="Q16" s="3945">
        <f>SUM(O16+P16)</f>
        <v>1710.7399999999998</v>
      </c>
      <c r="R16" s="3945">
        <f>SUM('Произв. прогр. Стоки (СВОД)'!V14)</f>
        <v>589.26</v>
      </c>
      <c r="S16" s="3948">
        <f t="shared" ref="S16" si="0">SUM(Q16+R16)</f>
        <v>2300</v>
      </c>
    </row>
    <row r="17" spans="1:19" ht="18.75" customHeight="1">
      <c r="A17" s="3943" t="s">
        <v>1773</v>
      </c>
      <c r="B17" s="3971"/>
      <c r="C17" s="3971"/>
      <c r="D17" s="3971"/>
      <c r="E17" s="3976"/>
      <c r="F17" s="3977"/>
      <c r="G17" s="3976"/>
      <c r="H17" s="3976"/>
      <c r="I17" s="3978"/>
      <c r="J17" s="3978"/>
      <c r="K17" s="3976"/>
      <c r="L17" s="3979" t="s">
        <v>1800</v>
      </c>
      <c r="M17" s="3945">
        <f>SUM('Произв. прогр. Стоки (СВОД)'!H15)</f>
        <v>5.8971999999999998</v>
      </c>
      <c r="N17" s="3945">
        <f>SUM('Произв. прогр. Стоки (СВОД)'!L15)</f>
        <v>5.6395999999999997</v>
      </c>
      <c r="O17" s="3945">
        <f t="shared" ref="O17:O18" si="1">SUM(M17+N17)</f>
        <v>11.536799999999999</v>
      </c>
      <c r="P17" s="3945">
        <f>SUM('Произв. прогр. Стоки (СВОД)'!Q15)</f>
        <v>5.5705999999999998</v>
      </c>
      <c r="Q17" s="3945">
        <f t="shared" ref="Q17:Q18" si="2">SUM(O17+P17)</f>
        <v>17.107399999999998</v>
      </c>
      <c r="R17" s="3945">
        <f>SUM('Произв. прогр. Стоки (СВОД)'!V15)</f>
        <v>5.8925999999999989</v>
      </c>
      <c r="S17" s="3948">
        <f t="shared" ref="S17:S18" si="3">SUM(Q17+R17)</f>
        <v>22.999999999999996</v>
      </c>
    </row>
    <row r="18" spans="1:19" ht="18.75" customHeight="1">
      <c r="A18" s="3943" t="s">
        <v>1774</v>
      </c>
      <c r="B18" s="3971"/>
      <c r="C18" s="3971"/>
      <c r="D18" s="3971"/>
      <c r="E18" s="3976">
        <v>972</v>
      </c>
      <c r="F18" s="3977" t="e">
        <f>E18/#REF!*100</f>
        <v>#REF!</v>
      </c>
      <c r="G18" s="3976" t="e">
        <f>#REF!+2.4</f>
        <v>#REF!</v>
      </c>
      <c r="H18" s="3976">
        <v>513.4</v>
      </c>
      <c r="I18" s="3978">
        <v>751.9</v>
      </c>
      <c r="J18" s="3978"/>
      <c r="K18" s="3976">
        <v>1044.7</v>
      </c>
      <c r="L18" s="3979" t="s">
        <v>1800</v>
      </c>
      <c r="M18" s="3945">
        <f>SUM('Произв. прогр. Стоки (СВОД)'!H16)</f>
        <v>246.49485000000001</v>
      </c>
      <c r="N18" s="3945">
        <f>SUM('Произв. прогр. Стоки (СВОД)'!L16)</f>
        <v>243.47932499999996</v>
      </c>
      <c r="O18" s="3945">
        <f t="shared" si="1"/>
        <v>489.97417499999995</v>
      </c>
      <c r="P18" s="3945">
        <f>SUM('Произв. прогр. Стоки (СВОД)'!Q16)</f>
        <v>232.973625</v>
      </c>
      <c r="Q18" s="3945">
        <f t="shared" si="2"/>
        <v>722.94779999999992</v>
      </c>
      <c r="R18" s="3945">
        <f>SUM('Произв. прогр. Стоки (СВОД)'!V16)</f>
        <v>249.80220000000003</v>
      </c>
      <c r="S18" s="3948">
        <f t="shared" si="3"/>
        <v>972.75</v>
      </c>
    </row>
    <row r="19" spans="1:19" ht="18.75" customHeight="1">
      <c r="A19" s="4375" t="s">
        <v>1741</v>
      </c>
      <c r="B19" s="4376"/>
      <c r="C19" s="4376"/>
      <c r="D19" s="4376"/>
      <c r="E19" s="4376"/>
      <c r="F19" s="4376"/>
      <c r="G19" s="4376"/>
      <c r="H19" s="4376"/>
      <c r="I19" s="4376"/>
      <c r="J19" s="4376"/>
      <c r="K19" s="4376"/>
      <c r="L19" s="4377"/>
      <c r="M19" s="4377"/>
      <c r="N19" s="4377"/>
      <c r="O19" s="4377"/>
      <c r="P19" s="4377"/>
      <c r="Q19" s="4377"/>
      <c r="R19" s="4377"/>
      <c r="S19" s="4378"/>
    </row>
    <row r="20" spans="1:19" ht="19.5" customHeight="1">
      <c r="A20" s="4370" t="s">
        <v>546</v>
      </c>
      <c r="B20" s="3967"/>
      <c r="C20" s="3967"/>
      <c r="D20" s="3967"/>
      <c r="E20" s="4371" t="s">
        <v>241</v>
      </c>
      <c r="F20" s="4371"/>
      <c r="G20" s="4371"/>
      <c r="H20" s="4371"/>
      <c r="I20" s="4371"/>
      <c r="J20" s="3968"/>
      <c r="K20" s="3969" t="s">
        <v>378</v>
      </c>
      <c r="L20" s="4373" t="s">
        <v>1797</v>
      </c>
      <c r="M20" s="4373" t="s">
        <v>601</v>
      </c>
      <c r="N20" s="4373" t="s">
        <v>600</v>
      </c>
      <c r="O20" s="4373" t="s">
        <v>599</v>
      </c>
      <c r="P20" s="4373" t="s">
        <v>225</v>
      </c>
      <c r="Q20" s="4373" t="s">
        <v>229</v>
      </c>
      <c r="R20" s="4373" t="s">
        <v>135</v>
      </c>
      <c r="S20" s="4374" t="s">
        <v>1799</v>
      </c>
    </row>
    <row r="21" spans="1:19" ht="41.25" customHeight="1">
      <c r="A21" s="4370"/>
      <c r="B21" s="3967"/>
      <c r="C21" s="3967"/>
      <c r="D21" s="3967"/>
      <c r="E21" s="3970" t="s">
        <v>531</v>
      </c>
      <c r="F21" s="3970" t="s">
        <v>161</v>
      </c>
      <c r="G21" s="3970" t="s">
        <v>532</v>
      </c>
      <c r="H21" s="3970" t="s">
        <v>533</v>
      </c>
      <c r="I21" s="3970" t="s">
        <v>534</v>
      </c>
      <c r="J21" s="3968"/>
      <c r="K21" s="3970" t="s">
        <v>531</v>
      </c>
      <c r="L21" s="4373"/>
      <c r="M21" s="4373"/>
      <c r="N21" s="4373"/>
      <c r="O21" s="4373"/>
      <c r="P21" s="4373"/>
      <c r="Q21" s="4373"/>
      <c r="R21" s="4373"/>
      <c r="S21" s="4374"/>
    </row>
    <row r="22" spans="1:19" ht="18.75" customHeight="1">
      <c r="A22" s="3943" t="s">
        <v>1</v>
      </c>
      <c r="B22" s="3955"/>
      <c r="C22" s="3955"/>
      <c r="D22" s="3955"/>
      <c r="E22" s="3955"/>
      <c r="F22" s="3955"/>
      <c r="G22" s="3955"/>
      <c r="H22" s="3955"/>
      <c r="I22" s="3955"/>
      <c r="J22" s="3955"/>
      <c r="K22" s="3955"/>
      <c r="L22" s="3980" t="s">
        <v>919</v>
      </c>
      <c r="M22" s="3945">
        <f>SUM('Произв. прогр. Стоки (СВОД)'!H34)</f>
        <v>1861.1244274645769</v>
      </c>
      <c r="N22" s="3945">
        <f>SUM('Произв. прогр. Стоки (СВОД)'!L34)</f>
        <v>1796.9592630507286</v>
      </c>
      <c r="O22" s="3945">
        <f t="shared" ref="O22" si="4">SUM(M22+N22)</f>
        <v>3658.0836905153055</v>
      </c>
      <c r="P22" s="3945">
        <f>SUM('Произв. прогр. Стоки (СВОД)'!Q34)</f>
        <v>1880.8397994387026</v>
      </c>
      <c r="Q22" s="3945">
        <f t="shared" ref="Q22" si="5">SUM(O22+P22)</f>
        <v>5538.9234899540079</v>
      </c>
      <c r="R22" s="3945">
        <f>SUM('Произв. прогр. Стоки (СВОД)'!V34)</f>
        <v>1997.5065071666374</v>
      </c>
      <c r="S22" s="3948">
        <f t="shared" ref="S22:S50" si="6">SUM(Q22+R22)</f>
        <v>7536.4299971206456</v>
      </c>
    </row>
    <row r="23" spans="1:19" ht="18.75" customHeight="1">
      <c r="A23" s="3943" t="s">
        <v>2</v>
      </c>
      <c r="B23" s="3955"/>
      <c r="C23" s="3955"/>
      <c r="D23" s="3955"/>
      <c r="E23" s="3955"/>
      <c r="F23" s="3955"/>
      <c r="G23" s="3955"/>
      <c r="H23" s="3955"/>
      <c r="I23" s="3955"/>
      <c r="J23" s="3955"/>
      <c r="K23" s="3955"/>
      <c r="L23" s="3980" t="s">
        <v>919</v>
      </c>
      <c r="M23" s="3945">
        <f>SUM('Произв. прогр. Стоки (СВОД)'!H35)</f>
        <v>1295.1774999999998</v>
      </c>
      <c r="N23" s="3945">
        <f>SUM('Произв. прогр. Стоки (СВОД)'!L35)</f>
        <v>1295.1774999999998</v>
      </c>
      <c r="O23" s="3945">
        <f t="shared" ref="O23:O45" si="7">SUM(M23+N23)</f>
        <v>2590.3549999999996</v>
      </c>
      <c r="P23" s="3945">
        <f>SUM('Произв. прогр. Стоки (СВОД)'!Q35)</f>
        <v>1295.1774999999998</v>
      </c>
      <c r="Q23" s="3945">
        <f t="shared" ref="Q23:Q45" si="8">SUM(O23+P23)</f>
        <v>3885.5324999999993</v>
      </c>
      <c r="R23" s="3945">
        <f>SUM('Произв. прогр. Стоки (СВОД)'!V35)</f>
        <v>1295.1774999999998</v>
      </c>
      <c r="S23" s="3948">
        <f t="shared" ref="S23:S45" si="9">SUM(Q23+R23)</f>
        <v>5180.7099999999991</v>
      </c>
    </row>
    <row r="24" spans="1:19" ht="18.75" customHeight="1">
      <c r="A24" s="3943" t="s">
        <v>219</v>
      </c>
      <c r="B24" s="3955"/>
      <c r="C24" s="3955"/>
      <c r="D24" s="3955"/>
      <c r="E24" s="3955"/>
      <c r="F24" s="3955"/>
      <c r="G24" s="3955"/>
      <c r="H24" s="3955"/>
      <c r="I24" s="3955"/>
      <c r="J24" s="3955"/>
      <c r="K24" s="3955"/>
      <c r="L24" s="3980" t="s">
        <v>919</v>
      </c>
      <c r="M24" s="3945">
        <f>SUM('Произв. прогр. Стоки (СВОД)'!H36)</f>
        <v>0</v>
      </c>
      <c r="N24" s="3945">
        <f>SUM('Произв. прогр. Стоки (СВОД)'!L36)</f>
        <v>0</v>
      </c>
      <c r="O24" s="3945">
        <f t="shared" si="7"/>
        <v>0</v>
      </c>
      <c r="P24" s="3945">
        <f>SUM('Произв. прогр. Стоки (СВОД)'!Q36)</f>
        <v>0</v>
      </c>
      <c r="Q24" s="3945">
        <f t="shared" si="8"/>
        <v>0</v>
      </c>
      <c r="R24" s="3945">
        <f>SUM('Произв. прогр. Стоки (СВОД)'!V36)</f>
        <v>0</v>
      </c>
      <c r="S24" s="3948">
        <f t="shared" si="9"/>
        <v>0</v>
      </c>
    </row>
    <row r="25" spans="1:19" ht="18.75" customHeight="1">
      <c r="A25" s="3943" t="s">
        <v>8</v>
      </c>
      <c r="B25" s="3955"/>
      <c r="C25" s="3955"/>
      <c r="D25" s="3955"/>
      <c r="E25" s="3955"/>
      <c r="F25" s="3955"/>
      <c r="G25" s="3955"/>
      <c r="H25" s="3955"/>
      <c r="I25" s="3955"/>
      <c r="J25" s="3955"/>
      <c r="K25" s="3955"/>
      <c r="L25" s="3980" t="s">
        <v>919</v>
      </c>
      <c r="M25" s="3945">
        <f>SUM('Произв. прогр. Стоки (СВОД)'!H37)</f>
        <v>77.502312246440368</v>
      </c>
      <c r="N25" s="3945">
        <f>SUM('Произв. прогр. Стоки (СВОД)'!L37)</f>
        <v>77.502312246440368</v>
      </c>
      <c r="O25" s="3945">
        <f t="shared" si="7"/>
        <v>155.00462449288074</v>
      </c>
      <c r="P25" s="3945">
        <f>SUM('Произв. прогр. Стоки (СВОД)'!Q37)</f>
        <v>77.502312246440368</v>
      </c>
      <c r="Q25" s="3945">
        <f t="shared" si="8"/>
        <v>232.50693673932111</v>
      </c>
      <c r="R25" s="3945">
        <f>SUM('Произв. прогр. Стоки (СВОД)'!V37)</f>
        <v>77.502312246440368</v>
      </c>
      <c r="S25" s="3948">
        <f t="shared" si="9"/>
        <v>310.00924898576147</v>
      </c>
    </row>
    <row r="26" spans="1:19" ht="18.75" customHeight="1">
      <c r="A26" s="3943" t="s">
        <v>3</v>
      </c>
      <c r="B26" s="3955"/>
      <c r="C26" s="3955"/>
      <c r="D26" s="3955"/>
      <c r="E26" s="3955"/>
      <c r="F26" s="3955"/>
      <c r="G26" s="3955"/>
      <c r="H26" s="3955"/>
      <c r="I26" s="3955"/>
      <c r="J26" s="3955"/>
      <c r="K26" s="3955"/>
      <c r="L26" s="3980" t="s">
        <v>919</v>
      </c>
      <c r="M26" s="3945">
        <f>SUM('Произв. прогр. Стоки (СВОД)'!H38)</f>
        <v>79.859865698389825</v>
      </c>
      <c r="N26" s="3945">
        <f>SUM('Произв. прогр. Стоки (СВОД)'!L38)</f>
        <v>79.859865698389825</v>
      </c>
      <c r="O26" s="3945">
        <f t="shared" si="7"/>
        <v>159.71973139677965</v>
      </c>
      <c r="P26" s="3945">
        <f>SUM('Произв. прогр. Стоки (СВОД)'!Q38)</f>
        <v>79.859865698389825</v>
      </c>
      <c r="Q26" s="3945">
        <f t="shared" si="8"/>
        <v>239.57959709516948</v>
      </c>
      <c r="R26" s="3945">
        <f>SUM('Произв. прогр. Стоки (СВОД)'!V38)</f>
        <v>79.859865698389825</v>
      </c>
      <c r="S26" s="3948">
        <f t="shared" si="9"/>
        <v>319.4394627935593</v>
      </c>
    </row>
    <row r="27" spans="1:19" ht="18.75" customHeight="1">
      <c r="A27" s="3943" t="s">
        <v>4</v>
      </c>
      <c r="B27" s="3955"/>
      <c r="C27" s="3955"/>
      <c r="D27" s="3955"/>
      <c r="E27" s="3955"/>
      <c r="F27" s="3955"/>
      <c r="G27" s="3955"/>
      <c r="H27" s="3955"/>
      <c r="I27" s="3955"/>
      <c r="J27" s="3955"/>
      <c r="K27" s="3955"/>
      <c r="L27" s="3980" t="s">
        <v>919</v>
      </c>
      <c r="M27" s="3945">
        <f>SUM('Произв. прогр. Стоки (СВОД)'!H39)</f>
        <v>8303.10561657992</v>
      </c>
      <c r="N27" s="3945">
        <f>SUM('Произв. прогр. Стоки (СВОД)'!L39)</f>
        <v>8303.10561657992</v>
      </c>
      <c r="O27" s="3945">
        <f t="shared" si="7"/>
        <v>16606.21123315984</v>
      </c>
      <c r="P27" s="3945">
        <f>SUM('Произв. прогр. Стоки (СВОД)'!Q39)</f>
        <v>8803.7828852596904</v>
      </c>
      <c r="Q27" s="3945">
        <f t="shared" si="8"/>
        <v>25409.99411841953</v>
      </c>
      <c r="R27" s="3945">
        <f>SUM('Произв. прогр. Стоки (СВОД)'!V39)</f>
        <v>8803.7828852596904</v>
      </c>
      <c r="S27" s="3948">
        <f t="shared" si="9"/>
        <v>34213.777003679221</v>
      </c>
    </row>
    <row r="28" spans="1:19" ht="18.75" customHeight="1">
      <c r="A28" s="3943" t="s">
        <v>121</v>
      </c>
      <c r="B28" s="3955"/>
      <c r="C28" s="3955"/>
      <c r="D28" s="3955"/>
      <c r="E28" s="3955"/>
      <c r="F28" s="3955"/>
      <c r="G28" s="3955"/>
      <c r="H28" s="3955"/>
      <c r="I28" s="3955"/>
      <c r="J28" s="3955"/>
      <c r="K28" s="3955"/>
      <c r="L28" s="3980" t="s">
        <v>919</v>
      </c>
      <c r="M28" s="3945">
        <f>SUM('Произв. прогр. Стоки (СВОД)'!H40)</f>
        <v>2492.4302708403047</v>
      </c>
      <c r="N28" s="3945">
        <f>SUM('Произв. прогр. Стоки (СВОД)'!L40)</f>
        <v>2492.4302708403047</v>
      </c>
      <c r="O28" s="3945">
        <f t="shared" si="7"/>
        <v>4984.8605416806095</v>
      </c>
      <c r="P28" s="3945">
        <f>SUM('Произв. прогр. Стоки (СВОД)'!Q40)</f>
        <v>2642.7238161719752</v>
      </c>
      <c r="Q28" s="3945">
        <f t="shared" si="8"/>
        <v>7627.5843578525846</v>
      </c>
      <c r="R28" s="3945">
        <f>SUM('Произв. прогр. Стоки (СВОД)'!V40)</f>
        <v>2642.7238161719752</v>
      </c>
      <c r="S28" s="3948">
        <f t="shared" si="9"/>
        <v>10270.30817402456</v>
      </c>
    </row>
    <row r="29" spans="1:19" ht="18.75" customHeight="1">
      <c r="A29" s="3946" t="s">
        <v>322</v>
      </c>
      <c r="B29" s="3955"/>
      <c r="C29" s="3955"/>
      <c r="D29" s="3955"/>
      <c r="E29" s="3955"/>
      <c r="F29" s="3955"/>
      <c r="G29" s="3955"/>
      <c r="H29" s="3955"/>
      <c r="I29" s="3955"/>
      <c r="J29" s="3955"/>
      <c r="K29" s="3955"/>
      <c r="L29" s="3980" t="s">
        <v>44</v>
      </c>
      <c r="M29" s="3947">
        <f>SUM('Произв. прогр. Стоки (СВОД)'!H41)</f>
        <v>0.30018048498182853</v>
      </c>
      <c r="N29" s="3947">
        <f>SUM('Произв. прогр. Стоки (СВОД)'!L41)</f>
        <v>0.30018048498182853</v>
      </c>
      <c r="O29" s="3947">
        <f>SUM(O28/O27)</f>
        <v>0.30018048498182853</v>
      </c>
      <c r="P29" s="3947">
        <f>SUM('Произв. прогр. Стоки (СВОД)'!Q41)</f>
        <v>0.30018048498182848</v>
      </c>
      <c r="Q29" s="3947">
        <f>SUM(Q28/Q27)</f>
        <v>0.30018048498182853</v>
      </c>
      <c r="R29" s="3947">
        <f>SUM('Произв. прогр. Стоки (СВОД)'!V41)</f>
        <v>0.30018048498182848</v>
      </c>
      <c r="S29" s="3954">
        <f>SUM(S28/S27)</f>
        <v>0.30018048498182848</v>
      </c>
    </row>
    <row r="30" spans="1:19" ht="18.75" customHeight="1">
      <c r="A30" s="3951" t="s">
        <v>1765</v>
      </c>
      <c r="B30" s="3955"/>
      <c r="C30" s="3955"/>
      <c r="D30" s="3955"/>
      <c r="E30" s="3955"/>
      <c r="F30" s="3955"/>
      <c r="G30" s="3955"/>
      <c r="H30" s="3955"/>
      <c r="I30" s="3955"/>
      <c r="J30" s="3955"/>
      <c r="K30" s="3955"/>
      <c r="L30" s="3980" t="s">
        <v>919</v>
      </c>
      <c r="M30" s="3945">
        <f>SUM('Произв. прогр. Стоки (СВОД)'!H42)</f>
        <v>2776.1337717952529</v>
      </c>
      <c r="N30" s="3945">
        <f>SUM('Произв. прогр. Стоки (СВОД)'!L42)</f>
        <v>2662.4424185277858</v>
      </c>
      <c r="O30" s="3945">
        <f t="shared" si="7"/>
        <v>5438.5761903230386</v>
      </c>
      <c r="P30" s="3945">
        <f>SUM('Произв. прогр. Стоки (СВОД)'!Q42)</f>
        <v>2742.0582691237878</v>
      </c>
      <c r="Q30" s="3945">
        <f t="shared" si="8"/>
        <v>8180.6344594468264</v>
      </c>
      <c r="R30" s="3945">
        <f>SUM('Произв. прогр. Стоки (СВОД)'!V42)</f>
        <v>2858.8838720837971</v>
      </c>
      <c r="S30" s="3948">
        <f t="shared" si="9"/>
        <v>11039.518331530624</v>
      </c>
    </row>
    <row r="31" spans="1:19" ht="18.75" customHeight="1">
      <c r="A31" s="3952" t="s">
        <v>1766</v>
      </c>
      <c r="B31" s="3981"/>
      <c r="C31" s="3981"/>
      <c r="D31" s="3981"/>
      <c r="E31" s="3981"/>
      <c r="F31" s="3981"/>
      <c r="G31" s="3981"/>
      <c r="H31" s="3981"/>
      <c r="I31" s="3981"/>
      <c r="J31" s="3981"/>
      <c r="K31" s="3981"/>
      <c r="L31" s="3980" t="s">
        <v>919</v>
      </c>
      <c r="M31" s="3949">
        <f>SUM('Произв. прогр. Стоки (СВОД)'!H43)</f>
        <v>1305.0234559053677</v>
      </c>
      <c r="N31" s="3949">
        <f>SUM('Произв. прогр. Стоки (СВОД)'!L43)</f>
        <v>1305.0234559053677</v>
      </c>
      <c r="O31" s="3949">
        <f t="shared" si="7"/>
        <v>2610.0469118107353</v>
      </c>
      <c r="P31" s="3949">
        <f>SUM('Произв. прогр. Стоки (СВОД)'!Q43)</f>
        <v>1383.7163702964615</v>
      </c>
      <c r="Q31" s="3949">
        <f t="shared" si="8"/>
        <v>3993.7632821071966</v>
      </c>
      <c r="R31" s="3949">
        <f>SUM('Произв. прогр. Стоки (СВОД)'!V43)</f>
        <v>1383.7163702964615</v>
      </c>
      <c r="S31" s="3950">
        <f t="shared" si="9"/>
        <v>5377.4796524036583</v>
      </c>
    </row>
    <row r="32" spans="1:19" ht="18.75" customHeight="1">
      <c r="A32" s="3952" t="s">
        <v>1767</v>
      </c>
      <c r="B32" s="3981"/>
      <c r="C32" s="3981"/>
      <c r="D32" s="3981"/>
      <c r="E32" s="3981"/>
      <c r="F32" s="3981"/>
      <c r="G32" s="3981"/>
      <c r="H32" s="3981"/>
      <c r="I32" s="3981"/>
      <c r="J32" s="3981"/>
      <c r="K32" s="3981"/>
      <c r="L32" s="3980" t="s">
        <v>919</v>
      </c>
      <c r="M32" s="3949">
        <f>SUM('Произв. прогр. Стоки (СВОД)'!H44)</f>
        <v>391.5558797089937</v>
      </c>
      <c r="N32" s="3949">
        <f>SUM('Произв. прогр. Стоки (СВОД)'!L44)</f>
        <v>391.5558797089937</v>
      </c>
      <c r="O32" s="3949">
        <f t="shared" si="7"/>
        <v>783.1117594179874</v>
      </c>
      <c r="P32" s="3949">
        <f>SUM('Произв. прогр. Стоки (СВОД)'!Q44)</f>
        <v>415.16669925544602</v>
      </c>
      <c r="Q32" s="3949">
        <f t="shared" si="8"/>
        <v>1198.2784586734333</v>
      </c>
      <c r="R32" s="3949">
        <f>SUM('Произв. прогр. Стоки (СВОД)'!V44)</f>
        <v>415.16669925544602</v>
      </c>
      <c r="S32" s="3950">
        <f t="shared" si="9"/>
        <v>1613.4451579288793</v>
      </c>
    </row>
    <row r="33" spans="1:19" ht="18.75" customHeight="1">
      <c r="A33" s="3952" t="s">
        <v>300</v>
      </c>
      <c r="B33" s="3981"/>
      <c r="C33" s="3981"/>
      <c r="D33" s="3981"/>
      <c r="E33" s="3981"/>
      <c r="F33" s="3981"/>
      <c r="G33" s="3981"/>
      <c r="H33" s="3981"/>
      <c r="I33" s="3981"/>
      <c r="J33" s="3981"/>
      <c r="K33" s="3981"/>
      <c r="L33" s="3980" t="s">
        <v>919</v>
      </c>
      <c r="M33" s="3949">
        <f>SUM('Произв. прогр. Стоки (СВОД)'!H45)</f>
        <v>1079.5544361808916</v>
      </c>
      <c r="N33" s="3949">
        <f>SUM('Произв. прогр. Стоки (СВОД)'!L45)</f>
        <v>965.8630829134238</v>
      </c>
      <c r="O33" s="3949">
        <f t="shared" si="7"/>
        <v>2045.4175190943154</v>
      </c>
      <c r="P33" s="3949">
        <f>SUM('Произв. прогр. Стоки (СВОД)'!Q45)</f>
        <v>943.17519957188028</v>
      </c>
      <c r="Q33" s="3949">
        <f t="shared" si="8"/>
        <v>2988.5927186661957</v>
      </c>
      <c r="R33" s="3949">
        <f>SUM('Произв. прогр. Стоки (СВОД)'!V45)</f>
        <v>1060.0008025318898</v>
      </c>
      <c r="S33" s="3950">
        <f t="shared" si="9"/>
        <v>4048.5935211980855</v>
      </c>
    </row>
    <row r="34" spans="1:19" ht="18.75" customHeight="1">
      <c r="A34" s="3951" t="s">
        <v>1744</v>
      </c>
      <c r="B34" s="3982"/>
      <c r="C34" s="3982"/>
      <c r="D34" s="3982"/>
      <c r="E34" s="3982"/>
      <c r="F34" s="3982"/>
      <c r="G34" s="3982"/>
      <c r="H34" s="3982"/>
      <c r="I34" s="3982"/>
      <c r="J34" s="3982"/>
      <c r="K34" s="3982"/>
      <c r="L34" s="3980" t="s">
        <v>919</v>
      </c>
      <c r="M34" s="3945">
        <f>SUM('Произв. прогр. Стоки (СВОД)'!H46)</f>
        <v>448.51</v>
      </c>
      <c r="N34" s="3945">
        <f>SUM('Произв. прогр. Стоки (СВОД)'!L46)</f>
        <v>448.51</v>
      </c>
      <c r="O34" s="3945">
        <f t="shared" si="7"/>
        <v>897.02</v>
      </c>
      <c r="P34" s="3945">
        <f>SUM('Произв. прогр. Стоки (СВОД)'!Q46)</f>
        <v>448.51</v>
      </c>
      <c r="Q34" s="3945">
        <f t="shared" si="8"/>
        <v>1345.53</v>
      </c>
      <c r="R34" s="3945">
        <f>SUM('Произв. прогр. Стоки (СВОД)'!V46)</f>
        <v>448.51</v>
      </c>
      <c r="S34" s="3948">
        <f t="shared" si="9"/>
        <v>1794.04</v>
      </c>
    </row>
    <row r="35" spans="1:19" ht="18.75" customHeight="1">
      <c r="A35" s="3946" t="s">
        <v>1776</v>
      </c>
      <c r="B35" s="3982"/>
      <c r="C35" s="3982"/>
      <c r="D35" s="3982"/>
      <c r="E35" s="3982"/>
      <c r="F35" s="3982"/>
      <c r="G35" s="3982"/>
      <c r="H35" s="3982"/>
      <c r="I35" s="3982"/>
      <c r="J35" s="3982"/>
      <c r="K35" s="3982"/>
      <c r="L35" s="3980" t="s">
        <v>919</v>
      </c>
      <c r="M35" s="3949">
        <f>SUM('Произв. прогр. Стоки (СВОД)'!H47)</f>
        <v>87.077500000000001</v>
      </c>
      <c r="N35" s="3949">
        <f>SUM('Произв. прогр. Стоки (СВОД)'!L47)</f>
        <v>87.077500000000001</v>
      </c>
      <c r="O35" s="3949">
        <f t="shared" si="7"/>
        <v>174.155</v>
      </c>
      <c r="P35" s="3949">
        <f>SUM('Произв. прогр. Стоки (СВОД)'!Q47)</f>
        <v>87.077500000000001</v>
      </c>
      <c r="Q35" s="3949">
        <f t="shared" si="8"/>
        <v>261.23250000000002</v>
      </c>
      <c r="R35" s="3949">
        <f>SUM('Произв. прогр. Стоки (СВОД)'!V47)</f>
        <v>87.077500000000001</v>
      </c>
      <c r="S35" s="3950">
        <f t="shared" si="9"/>
        <v>348.31</v>
      </c>
    </row>
    <row r="36" spans="1:19" ht="18.75" customHeight="1">
      <c r="A36" s="3946" t="s">
        <v>543</v>
      </c>
      <c r="B36" s="3982"/>
      <c r="C36" s="3982"/>
      <c r="D36" s="3982"/>
      <c r="E36" s="3982"/>
      <c r="F36" s="3982"/>
      <c r="G36" s="3982"/>
      <c r="H36" s="3982"/>
      <c r="I36" s="3982"/>
      <c r="J36" s="3982"/>
      <c r="K36" s="3982"/>
      <c r="L36" s="3980" t="s">
        <v>919</v>
      </c>
      <c r="M36" s="3949">
        <f>SUM('Произв. прогр. Стоки (СВОД)'!H48)</f>
        <v>6.5125000000000002</v>
      </c>
      <c r="N36" s="3949">
        <f>SUM('Произв. прогр. Стоки (СВОД)'!L48)</f>
        <v>6.5125000000000002</v>
      </c>
      <c r="O36" s="3949">
        <f t="shared" si="7"/>
        <v>13.025</v>
      </c>
      <c r="P36" s="3949">
        <f>SUM('Произв. прогр. Стоки (СВОД)'!Q48)</f>
        <v>6.5125000000000002</v>
      </c>
      <c r="Q36" s="3949">
        <f t="shared" si="8"/>
        <v>19.537500000000001</v>
      </c>
      <c r="R36" s="3949">
        <f>SUM('Произв. прогр. Стоки (СВОД)'!V48)</f>
        <v>6.5125000000000002</v>
      </c>
      <c r="S36" s="3950">
        <f t="shared" si="9"/>
        <v>26.05</v>
      </c>
    </row>
    <row r="37" spans="1:19" ht="18.75" customHeight="1">
      <c r="A37" s="3946" t="s">
        <v>545</v>
      </c>
      <c r="B37" s="3982"/>
      <c r="C37" s="3982"/>
      <c r="D37" s="3982"/>
      <c r="E37" s="3982"/>
      <c r="F37" s="3982"/>
      <c r="G37" s="3982"/>
      <c r="H37" s="3982"/>
      <c r="I37" s="3982"/>
      <c r="J37" s="3982"/>
      <c r="K37" s="3982"/>
      <c r="L37" s="3980" t="s">
        <v>919</v>
      </c>
      <c r="M37" s="3949">
        <f>SUM('Произв. прогр. Стоки (СВОД)'!H49)</f>
        <v>354.92</v>
      </c>
      <c r="N37" s="3949">
        <f>SUM('Произв. прогр. Стоки (СВОД)'!L49)</f>
        <v>354.92</v>
      </c>
      <c r="O37" s="3949">
        <f t="shared" si="7"/>
        <v>709.84</v>
      </c>
      <c r="P37" s="3949">
        <f>SUM('Произв. прогр. Стоки (СВОД)'!Q49)</f>
        <v>354.92</v>
      </c>
      <c r="Q37" s="3949">
        <f t="shared" si="8"/>
        <v>1064.76</v>
      </c>
      <c r="R37" s="3949">
        <f>SUM('Произв. прогр. Стоки (СВОД)'!V49)</f>
        <v>354.92</v>
      </c>
      <c r="S37" s="3950">
        <f t="shared" si="9"/>
        <v>1419.68</v>
      </c>
    </row>
    <row r="38" spans="1:19" ht="18.75" customHeight="1">
      <c r="A38" s="3951" t="s">
        <v>1768</v>
      </c>
      <c r="B38" s="3955"/>
      <c r="C38" s="3955"/>
      <c r="D38" s="3955"/>
      <c r="E38" s="3955"/>
      <c r="F38" s="3955"/>
      <c r="G38" s="3955"/>
      <c r="H38" s="3955"/>
      <c r="I38" s="3955"/>
      <c r="J38" s="3955"/>
      <c r="K38" s="3955"/>
      <c r="L38" s="3980" t="s">
        <v>919</v>
      </c>
      <c r="M38" s="3945">
        <f>SUM('Произв. прогр. Стоки (СВОД)'!H50)</f>
        <v>3572.8898425617367</v>
      </c>
      <c r="N38" s="3945">
        <f>SUM('Произв. прогр. Стоки (СВОД)'!L50)</f>
        <v>3572.8898425617367</v>
      </c>
      <c r="O38" s="3945">
        <f t="shared" si="7"/>
        <v>7145.7796851234734</v>
      </c>
      <c r="P38" s="3945">
        <f>SUM('Произв. прогр. Стоки (СВОД)'!Q50)</f>
        <v>3768.1051574382636</v>
      </c>
      <c r="Q38" s="3945">
        <f t="shared" si="8"/>
        <v>10913.884842561736</v>
      </c>
      <c r="R38" s="3945">
        <f>SUM('Произв. прогр. Стоки (СВОД)'!V50)</f>
        <v>3768.1051574382636</v>
      </c>
      <c r="S38" s="3948">
        <f t="shared" si="9"/>
        <v>14681.99</v>
      </c>
    </row>
    <row r="39" spans="1:19" ht="18.75" customHeight="1">
      <c r="A39" s="3956" t="s">
        <v>1747</v>
      </c>
      <c r="B39" s="3981"/>
      <c r="C39" s="3981"/>
      <c r="D39" s="3981"/>
      <c r="E39" s="3981"/>
      <c r="F39" s="3981"/>
      <c r="G39" s="3981"/>
      <c r="H39" s="3981"/>
      <c r="I39" s="3981"/>
      <c r="J39" s="3981"/>
      <c r="K39" s="3981"/>
      <c r="L39" s="3980" t="s">
        <v>919</v>
      </c>
      <c r="M39" s="3949">
        <f>SUM('Произв. прогр. Стоки (СВОД)'!H51)</f>
        <v>2529.5578161465637</v>
      </c>
      <c r="N39" s="3949">
        <f>SUM('Произв. прогр. Стоки (СВОД)'!L51)</f>
        <v>2529.5578161465637</v>
      </c>
      <c r="O39" s="3949">
        <f t="shared" si="7"/>
        <v>5059.1156322931274</v>
      </c>
      <c r="P39" s="3949">
        <f>SUM('Произв. прогр. Стоки (СВОД)'!Q51)</f>
        <v>2682.0901524602014</v>
      </c>
      <c r="Q39" s="3949">
        <f t="shared" si="8"/>
        <v>7741.2057847533288</v>
      </c>
      <c r="R39" s="3949">
        <f>SUM('Произв. прогр. Стоки (СВОД)'!V51)</f>
        <v>2682.0901524602014</v>
      </c>
      <c r="S39" s="3950">
        <f t="shared" si="9"/>
        <v>10423.29593721353</v>
      </c>
    </row>
    <row r="40" spans="1:19" ht="18.75" customHeight="1">
      <c r="A40" s="3956" t="s">
        <v>1748</v>
      </c>
      <c r="B40" s="3981"/>
      <c r="C40" s="3981"/>
      <c r="D40" s="3981"/>
      <c r="E40" s="3981"/>
      <c r="F40" s="3981"/>
      <c r="G40" s="3981"/>
      <c r="H40" s="3981"/>
      <c r="I40" s="3981"/>
      <c r="J40" s="3981"/>
      <c r="K40" s="3981"/>
      <c r="L40" s="3980" t="s">
        <v>919</v>
      </c>
      <c r="M40" s="3949">
        <f>SUM('Произв. прогр. Стоки (СВОД)'!H52)</f>
        <v>707.84375726185078</v>
      </c>
      <c r="N40" s="3949">
        <f>SUM('Произв. прогр. Стоки (СВОД)'!L52)</f>
        <v>707.84375726185078</v>
      </c>
      <c r="O40" s="3949">
        <f t="shared" si="7"/>
        <v>1415.6875145237016</v>
      </c>
      <c r="P40" s="3949">
        <f>SUM('Произв. прогр. Стоки (СВОД)'!Q52)</f>
        <v>750.52673582474029</v>
      </c>
      <c r="Q40" s="3949">
        <f t="shared" si="8"/>
        <v>2166.214250348442</v>
      </c>
      <c r="R40" s="3949">
        <f>SUM('Произв. прогр. Стоки (СВОД)'!V52)</f>
        <v>750.52673582474029</v>
      </c>
      <c r="S40" s="3950">
        <f t="shared" si="9"/>
        <v>2916.7409861731821</v>
      </c>
    </row>
    <row r="41" spans="1:19" ht="18.75" customHeight="1">
      <c r="A41" s="3952" t="s">
        <v>1749</v>
      </c>
      <c r="B41" s="3981"/>
      <c r="C41" s="3981"/>
      <c r="D41" s="3981"/>
      <c r="E41" s="3981"/>
      <c r="F41" s="3981"/>
      <c r="G41" s="3981"/>
      <c r="H41" s="3981"/>
      <c r="I41" s="3981"/>
      <c r="J41" s="3981"/>
      <c r="K41" s="3981"/>
      <c r="L41" s="3980" t="s">
        <v>919</v>
      </c>
      <c r="M41" s="3949">
        <f>SUM('Произв. прогр. Стоки (СВОД)'!H53)</f>
        <v>335.48826915332222</v>
      </c>
      <c r="N41" s="3949">
        <f>SUM('Произв. прогр. Стоки (СВОД)'!L53)</f>
        <v>335.48826915332222</v>
      </c>
      <c r="O41" s="3949">
        <f t="shared" si="7"/>
        <v>670.97653830664444</v>
      </c>
      <c r="P41" s="3949">
        <f>SUM('Произв. прогр. Стоки (СВОД)'!Q53)</f>
        <v>335.48826915332199</v>
      </c>
      <c r="Q41" s="3949">
        <f t="shared" si="8"/>
        <v>1006.4648074599664</v>
      </c>
      <c r="R41" s="3949">
        <f>SUM('Произв. прогр. Стоки (СВОД)'!V53)</f>
        <v>335.48826915332199</v>
      </c>
      <c r="S41" s="3950">
        <f t="shared" si="9"/>
        <v>1341.9530766132884</v>
      </c>
    </row>
    <row r="42" spans="1:19" ht="18.75" customHeight="1">
      <c r="A42" s="3943" t="s">
        <v>1778</v>
      </c>
      <c r="B42" s="3955"/>
      <c r="C42" s="3955"/>
      <c r="D42" s="3955"/>
      <c r="E42" s="3955"/>
      <c r="F42" s="3955"/>
      <c r="G42" s="3955"/>
      <c r="H42" s="3955"/>
      <c r="I42" s="3955"/>
      <c r="J42" s="3955"/>
      <c r="K42" s="3955"/>
      <c r="L42" s="3980" t="s">
        <v>919</v>
      </c>
      <c r="M42" s="3945">
        <f>SUM('Произв. прогр. Стоки (СВОД)'!H54)</f>
        <v>90.394999999999982</v>
      </c>
      <c r="N42" s="3945">
        <f>SUM('Произв. прогр. Стоки (СВОД)'!L54)</f>
        <v>90.394999999999982</v>
      </c>
      <c r="O42" s="3945">
        <f t="shared" si="7"/>
        <v>180.78999999999996</v>
      </c>
      <c r="P42" s="3945">
        <f>SUM('Произв. прогр. Стоки (СВОД)'!Q54)</f>
        <v>90.394999999999982</v>
      </c>
      <c r="Q42" s="3945">
        <f t="shared" si="8"/>
        <v>271.18499999999995</v>
      </c>
      <c r="R42" s="3945">
        <f>SUM('Произв. прогр. Стоки (СВОД)'!V54)</f>
        <v>90.394999999999982</v>
      </c>
      <c r="S42" s="3948">
        <f t="shared" si="9"/>
        <v>361.57999999999993</v>
      </c>
    </row>
    <row r="43" spans="1:19" ht="18.75" customHeight="1">
      <c r="A43" s="3946" t="s">
        <v>286</v>
      </c>
      <c r="B43" s="3955"/>
      <c r="C43" s="3955"/>
      <c r="D43" s="3955"/>
      <c r="E43" s="3955"/>
      <c r="F43" s="3955"/>
      <c r="G43" s="3955"/>
      <c r="H43" s="3955"/>
      <c r="I43" s="3955"/>
      <c r="J43" s="3955"/>
      <c r="K43" s="3955"/>
      <c r="L43" s="3980" t="s">
        <v>919</v>
      </c>
      <c r="M43" s="3949">
        <f>SUM('Произв. прогр. Стоки (СВОД)'!H55)</f>
        <v>90.394999999999982</v>
      </c>
      <c r="N43" s="3949">
        <f>SUM('Произв. прогр. Стоки (СВОД)'!L55)</f>
        <v>90.394999999999982</v>
      </c>
      <c r="O43" s="3949">
        <f t="shared" si="7"/>
        <v>180.78999999999996</v>
      </c>
      <c r="P43" s="3949">
        <f>SUM('Произв. прогр. Стоки (СВОД)'!Q55)</f>
        <v>90.394999999999982</v>
      </c>
      <c r="Q43" s="3949">
        <f t="shared" si="8"/>
        <v>271.18499999999995</v>
      </c>
      <c r="R43" s="3949">
        <f>SUM('Произв. прогр. Стоки (СВОД)'!V55)</f>
        <v>90.394999999999982</v>
      </c>
      <c r="S43" s="3950">
        <f t="shared" si="9"/>
        <v>361.57999999999993</v>
      </c>
    </row>
    <row r="44" spans="1:19" ht="18.75" customHeight="1">
      <c r="A44" s="3943" t="s">
        <v>1751</v>
      </c>
      <c r="B44" s="3955"/>
      <c r="C44" s="3955"/>
      <c r="D44" s="3955"/>
      <c r="E44" s="3955"/>
      <c r="F44" s="3955"/>
      <c r="G44" s="3955"/>
      <c r="H44" s="3955"/>
      <c r="I44" s="3955"/>
      <c r="J44" s="3955"/>
      <c r="K44" s="3955"/>
      <c r="L44" s="3980" t="s">
        <v>919</v>
      </c>
      <c r="M44" s="3945">
        <f>SUM('Произв. прогр. Стоки (СВОД)'!H56)</f>
        <v>66.349999999999994</v>
      </c>
      <c r="N44" s="3945">
        <f>SUM('Произв. прогр. Стоки (СВОД)'!L56)</f>
        <v>66.349999999999994</v>
      </c>
      <c r="O44" s="3945">
        <f t="shared" si="7"/>
        <v>132.69999999999999</v>
      </c>
      <c r="P44" s="3945">
        <f>SUM('Произв. прогр. Стоки (СВОД)'!Q56)</f>
        <v>66.349999999999994</v>
      </c>
      <c r="Q44" s="3945">
        <f t="shared" si="8"/>
        <v>199.04999999999998</v>
      </c>
      <c r="R44" s="3945">
        <f>SUM('Произв. прогр. Стоки (СВОД)'!V56)</f>
        <v>66.349999999999994</v>
      </c>
      <c r="S44" s="3948">
        <f t="shared" si="9"/>
        <v>265.39999999999998</v>
      </c>
    </row>
    <row r="45" spans="1:19" ht="18.75" customHeight="1">
      <c r="A45" s="3938" t="s">
        <v>12</v>
      </c>
      <c r="B45" s="3955"/>
      <c r="C45" s="3955"/>
      <c r="D45" s="3955"/>
      <c r="E45" s="3955"/>
      <c r="F45" s="3955"/>
      <c r="G45" s="3955"/>
      <c r="H45" s="3955"/>
      <c r="I45" s="3955"/>
      <c r="J45" s="3955"/>
      <c r="K45" s="3955"/>
      <c r="L45" s="3983" t="s">
        <v>919</v>
      </c>
      <c r="M45" s="3941">
        <f>SUM('Произв. прогр. Стоки (СВОД)'!H57)</f>
        <v>21063.478607186618</v>
      </c>
      <c r="N45" s="3941">
        <f>SUM('Произв. прогр. Стоки (СВОД)'!L57)</f>
        <v>20885.622089505305</v>
      </c>
      <c r="O45" s="3941">
        <f t="shared" si="7"/>
        <v>41949.100696691923</v>
      </c>
      <c r="P45" s="3941">
        <f>SUM('Произв. прогр. Стоки (СВОД)'!Q57)</f>
        <v>21895.304605377249</v>
      </c>
      <c r="Q45" s="3941">
        <f t="shared" si="8"/>
        <v>63844.405302069172</v>
      </c>
      <c r="R45" s="3941">
        <f>SUM('Произв. прогр. Стоки (СВОД)'!V57)</f>
        <v>22128.796916065192</v>
      </c>
      <c r="S45" s="3942">
        <f t="shared" si="9"/>
        <v>85973.202218134364</v>
      </c>
    </row>
    <row r="46" spans="1:19" ht="18.75" customHeight="1">
      <c r="A46" s="3938" t="s">
        <v>1791</v>
      </c>
      <c r="B46" s="3955"/>
      <c r="C46" s="3955"/>
      <c r="D46" s="3955"/>
      <c r="E46" s="3955"/>
      <c r="F46" s="3955"/>
      <c r="G46" s="3955"/>
      <c r="H46" s="3955"/>
      <c r="I46" s="3955"/>
      <c r="J46" s="3955"/>
      <c r="K46" s="3955"/>
      <c r="L46" s="3983" t="s">
        <v>919</v>
      </c>
      <c r="M46" s="3941">
        <f>SUM('Произв. прогр. Стоки (СВОД)'!H58)</f>
        <v>-1308.675</v>
      </c>
      <c r="N46" s="3941">
        <f>SUM('Произв. прогр. Стоки (СВОД)'!L58)</f>
        <v>-1308.675</v>
      </c>
      <c r="O46" s="3941">
        <f t="shared" ref="O46" si="10">SUM(M46+N46)</f>
        <v>-2617.35</v>
      </c>
      <c r="P46" s="3941">
        <f>SUM('Произв. прогр. Стоки (СВОД)'!Q58)</f>
        <v>-1308.675</v>
      </c>
      <c r="Q46" s="3941">
        <f t="shared" ref="Q46" si="11">SUM(O46+P46)</f>
        <v>-3926.0249999999996</v>
      </c>
      <c r="R46" s="3941">
        <f>SUM('Произв. прогр. Стоки (СВОД)'!V58)</f>
        <v>-1308.675</v>
      </c>
      <c r="S46" s="3942">
        <f t="shared" ref="S46" si="12">SUM(Q46+R46)</f>
        <v>-5234.7</v>
      </c>
    </row>
    <row r="47" spans="1:19" ht="18.75" customHeight="1">
      <c r="A47" s="3938" t="s">
        <v>13</v>
      </c>
      <c r="B47" s="3955"/>
      <c r="C47" s="3955"/>
      <c r="D47" s="3955"/>
      <c r="E47" s="3955"/>
      <c r="F47" s="3955"/>
      <c r="G47" s="3955"/>
      <c r="H47" s="3955"/>
      <c r="I47" s="3955"/>
      <c r="J47" s="3955"/>
      <c r="K47" s="3955"/>
      <c r="L47" s="3984" t="s">
        <v>1800</v>
      </c>
      <c r="M47" s="3941">
        <f>SUM('Произв. прогр. Стоки (СВОД)'!H59)</f>
        <v>842.11205000000007</v>
      </c>
      <c r="N47" s="3941">
        <f>SUM('Произв. прогр. Стоки (СВОД)'!L59)</f>
        <v>813.07892499999991</v>
      </c>
      <c r="O47" s="3941">
        <f t="shared" ref="O47" si="13">SUM(M47+N47)</f>
        <v>1655.190975</v>
      </c>
      <c r="P47" s="3941">
        <f>SUM('Произв. прогр. Стоки (СВОД)'!Q59)</f>
        <v>795.60422499999993</v>
      </c>
      <c r="Q47" s="3941">
        <f t="shared" ref="Q47" si="14">SUM(O47+P47)</f>
        <v>2450.7952</v>
      </c>
      <c r="R47" s="3941">
        <f>SUM('Произв. прогр. Стоки (СВОД)'!V59)</f>
        <v>844.95480000000009</v>
      </c>
      <c r="S47" s="3942">
        <f t="shared" ref="S47" si="15">SUM(Q47+R47)</f>
        <v>3295.75</v>
      </c>
    </row>
    <row r="48" spans="1:19" ht="18.75" customHeight="1">
      <c r="A48" s="3938" t="s">
        <v>14</v>
      </c>
      <c r="B48" s="3955"/>
      <c r="C48" s="3955"/>
      <c r="D48" s="3955"/>
      <c r="E48" s="3955"/>
      <c r="F48" s="3955"/>
      <c r="G48" s="3955"/>
      <c r="H48" s="3955"/>
      <c r="I48" s="3955"/>
      <c r="J48" s="3955"/>
      <c r="K48" s="3955"/>
      <c r="L48" s="3985" t="s">
        <v>1801</v>
      </c>
      <c r="M48" s="3941">
        <f>SUM('Произв. прогр. Стоки (СВОД)'!H60)</f>
        <v>25.0126792594722</v>
      </c>
      <c r="N48" s="3941">
        <f>SUM('Произв. прогр. Стоки (СВОД)'!L60)</f>
        <v>25.687078397100635</v>
      </c>
      <c r="O48" s="3941">
        <f>SUM(O45/O47)</f>
        <v>25.343964128786965</v>
      </c>
      <c r="P48" s="3941">
        <f>SUM('Произв. прогр. Стоки (СВОД)'!Q60)</f>
        <v>27.52034732517572</v>
      </c>
      <c r="Q48" s="3941">
        <f>SUM(Q45/Q47)</f>
        <v>26.050485696262655</v>
      </c>
      <c r="R48" s="3941">
        <f>SUM('Произв. прогр. Стоки (СВОД)'!V60)</f>
        <v>26.189326240960096</v>
      </c>
      <c r="S48" s="3942">
        <f>SUM(S45/S47)</f>
        <v>26.086081231323483</v>
      </c>
    </row>
    <row r="49" spans="1:19" ht="18.75" customHeight="1">
      <c r="A49" s="3960" t="s">
        <v>1804</v>
      </c>
      <c r="B49" s="3955"/>
      <c r="C49" s="3955"/>
      <c r="D49" s="3955"/>
      <c r="E49" s="3955"/>
      <c r="F49" s="3955"/>
      <c r="G49" s="3955"/>
      <c r="H49" s="3955"/>
      <c r="I49" s="3955"/>
      <c r="J49" s="3955"/>
      <c r="K49" s="3955"/>
      <c r="L49" s="3983" t="s">
        <v>919</v>
      </c>
      <c r="M49" s="3941">
        <f>SUM(M50-M45)</f>
        <v>1343.4875893133831</v>
      </c>
      <c r="N49" s="3941">
        <f>SUM(N50-N45)</f>
        <v>794.53663574469101</v>
      </c>
      <c r="O49" s="3941">
        <f>SUM(M49+N49)</f>
        <v>2138.0242250580741</v>
      </c>
      <c r="P49" s="3941">
        <f>SUM(P50-P45)</f>
        <v>542.70098662274904</v>
      </c>
      <c r="Q49" s="3941">
        <f>SUM(O49+P49)</f>
        <v>2680.7252116808231</v>
      </c>
      <c r="R49" s="3941">
        <f>SUM(R50-R45)</f>
        <v>1620.1180539348097</v>
      </c>
      <c r="S49" s="3942">
        <f t="shared" si="6"/>
        <v>4300.8432656156328</v>
      </c>
    </row>
    <row r="50" spans="1:19" ht="18.75" customHeight="1">
      <c r="A50" s="3960" t="s">
        <v>548</v>
      </c>
      <c r="B50" s="3955"/>
      <c r="C50" s="3955"/>
      <c r="D50" s="3955"/>
      <c r="E50" s="3955"/>
      <c r="F50" s="3955"/>
      <c r="G50" s="3955"/>
      <c r="H50" s="3955"/>
      <c r="I50" s="3955"/>
      <c r="J50" s="3955"/>
      <c r="K50" s="3955"/>
      <c r="L50" s="3983" t="s">
        <v>919</v>
      </c>
      <c r="M50" s="3941">
        <f>SUM(M54+M53-M46)</f>
        <v>22406.966196500001</v>
      </c>
      <c r="N50" s="3941">
        <f>SUM(N54+N53-N46)</f>
        <v>21680.158725249996</v>
      </c>
      <c r="O50" s="3941">
        <f>SUM(M50+N50)</f>
        <v>44087.124921750001</v>
      </c>
      <c r="P50" s="3941">
        <f>SUM(P54+P53-P46)</f>
        <v>22438.005591999998</v>
      </c>
      <c r="Q50" s="3941">
        <f>SUM(O50+P50)</f>
        <v>66525.130513750002</v>
      </c>
      <c r="R50" s="3941">
        <f>SUM(R54+R53-R46)</f>
        <v>23748.914970000002</v>
      </c>
      <c r="S50" s="3942">
        <f t="shared" si="6"/>
        <v>90274.04548375</v>
      </c>
    </row>
    <row r="51" spans="1:19" ht="18.75" hidden="1" customHeight="1">
      <c r="A51" s="3960" t="s">
        <v>70</v>
      </c>
      <c r="B51" s="3955"/>
      <c r="C51" s="3955"/>
      <c r="D51" s="3955"/>
      <c r="E51" s="3955"/>
      <c r="F51" s="3955"/>
      <c r="G51" s="3955"/>
      <c r="H51" s="3955"/>
      <c r="I51" s="3955"/>
      <c r="J51" s="3955"/>
      <c r="K51" s="3955"/>
      <c r="L51" s="3986"/>
      <c r="M51" s="3941">
        <f>SUM('[18]Произв. прогр. Стоки (СВОД)'!R62)</f>
        <v>0</v>
      </c>
      <c r="N51" s="3941">
        <f>SUM('[18]Произв. прогр. Стоки (СВОД)'!V62)</f>
        <v>0</v>
      </c>
      <c r="O51" s="3941">
        <f>SUM(M51+N51)</f>
        <v>0</v>
      </c>
      <c r="P51" s="3941">
        <f>SUM('[18]Произв. прогр. Стоки (СВОД)'!AA62)</f>
        <v>0</v>
      </c>
      <c r="Q51" s="3941">
        <f>SUM(O51+P51)</f>
        <v>0</v>
      </c>
      <c r="R51" s="3941">
        <f>SUM('[18]Произв. прогр. Стоки (СВОД)'!AF62)</f>
        <v>0</v>
      </c>
      <c r="S51" s="3942" t="e">
        <f>SUM(#REF!+#REF!+L51+#REF!+#REF!+#REF!+#REF!+#REF!+#REF!+#REF!+#REF!+#REF!)</f>
        <v>#REF!</v>
      </c>
    </row>
    <row r="52" spans="1:19" ht="18.75" customHeight="1">
      <c r="A52" s="3960" t="s">
        <v>70</v>
      </c>
      <c r="B52" s="3955"/>
      <c r="C52" s="3955"/>
      <c r="D52" s="3955"/>
      <c r="E52" s="3955"/>
      <c r="F52" s="3955"/>
      <c r="G52" s="3955"/>
      <c r="H52" s="3955"/>
      <c r="I52" s="3955"/>
      <c r="J52" s="3955"/>
      <c r="K52" s="3955"/>
      <c r="L52" s="3985" t="s">
        <v>1801</v>
      </c>
      <c r="M52" s="3941">
        <f>SUM(M50/M47)</f>
        <v>26.608057914027</v>
      </c>
      <c r="N52" s="3941">
        <f>SUM(N50/N47)</f>
        <v>26.664273367127304</v>
      </c>
      <c r="O52" s="3941">
        <f>SUM(O50/O47)</f>
        <v>26.635672612793215</v>
      </c>
      <c r="P52" s="3941">
        <f t="shared" ref="P52:S52" si="16">SUM(P50/P47)</f>
        <v>28.202471639715085</v>
      </c>
      <c r="Q52" s="3941">
        <f t="shared" si="16"/>
        <v>27.144304229806718</v>
      </c>
      <c r="R52" s="3941">
        <f t="shared" si="16"/>
        <v>28.106728277062867</v>
      </c>
      <c r="S52" s="3942">
        <f t="shared" si="16"/>
        <v>27.391047708033074</v>
      </c>
    </row>
    <row r="53" spans="1:19" ht="18.75" customHeight="1">
      <c r="A53" s="3960" t="s">
        <v>327</v>
      </c>
      <c r="B53" s="3955"/>
      <c r="C53" s="3955"/>
      <c r="D53" s="3955"/>
      <c r="E53" s="3955"/>
      <c r="F53" s="3955"/>
      <c r="G53" s="3955"/>
      <c r="H53" s="3955"/>
      <c r="I53" s="3955"/>
      <c r="J53" s="3955"/>
      <c r="K53" s="3955"/>
      <c r="L53" s="3983" t="s">
        <v>919</v>
      </c>
      <c r="M53" s="3941">
        <f>SUM('Произв. прогр. Стоки (СВОД)'!H65)</f>
        <v>0</v>
      </c>
      <c r="N53" s="3941">
        <f>SUM('Произв. прогр. Стоки (СВОД)'!L65)</f>
        <v>0</v>
      </c>
      <c r="O53" s="3941">
        <f>SUM(M53+N53)</f>
        <v>0</v>
      </c>
      <c r="P53" s="3941">
        <f>SUM('Произв. прогр. Стоки (СВОД)'!Q65)</f>
        <v>0</v>
      </c>
      <c r="Q53" s="3941">
        <f>SUM(O53+P53)</f>
        <v>0</v>
      </c>
      <c r="R53" s="3941">
        <f>SUM('Произв. прогр. Стоки (СВОД)'!V65)</f>
        <v>0</v>
      </c>
      <c r="S53" s="3942">
        <f t="shared" ref="S53:S54" si="17">SUM(Q53+R53)</f>
        <v>0</v>
      </c>
    </row>
    <row r="54" spans="1:19" ht="18.75" customHeight="1">
      <c r="A54" s="3960" t="s">
        <v>1720</v>
      </c>
      <c r="B54" s="3955"/>
      <c r="C54" s="3955"/>
      <c r="D54" s="3955"/>
      <c r="E54" s="3955"/>
      <c r="F54" s="3955"/>
      <c r="G54" s="3955"/>
      <c r="H54" s="3955"/>
      <c r="I54" s="3955"/>
      <c r="J54" s="3955"/>
      <c r="K54" s="3955"/>
      <c r="L54" s="3983" t="s">
        <v>919</v>
      </c>
      <c r="M54" s="3941">
        <f>SUM('Произв. прогр. Стоки (СВОД)'!H24)</f>
        <v>21098.291196500002</v>
      </c>
      <c r="N54" s="3941">
        <f>SUM('Произв. прогр. Стоки (СВОД)'!L24)</f>
        <v>20371.483725249996</v>
      </c>
      <c r="O54" s="3941">
        <f>SUM(M54+N54)</f>
        <v>41469.774921749995</v>
      </c>
      <c r="P54" s="3941">
        <f>SUM('Произв. прогр. Стоки (СВОД)'!Q24)</f>
        <v>21129.330591999998</v>
      </c>
      <c r="Q54" s="3941">
        <f>SUM(O54+P54)</f>
        <v>62599.105513749993</v>
      </c>
      <c r="R54" s="3941">
        <f>SUM('Произв. прогр. Стоки (СВОД)'!V24)</f>
        <v>22440.239970000002</v>
      </c>
      <c r="S54" s="3942">
        <f t="shared" si="17"/>
        <v>85039.345483749988</v>
      </c>
    </row>
    <row r="55" spans="1:19" ht="18.75" customHeight="1" thickBot="1">
      <c r="A55" s="3962" t="s">
        <v>328</v>
      </c>
      <c r="B55" s="4009"/>
      <c r="C55" s="4009"/>
      <c r="D55" s="4009"/>
      <c r="E55" s="4009"/>
      <c r="F55" s="4009"/>
      <c r="G55" s="4009"/>
      <c r="H55" s="4009"/>
      <c r="I55" s="4009"/>
      <c r="J55" s="4009"/>
      <c r="K55" s="4009"/>
      <c r="L55" s="3987" t="s">
        <v>1801</v>
      </c>
      <c r="M55" s="4023">
        <f>SUM(M54/M47)</f>
        <v>25.054018876110369</v>
      </c>
      <c r="N55" s="4023">
        <f>SUM(N54/N47)</f>
        <v>25.054743271386599</v>
      </c>
      <c r="O55" s="4023">
        <f t="shared" ref="O55:S55" si="18">SUM(O54/O47)</f>
        <v>25.054374720566607</v>
      </c>
      <c r="P55" s="4023">
        <f>SUM(P54/P47)</f>
        <v>26.557589726223487</v>
      </c>
      <c r="Q55" s="4023">
        <f>SUM(Q54/Q47)</f>
        <v>25.542364989840845</v>
      </c>
      <c r="R55" s="4023">
        <f>SUM(R54/R47)</f>
        <v>26.557917618788604</v>
      </c>
      <c r="S55" s="3442">
        <f t="shared" si="18"/>
        <v>25.802729419327918</v>
      </c>
    </row>
    <row r="56" spans="1:19" ht="18.75" customHeight="1"/>
    <row r="57" spans="1:19" ht="18.75" customHeight="1"/>
    <row r="58" spans="1:19" ht="18.75" customHeight="1">
      <c r="A58" s="3964" t="s">
        <v>1779</v>
      </c>
      <c r="B58" s="380"/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964"/>
      <c r="O58" s="3964" t="s">
        <v>1831</v>
      </c>
    </row>
    <row r="59" spans="1:19" ht="18.75" customHeight="1">
      <c r="A59" s="3964"/>
      <c r="B59" s="380"/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964"/>
      <c r="O59" s="3964"/>
    </row>
    <row r="60" spans="1:19" ht="18.75" customHeight="1">
      <c r="A60" s="3964" t="s">
        <v>1763</v>
      </c>
      <c r="B60" s="380"/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964"/>
      <c r="O60" s="3964" t="s">
        <v>1803</v>
      </c>
    </row>
    <row r="61" spans="1:19" ht="18.75" customHeight="1"/>
    <row r="62" spans="1:19" ht="18.75" customHeight="1"/>
    <row r="63" spans="1:19" ht="18.75" customHeight="1"/>
    <row r="64" spans="1:19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</sheetData>
  <sheetProtection sheet="1" objects="1" scenarios="1"/>
  <mergeCells count="28">
    <mergeCell ref="R20:R21"/>
    <mergeCell ref="S20:S21"/>
    <mergeCell ref="S13:S14"/>
    <mergeCell ref="A19:S19"/>
    <mergeCell ref="A20:A21"/>
    <mergeCell ref="E20:I20"/>
    <mergeCell ref="L20:L21"/>
    <mergeCell ref="M20:M21"/>
    <mergeCell ref="N20:N21"/>
    <mergeCell ref="O20:O21"/>
    <mergeCell ref="P20:P21"/>
    <mergeCell ref="Q20:Q21"/>
    <mergeCell ref="A12:S12"/>
    <mergeCell ref="A13:A14"/>
    <mergeCell ref="E13:I13"/>
    <mergeCell ref="L13:L14"/>
    <mergeCell ref="M13:M14"/>
    <mergeCell ref="N13:N14"/>
    <mergeCell ref="O13:O14"/>
    <mergeCell ref="P13:P14"/>
    <mergeCell ref="Q13:Q14"/>
    <mergeCell ref="R13:R14"/>
    <mergeCell ref="A10:R10"/>
    <mergeCell ref="P1:S1"/>
    <mergeCell ref="P4:S4"/>
    <mergeCell ref="P5:S5"/>
    <mergeCell ref="P6:S6"/>
    <mergeCell ref="P7:S7"/>
  </mergeCells>
  <printOptions horizontalCentered="1" verticalCentered="1"/>
  <pageMargins left="0.55118110236220474" right="0.15748031496062992" top="0.19685039370078741" bottom="0.19685039370078741" header="0" footer="0"/>
  <pageSetup paperSize="9" scale="6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U68"/>
  <sheetViews>
    <sheetView topLeftCell="A41" zoomScale="73" zoomScaleNormal="73" zoomScalePageLayoutView="90" workbookViewId="0">
      <selection activeCell="L59" sqref="L59"/>
    </sheetView>
  </sheetViews>
  <sheetFormatPr defaultRowHeight="12.75"/>
  <cols>
    <col min="1" max="1" width="50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5.85546875" customWidth="1"/>
    <col min="12" max="17" width="11.7109375" customWidth="1"/>
    <col min="18" max="18" width="13.85546875" customWidth="1"/>
  </cols>
  <sheetData>
    <row r="1" spans="1:47" ht="78" customHeight="1">
      <c r="O1" s="4357" t="s">
        <v>1793</v>
      </c>
      <c r="P1" s="4358"/>
      <c r="Q1" s="4358"/>
      <c r="R1" s="4358"/>
    </row>
    <row r="2" spans="1:47">
      <c r="O2" s="3933"/>
      <c r="P2" s="3934"/>
      <c r="Q2" s="3934"/>
      <c r="R2" s="3934"/>
    </row>
    <row r="3" spans="1:47" ht="18.75">
      <c r="O3" s="4359" t="s">
        <v>1724</v>
      </c>
      <c r="P3" s="4359"/>
      <c r="Q3" s="4359"/>
      <c r="R3" s="4359"/>
    </row>
    <row r="4" spans="1:47" ht="18.75">
      <c r="O4" s="4359" t="s">
        <v>1794</v>
      </c>
      <c r="P4" s="4359"/>
      <c r="Q4" s="4359"/>
      <c r="R4" s="4359"/>
    </row>
    <row r="5" spans="1:47" ht="21" customHeight="1">
      <c r="O5" s="4359" t="s">
        <v>1795</v>
      </c>
      <c r="P5" s="4359"/>
      <c r="Q5" s="4358"/>
      <c r="R5" s="4359"/>
    </row>
    <row r="6" spans="1:47" ht="21" customHeight="1">
      <c r="O6" s="4360" t="s">
        <v>1829</v>
      </c>
      <c r="P6" s="4360"/>
      <c r="Q6" s="4360"/>
      <c r="R6" s="4360"/>
    </row>
    <row r="7" spans="1:47" ht="12" customHeight="1">
      <c r="O7" s="3935"/>
      <c r="P7" s="3935"/>
      <c r="Q7" s="3935"/>
      <c r="R7" s="3935"/>
    </row>
    <row r="8" spans="1:47" ht="44.25" customHeight="1">
      <c r="A8" s="4363" t="s">
        <v>1830</v>
      </c>
      <c r="B8" s="4363"/>
      <c r="C8" s="4363"/>
      <c r="D8" s="4363"/>
      <c r="E8" s="4363"/>
      <c r="F8" s="4363"/>
      <c r="G8" s="4363"/>
      <c r="H8" s="4363"/>
      <c r="I8" s="4363"/>
      <c r="J8" s="4363"/>
      <c r="K8" s="4364"/>
      <c r="L8" s="4364"/>
      <c r="M8" s="4364"/>
      <c r="N8" s="4364"/>
      <c r="O8" s="4364"/>
      <c r="P8" s="4364"/>
      <c r="Q8" s="4364"/>
      <c r="R8" s="4365"/>
    </row>
    <row r="9" spans="1:47" ht="16.5" collapsed="1" thickBot="1">
      <c r="R9" s="3936" t="s">
        <v>1796</v>
      </c>
    </row>
    <row r="10" spans="1:47" ht="18.75">
      <c r="A10" s="4379" t="s">
        <v>1725</v>
      </c>
      <c r="B10" s="4380"/>
      <c r="C10" s="4380"/>
      <c r="D10" s="4380"/>
      <c r="E10" s="4380"/>
      <c r="F10" s="4380"/>
      <c r="G10" s="4380"/>
      <c r="H10" s="4380"/>
      <c r="I10" s="4380"/>
      <c r="J10" s="4380"/>
      <c r="K10" s="4380"/>
      <c r="L10" s="4380"/>
      <c r="M10" s="4380"/>
      <c r="N10" s="4380"/>
      <c r="O10" s="4380"/>
      <c r="P10" s="4380"/>
      <c r="Q10" s="4380"/>
      <c r="R10" s="4369"/>
    </row>
    <row r="11" spans="1:47" ht="18.75" customHeight="1">
      <c r="A11" s="4381" t="s">
        <v>546</v>
      </c>
      <c r="B11" s="3937"/>
      <c r="C11" s="3937"/>
      <c r="D11" s="3937"/>
      <c r="E11" s="3937"/>
      <c r="F11" s="3937"/>
      <c r="G11" s="3937"/>
      <c r="H11" s="3937"/>
      <c r="I11" s="3937"/>
      <c r="J11" s="3937"/>
      <c r="K11" s="4372" t="s">
        <v>1797</v>
      </c>
      <c r="L11" s="4373" t="s">
        <v>601</v>
      </c>
      <c r="M11" s="4373" t="s">
        <v>600</v>
      </c>
      <c r="N11" s="4373" t="s">
        <v>599</v>
      </c>
      <c r="O11" s="4373" t="s">
        <v>225</v>
      </c>
      <c r="P11" s="4373" t="s">
        <v>229</v>
      </c>
      <c r="Q11" s="4373" t="s">
        <v>1798</v>
      </c>
      <c r="R11" s="4374" t="s">
        <v>1799</v>
      </c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</row>
    <row r="12" spans="1:47" ht="18.75">
      <c r="A12" s="4382"/>
      <c r="B12" s="3937"/>
      <c r="C12" s="3937"/>
      <c r="D12" s="3937"/>
      <c r="E12" s="3937"/>
      <c r="F12" s="3937"/>
      <c r="G12" s="3937"/>
      <c r="H12" s="3937"/>
      <c r="I12" s="3937"/>
      <c r="J12" s="3937"/>
      <c r="K12" s="4372"/>
      <c r="L12" s="4373"/>
      <c r="M12" s="4373"/>
      <c r="N12" s="4373"/>
      <c r="O12" s="4373"/>
      <c r="P12" s="4373"/>
      <c r="Q12" s="4373"/>
      <c r="R12" s="4374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</row>
    <row r="13" spans="1:47" ht="18.75">
      <c r="A13" s="3938" t="s">
        <v>1726</v>
      </c>
      <c r="B13" s="3939"/>
      <c r="C13" s="3939"/>
      <c r="D13" s="3939"/>
      <c r="E13" s="3939"/>
      <c r="F13" s="3939"/>
      <c r="G13" s="3939"/>
      <c r="H13" s="3939"/>
      <c r="I13" s="3939"/>
      <c r="J13" s="3939"/>
      <c r="K13" s="3940" t="s">
        <v>1800</v>
      </c>
      <c r="L13" s="3941">
        <f>SUM('Произв. прогр. Вода (СВОД)'!H12)</f>
        <v>1423.8436242759692</v>
      </c>
      <c r="M13" s="3941">
        <f>SUM('Произв. прогр. Вода (СВОД)'!L12)</f>
        <v>1373.5479785308526</v>
      </c>
      <c r="N13" s="3941">
        <f>SUM(L13+M13)</f>
        <v>2797.3916028068215</v>
      </c>
      <c r="O13" s="3941">
        <f>SUM('Произв. прогр. Вода (СВОД)'!Q12)</f>
        <v>1345.187898248372</v>
      </c>
      <c r="P13" s="3941">
        <f>SUM(N13+O13)</f>
        <v>4142.5795010551938</v>
      </c>
      <c r="Q13" s="3941">
        <f>SUM('Произв. прогр. Вода (СВОД)'!V12)</f>
        <v>1428.1054989448064</v>
      </c>
      <c r="R13" s="3942">
        <f>SUM(P13+Q13)</f>
        <v>5570.6850000000004</v>
      </c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  <c r="AH13" s="435"/>
      <c r="AI13" s="435"/>
      <c r="AJ13" s="435"/>
      <c r="AK13" s="435"/>
      <c r="AL13" s="435"/>
      <c r="AM13" s="435"/>
      <c r="AN13" s="435"/>
      <c r="AO13" s="435"/>
      <c r="AP13" s="435"/>
      <c r="AQ13" s="435"/>
      <c r="AR13" s="435"/>
      <c r="AS13" s="435"/>
      <c r="AT13" s="435"/>
      <c r="AU13" s="435"/>
    </row>
    <row r="14" spans="1:47" ht="18.75">
      <c r="A14" s="3943" t="s">
        <v>20</v>
      </c>
      <c r="B14" s="3939"/>
      <c r="C14" s="3939"/>
      <c r="D14" s="3939"/>
      <c r="E14" s="3939"/>
      <c r="F14" s="3939"/>
      <c r="G14" s="3939"/>
      <c r="H14" s="3939"/>
      <c r="I14" s="3939"/>
      <c r="J14" s="3939"/>
      <c r="K14" s="3944" t="s">
        <v>1800</v>
      </c>
      <c r="L14" s="3945">
        <f>SUM('Произв. прогр. Вода (СВОД)'!H13)</f>
        <v>213.54924999999997</v>
      </c>
      <c r="M14" s="3945">
        <f>SUM('Произв. прогр. Вода (СВОД)'!L13)</f>
        <v>213.54924999999997</v>
      </c>
      <c r="N14" s="3945">
        <f>SUM(L14+M14)</f>
        <v>427.09849999999994</v>
      </c>
      <c r="O14" s="3945">
        <f>SUM('Произв. прогр. Вода (СВОД)'!Q13)</f>
        <v>213.54924999999997</v>
      </c>
      <c r="P14" s="3945">
        <f>SUM(N14+O14)</f>
        <v>640.64774999999986</v>
      </c>
      <c r="Q14" s="3945">
        <f>SUM('Произв. прогр. Вода (СВОД)'!V13)</f>
        <v>213.54924999999997</v>
      </c>
      <c r="R14" s="3948">
        <f t="shared" ref="R14:R25" si="0">SUM(P14+Q14)</f>
        <v>854.19699999999989</v>
      </c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  <c r="AH14" s="435"/>
      <c r="AI14" s="435"/>
      <c r="AJ14" s="435"/>
      <c r="AK14" s="435"/>
      <c r="AL14" s="435"/>
      <c r="AM14" s="435"/>
      <c r="AN14" s="435"/>
      <c r="AO14" s="435"/>
      <c r="AP14" s="435"/>
      <c r="AQ14" s="435"/>
      <c r="AR14" s="435"/>
      <c r="AS14" s="435"/>
      <c r="AT14" s="435"/>
      <c r="AU14" s="435"/>
    </row>
    <row r="15" spans="1:47" ht="18.75">
      <c r="A15" s="3946" t="s">
        <v>389</v>
      </c>
      <c r="B15" s="3939"/>
      <c r="C15" s="3939"/>
      <c r="D15" s="3939"/>
      <c r="E15" s="3939"/>
      <c r="F15" s="3939"/>
      <c r="G15" s="3939"/>
      <c r="H15" s="3939"/>
      <c r="I15" s="3939"/>
      <c r="J15" s="3939"/>
      <c r="K15" s="3944" t="s">
        <v>44</v>
      </c>
      <c r="L15" s="3947">
        <f>SUM('[18]Произв. прогр. Вода (СВОД)'!Q14)</f>
        <v>0.11827535406039125</v>
      </c>
      <c r="M15" s="3947">
        <f>SUM('[18]Произв. прогр. Вода (СВОД)'!U14)</f>
        <v>0.12264299562170441</v>
      </c>
      <c r="N15" s="3947">
        <f t="shared" ref="N15:R15" si="1">SUM(N14/N13)</f>
        <v>0.15267740832976753</v>
      </c>
      <c r="O15" s="3947">
        <f>SUM('[18]Произв. прогр. Вода (СВОД)'!Z14)</f>
        <v>0.1251917844897803</v>
      </c>
      <c r="P15" s="3947">
        <f t="shared" si="1"/>
        <v>0.15464947621085237</v>
      </c>
      <c r="Q15" s="3947">
        <f>SUM('[18]Произв. прогр. Вода (СВОД)'!AE14)</f>
        <v>0.11793771714126863</v>
      </c>
      <c r="R15" s="3954">
        <f t="shared" si="1"/>
        <v>0.15333787496510748</v>
      </c>
      <c r="S15" s="435"/>
      <c r="T15" s="435"/>
      <c r="U15" s="435"/>
      <c r="V15" s="435"/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  <c r="AH15" s="435"/>
      <c r="AI15" s="435"/>
      <c r="AJ15" s="435"/>
      <c r="AK15" s="435"/>
      <c r="AL15" s="435"/>
      <c r="AM15" s="435"/>
      <c r="AN15" s="435"/>
      <c r="AO15" s="435"/>
      <c r="AP15" s="435"/>
      <c r="AQ15" s="435"/>
      <c r="AR15" s="435"/>
      <c r="AS15" s="435"/>
      <c r="AT15" s="435"/>
      <c r="AU15" s="435"/>
    </row>
    <row r="16" spans="1:47" ht="18.75">
      <c r="A16" s="3938" t="s">
        <v>1727</v>
      </c>
      <c r="B16" s="3939"/>
      <c r="C16" s="3939"/>
      <c r="D16" s="3939"/>
      <c r="E16" s="3939"/>
      <c r="F16" s="3939"/>
      <c r="G16" s="3939"/>
      <c r="H16" s="3939"/>
      <c r="I16" s="3939"/>
      <c r="J16" s="3939"/>
      <c r="K16" s="3940" t="s">
        <v>1800</v>
      </c>
      <c r="L16" s="3941">
        <f>SUM('Произв. прогр. Вода (СВОД)'!H15)</f>
        <v>1210.2943742759692</v>
      </c>
      <c r="M16" s="3941">
        <f>SUM('Произв. прогр. Вода (СВОД)'!L15)</f>
        <v>1159.9987285308525</v>
      </c>
      <c r="N16" s="3941">
        <f>SUM(L16+M16)</f>
        <v>2370.2931028068215</v>
      </c>
      <c r="O16" s="3941">
        <f>SUM('Произв. прогр. Вода (СВОД)'!Q15)</f>
        <v>1131.638648248372</v>
      </c>
      <c r="P16" s="3941">
        <f>SUM(N16+O16)</f>
        <v>3501.9317510551937</v>
      </c>
      <c r="Q16" s="3941">
        <f>SUM('Произв. прогр. Вода (СВОД)'!V15)</f>
        <v>1214.5562489448064</v>
      </c>
      <c r="R16" s="3942">
        <f t="shared" si="0"/>
        <v>4716.4880000000003</v>
      </c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435"/>
      <c r="AP16" s="435"/>
      <c r="AQ16" s="435"/>
      <c r="AR16" s="435"/>
      <c r="AS16" s="435"/>
      <c r="AT16" s="435"/>
      <c r="AU16" s="435"/>
    </row>
    <row r="17" spans="1:47" ht="18.75">
      <c r="A17" s="3943" t="s">
        <v>51</v>
      </c>
      <c r="B17" s="3939"/>
      <c r="C17" s="3939"/>
      <c r="D17" s="3939"/>
      <c r="E17" s="3939"/>
      <c r="F17" s="3939"/>
      <c r="G17" s="3939"/>
      <c r="H17" s="3939"/>
      <c r="I17" s="3939"/>
      <c r="J17" s="3939"/>
      <c r="K17" s="3944" t="s">
        <v>1800</v>
      </c>
      <c r="L17" s="3945">
        <f>SUM('Произв. прогр. Вода (СВОД)'!H16)</f>
        <v>241.24153767596908</v>
      </c>
      <c r="M17" s="3945">
        <f>SUM('Произв. прогр. Вода (СВОД)'!L16)</f>
        <v>225.17657383085253</v>
      </c>
      <c r="N17" s="3945">
        <f>SUM(L17+M17)</f>
        <v>466.41811150682162</v>
      </c>
      <c r="O17" s="3945">
        <f>SUM('Произв. прогр. Вода (СВОД)'!Q16)</f>
        <v>216.11806274837204</v>
      </c>
      <c r="P17" s="3945">
        <f>SUM(N17+O17)</f>
        <v>682.5361742551936</v>
      </c>
      <c r="Q17" s="3945">
        <f>SUM('Произв. прогр. Вода (СВОД)'!V16)</f>
        <v>242.6028257448063</v>
      </c>
      <c r="R17" s="3948">
        <f t="shared" si="0"/>
        <v>925.1389999999999</v>
      </c>
      <c r="S17" s="435"/>
      <c r="T17" s="435"/>
      <c r="U17" s="435"/>
      <c r="V17" s="435"/>
      <c r="W17" s="435"/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  <c r="AH17" s="435"/>
      <c r="AI17" s="435"/>
      <c r="AJ17" s="435"/>
      <c r="AK17" s="435"/>
      <c r="AL17" s="435"/>
      <c r="AM17" s="435"/>
      <c r="AN17" s="435"/>
      <c r="AO17" s="435"/>
      <c r="AP17" s="435"/>
      <c r="AQ17" s="435"/>
      <c r="AR17" s="435"/>
      <c r="AS17" s="435"/>
      <c r="AT17" s="435"/>
      <c r="AU17" s="435"/>
    </row>
    <row r="18" spans="1:47" ht="18.75" customHeight="1">
      <c r="A18" s="3946" t="s">
        <v>117</v>
      </c>
      <c r="B18" s="3939"/>
      <c r="C18" s="3939"/>
      <c r="D18" s="3939"/>
      <c r="E18" s="3939"/>
      <c r="F18" s="3939"/>
      <c r="G18" s="3939"/>
      <c r="H18" s="3939"/>
      <c r="I18" s="3939"/>
      <c r="J18" s="3939"/>
      <c r="K18" s="3944" t="s">
        <v>44</v>
      </c>
      <c r="L18" s="3947">
        <f>SUM('[18]Произв. прогр. Вода (СВОД)'!Q17)</f>
        <v>0.19858380826769037</v>
      </c>
      <c r="M18" s="3947">
        <f>SUM('[18]Произв. прогр. Вода (СВОД)'!U17)</f>
        <v>0.19459421378169231</v>
      </c>
      <c r="N18" s="3947">
        <f t="shared" ref="N18:R18" si="2">SUM(N17/N16)</f>
        <v>0.19677655516716686</v>
      </c>
      <c r="O18" s="3947">
        <f>SUM('[18]Произв. прогр. Вода (СВОД)'!Z17)</f>
        <v>0.19224763167855127</v>
      </c>
      <c r="P18" s="3947">
        <f t="shared" si="2"/>
        <v>0.19490276303915216</v>
      </c>
      <c r="Q18" s="3947">
        <f>SUM('[18]Произв. прогр. Вода (СВОД)'!AE17)</f>
        <v>0.19889057537378924</v>
      </c>
      <c r="R18" s="3954">
        <f t="shared" si="2"/>
        <v>0.19614997430291348</v>
      </c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</row>
    <row r="19" spans="1:47" ht="18.75">
      <c r="A19" s="3938" t="s">
        <v>1728</v>
      </c>
      <c r="B19" s="3939"/>
      <c r="C19" s="3939"/>
      <c r="D19" s="3939"/>
      <c r="E19" s="3939"/>
      <c r="F19" s="3939"/>
      <c r="G19" s="3939"/>
      <c r="H19" s="3939"/>
      <c r="I19" s="3939"/>
      <c r="J19" s="3939"/>
      <c r="K19" s="3940" t="s">
        <v>1800</v>
      </c>
      <c r="L19" s="3941">
        <f>SUM('Произв. прогр. Вода (СВОД)'!H18)</f>
        <v>969.05283660000009</v>
      </c>
      <c r="M19" s="3941">
        <f>SUM('Произв. прогр. Вода (СВОД)'!L18)</f>
        <v>934.82215469999994</v>
      </c>
      <c r="N19" s="3941">
        <f t="shared" ref="N19:N25" si="3">SUM(L19+M19)</f>
        <v>1903.8749913000001</v>
      </c>
      <c r="O19" s="3941">
        <f>SUM('Произв. прогр. Вода (СВОД)'!Q18)</f>
        <v>915.52058549999992</v>
      </c>
      <c r="P19" s="3941">
        <f t="shared" ref="P19:P25" si="4">SUM(N19+O19)</f>
        <v>2819.3955768000001</v>
      </c>
      <c r="Q19" s="3941">
        <f>SUM('Произв. прогр. Вода (СВОД)'!V18)</f>
        <v>971.95342320000009</v>
      </c>
      <c r="R19" s="3942">
        <f t="shared" si="0"/>
        <v>3791.3490000000002</v>
      </c>
      <c r="S19" s="435"/>
      <c r="T19" s="435"/>
      <c r="U19" s="435"/>
      <c r="V19" s="435"/>
      <c r="W19" s="435"/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  <c r="AH19" s="435"/>
      <c r="AI19" s="435"/>
      <c r="AJ19" s="435"/>
      <c r="AK19" s="435"/>
      <c r="AL19" s="435"/>
      <c r="AM19" s="435"/>
      <c r="AN19" s="435"/>
      <c r="AO19" s="435"/>
      <c r="AP19" s="435"/>
      <c r="AQ19" s="435"/>
      <c r="AR19" s="435"/>
      <c r="AS19" s="435"/>
      <c r="AT19" s="435"/>
      <c r="AU19" s="435"/>
    </row>
    <row r="20" spans="1:47" ht="18.75">
      <c r="A20" s="3943" t="s">
        <v>24</v>
      </c>
      <c r="B20" s="3939"/>
      <c r="C20" s="3939"/>
      <c r="D20" s="3939"/>
      <c r="E20" s="3939"/>
      <c r="F20" s="3939"/>
      <c r="G20" s="3939"/>
      <c r="H20" s="3939"/>
      <c r="I20" s="3939"/>
      <c r="J20" s="3939"/>
      <c r="K20" s="3944" t="s">
        <v>1800</v>
      </c>
      <c r="L20" s="3945">
        <f>SUM('Произв. прогр. Вода (СВОД)'!H19)</f>
        <v>610.23199999999997</v>
      </c>
      <c r="M20" s="3945">
        <f>SUM('Произв. прогр. Вода (СВОД)'!L19)</f>
        <v>583.57600000000002</v>
      </c>
      <c r="N20" s="3945">
        <f t="shared" si="3"/>
        <v>1193.808</v>
      </c>
      <c r="O20" s="3945">
        <f>SUM('Произв. прогр. Вода (СВОД)'!Q19)</f>
        <v>576.43599999999992</v>
      </c>
      <c r="P20" s="3945">
        <f t="shared" si="4"/>
        <v>1770.2439999999999</v>
      </c>
      <c r="Q20" s="3945">
        <f>SUM('Произв. прогр. Вода (СВОД)'!V19)</f>
        <v>609.75599999999997</v>
      </c>
      <c r="R20" s="3948">
        <f t="shared" si="0"/>
        <v>2380</v>
      </c>
      <c r="S20" s="435"/>
      <c r="T20" s="435"/>
      <c r="U20" s="435"/>
      <c r="V20" s="435"/>
      <c r="W20" s="435"/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  <c r="AH20" s="435"/>
      <c r="AI20" s="435"/>
      <c r="AJ20" s="435"/>
      <c r="AK20" s="435"/>
      <c r="AL20" s="435"/>
      <c r="AM20" s="435"/>
      <c r="AN20" s="435"/>
      <c r="AO20" s="435"/>
      <c r="AP20" s="435"/>
      <c r="AQ20" s="435"/>
      <c r="AR20" s="435"/>
      <c r="AS20" s="435"/>
      <c r="AT20" s="435"/>
      <c r="AU20" s="435"/>
    </row>
    <row r="21" spans="1:47" ht="18.75">
      <c r="A21" s="3943" t="s">
        <v>1729</v>
      </c>
      <c r="B21" s="3939"/>
      <c r="C21" s="3939"/>
      <c r="D21" s="3939"/>
      <c r="E21" s="3939"/>
      <c r="F21" s="3939"/>
      <c r="G21" s="3939"/>
      <c r="H21" s="3939"/>
      <c r="I21" s="3939"/>
      <c r="J21" s="3939"/>
      <c r="K21" s="3944" t="s">
        <v>1800</v>
      </c>
      <c r="L21" s="3945">
        <f>SUM('Произв. прогр. Вода (СВОД)'!H20)</f>
        <v>257.54283660000004</v>
      </c>
      <c r="M21" s="3945">
        <f>SUM('Произв. прогр. Вода (СВОД)'!L20)</f>
        <v>254.39215469999999</v>
      </c>
      <c r="N21" s="3945">
        <f t="shared" si="3"/>
        <v>511.93499130000004</v>
      </c>
      <c r="O21" s="3945">
        <f>SUM('Произв. прогр. Вода (СВОД)'!Q20)</f>
        <v>243.41558549999999</v>
      </c>
      <c r="P21" s="3945">
        <f t="shared" si="4"/>
        <v>755.3505768</v>
      </c>
      <c r="Q21" s="3945">
        <f>SUM('Произв. прогр. Вода (СВОД)'!V20)</f>
        <v>260.99842320000005</v>
      </c>
      <c r="R21" s="3948">
        <f t="shared" si="0"/>
        <v>1016.349</v>
      </c>
      <c r="S21" s="435"/>
      <c r="T21" s="435"/>
      <c r="U21" s="435"/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  <c r="AH21" s="435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</row>
    <row r="22" spans="1:47" ht="18.75">
      <c r="A22" s="3946" t="s">
        <v>25</v>
      </c>
      <c r="B22" s="3939"/>
      <c r="C22" s="3939"/>
      <c r="D22" s="3939"/>
      <c r="E22" s="3939"/>
      <c r="F22" s="3939"/>
      <c r="G22" s="3939"/>
      <c r="H22" s="3939"/>
      <c r="I22" s="3939"/>
      <c r="J22" s="3939"/>
      <c r="K22" s="3944" t="s">
        <v>1800</v>
      </c>
      <c r="L22" s="3949">
        <f>SUM('Произв. прогр. Вода (СВОД)'!H21)</f>
        <v>5.08725</v>
      </c>
      <c r="M22" s="3949">
        <f>SUM('Произв. прогр. Вода (СВОД)'!L21)</f>
        <v>5.08725</v>
      </c>
      <c r="N22" s="3949">
        <f t="shared" si="3"/>
        <v>10.1745</v>
      </c>
      <c r="O22" s="3949">
        <f>SUM('Произв. прогр. Вода (СВОД)'!Q21)</f>
        <v>5.08725</v>
      </c>
      <c r="P22" s="3949">
        <f t="shared" si="4"/>
        <v>15.261749999999999</v>
      </c>
      <c r="Q22" s="3949">
        <f>SUM('Произв. прогр. Вода (СВОД)'!V21)</f>
        <v>5.08725</v>
      </c>
      <c r="R22" s="3950">
        <f t="shared" si="0"/>
        <v>20.349</v>
      </c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435"/>
      <c r="AI22" s="435"/>
      <c r="AJ22" s="435"/>
      <c r="AK22" s="435"/>
      <c r="AL22" s="435"/>
      <c r="AM22" s="435"/>
      <c r="AN22" s="435"/>
      <c r="AO22" s="435"/>
      <c r="AP22" s="435"/>
      <c r="AQ22" s="435"/>
      <c r="AR22" s="435"/>
      <c r="AS22" s="435"/>
      <c r="AT22" s="435"/>
      <c r="AU22" s="435"/>
    </row>
    <row r="23" spans="1:47" ht="18" customHeight="1">
      <c r="A23" s="3938" t="s">
        <v>1730</v>
      </c>
      <c r="B23" s="3939"/>
      <c r="C23" s="3939"/>
      <c r="D23" s="3939"/>
      <c r="E23" s="3939"/>
      <c r="F23" s="3939"/>
      <c r="G23" s="3939"/>
      <c r="H23" s="3939"/>
      <c r="I23" s="3939"/>
      <c r="J23" s="3939"/>
      <c r="K23" s="3940" t="s">
        <v>1800</v>
      </c>
      <c r="L23" s="3941">
        <f>SUM('Произв. прогр. Вода (СВОД)'!H22)</f>
        <v>101.27799999999999</v>
      </c>
      <c r="M23" s="3941">
        <f>SUM('Произв. прогр. Вода (СВОД)'!L22)</f>
        <v>96.853999999999985</v>
      </c>
      <c r="N23" s="3941">
        <f t="shared" si="3"/>
        <v>198.13199999999998</v>
      </c>
      <c r="O23" s="3941">
        <f>SUM('Произв. прогр. Вода (СВОД)'!Q22)</f>
        <v>95.668999999999983</v>
      </c>
      <c r="P23" s="3941">
        <f t="shared" si="4"/>
        <v>293.80099999999993</v>
      </c>
      <c r="Q23" s="3941">
        <f>SUM('Произв. прогр. Вода (СВОД)'!V22)</f>
        <v>101.19899999999998</v>
      </c>
      <c r="R23" s="3942">
        <f t="shared" si="0"/>
        <v>394.99999999999989</v>
      </c>
      <c r="S23" s="435"/>
      <c r="T23" s="435"/>
      <c r="U23" s="435"/>
      <c r="V23" s="435"/>
      <c r="W23" s="435"/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5"/>
      <c r="AI23" s="435"/>
      <c r="AJ23" s="435"/>
      <c r="AK23" s="435"/>
      <c r="AL23" s="435"/>
      <c r="AM23" s="435"/>
      <c r="AN23" s="435"/>
      <c r="AO23" s="435"/>
      <c r="AP23" s="435"/>
      <c r="AQ23" s="435"/>
      <c r="AR23" s="435"/>
      <c r="AS23" s="435"/>
      <c r="AT23" s="435"/>
      <c r="AU23" s="435"/>
    </row>
    <row r="24" spans="1:47" ht="18.75">
      <c r="A24" s="3946" t="s">
        <v>655</v>
      </c>
      <c r="B24" s="3939"/>
      <c r="C24" s="3939"/>
      <c r="D24" s="3939"/>
      <c r="E24" s="3939"/>
      <c r="F24" s="3939"/>
      <c r="G24" s="3939"/>
      <c r="H24" s="3939"/>
      <c r="I24" s="3939"/>
      <c r="J24" s="3939"/>
      <c r="K24" s="3944" t="s">
        <v>1800</v>
      </c>
      <c r="L24" s="3949">
        <f>SUM('Произв. прогр. Вода (СВОД)'!H23)</f>
        <v>89.74</v>
      </c>
      <c r="M24" s="3949">
        <f>SUM('Произв. прогр. Вода (СВОД)'!L23)</f>
        <v>85.82</v>
      </c>
      <c r="N24" s="3949">
        <f t="shared" si="3"/>
        <v>175.56</v>
      </c>
      <c r="O24" s="3949">
        <f>SUM('Произв. прогр. Вода (СВОД)'!Q23)</f>
        <v>84.77</v>
      </c>
      <c r="P24" s="3949">
        <f t="shared" si="4"/>
        <v>260.33</v>
      </c>
      <c r="Q24" s="3949">
        <f>SUM('Произв. прогр. Вода (СВОД)'!V23)</f>
        <v>89.669999999999987</v>
      </c>
      <c r="R24" s="3950">
        <f t="shared" si="0"/>
        <v>350</v>
      </c>
      <c r="S24" s="435"/>
      <c r="T24" s="435"/>
      <c r="U24" s="435"/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</row>
    <row r="25" spans="1:47" ht="18.75">
      <c r="A25" s="3946" t="s">
        <v>656</v>
      </c>
      <c r="B25" s="3939"/>
      <c r="C25" s="3939"/>
      <c r="D25" s="3939"/>
      <c r="E25" s="3939"/>
      <c r="F25" s="3939"/>
      <c r="G25" s="3939"/>
      <c r="H25" s="3939"/>
      <c r="I25" s="3939"/>
      <c r="J25" s="3939"/>
      <c r="K25" s="3944" t="s">
        <v>1800</v>
      </c>
      <c r="L25" s="3949">
        <f>SUM('Произв. прогр. Вода (СВОД)'!H24)</f>
        <v>11.538</v>
      </c>
      <c r="M25" s="3949">
        <f>SUM('Произв. прогр. Вода (СВОД)'!L24)</f>
        <v>11.033999999999999</v>
      </c>
      <c r="N25" s="3949">
        <f t="shared" si="3"/>
        <v>22.571999999999999</v>
      </c>
      <c r="O25" s="3949">
        <f>SUM('Произв. прогр. Вода (СВОД)'!Q24)</f>
        <v>10.898999999999999</v>
      </c>
      <c r="P25" s="3949">
        <f t="shared" si="4"/>
        <v>33.470999999999997</v>
      </c>
      <c r="Q25" s="3949">
        <f>SUM('Произв. прогр. Вода (СВОД)'!V24)</f>
        <v>11.528999999999998</v>
      </c>
      <c r="R25" s="3950">
        <f t="shared" si="0"/>
        <v>44.999999999999993</v>
      </c>
      <c r="S25" s="435"/>
      <c r="T25" s="435"/>
      <c r="U25" s="435"/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  <c r="AH25" s="435"/>
      <c r="AI25" s="435"/>
      <c r="AJ25" s="435"/>
      <c r="AK25" s="435"/>
      <c r="AL25" s="435"/>
      <c r="AM25" s="435"/>
      <c r="AN25" s="435"/>
      <c r="AO25" s="435"/>
      <c r="AP25" s="435"/>
      <c r="AQ25" s="435"/>
      <c r="AR25" s="435"/>
      <c r="AS25" s="435"/>
      <c r="AT25" s="435"/>
      <c r="AU25" s="435"/>
    </row>
    <row r="26" spans="1:47" ht="18.75">
      <c r="A26" s="4375" t="s">
        <v>1741</v>
      </c>
      <c r="B26" s="4376"/>
      <c r="C26" s="4376"/>
      <c r="D26" s="4376"/>
      <c r="E26" s="4376"/>
      <c r="F26" s="4376"/>
      <c r="G26" s="4376"/>
      <c r="H26" s="4376"/>
      <c r="I26" s="4376"/>
      <c r="J26" s="4376"/>
      <c r="K26" s="4377"/>
      <c r="L26" s="4377"/>
      <c r="M26" s="4377"/>
      <c r="N26" s="4377"/>
      <c r="O26" s="4377"/>
      <c r="P26" s="4377"/>
      <c r="Q26" s="4377"/>
      <c r="R26" s="4378"/>
      <c r="S26" s="435"/>
      <c r="T26" s="435"/>
      <c r="U26" s="435"/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</row>
    <row r="27" spans="1:47" ht="18.75" customHeight="1">
      <c r="A27" s="4381" t="s">
        <v>546</v>
      </c>
      <c r="B27" s="3937"/>
      <c r="C27" s="3937"/>
      <c r="D27" s="3937"/>
      <c r="E27" s="3937"/>
      <c r="F27" s="3937"/>
      <c r="G27" s="3937"/>
      <c r="H27" s="3937"/>
      <c r="I27" s="3937"/>
      <c r="J27" s="3937"/>
      <c r="K27" s="4372" t="s">
        <v>1797</v>
      </c>
      <c r="L27" s="4373" t="s">
        <v>601</v>
      </c>
      <c r="M27" s="4373" t="s">
        <v>600</v>
      </c>
      <c r="N27" s="4373" t="s">
        <v>599</v>
      </c>
      <c r="O27" s="4373" t="s">
        <v>225</v>
      </c>
      <c r="P27" s="4373" t="s">
        <v>229</v>
      </c>
      <c r="Q27" s="4373" t="s">
        <v>135</v>
      </c>
      <c r="R27" s="4374" t="s">
        <v>1799</v>
      </c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</row>
    <row r="28" spans="1:47" ht="18.75">
      <c r="A28" s="4382"/>
      <c r="B28" s="3937"/>
      <c r="C28" s="3937"/>
      <c r="D28" s="3937"/>
      <c r="E28" s="3937"/>
      <c r="F28" s="3937"/>
      <c r="G28" s="3937"/>
      <c r="H28" s="3937"/>
      <c r="I28" s="3937"/>
      <c r="J28" s="3937"/>
      <c r="K28" s="4372"/>
      <c r="L28" s="4373"/>
      <c r="M28" s="4373"/>
      <c r="N28" s="4373"/>
      <c r="O28" s="4373"/>
      <c r="P28" s="4373"/>
      <c r="Q28" s="4373"/>
      <c r="R28" s="4374"/>
      <c r="S28" s="435"/>
      <c r="T28" s="435"/>
      <c r="U28" s="435"/>
      <c r="V28" s="435"/>
      <c r="W28" s="435"/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  <c r="AH28" s="435"/>
      <c r="AI28" s="435"/>
      <c r="AJ28" s="435"/>
      <c r="AK28" s="435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</row>
    <row r="29" spans="1:47" ht="18.75">
      <c r="A29" s="3951" t="s">
        <v>1</v>
      </c>
      <c r="B29" s="3939"/>
      <c r="C29" s="3939"/>
      <c r="D29" s="3939"/>
      <c r="E29" s="3939"/>
      <c r="F29" s="3939"/>
      <c r="G29" s="3939"/>
      <c r="H29" s="3939"/>
      <c r="I29" s="3939"/>
      <c r="J29" s="3939"/>
      <c r="K29" s="3944" t="s">
        <v>919</v>
      </c>
      <c r="L29" s="3945">
        <f>SUM('Произв. прогр. Вода (СВОД)'!H45)</f>
        <v>2178.6821524877969</v>
      </c>
      <c r="M29" s="3945">
        <f>SUM('Произв. прогр. Вода (СВОД)'!L45)</f>
        <v>2093.9337251599904</v>
      </c>
      <c r="N29" s="3945">
        <f t="shared" ref="N29" si="5">SUM(L29+M29)</f>
        <v>4272.6158776477878</v>
      </c>
      <c r="O29" s="3945">
        <f>SUM('Произв. прогр. Вода (СВОД)'!Q45)</f>
        <v>2188.6487333883315</v>
      </c>
      <c r="P29" s="3945">
        <f t="shared" ref="P29" si="6">SUM(N29+O29)</f>
        <v>6461.2646110361193</v>
      </c>
      <c r="Q29" s="3945">
        <f>SUM('Произв. прогр. Вода (СВОД)'!V45)</f>
        <v>2338.0953891975323</v>
      </c>
      <c r="R29" s="3948">
        <f t="shared" ref="R29" si="7">SUM(P29+Q29)</f>
        <v>8799.3600002336516</v>
      </c>
      <c r="S29" s="435"/>
      <c r="T29" s="435"/>
      <c r="U29" s="435"/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</row>
    <row r="30" spans="1:47" ht="18.75">
      <c r="A30" s="3951" t="s">
        <v>2</v>
      </c>
      <c r="B30" s="3939"/>
      <c r="C30" s="3939"/>
      <c r="D30" s="3939"/>
      <c r="E30" s="3939"/>
      <c r="F30" s="3939"/>
      <c r="G30" s="3939"/>
      <c r="H30" s="3939"/>
      <c r="I30" s="3939"/>
      <c r="J30" s="3939"/>
      <c r="K30" s="3944" t="s">
        <v>919</v>
      </c>
      <c r="L30" s="3945">
        <f>SUM('Произв. прогр. Вода (СВОД)'!H46)</f>
        <v>2074.17</v>
      </c>
      <c r="M30" s="3945">
        <f>SUM('Произв. прогр. Вода (СВОД)'!L46)</f>
        <v>2074.17</v>
      </c>
      <c r="N30" s="3945">
        <f t="shared" ref="N30:N50" si="8">SUM(L30+M30)</f>
        <v>4148.34</v>
      </c>
      <c r="O30" s="3945">
        <f>SUM('Произв. прогр. Вода (СВОД)'!Q46)</f>
        <v>2074.17</v>
      </c>
      <c r="P30" s="3945">
        <f t="shared" ref="P30:P50" si="9">SUM(N30+O30)</f>
        <v>6222.51</v>
      </c>
      <c r="Q30" s="3945">
        <f>SUM('Произв. прогр. Вода (СВОД)'!V46)</f>
        <v>2074.17</v>
      </c>
      <c r="R30" s="3948">
        <f t="shared" ref="R30:R50" si="10">SUM(P30+Q30)</f>
        <v>8296.68</v>
      </c>
      <c r="S30" s="435"/>
      <c r="T30" s="435"/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</row>
    <row r="31" spans="1:47" ht="18.75">
      <c r="A31" s="3951" t="s">
        <v>219</v>
      </c>
      <c r="B31" s="3939"/>
      <c r="C31" s="3939"/>
      <c r="D31" s="3939"/>
      <c r="E31" s="3939"/>
      <c r="F31" s="3939"/>
      <c r="G31" s="3939"/>
      <c r="H31" s="3939"/>
      <c r="I31" s="3939"/>
      <c r="J31" s="3939"/>
      <c r="K31" s="3944" t="s">
        <v>919</v>
      </c>
      <c r="L31" s="3945">
        <f>SUM('Произв. прогр. Вода (СВОД)'!H47)</f>
        <v>0</v>
      </c>
      <c r="M31" s="3945">
        <f>SUM('Произв. прогр. Вода (СВОД)'!L47)</f>
        <v>0</v>
      </c>
      <c r="N31" s="3945">
        <f t="shared" si="8"/>
        <v>0</v>
      </c>
      <c r="O31" s="3945">
        <f>SUM('Произв. прогр. Вода (СВОД)'!Q47)</f>
        <v>0</v>
      </c>
      <c r="P31" s="3945">
        <f t="shared" si="9"/>
        <v>0</v>
      </c>
      <c r="Q31" s="3945">
        <f>SUM('Произв. прогр. Вода (СВОД)'!V47)</f>
        <v>0</v>
      </c>
      <c r="R31" s="3948">
        <f t="shared" si="10"/>
        <v>0</v>
      </c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</row>
    <row r="32" spans="1:47" ht="18.75">
      <c r="A32" s="3951" t="s">
        <v>3</v>
      </c>
      <c r="B32" s="3939"/>
      <c r="C32" s="3939"/>
      <c r="D32" s="3939"/>
      <c r="E32" s="3939"/>
      <c r="F32" s="3939"/>
      <c r="G32" s="3939"/>
      <c r="H32" s="3939"/>
      <c r="I32" s="3939"/>
      <c r="J32" s="3939"/>
      <c r="K32" s="3944" t="s">
        <v>919</v>
      </c>
      <c r="L32" s="3945">
        <f>SUM('Произв. прогр. Вода (СВОД)'!H48)</f>
        <v>132.67933074419489</v>
      </c>
      <c r="M32" s="3945">
        <f>SUM('Произв. прогр. Вода (СВОД)'!L48)</f>
        <v>132.67933074419489</v>
      </c>
      <c r="N32" s="3945">
        <f t="shared" si="8"/>
        <v>265.35866148838977</v>
      </c>
      <c r="O32" s="3945">
        <f>SUM('Произв. прогр. Вода (СВОД)'!Q48)</f>
        <v>132.67933074419489</v>
      </c>
      <c r="P32" s="3945">
        <f t="shared" si="9"/>
        <v>398.03799223258466</v>
      </c>
      <c r="Q32" s="3945">
        <f>SUM('Произв. прогр. Вода (СВОД)'!V48)</f>
        <v>132.67933074419489</v>
      </c>
      <c r="R32" s="3948">
        <f t="shared" si="10"/>
        <v>530.71732297677954</v>
      </c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</row>
    <row r="33" spans="1:47" ht="18.75">
      <c r="A33" s="3951" t="s">
        <v>8</v>
      </c>
      <c r="B33" s="3939"/>
      <c r="C33" s="3939"/>
      <c r="D33" s="3939"/>
      <c r="E33" s="3939"/>
      <c r="F33" s="3939"/>
      <c r="G33" s="3939"/>
      <c r="H33" s="3939"/>
      <c r="I33" s="3939"/>
      <c r="J33" s="3939"/>
      <c r="K33" s="3944" t="s">
        <v>919</v>
      </c>
      <c r="L33" s="3945">
        <f>SUM('Произв. прогр. Вода (СВОД)'!H49)</f>
        <v>1851.6449689860901</v>
      </c>
      <c r="M33" s="3945">
        <f>SUM('Произв. прогр. Вода (СВОД)'!L49)</f>
        <v>1851.6449689860901</v>
      </c>
      <c r="N33" s="3945">
        <f t="shared" si="8"/>
        <v>3703.2899379721803</v>
      </c>
      <c r="O33" s="3945">
        <f>SUM('Произв. прогр. Вода (СВОД)'!Q49)</f>
        <v>1851.6449689860901</v>
      </c>
      <c r="P33" s="3945">
        <f t="shared" si="9"/>
        <v>5554.9349069582704</v>
      </c>
      <c r="Q33" s="3945">
        <f>SUM('Произв. прогр. Вода (СВОД)'!V49)</f>
        <v>1851.6449689860901</v>
      </c>
      <c r="R33" s="3948">
        <f t="shared" si="10"/>
        <v>7406.5798759443605</v>
      </c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</row>
    <row r="34" spans="1:47" ht="18.75">
      <c r="A34" s="3951" t="s">
        <v>4</v>
      </c>
      <c r="B34" s="3939"/>
      <c r="C34" s="3939"/>
      <c r="D34" s="3939"/>
      <c r="E34" s="3939"/>
      <c r="F34" s="3939"/>
      <c r="G34" s="3939"/>
      <c r="H34" s="3939"/>
      <c r="I34" s="3939"/>
      <c r="J34" s="3939"/>
      <c r="K34" s="3944" t="s">
        <v>919</v>
      </c>
      <c r="L34" s="3945">
        <f>SUM('Произв. прогр. Вода (СВОД)'!H50)</f>
        <v>12213.207390071777</v>
      </c>
      <c r="M34" s="3945">
        <f>SUM('Произв. прогр. Вода (СВОД)'!L50)</f>
        <v>12213.207390071777</v>
      </c>
      <c r="N34" s="3945">
        <f t="shared" si="8"/>
        <v>24426.414780143554</v>
      </c>
      <c r="O34" s="3945">
        <f>SUM('Произв. прогр. Вода (СВОД)'!Q50)</f>
        <v>12949.663795693103</v>
      </c>
      <c r="P34" s="3945">
        <f t="shared" si="9"/>
        <v>37376.078575836655</v>
      </c>
      <c r="Q34" s="3945">
        <f>SUM('Произв. прогр. Вода (СВОД)'!V50)</f>
        <v>12949.663795693103</v>
      </c>
      <c r="R34" s="3948">
        <f t="shared" si="10"/>
        <v>50325.742371529755</v>
      </c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</row>
    <row r="35" spans="1:47" ht="18.75">
      <c r="A35" s="3951" t="s">
        <v>5</v>
      </c>
      <c r="B35" s="3939"/>
      <c r="C35" s="3939"/>
      <c r="D35" s="3939"/>
      <c r="E35" s="3939"/>
      <c r="F35" s="3939"/>
      <c r="G35" s="3939"/>
      <c r="H35" s="3939"/>
      <c r="I35" s="3939"/>
      <c r="J35" s="3939"/>
      <c r="K35" s="3944" t="s">
        <v>919</v>
      </c>
      <c r="L35" s="3945">
        <f>SUM('Произв. прогр. Вода (СВОД)'!H51)</f>
        <v>3658.2032592018068</v>
      </c>
      <c r="M35" s="3945">
        <f>SUM('Произв. прогр. Вода (СВОД)'!L51)</f>
        <v>3658.2032592018068</v>
      </c>
      <c r="N35" s="3945">
        <f t="shared" si="8"/>
        <v>7316.4065184036135</v>
      </c>
      <c r="O35" s="3945">
        <f>SUM('Произв. прогр. Вода (СВОД)'!Q51)</f>
        <v>3878.7929157316744</v>
      </c>
      <c r="P35" s="3945">
        <f t="shared" si="9"/>
        <v>11195.199434135287</v>
      </c>
      <c r="Q35" s="3945">
        <f>SUM('Произв. прогр. Вода (СВОД)'!V51)</f>
        <v>3878.7929157316744</v>
      </c>
      <c r="R35" s="3948">
        <f t="shared" si="10"/>
        <v>15073.992349866961</v>
      </c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</row>
    <row r="36" spans="1:47" ht="18.75">
      <c r="A36" s="3952" t="s">
        <v>322</v>
      </c>
      <c r="B36" s="3939"/>
      <c r="C36" s="3939"/>
      <c r="D36" s="3939"/>
      <c r="E36" s="3939"/>
      <c r="F36" s="3939"/>
      <c r="G36" s="3939"/>
      <c r="H36" s="3939"/>
      <c r="I36" s="3939"/>
      <c r="J36" s="3939"/>
      <c r="K36" s="3953" t="s">
        <v>44</v>
      </c>
      <c r="L36" s="4012">
        <f>SUM('Произв. прогр. Вода (СВОД)'!H52)</f>
        <v>0.29952846474838313</v>
      </c>
      <c r="M36" s="4012">
        <f>SUM('Произв. прогр. Вода (СВОД)'!L52)</f>
        <v>0.29952846474838313</v>
      </c>
      <c r="N36" s="4012">
        <f>SUM(N35/N34)</f>
        <v>0.29952846474838313</v>
      </c>
      <c r="O36" s="4012">
        <f>SUM('Произв. прогр. Вода (СВОД)'!Q52)</f>
        <v>0.29952846474838307</v>
      </c>
      <c r="P36" s="4012">
        <f>SUM(P35/P34)</f>
        <v>0.29952846474838313</v>
      </c>
      <c r="Q36" s="4012">
        <f>SUM('Произв. прогр. Вода (СВОД)'!V52)</f>
        <v>0.29952846474838307</v>
      </c>
      <c r="R36" s="4013">
        <f>SUM(R35/R34)</f>
        <v>0.29952846474838313</v>
      </c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</row>
    <row r="37" spans="1:47" ht="18.75">
      <c r="A37" s="3951" t="s">
        <v>1765</v>
      </c>
      <c r="B37" s="3939"/>
      <c r="C37" s="3939"/>
      <c r="D37" s="3939"/>
      <c r="E37" s="3939"/>
      <c r="F37" s="3939"/>
      <c r="G37" s="3939"/>
      <c r="H37" s="3939"/>
      <c r="I37" s="3939"/>
      <c r="J37" s="3939"/>
      <c r="K37" s="3944" t="s">
        <v>919</v>
      </c>
      <c r="L37" s="3945">
        <f>SUM('Произв. прогр. Вода (СВОД)'!H53)</f>
        <v>5632.5718398210283</v>
      </c>
      <c r="M37" s="3945">
        <f>SUM('Произв. прогр. Вода (СВОД)'!L53)</f>
        <v>4342.7383703191754</v>
      </c>
      <c r="N37" s="3945">
        <f t="shared" si="8"/>
        <v>9975.3102101402037</v>
      </c>
      <c r="O37" s="3945">
        <f>SUM('Произв. прогр. Вода (СВОД)'!Q53)</f>
        <v>4196.0637141638435</v>
      </c>
      <c r="P37" s="3945">
        <f t="shared" si="9"/>
        <v>14171.373924304047</v>
      </c>
      <c r="Q37" s="3945">
        <f>SUM('Произв. прогр. Вода (СВОД)'!V53)</f>
        <v>5580.6768896421818</v>
      </c>
      <c r="R37" s="3948">
        <f t="shared" si="10"/>
        <v>19752.050813946229</v>
      </c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</row>
    <row r="38" spans="1:47" ht="18.75">
      <c r="A38" s="3952" t="s">
        <v>1766</v>
      </c>
      <c r="B38" s="3939"/>
      <c r="C38" s="3939"/>
      <c r="D38" s="3939"/>
      <c r="E38" s="3939"/>
      <c r="F38" s="3939"/>
      <c r="G38" s="3939"/>
      <c r="H38" s="3939"/>
      <c r="I38" s="3939"/>
      <c r="J38" s="3939"/>
      <c r="K38" s="3944" t="s">
        <v>919</v>
      </c>
      <c r="L38" s="3949">
        <f>SUM('Произв. прогр. Вода (СВОД)'!H54)</f>
        <v>1866.9758679897293</v>
      </c>
      <c r="M38" s="3949">
        <f>SUM('Произв. прогр. Вода (СВОД)'!L54)</f>
        <v>1866.9758679897293</v>
      </c>
      <c r="N38" s="3949">
        <f t="shared" si="8"/>
        <v>3733.9517359794586</v>
      </c>
      <c r="O38" s="3949">
        <f>SUM('Произв. прогр. Вода (СВОД)'!Q54)</f>
        <v>1985.9659332322503</v>
      </c>
      <c r="P38" s="3949">
        <f t="shared" si="9"/>
        <v>5719.9176692117089</v>
      </c>
      <c r="Q38" s="3949">
        <f>SUM('Произв. прогр. Вода (СВОД)'!V54)</f>
        <v>1985.9659332322503</v>
      </c>
      <c r="R38" s="3950">
        <f t="shared" si="10"/>
        <v>7705.8836024439588</v>
      </c>
    </row>
    <row r="39" spans="1:47" ht="18.75">
      <c r="A39" s="3952" t="s">
        <v>1767</v>
      </c>
      <c r="B39" s="3939"/>
      <c r="C39" s="3939"/>
      <c r="D39" s="3939"/>
      <c r="E39" s="3939"/>
      <c r="F39" s="3939"/>
      <c r="G39" s="3939"/>
      <c r="H39" s="3939"/>
      <c r="I39" s="3939"/>
      <c r="J39" s="3939"/>
      <c r="K39" s="3944" t="s">
        <v>919</v>
      </c>
      <c r="L39" s="3949">
        <f>SUM('Произв. прогр. Вода (СВОД)'!H55)</f>
        <v>991.49015681402045</v>
      </c>
      <c r="M39" s="3949">
        <f>SUM('Произв. прогр. Вода (СВОД)'!L55)</f>
        <v>991.49015681402045</v>
      </c>
      <c r="N39" s="3949">
        <f t="shared" si="8"/>
        <v>1982.9803136280409</v>
      </c>
      <c r="O39" s="3949">
        <f>SUM('Произв. прогр. Вода (СВОД)'!Q55)</f>
        <v>1051.2770132699059</v>
      </c>
      <c r="P39" s="3949">
        <f t="shared" si="9"/>
        <v>3034.2573268979468</v>
      </c>
      <c r="Q39" s="3949">
        <f>SUM('Произв. прогр. Вода (СВОД)'!V55)</f>
        <v>1051.2770132699059</v>
      </c>
      <c r="R39" s="3950">
        <f t="shared" si="10"/>
        <v>4085.5343401678529</v>
      </c>
    </row>
    <row r="40" spans="1:47" ht="18.75">
      <c r="A40" s="3952" t="s">
        <v>300</v>
      </c>
      <c r="B40" s="3939"/>
      <c r="C40" s="3939"/>
      <c r="D40" s="3939"/>
      <c r="E40" s="3939"/>
      <c r="F40" s="3939"/>
      <c r="G40" s="3939"/>
      <c r="H40" s="3939"/>
      <c r="I40" s="3939"/>
      <c r="J40" s="3939"/>
      <c r="K40" s="3944" t="s">
        <v>919</v>
      </c>
      <c r="L40" s="3949">
        <f>SUM('Произв. прогр. Вода (СВОД)'!H56)</f>
        <v>2774.1058150172785</v>
      </c>
      <c r="M40" s="3949">
        <f>SUM('Произв. прогр. Вода (СВОД)'!L56)</f>
        <v>1484.2723455154255</v>
      </c>
      <c r="N40" s="3949">
        <f t="shared" si="8"/>
        <v>4258.378160532704</v>
      </c>
      <c r="O40" s="3949">
        <f>SUM('Произв. прогр. Вода (СВОД)'!Q56)</f>
        <v>1158.8207676616873</v>
      </c>
      <c r="P40" s="3949">
        <f t="shared" si="9"/>
        <v>5417.1989281943916</v>
      </c>
      <c r="Q40" s="3949">
        <f>SUM('Произв. прогр. Вода (СВОД)'!V56)</f>
        <v>2543.4339431400258</v>
      </c>
      <c r="R40" s="3950">
        <f t="shared" si="10"/>
        <v>7960.6328713344174</v>
      </c>
    </row>
    <row r="41" spans="1:47" ht="18.75">
      <c r="A41" s="3951" t="s">
        <v>1744</v>
      </c>
      <c r="B41" s="3955"/>
      <c r="C41" s="3955"/>
      <c r="D41" s="3955"/>
      <c r="E41" s="3955"/>
      <c r="F41" s="3955"/>
      <c r="G41" s="3955"/>
      <c r="H41" s="3955"/>
      <c r="I41" s="3955"/>
      <c r="J41" s="3955"/>
      <c r="K41" s="3944" t="s">
        <v>919</v>
      </c>
      <c r="L41" s="3945">
        <f>SUM('Произв. прогр. Вода (СВОД)'!H57)</f>
        <v>905.47599999999989</v>
      </c>
      <c r="M41" s="3945">
        <f>SUM('Произв. прогр. Вода (СВОД)'!L57)</f>
        <v>905.47599999999989</v>
      </c>
      <c r="N41" s="3945">
        <f t="shared" si="8"/>
        <v>1810.9519999999998</v>
      </c>
      <c r="O41" s="3945">
        <f>SUM('Произв. прогр. Вода (СВОД)'!Q57)</f>
        <v>905.47599999999989</v>
      </c>
      <c r="P41" s="3945">
        <f t="shared" si="9"/>
        <v>2716.4279999999999</v>
      </c>
      <c r="Q41" s="3945">
        <f>SUM('Произв. прогр. Вода (СВОД)'!V57)</f>
        <v>905.47599999999989</v>
      </c>
      <c r="R41" s="3948">
        <f t="shared" si="10"/>
        <v>3621.9039999999995</v>
      </c>
    </row>
    <row r="42" spans="1:47" ht="18.75">
      <c r="A42" s="3952" t="s">
        <v>1745</v>
      </c>
      <c r="B42" s="3955"/>
      <c r="C42" s="3955"/>
      <c r="D42" s="3955"/>
      <c r="E42" s="3955"/>
      <c r="F42" s="3955"/>
      <c r="G42" s="3955"/>
      <c r="H42" s="3955"/>
      <c r="I42" s="3955"/>
      <c r="J42" s="3955"/>
      <c r="K42" s="3944" t="s">
        <v>919</v>
      </c>
      <c r="L42" s="3949">
        <f>SUM('Произв. прогр. Вода (СВОД)'!H58)</f>
        <v>339.3775</v>
      </c>
      <c r="M42" s="3949">
        <f>SUM('Произв. прогр. Вода (СВОД)'!L58)</f>
        <v>339.3775</v>
      </c>
      <c r="N42" s="3949">
        <f t="shared" si="8"/>
        <v>678.755</v>
      </c>
      <c r="O42" s="3949">
        <f>SUM('Произв. прогр. Вода (СВОД)'!Q58)</f>
        <v>339.3775</v>
      </c>
      <c r="P42" s="3949">
        <f t="shared" si="9"/>
        <v>1018.1324999999999</v>
      </c>
      <c r="Q42" s="3949">
        <f>SUM('Произв. прогр. Вода (СВОД)'!V58)</f>
        <v>339.3775</v>
      </c>
      <c r="R42" s="3950">
        <f t="shared" si="10"/>
        <v>1357.51</v>
      </c>
    </row>
    <row r="43" spans="1:47" ht="18.75">
      <c r="A43" s="3952" t="s">
        <v>543</v>
      </c>
      <c r="B43" s="3955"/>
      <c r="C43" s="3955"/>
      <c r="D43" s="3955"/>
      <c r="E43" s="3955"/>
      <c r="F43" s="3955"/>
      <c r="G43" s="3955"/>
      <c r="H43" s="3955"/>
      <c r="I43" s="3955"/>
      <c r="J43" s="3955"/>
      <c r="K43" s="3944" t="s">
        <v>919</v>
      </c>
      <c r="L43" s="3949">
        <f>SUM('Произв. прогр. Вода (СВОД)'!H59)</f>
        <v>22.2925</v>
      </c>
      <c r="M43" s="3949">
        <f>SUM('Произв. прогр. Вода (СВОД)'!L59)</f>
        <v>22.2925</v>
      </c>
      <c r="N43" s="3949">
        <f t="shared" si="8"/>
        <v>44.585000000000001</v>
      </c>
      <c r="O43" s="3949">
        <f>SUM('Произв. прогр. Вода (СВОД)'!Q59)</f>
        <v>22.2925</v>
      </c>
      <c r="P43" s="3949">
        <f t="shared" si="9"/>
        <v>66.877499999999998</v>
      </c>
      <c r="Q43" s="3949">
        <f>SUM('Произв. прогр. Вода (СВОД)'!V59)</f>
        <v>22.2925</v>
      </c>
      <c r="R43" s="3950">
        <f t="shared" si="10"/>
        <v>89.17</v>
      </c>
    </row>
    <row r="44" spans="1:47" ht="18.75">
      <c r="A44" s="3952" t="s">
        <v>544</v>
      </c>
      <c r="B44" s="3955"/>
      <c r="C44" s="3955"/>
      <c r="D44" s="3955"/>
      <c r="E44" s="3955"/>
      <c r="F44" s="3955"/>
      <c r="G44" s="3955"/>
      <c r="H44" s="3955"/>
      <c r="I44" s="3955"/>
      <c r="J44" s="3955"/>
      <c r="K44" s="3944" t="s">
        <v>919</v>
      </c>
      <c r="L44" s="3949">
        <f>SUM('Произв. прогр. Вода (СВОД)'!H60)</f>
        <v>0</v>
      </c>
      <c r="M44" s="3949">
        <f>SUM('Произв. прогр. Вода (СВОД)'!L60)</f>
        <v>0</v>
      </c>
      <c r="N44" s="3949">
        <f t="shared" si="8"/>
        <v>0</v>
      </c>
      <c r="O44" s="3949">
        <f>SUM('Произв. прогр. Вода (СВОД)'!Q60)</f>
        <v>0</v>
      </c>
      <c r="P44" s="3949">
        <f t="shared" si="9"/>
        <v>0</v>
      </c>
      <c r="Q44" s="3949">
        <f>SUM('Произв. прогр. Вода (СВОД)'!V60)</f>
        <v>0</v>
      </c>
      <c r="R44" s="3950">
        <f t="shared" si="10"/>
        <v>0</v>
      </c>
    </row>
    <row r="45" spans="1:47" ht="18.75">
      <c r="A45" s="3952" t="s">
        <v>545</v>
      </c>
      <c r="B45" s="3955"/>
      <c r="C45" s="3955"/>
      <c r="D45" s="3955"/>
      <c r="E45" s="3955"/>
      <c r="F45" s="3955"/>
      <c r="G45" s="3955"/>
      <c r="H45" s="3955"/>
      <c r="I45" s="3955"/>
      <c r="J45" s="3955"/>
      <c r="K45" s="3944" t="s">
        <v>919</v>
      </c>
      <c r="L45" s="3949">
        <f>SUM('Произв. прогр. Вода (СВОД)'!H61)</f>
        <v>543.80599999999993</v>
      </c>
      <c r="M45" s="3949">
        <f>SUM('Произв. прогр. Вода (СВОД)'!L61)</f>
        <v>543.80599999999993</v>
      </c>
      <c r="N45" s="3949">
        <f t="shared" si="8"/>
        <v>1087.6119999999999</v>
      </c>
      <c r="O45" s="3949">
        <f>SUM('Произв. прогр. Вода (СВОД)'!Q61)</f>
        <v>543.80599999999993</v>
      </c>
      <c r="P45" s="3949">
        <f t="shared" si="9"/>
        <v>1631.4179999999997</v>
      </c>
      <c r="Q45" s="3949">
        <f>SUM('Произв. прогр. Вода (СВОД)'!V61)</f>
        <v>543.80599999999993</v>
      </c>
      <c r="R45" s="3950">
        <f t="shared" si="10"/>
        <v>2175.2239999999997</v>
      </c>
    </row>
    <row r="46" spans="1:47" ht="18.75">
      <c r="A46" s="3951" t="s">
        <v>1768</v>
      </c>
      <c r="B46" s="3955"/>
      <c r="C46" s="3955"/>
      <c r="D46" s="3955"/>
      <c r="E46" s="3955"/>
      <c r="F46" s="3955"/>
      <c r="G46" s="3955"/>
      <c r="H46" s="3955"/>
      <c r="I46" s="3955"/>
      <c r="J46" s="3955"/>
      <c r="K46" s="3944" t="s">
        <v>919</v>
      </c>
      <c r="L46" s="3945">
        <f>SUM('Произв. прогр. Вода (СВОД)'!H62)</f>
        <v>2532.214942142054</v>
      </c>
      <c r="M46" s="3945">
        <f>SUM('Произв. прогр. Вода (СВОД)'!L62)</f>
        <v>2532.214942142054</v>
      </c>
      <c r="N46" s="3945">
        <f t="shared" si="8"/>
        <v>5064.4298842841081</v>
      </c>
      <c r="O46" s="3945">
        <f>SUM('Произв. прогр. Вода (СВОД)'!Q62)</f>
        <v>2670.5699318136303</v>
      </c>
      <c r="P46" s="3945">
        <f t="shared" si="9"/>
        <v>7734.9998160977384</v>
      </c>
      <c r="Q46" s="3945">
        <f>SUM('Произв. прогр. Вода (СВОД)'!V62)</f>
        <v>2670.5699318136303</v>
      </c>
      <c r="R46" s="3948">
        <f t="shared" si="10"/>
        <v>10405.56974791137</v>
      </c>
    </row>
    <row r="47" spans="1:47" ht="18.75" customHeight="1">
      <c r="A47" s="3956" t="s">
        <v>1747</v>
      </c>
      <c r="B47" s="3955"/>
      <c r="C47" s="3955"/>
      <c r="D47" s="3955"/>
      <c r="E47" s="3955"/>
      <c r="F47" s="3955"/>
      <c r="G47" s="3955"/>
      <c r="H47" s="3955"/>
      <c r="I47" s="3955"/>
      <c r="J47" s="3955"/>
      <c r="K47" s="3944" t="s">
        <v>919</v>
      </c>
      <c r="L47" s="3949">
        <f>SUM('Произв. прогр. Вода (СВОД)'!H63)</f>
        <v>1792.7740236362665</v>
      </c>
      <c r="M47" s="3949">
        <f>SUM('Произв. прогр. Вода (СВОД)'!L63)</f>
        <v>1792.7740236362665</v>
      </c>
      <c r="N47" s="3949">
        <f t="shared" si="8"/>
        <v>3585.548047272533</v>
      </c>
      <c r="O47" s="3949">
        <f>SUM('Произв. прогр. Вода (СВОД)'!Q63)</f>
        <v>1900.8782972615336</v>
      </c>
      <c r="P47" s="3949">
        <f t="shared" si="9"/>
        <v>5486.4263445340666</v>
      </c>
      <c r="Q47" s="3949">
        <f>SUM('Произв. прогр. Вода (СВОД)'!V63)</f>
        <v>1900.8782972615336</v>
      </c>
      <c r="R47" s="3950">
        <f t="shared" si="10"/>
        <v>7387.3046417956002</v>
      </c>
    </row>
    <row r="48" spans="1:47" ht="18.75">
      <c r="A48" s="3956" t="s">
        <v>1748</v>
      </c>
      <c r="B48" s="3955"/>
      <c r="C48" s="3955"/>
      <c r="D48" s="3955"/>
      <c r="E48" s="3955"/>
      <c r="F48" s="3955"/>
      <c r="G48" s="3955"/>
      <c r="H48" s="3955"/>
      <c r="I48" s="3955"/>
      <c r="J48" s="3955"/>
      <c r="K48" s="3944" t="s">
        <v>919</v>
      </c>
      <c r="L48" s="3949">
        <f>SUM('Произв. прогр. Вода (СВОД)'!H64)</f>
        <v>501.67024952420161</v>
      </c>
      <c r="M48" s="3949">
        <f>SUM('Произв. прогр. Вода (СВОД)'!L64)</f>
        <v>501.67024952420161</v>
      </c>
      <c r="N48" s="3949">
        <f t="shared" si="8"/>
        <v>1003.3404990484032</v>
      </c>
      <c r="O48" s="3949">
        <f>SUM('Произв. прогр. Вода (СВОД)'!Q64)</f>
        <v>531.92096557051082</v>
      </c>
      <c r="P48" s="3949">
        <f t="shared" si="9"/>
        <v>1535.261464618914</v>
      </c>
      <c r="Q48" s="3949">
        <f>SUM('Произв. прогр. Вода (СВОД)'!V64)</f>
        <v>531.92096557051082</v>
      </c>
      <c r="R48" s="3950">
        <f t="shared" si="10"/>
        <v>2067.1824301894248</v>
      </c>
    </row>
    <row r="49" spans="1:18" ht="18.75">
      <c r="A49" s="3952" t="s">
        <v>1749</v>
      </c>
      <c r="B49" s="3955"/>
      <c r="C49" s="3955"/>
      <c r="D49" s="3955"/>
      <c r="E49" s="3955"/>
      <c r="F49" s="3955"/>
      <c r="G49" s="3955"/>
      <c r="H49" s="3955"/>
      <c r="I49" s="3955"/>
      <c r="J49" s="3955"/>
      <c r="K49" s="3944" t="s">
        <v>919</v>
      </c>
      <c r="L49" s="3949">
        <f>SUM('Произв. прогр. Вода (СВОД)'!H65)</f>
        <v>237.77066898158591</v>
      </c>
      <c r="M49" s="3949">
        <f>SUM('Произв. прогр. Вода (СВОД)'!L65)</f>
        <v>237.77066898158591</v>
      </c>
      <c r="N49" s="3949">
        <f t="shared" si="8"/>
        <v>475.54133796317183</v>
      </c>
      <c r="O49" s="3949">
        <f>SUM('Произв. прогр. Вода (СВОД)'!Q65)</f>
        <v>237.77066898158591</v>
      </c>
      <c r="P49" s="3949">
        <f t="shared" si="9"/>
        <v>713.31200694475774</v>
      </c>
      <c r="Q49" s="3949">
        <f>SUM('Произв. прогр. Вода (СВОД)'!V65)</f>
        <v>237.77066898158591</v>
      </c>
      <c r="R49" s="3950">
        <f t="shared" si="10"/>
        <v>951.08267592634365</v>
      </c>
    </row>
    <row r="50" spans="1:18" ht="18.75">
      <c r="A50" s="3943" t="s">
        <v>1750</v>
      </c>
      <c r="B50" s="3955"/>
      <c r="C50" s="3955"/>
      <c r="D50" s="3955"/>
      <c r="E50" s="3955"/>
      <c r="F50" s="3955"/>
      <c r="G50" s="3955"/>
      <c r="H50" s="3955"/>
      <c r="I50" s="3955"/>
      <c r="J50" s="3955"/>
      <c r="K50" s="3944" t="s">
        <v>919</v>
      </c>
      <c r="L50" s="3945">
        <f>SUM('Произв. прогр. Вода (СВОД)'!H66)</f>
        <v>563.59500000000003</v>
      </c>
      <c r="M50" s="3945">
        <f>SUM('Произв. прогр. Вода (СВОД)'!L66)</f>
        <v>563.59500000000003</v>
      </c>
      <c r="N50" s="3945">
        <f t="shared" si="8"/>
        <v>1127.19</v>
      </c>
      <c r="O50" s="3945">
        <f>SUM('Произв. прогр. Вода (СВОД)'!Q66)</f>
        <v>563.59500000000003</v>
      </c>
      <c r="P50" s="3945">
        <f t="shared" si="9"/>
        <v>1690.7850000000001</v>
      </c>
      <c r="Q50" s="3945">
        <f>SUM('Произв. прогр. Вода (СВОД)'!V66)</f>
        <v>563.59500000000003</v>
      </c>
      <c r="R50" s="3948">
        <f t="shared" si="10"/>
        <v>2254.38</v>
      </c>
    </row>
    <row r="51" spans="1:18" ht="18.75">
      <c r="A51" s="3946" t="s">
        <v>286</v>
      </c>
      <c r="B51" s="3955"/>
      <c r="C51" s="3955"/>
      <c r="D51" s="3955"/>
      <c r="E51" s="3955"/>
      <c r="F51" s="3955"/>
      <c r="G51" s="3955"/>
      <c r="H51" s="3955"/>
      <c r="I51" s="3955"/>
      <c r="J51" s="3955"/>
      <c r="K51" s="3944" t="s">
        <v>919</v>
      </c>
      <c r="L51" s="3949">
        <f>SUM('Произв. прогр. Вода (СВОД)'!H67)</f>
        <v>186.58750000000001</v>
      </c>
      <c r="M51" s="3949">
        <f>SUM('Произв. прогр. Вода (СВОД)'!L67)</f>
        <v>186.58750000000001</v>
      </c>
      <c r="N51" s="3949">
        <f t="shared" ref="N51:N53" si="11">SUM(L51+M51)</f>
        <v>373.17500000000001</v>
      </c>
      <c r="O51" s="3949">
        <f>SUM('Произв. прогр. Вода (СВОД)'!Q67)</f>
        <v>186.58750000000001</v>
      </c>
      <c r="P51" s="3949">
        <f t="shared" ref="P51:P53" si="12">SUM(N51+O51)</f>
        <v>559.76250000000005</v>
      </c>
      <c r="Q51" s="3949">
        <f>SUM('Произв. прогр. Вода (СВОД)'!V67)</f>
        <v>186.58750000000001</v>
      </c>
      <c r="R51" s="3950">
        <f t="shared" ref="R51:R53" si="13">SUM(P51+Q51)</f>
        <v>746.35</v>
      </c>
    </row>
    <row r="52" spans="1:18" ht="18.75">
      <c r="A52" s="3946" t="s">
        <v>289</v>
      </c>
      <c r="B52" s="3955"/>
      <c r="C52" s="3955"/>
      <c r="D52" s="3955"/>
      <c r="E52" s="3955"/>
      <c r="F52" s="3955"/>
      <c r="G52" s="3955"/>
      <c r="H52" s="3955"/>
      <c r="I52" s="3955"/>
      <c r="J52" s="3955"/>
      <c r="K52" s="3944" t="s">
        <v>919</v>
      </c>
      <c r="L52" s="3949">
        <f>SUM('Произв. прогр. Вода (СВОД)'!H68)</f>
        <v>301.5625</v>
      </c>
      <c r="M52" s="3949">
        <f>SUM('Произв. прогр. Вода (СВОД)'!L68)</f>
        <v>301.5625</v>
      </c>
      <c r="N52" s="3949">
        <f t="shared" si="11"/>
        <v>603.125</v>
      </c>
      <c r="O52" s="3949">
        <f>SUM('Произв. прогр. Вода (СВОД)'!Q68)</f>
        <v>301.5625</v>
      </c>
      <c r="P52" s="3949">
        <f t="shared" si="12"/>
        <v>904.6875</v>
      </c>
      <c r="Q52" s="3949">
        <f>SUM('Произв. прогр. Вода (СВОД)'!V68)</f>
        <v>301.5625</v>
      </c>
      <c r="R52" s="3950">
        <f t="shared" si="13"/>
        <v>1206.25</v>
      </c>
    </row>
    <row r="53" spans="1:18" ht="18" customHeight="1">
      <c r="A53" s="3946" t="s">
        <v>1745</v>
      </c>
      <c r="B53" s="3955"/>
      <c r="C53" s="3955"/>
      <c r="D53" s="3955"/>
      <c r="E53" s="3955"/>
      <c r="F53" s="3955"/>
      <c r="G53" s="3955"/>
      <c r="H53" s="3955"/>
      <c r="I53" s="3955"/>
      <c r="J53" s="3955"/>
      <c r="K53" s="3944" t="s">
        <v>919</v>
      </c>
      <c r="L53" s="3949">
        <f>SUM('Произв. прогр. Вода (СВОД)'!H69)</f>
        <v>75.444999999999993</v>
      </c>
      <c r="M53" s="3949">
        <f>SUM('Произв. прогр. Вода (СВОД)'!L69)</f>
        <v>75.444999999999993</v>
      </c>
      <c r="N53" s="3949">
        <f t="shared" si="11"/>
        <v>150.88999999999999</v>
      </c>
      <c r="O53" s="3949">
        <f>SUM('Произв. прогр. Вода (СВОД)'!Q69)</f>
        <v>75.444999999999993</v>
      </c>
      <c r="P53" s="3949">
        <f t="shared" si="12"/>
        <v>226.33499999999998</v>
      </c>
      <c r="Q53" s="3949">
        <f>SUM('Произв. прогр. Вода (СВОД)'!V69)</f>
        <v>75.444999999999993</v>
      </c>
      <c r="R53" s="3950">
        <f t="shared" si="13"/>
        <v>301.77999999999997</v>
      </c>
    </row>
    <row r="54" spans="1:18" ht="18.75">
      <c r="A54" s="3943" t="s">
        <v>1751</v>
      </c>
      <c r="B54" s="3955"/>
      <c r="C54" s="3955"/>
      <c r="D54" s="3955"/>
      <c r="E54" s="3955"/>
      <c r="F54" s="3955"/>
      <c r="G54" s="3955"/>
      <c r="H54" s="3955"/>
      <c r="I54" s="3955"/>
      <c r="J54" s="3955"/>
      <c r="K54" s="3944" t="s">
        <v>919</v>
      </c>
      <c r="L54" s="3945">
        <f>SUM('Произв. прогр. Вода (СВОД)'!H70)</f>
        <v>99.32</v>
      </c>
      <c r="M54" s="3945">
        <f>SUM('Произв. прогр. Вода (СВОД)'!L70)</f>
        <v>99.32</v>
      </c>
      <c r="N54" s="3945">
        <f t="shared" ref="N54" si="14">SUM(L54+M54)</f>
        <v>198.64</v>
      </c>
      <c r="O54" s="3945">
        <f>SUM('Произв. прогр. Вода (СВОД)'!Q70)</f>
        <v>99.32</v>
      </c>
      <c r="P54" s="3945">
        <f t="shared" ref="P54" si="15">SUM(N54+O54)</f>
        <v>297.95999999999998</v>
      </c>
      <c r="Q54" s="3945">
        <f>SUM('Произв. прогр. Вода (СВОД)'!V70)</f>
        <v>99.32</v>
      </c>
      <c r="R54" s="3948">
        <f t="shared" ref="R54" si="16">SUM(P54+Q54)</f>
        <v>397.28</v>
      </c>
    </row>
    <row r="55" spans="1:18" ht="18.75">
      <c r="A55" s="3957" t="s">
        <v>12</v>
      </c>
      <c r="B55" s="3955"/>
      <c r="C55" s="3955"/>
      <c r="D55" s="3955"/>
      <c r="E55" s="3955"/>
      <c r="F55" s="3955"/>
      <c r="G55" s="3955"/>
      <c r="H55" s="3955"/>
      <c r="I55" s="3955"/>
      <c r="J55" s="3955"/>
      <c r="K55" s="3940" t="s">
        <v>919</v>
      </c>
      <c r="L55" s="3941">
        <f>SUM('Произв. прогр. Вода (СВОД)'!H71)</f>
        <v>31841.764883454747</v>
      </c>
      <c r="M55" s="3941">
        <f>SUM('Произв. прогр. Вода (СВОД)'!L71)</f>
        <v>30467.182986625088</v>
      </c>
      <c r="N55" s="3941">
        <f t="shared" ref="N55" si="17">SUM(L55+M55)</f>
        <v>62308.947870079835</v>
      </c>
      <c r="O55" s="3941">
        <f>SUM('Произв. прогр. Вода (СВОД)'!Q71)</f>
        <v>31510.624390520868</v>
      </c>
      <c r="P55" s="3941">
        <f t="shared" ref="P55" si="18">SUM(N55+O55)</f>
        <v>93819.572260600704</v>
      </c>
      <c r="Q55" s="3941">
        <f>SUM('Произв. прогр. Вода (СВОД)'!V71)</f>
        <v>33044.684221808406</v>
      </c>
      <c r="R55" s="3942">
        <f t="shared" ref="R55" si="19">SUM(P55+Q55)</f>
        <v>126864.25648240911</v>
      </c>
    </row>
    <row r="56" spans="1:18" ht="18.75">
      <c r="A56" s="3957" t="s">
        <v>13</v>
      </c>
      <c r="B56" s="3955"/>
      <c r="C56" s="3955"/>
      <c r="D56" s="3955"/>
      <c r="E56" s="3955"/>
      <c r="F56" s="3955"/>
      <c r="G56" s="3955"/>
      <c r="H56" s="3955"/>
      <c r="I56" s="3955"/>
      <c r="J56" s="3955"/>
      <c r="K56" s="3940" t="s">
        <v>1800</v>
      </c>
      <c r="L56" s="3941">
        <f>SUM('Произв. прогр. Вода (СВОД)'!H72)</f>
        <v>969.05283660000009</v>
      </c>
      <c r="M56" s="3941">
        <f>SUM('Произв. прогр. Вода (СВОД)'!L72)</f>
        <v>934.82215469999994</v>
      </c>
      <c r="N56" s="3941">
        <f t="shared" ref="N56" si="20">SUM(L56+M56)</f>
        <v>1903.8749913000001</v>
      </c>
      <c r="O56" s="3941">
        <f>SUM('Произв. прогр. Вода (СВОД)'!Q72)</f>
        <v>915.52058549999992</v>
      </c>
      <c r="P56" s="3941">
        <f t="shared" ref="P56" si="21">SUM(N56+O56)</f>
        <v>2819.3955768000001</v>
      </c>
      <c r="Q56" s="3941">
        <f>SUM('Произв. прогр. Вода (СВОД)'!V72)</f>
        <v>971.95342320000009</v>
      </c>
      <c r="R56" s="3942">
        <f t="shared" ref="R56" si="22">SUM(P56+Q56)</f>
        <v>3791.3490000000002</v>
      </c>
    </row>
    <row r="57" spans="1:18" ht="18.75">
      <c r="A57" s="3957" t="s">
        <v>14</v>
      </c>
      <c r="B57" s="3955"/>
      <c r="C57" s="3955"/>
      <c r="D57" s="3955"/>
      <c r="E57" s="3955"/>
      <c r="F57" s="3955"/>
      <c r="G57" s="3955"/>
      <c r="H57" s="3955"/>
      <c r="I57" s="3955"/>
      <c r="J57" s="3955"/>
      <c r="K57" s="3940" t="s">
        <v>1801</v>
      </c>
      <c r="L57" s="3941">
        <f>SUM('Произв. прогр. Вода (СВОД)'!H73)</f>
        <v>32.85864679492002</v>
      </c>
      <c r="M57" s="3941">
        <f>SUM('Произв. прогр. Вода (СВОД)'!L73)</f>
        <v>32.591421623295304</v>
      </c>
      <c r="N57" s="3958">
        <f t="shared" ref="N57:R57" si="23">SUM(N55/N56)</f>
        <v>32.727436493891943</v>
      </c>
      <c r="O57" s="3941">
        <f>SUM('Произв. прогр. Вода (СВОД)'!Q73)</f>
        <v>34.418258736707422</v>
      </c>
      <c r="P57" s="3958">
        <f t="shared" si="23"/>
        <v>33.276484162994059</v>
      </c>
      <c r="Q57" s="3941">
        <f>SUM('Произв. прогр. Вода (СВОД)'!V73)</f>
        <v>33.998217849795836</v>
      </c>
      <c r="R57" s="3959">
        <f t="shared" si="23"/>
        <v>33.461508418879163</v>
      </c>
    </row>
    <row r="58" spans="1:18" ht="18.75">
      <c r="A58" s="3960" t="s">
        <v>1802</v>
      </c>
      <c r="B58" s="3955"/>
      <c r="C58" s="3955"/>
      <c r="D58" s="3955"/>
      <c r="E58" s="3955"/>
      <c r="F58" s="3955"/>
      <c r="G58" s="3955"/>
      <c r="H58" s="3955"/>
      <c r="I58" s="3955"/>
      <c r="J58" s="3955"/>
      <c r="K58" s="3940" t="s">
        <v>919</v>
      </c>
      <c r="L58" s="3941">
        <f>SUM(L59-L55)</f>
        <v>1046.214681697249</v>
      </c>
      <c r="M58" s="3941">
        <f>SUM(M59-M55)</f>
        <v>1266.5379848589037</v>
      </c>
      <c r="N58" s="3941">
        <f t="shared" ref="N58" si="24">SUM(L58+M58)</f>
        <v>2312.7526665561527</v>
      </c>
      <c r="O58" s="3941">
        <f>SUM(O59-O55)</f>
        <v>1684.8618300441303</v>
      </c>
      <c r="P58" s="3941">
        <f t="shared" ref="P58" si="25">SUM(N58+O58)</f>
        <v>3997.614496600283</v>
      </c>
      <c r="Q58" s="3941">
        <f>SUM(Q59-Q55)</f>
        <v>2184.0771410875896</v>
      </c>
      <c r="R58" s="3942">
        <f t="shared" ref="R58" si="26">SUM(P58+Q58)</f>
        <v>6181.6916376878726</v>
      </c>
    </row>
    <row r="59" spans="1:18" ht="18.75" customHeight="1">
      <c r="A59" s="3960" t="s">
        <v>548</v>
      </c>
      <c r="B59" s="3955"/>
      <c r="C59" s="3955"/>
      <c r="D59" s="3955"/>
      <c r="E59" s="3955"/>
      <c r="F59" s="3955"/>
      <c r="G59" s="3955"/>
      <c r="H59" s="3955"/>
      <c r="I59" s="3955"/>
      <c r="J59" s="3955"/>
      <c r="K59" s="3940" t="s">
        <v>919</v>
      </c>
      <c r="L59" s="3941">
        <f>SUM(L62-L61)</f>
        <v>32887.979565151996</v>
      </c>
      <c r="M59" s="3941">
        <f>SUM(M62-M61)</f>
        <v>31733.720971483992</v>
      </c>
      <c r="N59" s="3941">
        <f t="shared" ref="N59" si="27">SUM(L59+M59)</f>
        <v>64621.700536635988</v>
      </c>
      <c r="O59" s="3941">
        <f>SUM(O62-O61)</f>
        <v>33195.486220564999</v>
      </c>
      <c r="P59" s="3941">
        <f t="shared" ref="P59" si="28">SUM(N59+O59)</f>
        <v>97817.18675720098</v>
      </c>
      <c r="Q59" s="3941">
        <f>SUM(Q62-Q61)</f>
        <v>35228.761362895995</v>
      </c>
      <c r="R59" s="3942">
        <f t="shared" ref="R59" si="29">SUM(P59+Q59)</f>
        <v>133045.94812009699</v>
      </c>
    </row>
    <row r="60" spans="1:18" ht="18.75" customHeight="1">
      <c r="A60" s="3961" t="s">
        <v>70</v>
      </c>
      <c r="B60" s="3955"/>
      <c r="C60" s="3955"/>
      <c r="D60" s="3955"/>
      <c r="E60" s="3955"/>
      <c r="F60" s="3955"/>
      <c r="G60" s="3955"/>
      <c r="H60" s="3955"/>
      <c r="I60" s="3955"/>
      <c r="J60" s="3955"/>
      <c r="K60" s="3940" t="s">
        <v>1801</v>
      </c>
      <c r="L60" s="3958">
        <f t="shared" ref="L60:M60" si="30">SUM(L59/L56)</f>
        <v>33.938272840253084</v>
      </c>
      <c r="M60" s="3958">
        <f t="shared" si="30"/>
        <v>33.946265406672858</v>
      </c>
      <c r="N60" s="3958">
        <f>SUM(N59/N56)</f>
        <v>33.942197272369825</v>
      </c>
      <c r="O60" s="3958">
        <f t="shared" ref="O60" si="31">SUM(O59/O56)</f>
        <v>36.258590736586996</v>
      </c>
      <c r="P60" s="3958">
        <f t="shared" ref="P60" si="32">SUM(P59/P56)</f>
        <v>34.694381860463508</v>
      </c>
      <c r="Q60" s="3958">
        <f t="shared" ref="Q60" si="33">SUM(Q59/Q56)</f>
        <v>36.245318471034317</v>
      </c>
      <c r="R60" s="3959">
        <f t="shared" ref="R60" si="34">SUM(R59/R56)</f>
        <v>35.091981276347013</v>
      </c>
    </row>
    <row r="61" spans="1:18" ht="18.75" customHeight="1">
      <c r="A61" s="3961" t="s">
        <v>327</v>
      </c>
      <c r="B61" s="3955"/>
      <c r="C61" s="3955"/>
      <c r="D61" s="3955"/>
      <c r="E61" s="3955"/>
      <c r="F61" s="3955"/>
      <c r="G61" s="3955"/>
      <c r="H61" s="3955"/>
      <c r="I61" s="3955"/>
      <c r="J61" s="3955"/>
      <c r="K61" s="3940" t="s">
        <v>919</v>
      </c>
      <c r="L61" s="3941">
        <f>SUM('Произв. прогр. Вода (СВОД)'!H77)</f>
        <v>-301.35874999999999</v>
      </c>
      <c r="M61" s="3941">
        <f>SUM('Произв. прогр. Вода (СВОД)'!L77)</f>
        <v>-301.35874999999999</v>
      </c>
      <c r="N61" s="3941">
        <f t="shared" ref="N61" si="35">SUM(L61+M61)</f>
        <v>-602.71749999999997</v>
      </c>
      <c r="O61" s="3941">
        <f>SUM('Произв. прогр. Вода (СВОД)'!Q77)</f>
        <v>-301.35874999999999</v>
      </c>
      <c r="P61" s="3941">
        <f t="shared" ref="P61" si="36">SUM(N61+O61)</f>
        <v>-904.07624999999996</v>
      </c>
      <c r="Q61" s="3941">
        <f>SUM('Произв. прогр. Вода (СВОД)'!V77)</f>
        <v>-301.35874999999999</v>
      </c>
      <c r="R61" s="3942">
        <f t="shared" ref="R61" si="37">SUM(P61+Q61)</f>
        <v>-1205.4349999999999</v>
      </c>
    </row>
    <row r="62" spans="1:18" ht="18.75" customHeight="1">
      <c r="A62" s="3960" t="s">
        <v>549</v>
      </c>
      <c r="B62" s="3955"/>
      <c r="C62" s="3955"/>
      <c r="D62" s="3955"/>
      <c r="E62" s="3955"/>
      <c r="F62" s="3955"/>
      <c r="G62" s="3955"/>
      <c r="H62" s="3955"/>
      <c r="I62" s="3955"/>
      <c r="J62" s="3955"/>
      <c r="K62" s="3940" t="s">
        <v>919</v>
      </c>
      <c r="L62" s="3941">
        <f>SUM('Произв. прогр. Вода (СВОД)'!H35)</f>
        <v>32586.620815151997</v>
      </c>
      <c r="M62" s="3941">
        <f>SUM('Произв. прогр. Вода (СВОД)'!L35)</f>
        <v>31432.362221483992</v>
      </c>
      <c r="N62" s="3941">
        <f t="shared" ref="N62" si="38">SUM(L62+M62)</f>
        <v>64018.983036635989</v>
      </c>
      <c r="O62" s="3941">
        <f>SUM('Произв. прогр. Вода (СВОД)'!Q35)</f>
        <v>32894.127470564999</v>
      </c>
      <c r="P62" s="3941">
        <f t="shared" ref="P62" si="39">SUM(N62+O62)</f>
        <v>96913.110507200996</v>
      </c>
      <c r="Q62" s="3941">
        <f>SUM('Произв. прогр. Вода (СВОД)'!V35)</f>
        <v>34927.402612895996</v>
      </c>
      <c r="R62" s="3942">
        <f t="shared" ref="R62" si="40">SUM(P62+Q62)</f>
        <v>131840.51312009699</v>
      </c>
    </row>
    <row r="63" spans="1:18" ht="18" customHeight="1" thickBot="1">
      <c r="A63" s="3962" t="s">
        <v>328</v>
      </c>
      <c r="B63" s="4009"/>
      <c r="C63" s="4009"/>
      <c r="D63" s="4009"/>
      <c r="E63" s="4009"/>
      <c r="F63" s="4009"/>
      <c r="G63" s="4009"/>
      <c r="H63" s="4009"/>
      <c r="I63" s="4009"/>
      <c r="J63" s="4009"/>
      <c r="K63" s="3963" t="s">
        <v>1801</v>
      </c>
      <c r="L63" s="4010">
        <f t="shared" ref="L63:M63" si="41">SUM(L62/L56)</f>
        <v>33.627290055189128</v>
      </c>
      <c r="M63" s="4010">
        <f t="shared" si="41"/>
        <v>33.623895265480911</v>
      </c>
      <c r="N63" s="4010">
        <f>SUM(N62/N56)</f>
        <v>33.62562317861147</v>
      </c>
      <c r="O63" s="4010">
        <f t="shared" ref="O63:R63" si="42">SUM(O62/O56)</f>
        <v>35.929424189408358</v>
      </c>
      <c r="P63" s="4010">
        <f t="shared" si="42"/>
        <v>34.373718716405484</v>
      </c>
      <c r="Q63" s="4010">
        <f t="shared" si="42"/>
        <v>35.935263747416158</v>
      </c>
      <c r="R63" s="4011">
        <f t="shared" si="42"/>
        <v>34.774037715888724</v>
      </c>
    </row>
    <row r="66" spans="1:16" ht="18.75">
      <c r="A66" s="3964" t="s">
        <v>1779</v>
      </c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/>
      <c r="N66" s="3964" t="s">
        <v>1831</v>
      </c>
      <c r="O66" s="380"/>
      <c r="P66" s="380"/>
    </row>
    <row r="67" spans="1:16" ht="18.75">
      <c r="A67" s="3964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964"/>
      <c r="O67" s="380"/>
      <c r="P67" s="380"/>
    </row>
    <row r="68" spans="1:16" ht="18.75">
      <c r="A68" s="3964" t="s">
        <v>1763</v>
      </c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964" t="s">
        <v>1803</v>
      </c>
      <c r="O68" s="380"/>
      <c r="P68" s="380"/>
    </row>
  </sheetData>
  <sheetProtection sheet="1" objects="1" scenarios="1"/>
  <mergeCells count="26">
    <mergeCell ref="A26:R26"/>
    <mergeCell ref="A27:A28"/>
    <mergeCell ref="K27:K28"/>
    <mergeCell ref="L27:L28"/>
    <mergeCell ref="M27:M28"/>
    <mergeCell ref="N27:N28"/>
    <mergeCell ref="O27:O28"/>
    <mergeCell ref="P27:P28"/>
    <mergeCell ref="Q27:Q28"/>
    <mergeCell ref="R27:R28"/>
    <mergeCell ref="A10:R10"/>
    <mergeCell ref="A11:A12"/>
    <mergeCell ref="K11:K12"/>
    <mergeCell ref="L11:L12"/>
    <mergeCell ref="M11:M12"/>
    <mergeCell ref="N11:N12"/>
    <mergeCell ref="O11:O12"/>
    <mergeCell ref="P11:P12"/>
    <mergeCell ref="Q11:Q12"/>
    <mergeCell ref="R11:R12"/>
    <mergeCell ref="A8:R8"/>
    <mergeCell ref="O1:R1"/>
    <mergeCell ref="O3:R3"/>
    <mergeCell ref="O4:R4"/>
    <mergeCell ref="O5:R5"/>
    <mergeCell ref="O6:R6"/>
  </mergeCells>
  <printOptions horizontalCentered="1" verticalCentered="1"/>
  <pageMargins left="0.55118110236220474" right="0.15748031496062992" top="0.19685039370078741" bottom="0.19685039370078741" header="0" footer="0"/>
  <pageSetup paperSize="9" scale="6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50</vt:i4>
      </vt:variant>
    </vt:vector>
  </HeadingPairs>
  <TitlesOfParts>
    <vt:vector size="105" baseType="lpstr">
      <vt:lpstr>ФАКТИЧЕСКАЯ СЕБЕСТ. СТОКИ 2017</vt:lpstr>
      <vt:lpstr>ПОЛНАЯ СЕБЕСТОИМОСТЬ СТОКИ 2017</vt:lpstr>
      <vt:lpstr>ФАКТИЧЕСКАЯ СЕБЕСТ ВОДА 2017</vt:lpstr>
      <vt:lpstr>ПОЛНАЯ СЕБЕСТОИМОСТЬ ВОДА 2017</vt:lpstr>
      <vt:lpstr>Текущий ремонт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Произв. прогр. Стоки (СВОД)</vt:lpstr>
      <vt:lpstr>Произв. прогр. Стоки</vt:lpstr>
      <vt:lpstr>Произв. прогр. Вода (СВОД)</vt:lpstr>
      <vt:lpstr>Произв. прогр. Вода</vt:lpstr>
      <vt:lpstr>Тариф тех.вода 2016-2017 ПЛАН</vt:lpstr>
      <vt:lpstr>Тариф вода 2016-2017 ПЛАН</vt:lpstr>
      <vt:lpstr>ВОДА (СВОД) 2016-2017</vt:lpstr>
      <vt:lpstr>Тариф очистка 2016-2017 ПЛАН</vt:lpstr>
      <vt:lpstr>Тариф стоки 2016-2017 ПЛАН</vt:lpstr>
      <vt:lpstr>СТОКИ (СВОД) 2016-2017</vt:lpstr>
      <vt:lpstr>объемы</vt:lpstr>
      <vt:lpstr>объемы черн</vt:lpstr>
      <vt:lpstr>вода</vt:lpstr>
      <vt:lpstr>стоки</vt:lpstr>
      <vt:lpstr>электр 2017-2018</vt:lpstr>
      <vt:lpstr>электр</vt:lpstr>
      <vt:lpstr>ХР</vt:lpstr>
      <vt:lpstr>Аморт</vt:lpstr>
      <vt:lpstr>ЗП</vt:lpstr>
      <vt:lpstr>ЗП с факт 3 кв. 2015</vt:lpstr>
      <vt:lpstr>ЗП среднемес</vt:lpstr>
      <vt:lpstr>цех вода</vt:lpstr>
      <vt:lpstr>цех стоки</vt:lpstr>
      <vt:lpstr>ОХР </vt:lpstr>
      <vt:lpstr> текРемвода 2016</vt:lpstr>
      <vt:lpstr>  текРемстоки 2016</vt:lpstr>
      <vt:lpstr>Кап Рем</vt:lpstr>
      <vt:lpstr>кап влож</vt:lpstr>
      <vt:lpstr>Ремонт вода 2016</vt:lpstr>
      <vt:lpstr>Ремонт стоки 2016</vt:lpstr>
      <vt:lpstr>Резерв ДЗ</vt:lpstr>
      <vt:lpstr>Выпадающ15-16</vt:lpstr>
      <vt:lpstr>транс</vt:lpstr>
      <vt:lpstr>вод.налог</vt:lpstr>
      <vt:lpstr>налог на имущ</vt:lpstr>
      <vt:lpstr>Тариф вода 2016-2018</vt:lpstr>
      <vt:lpstr>Тариф тех вода 2016-2018</vt:lpstr>
      <vt:lpstr>Тариф стоки 2016-2018</vt:lpstr>
      <vt:lpstr>Тариф очистка 2016-2018</vt:lpstr>
      <vt:lpstr>расчет тарифов </vt:lpstr>
      <vt:lpstr>Лист2</vt:lpstr>
      <vt:lpstr>Выпадающ</vt:lpstr>
      <vt:lpstr>Ремонт вода 2015</vt:lpstr>
      <vt:lpstr>Ремонт стоки 2015</vt:lpstr>
      <vt:lpstr>платежка с ИП</vt:lpstr>
      <vt:lpstr>Лист1</vt:lpstr>
      <vt:lpstr>'Произв. прогр. Вода'!Заголовки_для_печати</vt:lpstr>
      <vt:lpstr>'Произв. прогр. Стоки'!Заголовки_для_печати</vt:lpstr>
      <vt:lpstr>'  текРемстоки 2016'!Область_печати</vt:lpstr>
      <vt:lpstr>' текРемвода 2016'!Область_печати</vt:lpstr>
      <vt:lpstr>Аморт!Область_печати</vt:lpstr>
      <vt:lpstr>вод.налог!Область_печати</vt:lpstr>
      <vt:lpstr>вода!Область_печати</vt:lpstr>
      <vt:lpstr>'ВОДА (СВОД) 2016-2017'!Область_печати</vt:lpstr>
      <vt:lpstr>'Выпадающ15-16'!Область_печати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'налог на имущ'!Область_печати</vt:lpstr>
      <vt:lpstr>объемы!Область_печати</vt:lpstr>
      <vt:lpstr>'объемы черн'!Область_печати</vt:lpstr>
      <vt:lpstr>'ОХР '!Область_печати</vt:lpstr>
      <vt:lpstr>'платежка с ИП'!Область_печати</vt:lpstr>
      <vt:lpstr>'ПОЛНАЯ СЕБЕСТОИМОСТЬ ВОДА 2017'!Область_печати</vt:lpstr>
      <vt:lpstr>'ПОЛНАЯ СЕБЕСТОИМОСТЬ СТОКИ 2017'!Область_печати</vt:lpstr>
      <vt:lpstr>'Прил. 1 План ФХД вода табл. 2'!Область_печати</vt:lpstr>
      <vt:lpstr>'Прил. 1 План ФХД стоки табл 2'!Область_печати</vt:lpstr>
      <vt:lpstr>'Прил. 1 План ФХД табл 1'!Область_печати</vt:lpstr>
      <vt:lpstr>'Произв. прогр. Вода'!Область_печати</vt:lpstr>
      <vt:lpstr>'Произв. прогр. Вода (СВОД)'!Область_печати</vt:lpstr>
      <vt:lpstr>'Произв. прогр. Стоки'!Область_печати</vt:lpstr>
      <vt:lpstr>'Произв. прогр. Стоки (СВОД)'!Область_печати</vt:lpstr>
      <vt:lpstr>'расчет тарифов '!Область_печати</vt:lpstr>
      <vt:lpstr>'Резерв ДЗ'!Область_печати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(СВОД) 2016-2017'!Область_печати</vt:lpstr>
      <vt:lpstr>'Тариф вода 2016-2017 ПЛАН'!Область_печати</vt:lpstr>
      <vt:lpstr>'Тариф вода 2016-2018'!Область_печати</vt:lpstr>
      <vt:lpstr>'Тариф очистка 2016-2017 ПЛАН'!Область_печати</vt:lpstr>
      <vt:lpstr>'Тариф очистка 2016-2018'!Область_печати</vt:lpstr>
      <vt:lpstr>'Тариф стоки 2016-2017 ПЛАН'!Область_печати</vt:lpstr>
      <vt:lpstr>'Тариф стоки 2016-2018'!Область_печати</vt:lpstr>
      <vt:lpstr>'Тариф тех вода 2016-2018'!Область_печати</vt:lpstr>
      <vt:lpstr>'Текущий ремонт'!Область_печати</vt:lpstr>
      <vt:lpstr>транс!Область_печати</vt:lpstr>
      <vt:lpstr>'ФАКТИЧЕСКАЯ СЕБЕСТ ВОДА 2017'!Область_печати</vt:lpstr>
      <vt:lpstr>'ФАКТИЧЕСКАЯ СЕБЕСТ. СТОКИ 2017'!Область_печати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прибыль'!Область_печати</vt:lpstr>
      <vt:lpstr>электр!Область_печати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Admin</cp:lastModifiedBy>
  <cp:lastPrinted>2017-10-31T07:21:22Z</cp:lastPrinted>
  <dcterms:created xsi:type="dcterms:W3CDTF">2005-08-29T07:58:36Z</dcterms:created>
  <dcterms:modified xsi:type="dcterms:W3CDTF">2017-11-08T07:51:41Z</dcterms:modified>
</cp:coreProperties>
</file>